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trlProps/ctrlProp2.xml" ContentType="application/vnd.ms-excel.controlproperties+xml"/>
  <Override PartName="/xl/drawings/drawing5.xml" ContentType="application/vnd.openxmlformats-officedocument.drawing+xml"/>
  <Override PartName="/xl/ctrlProps/ctrlProp3.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ctrlProps/ctrlProp4.xml" ContentType="application/vnd.ms-excel.controlproperties+xml"/>
  <Override PartName="/xl/drawings/drawing8.xml" ContentType="application/vnd.openxmlformats-officedocument.drawing+xml"/>
  <Override PartName="/xl/ctrlProps/ctrlProp5.xml" ContentType="application/vnd.ms-excel.controlproperties+xml"/>
  <Override PartName="/xl/drawings/drawing9.xml" ContentType="application/vnd.openxmlformats-officedocument.drawing+xml"/>
  <Override PartName="/xl/drawings/drawing10.xml" ContentType="application/vnd.openxmlformats-officedocument.drawing+xml"/>
  <Override PartName="/xl/ctrlProps/ctrlProp6.xml" ContentType="application/vnd.ms-excel.controlproperties+xml"/>
  <Override PartName="/xl/drawings/drawing11.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24226"/>
  <mc:AlternateContent xmlns:mc="http://schemas.openxmlformats.org/markup-compatibility/2006">
    <mc:Choice Requires="x15">
      <x15ac:absPath xmlns:x15ac="http://schemas.microsoft.com/office/spreadsheetml/2010/11/ac" url="C:\Users\jeffl\Documents\TappanTechnologies\Clients\FHLBNY\Code\CI\HDP Consolidated Request Form\Deliverables\2.2.0\"/>
    </mc:Choice>
  </mc:AlternateContent>
  <xr:revisionPtr revIDLastSave="0" documentId="13_ncr:1_{E783EF4C-E83A-4DC8-9C80-A5B451C50BA1}" xr6:coauthVersionLast="47" xr6:coauthVersionMax="47" xr10:uidLastSave="{00000000-0000-0000-0000-000000000000}"/>
  <workbookProtection workbookAlgorithmName="SHA-512" workbookHashValue="iaZGUefML3pWUNWgyvl4zRyXS9cwUl1kKhOYrA4PK/ArP6kFPjKv+Y+2Qq+KZrlrHFqI5UL0VVgXGJGtbbttog==" workbookSaltValue="gUhcDmE2Ylp3jOM0Uz54ZA==" workbookSpinCount="100000" lockStructure="1"/>
  <bookViews>
    <workbookView showSheetTabs="0" xWindow="22515" yWindow="0" windowWidth="35190" windowHeight="31785" tabRatio="914" xr2:uid="{C5DB327C-F957-407C-937D-A4201B9B1511}"/>
  </bookViews>
  <sheets>
    <sheet name="WELCOME" sheetId="11" r:id="rId1"/>
    <sheet name="RES_2" sheetId="13" r:id="rId2"/>
    <sheet name="DSB_2" sheetId="21" r:id="rId3"/>
    <sheet name="ADL_2" sheetId="19" r:id="rId4"/>
    <sheet name="RES_3" sheetId="34" r:id="rId5"/>
    <sheet name="DSB_3" sheetId="35" r:id="rId6"/>
    <sheet name="ADL_3" sheetId="36" r:id="rId7"/>
    <sheet name="RES_4" sheetId="37" r:id="rId8"/>
    <sheet name="DSB_4" sheetId="39" r:id="rId9"/>
    <sheet name="ADL_4" sheetId="38" r:id="rId10"/>
    <sheet name="ICW" sheetId="23" r:id="rId11"/>
    <sheet name="MFI_NJ_REG" sheetId="24" r:id="rId12"/>
    <sheet name="MFI_NY_REG" sheetId="25" r:id="rId13"/>
    <sheet name="MFI_PR_REG" sheetId="27" r:id="rId14"/>
    <sheet name="MFI_VI_REG" sheetId="28" r:id="rId15"/>
    <sheet name="MFI_OTHER_REG" sheetId="29" r:id="rId16"/>
    <sheet name="MFI_NJ_VOL" sheetId="30" r:id="rId17"/>
    <sheet name="MFI_NY_VOL" sheetId="31" r:id="rId18"/>
    <sheet name="MFI_PR_VOL" sheetId="32" r:id="rId19"/>
    <sheet name="MFI_VI_VOL" sheetId="33" r:id="rId20"/>
    <sheet name="Configuration" sheetId="7" state="hidden" r:id="rId21"/>
    <sheet name="$DB.DATA" sheetId="4" state="hidden" r:id="rId22"/>
    <sheet name="$DB.LOOKUP" sheetId="2" state="hidden" r:id="rId23"/>
    <sheet name="$DB.LOOKUP.ICW" sheetId="22" state="hidden" r:id="rId24"/>
    <sheet name="$DB.CONFIG" sheetId="3" state="hidden" r:id="rId25"/>
    <sheet name="$DB.EXPORT.XREF" sheetId="18" state="hidden" r:id="rId26"/>
    <sheet name="$DB.EXPORT.RES" sheetId="5" state="hidden" r:id="rId27"/>
    <sheet name="$DB.EXPORT.DSB" sheetId="20" state="hidden" r:id="rId28"/>
    <sheet name="$DB.EXPORT.ADL" sheetId="17" state="hidden" r:id="rId29"/>
  </sheets>
  <definedNames>
    <definedName name="_xlnm._FilterDatabase" localSheetId="22" hidden="1">'$DB.LOOKUP'!$T$2:$U$2</definedName>
    <definedName name="_xlnm._FilterDatabase" localSheetId="20" hidden="1">Configuration!$D$62:$F$2807</definedName>
    <definedName name="_xlnm._FilterDatabase" localSheetId="11" hidden="1">MFI_NJ_REG!$D$7:$H$28</definedName>
    <definedName name="_xlnm._FilterDatabase" localSheetId="16" hidden="1">MFI_NJ_VOL!$D$7:$H$28</definedName>
    <definedName name="_xlnm._FilterDatabase" localSheetId="15" hidden="1">MFI_OTHER_REG!$D$7:$E$2624</definedName>
    <definedName name="AMI_MAX_PCT_NJ_2">Configuration!$J$31</definedName>
    <definedName name="AMI_MAX_PCT_NJ_3">Configuration!$L$31</definedName>
    <definedName name="AMI_MAX_PCT_NJ_4">Configuration!$N$31</definedName>
    <definedName name="AMI_MAX_PCT_NY_2">Configuration!$J$32</definedName>
    <definedName name="AMI_MAX_PCT_NY_3">Configuration!$L$32</definedName>
    <definedName name="AMI_MAX_PCT_NY_4">Configuration!$N$32</definedName>
    <definedName name="AMI_MAX_PCT_OOD_2">Configuration!$J$35</definedName>
    <definedName name="AMI_MAX_PCT_PR_2">Configuration!$J$33</definedName>
    <definedName name="AMI_MAX_PCT_PR_3">Configuration!$L$33</definedName>
    <definedName name="AMI_MAX_PCT_PR_4">Configuration!$N$33</definedName>
    <definedName name="AMI_MAX_PCT_VI_2">Configuration!$J$34</definedName>
    <definedName name="AMI_MAX_PCT_VI_3">Configuration!$L$34</definedName>
    <definedName name="AMI_MAX_PCT_VI_4">Configuration!$N$34</definedName>
    <definedName name="AMI_MIN_PCT_NJ_2">Configuration!$I$31</definedName>
    <definedName name="AMI_MIN_PCT_NJ_3">Configuration!$K$31</definedName>
    <definedName name="AMI_MIN_PCT_NJ_4">Configuration!$M$31</definedName>
    <definedName name="AMI_MIN_PCT_NY_2">Configuration!$I$32</definedName>
    <definedName name="AMI_MIN_PCT_NY_3">Configuration!$K$32</definedName>
    <definedName name="AMI_MIN_PCT_NY_4">Configuration!$M$32</definedName>
    <definedName name="AMI_MIN_PCT_OOD_2">Configuration!$I$35</definedName>
    <definedName name="AMI_MIN_PCT_PR_2">Configuration!$I$33</definedName>
    <definedName name="AMI_MIN_PCT_PR_3">Configuration!$K$33</definedName>
    <definedName name="AMI_MIN_PCT_PR_4">Configuration!$M$33</definedName>
    <definedName name="AMI_MIN_PCT_VI_2">Configuration!$I$34</definedName>
    <definedName name="AMI_MIN_PCT_VI_3">Configuration!$K$34</definedName>
    <definedName name="AMI_MIN_PCT_VI_4">Configuration!$M$34</definedName>
    <definedName name="CONFIG_CHAR_LIMIT_TEMPLATE">'$DB.CONFIG'!$D$35</definedName>
    <definedName name="CONFIG_CHAR_LIMIT_TEMPLATE_ERR">'$DB.CONFIG'!$D$36</definedName>
    <definedName name="CONFIG_COUNSEL_AMT_MAX">'$DB.CONFIG'!$D$27</definedName>
    <definedName name="CONFIG_COUNSEL_DATE_AGE_MAX">'$DB.CONFIG'!$D$28</definedName>
    <definedName name="CONFIG_DOC_ID">'$DB.CONFIG'!$D$12</definedName>
    <definedName name="CONFIG_DOC_NAME_PREFIX">'$DB.CONFIG'!#REF!</definedName>
    <definedName name="CONFIG_DOC_TITLE">'$DB.CONFIG'!$D$13</definedName>
    <definedName name="CONFIG_DTI_THRESH_AFFORDABILITY">'$DB.CONFIG'!$D$33</definedName>
    <definedName name="CONFIG_EFORM_DOC_ID_NAME">'$DB.CONFIG'!$D$14</definedName>
    <definedName name="CONFIG_EFORM_TYPE_CODE">'$DB.CONFIG'!$D$23</definedName>
    <definedName name="CONFIG_EFORM_TYPE_NAME">'$DB.CONFIG'!$D$24</definedName>
    <definedName name="CONFIG_EFORM_VERSION_NO_MAJ">'$DB.CONFIG'!$D$6</definedName>
    <definedName name="CONFIG_EFORM_VERSION_NO_PROG">'$DB.CONFIG'!$D$19</definedName>
    <definedName name="CONFIG_EFORM_VERSION_NO_REV">'$DB.CONFIG'!$D$7</definedName>
    <definedName name="CONFIG_EFORMN_VERSION_NO">'$DB.CONFIG'!$D$8</definedName>
    <definedName name="CONFIG_ENROLL_PERD_DESC">'$DB.CONFIG'!$D$10</definedName>
    <definedName name="CONFIG_ENROLL_PERD_ID">'$DB.CONFIG'!#REF!</definedName>
    <definedName name="CONFIG_FHC_PROG_ID">'$DB.CONFIG'!$D$18</definedName>
    <definedName name="CONFIG_FHLBNY_PER_HSEHLD_MAX_TOTAL">'$DB.CONFIG'!$D$11</definedName>
    <definedName name="CONFIG_GRANT_AMT_MAX">'$DB.CONFIG'!$D$26</definedName>
    <definedName name="CONFIG_HOUSEHOLD_ID_CURR">'$DB.CONFIG'!$D$21</definedName>
    <definedName name="CONFIG_ICW_ZEROINCOME_DOC_ID">'$DB.CONFIG'!$D$9</definedName>
    <definedName name="CONFIG_MAX_DTI_BE_RATIO">'$DB.CONFIG'!$D$32</definedName>
    <definedName name="CONFIG_MAX_DTI_FE_RATIO">'$DB.CONFIG'!$D$31</definedName>
    <definedName name="CONFIG_MAX_LTV_RATIO">'$DB.CONFIG'!$D$30</definedName>
    <definedName name="CONFIG_MFI_PERCENTAGE">'$DB.CONFIG'!$D$34</definedName>
    <definedName name="CONFIG_MIN_HOUSEHOLD_CONTRIB_AMT">'$DB.CONFIG'!$D$29</definedName>
    <definedName name="CONFIG_MIN_HOUSEHOLD_ID_CURR">'$DB.CONFIG'!$D$21</definedName>
    <definedName name="CONFIG_MIN_HOUSEHOLD_ID_LEGACY">'$DB.CONFIG'!$D$20</definedName>
    <definedName name="CONFIG_SA_PROGRAM_NAME">'$DB.CONFIG'!$D$25</definedName>
    <definedName name="CONFIG_TRADEMARK_ID">'$DB.CONFIG'!$D$49</definedName>
    <definedName name="CONFIG_WORKFLOW_START">'$DB.CONFIG'!$D$22</definedName>
    <definedName name="COUNSELING_AGENCY_NAME_OTHER">'$DB.LOOKUP'!$AH$140</definedName>
    <definedName name="COUNTY_LIST_ALLUSA">'$DB.LOOKUP'!$T$3:$T$3265</definedName>
    <definedName name="COUNTY_RANGE_">'$DB.LOOKUP'!$U$1</definedName>
    <definedName name="COUNTY_RANGE_AK">'$DB.LOOKUP'!$T$70:$T$99</definedName>
    <definedName name="COUNTY_RANGE_AL">'$DB.LOOKUP'!$T$3:$T$69</definedName>
    <definedName name="COUNTY_RANGE_AR">'$DB.LOOKUP'!$T$115:$T$189</definedName>
    <definedName name="COUNTY_RANGE_AS">'$DB.LOOKUP'!$T$3228:$T$3242</definedName>
    <definedName name="COUNTY_RANGE_AZ">'$DB.LOOKUP'!$T$100:$T$114</definedName>
    <definedName name="COUNTY_RANGE_CA">'$DB.LOOKUP'!$T$190:$T$247</definedName>
    <definedName name="COUNTY_RANGE_CO">'$DB.LOOKUP'!$T$248:$T$311</definedName>
    <definedName name="COUNTY_RANGE_CT">'$DB.LOOKUP'!$T$312:$T$319</definedName>
    <definedName name="COUNTY_RANGE_DC">'$DB.LOOKUP'!$T$323</definedName>
    <definedName name="COUNTY_RANGE_DE">'$DB.LOOKUP'!$T$320:$T$322</definedName>
    <definedName name="COUNTY_RANGE_FL">'$DB.LOOKUP'!$T$324:$T$390</definedName>
    <definedName name="COUNTY_RANGE_GA">'$DB.LOOKUP'!$T$391:$T$549</definedName>
    <definedName name="COUNTY_RANGE_GU">'$DB.LOOKUP'!$T$3243:$T$3261</definedName>
    <definedName name="COUNTY_RANGE_HI">'$DB.LOOKUP'!$T$550:$T$554</definedName>
    <definedName name="COUNTY_RANGE_IA">'$DB.LOOKUP'!$T$793:$T$891</definedName>
    <definedName name="COUNTY_RANGE_ID">'$DB.LOOKUP'!$T$555:$T$598</definedName>
    <definedName name="COUNTY_RANGE_IL">'$DB.LOOKUP'!$T$599:$T$700</definedName>
    <definedName name="COUNTY_RANGE_IN">'$DB.LOOKUP'!$T$701:$T$792</definedName>
    <definedName name="COUNTY_RANGE_KS">'$DB.LOOKUP'!$T$892:$T$996</definedName>
    <definedName name="COUNTY_RANGE_KY">'$DB.LOOKUP'!$T$997:$T$1116</definedName>
    <definedName name="COUNTY_RANGE_LA">'$DB.LOOKUP'!$T$1117:$T$1180</definedName>
    <definedName name="COUNTY_RANGE_MA">'$DB.LOOKUP'!$T$1221:$T$1234</definedName>
    <definedName name="COUNTY_RANGE_MD">'$DB.LOOKUP'!$T$1197:$T$1220</definedName>
    <definedName name="COUNTY_RANGE_ME">'$DB.LOOKUP'!$T$1181:$T$1196</definedName>
    <definedName name="COUNTY_RANGE_MI">'$DB.LOOKUP'!$T$1235:$T$1317</definedName>
    <definedName name="COUNTY_RANGE_MN">'$DB.LOOKUP'!$T$1318:$T$1404</definedName>
    <definedName name="COUNTY_RANGE_MO">'$DB.LOOKUP'!$T$1487:$T$1602</definedName>
    <definedName name="COUNTY_RANGE_MP">'$DB.LOOKUP'!$T$3262:$T$3265</definedName>
    <definedName name="COUNTY_RANGE_MS">'$DB.LOOKUP'!$T$1405:$T$1486</definedName>
    <definedName name="COUNTY_RANGE_MT">'$DB.LOOKUP'!$T$1603:$T$1658</definedName>
    <definedName name="COUNTY_RANGE_NC">'$DB.LOOKUP'!$T$1895:$T$1994</definedName>
    <definedName name="COUNTY_RANGE_ND">'$DB.LOOKUP'!$T$1995:$T$2047</definedName>
    <definedName name="COUNTY_RANGE_NE">'$DB.LOOKUP'!$T$1659:$T$1751</definedName>
    <definedName name="COUNTY_RANGE_NH">'$DB.LOOKUP'!$T$1769:$T$1778</definedName>
    <definedName name="COUNTY_RANGE_NJ">'$DB.LOOKUP'!$T$1779:$T$1799</definedName>
    <definedName name="COUNTY_RANGE_NM">'$DB.LOOKUP'!$T$1800:$T$1832</definedName>
    <definedName name="COUNTY_RANGE_NV">'$DB.LOOKUP'!$T$1752:$T$1768</definedName>
    <definedName name="COUNTY_RANGE_NY">'$DB.LOOKUP'!$T$1833:$T$1894</definedName>
    <definedName name="COUNTY_RANGE_OH">'$DB.LOOKUP'!$T$2048:$T$2135</definedName>
    <definedName name="COUNTY_RANGE_OK">'$DB.LOOKUP'!$T$2136:$T$2212</definedName>
    <definedName name="COUNTY_RANGE_OR">'$DB.LOOKUP'!$T$2213:$T$2248</definedName>
    <definedName name="COUNTY_RANGE_PA">'$DB.LOOKUP'!$T$2249:$T$2315</definedName>
    <definedName name="COUNTY_RANGE_PR">'$DB.LOOKUP'!$T$3147:$T$3224</definedName>
    <definedName name="COUNTY_RANGE_RI">'$DB.LOOKUP'!$T$2316:$T$2320</definedName>
    <definedName name="COUNTY_RANGE_SC">'$DB.LOOKUP'!$T$2321:$T$2366</definedName>
    <definedName name="COUNTY_RANGE_SD">'$DB.LOOKUP'!$T$2367:$T$2432</definedName>
    <definedName name="COUNTY_RANGE_TN">'$DB.LOOKUP'!$T$2433:$T$2527</definedName>
    <definedName name="COUNTY_RANGE_TX">'$DB.LOOKUP'!$T$2528:$T$2781</definedName>
    <definedName name="COUNTY_RANGE_UT">'$DB.LOOKUP'!$T$2782:$T$2810</definedName>
    <definedName name="COUNTY_RANGE_VA">'$DB.LOOKUP'!$T$2825:$T$2957</definedName>
    <definedName name="COUNTY_RANGE_VI">'$DB.LOOKUP'!$T$3225:$T$3227</definedName>
    <definedName name="COUNTY_RANGE_VT">'$DB.LOOKUP'!$T$2811:$T$2824</definedName>
    <definedName name="COUNTY_RANGE_WA">'$DB.LOOKUP'!$T$2958:$T$2996</definedName>
    <definedName name="COUNTY_RANGE_WI">'$DB.LOOKUP'!$T$3052:$T$3123</definedName>
    <definedName name="COUNTY_RANGE_WV">'$DB.LOOKUP'!$T$2997:$T$3051</definedName>
    <definedName name="COUNTY_RANGE_WY">'$DB.LOOKUP'!$T$3124:$T$3146</definedName>
    <definedName name="DATA_ACQUISITION_COST_LTV">'$DB.DATA'!$G$119</definedName>
    <definedName name="DATA_ADL_DESCRIPTION">'$DB.DATA'!$G$110</definedName>
    <definedName name="DATA_ADL_ICW_COMPLETION_DATE">'$DB.DATA'!$G$112</definedName>
    <definedName name="DATA_ADL_ICW_FLAG">'$DB.DATA'!$G$111</definedName>
    <definedName name="DATA_APP_PROGRESS_ERROR_COUNT">'$DB.DATA'!$G$6</definedName>
    <definedName name="DATA_APP_PROGRESS_PCT_COMPLETE">'$DB.DATA'!$G$7</definedName>
    <definedName name="DATA_CNSLNG_COMPLETE_DATE">'$DB.DATA'!$G$109</definedName>
    <definedName name="DATA_CO_BORW_STARTED_FLAG">'$DB.DATA'!$G$36</definedName>
    <definedName name="DATA_DISBURSEMENT_DATE">'$DB.DATA'!$G$115</definedName>
    <definedName name="DATA_EFORM_COMPLETE_FLAG">'$DB.DATA'!$G$9</definedName>
    <definedName name="DATA_EFORM_SHEET_REF">'$DB.DATA'!$G$12</definedName>
    <definedName name="DATA_EFORM_TYPE_CODE">'$DB.DATA'!$G$11</definedName>
    <definedName name="DATA_EXPLANATION_OF_AFFORDABILITY_REQ_FLAG">'$DB.DATA'!$E$118</definedName>
    <definedName name="DATA_FAMILY_SIZE_NO">'$DB.DATA'!$G$90</definedName>
    <definedName name="DATA_FEES_EXCLUDED_LTV">'$DB.DATA'!$G$120</definedName>
    <definedName name="DATA_FHA_LETTER_REQ_FLAG">'$DB.DATA'!$G$72</definedName>
    <definedName name="DATA_FHC_ENROLLED_FLAG">'$DB.DATA'!$G$22</definedName>
    <definedName name="DATA_FIRST_MTG_LOAN_AMT">'$DB.DATA'!$G$124</definedName>
    <definedName name="DATA_FIRST_MTG_LOAN_TYPE">'$DB.DATA'!$G$127</definedName>
    <definedName name="DATA_FIRST_TIME_HOMEBUYER_FLAG">'$DB.DATA'!$G$24</definedName>
    <definedName name="DATA_HOUSING_EXP_INC_RATIO">'$DB.DATA'!$G$116</definedName>
    <definedName name="DATA_HSEHLD_ADDR">'$DB.DATA'!$G$43</definedName>
    <definedName name="DATA_HSEHLD_BANNER">'$DB.DATA'!$G$114</definedName>
    <definedName name="DATA_HSEHLD_CONTRIBUTION_AMT">'$DB.DATA'!$G$122</definedName>
    <definedName name="DATA_HSEHLD_INC_AMT">'$DB.DATA'!$G$104</definedName>
    <definedName name="DATA_HSEHLD_INC_PCT_MFI">'$DB.DATA'!$G$105</definedName>
    <definedName name="DATA_HSEHLD_NO">'$DB.DATA'!$G$113</definedName>
    <definedName name="DATA_HSEHLD_OTHER_GRANT_AHP_FLAG">'$DB.DATA'!$G$64</definedName>
    <definedName name="DATA_HSEHLD_OTHER_GRANT_FHLBNY_FLAG">'$DB.DATA'!$G$57</definedName>
    <definedName name="DATA_HSEHLD_OTHER_GRANT_HDP_FLAG">'$DB.DATA'!$G$58</definedName>
    <definedName name="DATA_HSEHLD_OTHER_GRANT_HDPP_FLAG">'$DB.DATA'!$G$60</definedName>
    <definedName name="DATA_HSEHLD_OTHER_GRANT_HDPWB_FLAG">'$DB.DATA'!$G$62</definedName>
    <definedName name="DATA_HSEHLD_OTHER_GRANT_TOTAL_AMT">'$DB.DATA'!$G$66</definedName>
    <definedName name="DATA_ICW_COMPLETE_FLAG">'$DB.DATA'!$G$87</definedName>
    <definedName name="DATA_INC_AREA_KEY">'$DB.DATA'!$G$97</definedName>
    <definedName name="DATA_INC_AREA_NAME">'$DB.DATA'!$G$95</definedName>
    <definedName name="DATA_INC_AREA_NAME_VALID">'$DB.DATA'!$H$95</definedName>
    <definedName name="DATA_INC_AREA_STATE_CODE">'$DB.DATA'!$G$98</definedName>
    <definedName name="DATA_INC_GUIDLN_CODE">'$DB.DATA'!$G$89</definedName>
    <definedName name="DATA_INC_LOOKUP_AREA_ARR_LEN">'$DB.DATA'!$G$94</definedName>
    <definedName name="DATA_INC_LOOKUP_AREA_HEADER_PTR">'$DB.DATA'!$G$92</definedName>
    <definedName name="DATA_INC_LOOKUP_OFFSET_ROW">'$DB.DATA'!$G$93</definedName>
    <definedName name="DATA_INC_LOOKUP_STATE_CNTY_KEY">'$DB.DATA'!$G$91</definedName>
    <definedName name="DATA_INC_MFI_AMT">'$DB.DATA'!$G$101</definedName>
    <definedName name="DATA_LOOKUP_OFFSET_ROW">'$DB.DATA'!$G$93</definedName>
    <definedName name="DATA_LTV">'$DB.DATA'!$G$121</definedName>
    <definedName name="DATA_MAX_ALLOWABLE_INCOME">'$DB.DATA'!$G$103</definedName>
    <definedName name="DATA_MAX_ALLOWABLE_INCOME_PCT">'$DB.DATA'!$G$100</definedName>
    <definedName name="DATA_MEMBER_CERTIFICATION_DATE">'$DB.DATA'!$G$19</definedName>
    <definedName name="DATA_MEMBER_NAME">'$DB.DATA'!$G$13</definedName>
    <definedName name="DATA_MIN_ALLOWABLE_INCOME">'$DB.DATA'!$G$102</definedName>
    <definedName name="DATA_MIN_ALLOWABLE_INCOME_PCT">'$DB.DATA'!$G$99</definedName>
    <definedName name="DATA_NONPROF_AGCY_NAME_OTHER">'$DB.DATA'!$G$107</definedName>
    <definedName name="DATA_NONPROF_AGCY_NAME_OTHER_REQUIRED">'$DB.DATA'!$E$107</definedName>
    <definedName name="DATA_NONPROF_AGCY_NAME_SELECT">'$DB.DATA'!$G$106</definedName>
    <definedName name="DATA_OTHER_FHLB_GRANT_FLAG">'$DB.DATA'!$G$142</definedName>
    <definedName name="DATA_OTHER_NON_FHLB_GRANT_FLAG">'$DB.DATA'!$G$133</definedName>
    <definedName name="DATA_PRIM_BORW_FULL_NAME">'$DB.DATA'!$G$28</definedName>
    <definedName name="DATA_PRIMARY_RESIDENCE_FLAG">'$DB.DATA'!$G$82</definedName>
    <definedName name="DATA_PROPTY_ADDR">'$DB.DATA'!$G$73</definedName>
    <definedName name="DATA_PROPTY_ADDRESS_UNIFIED">'$DB.DATA'!$G$78</definedName>
    <definedName name="DATA_PROPTY_BLDG_TYPE_UI">'$DB.DATA'!$G$84</definedName>
    <definedName name="DATA_PROPTY_CNTY_NAME">'$DB.DATA'!$G$77</definedName>
    <definedName name="DATA_PROPTY_CNTY_NAME_VALID">'$DB.DATA'!$H$77</definedName>
    <definedName name="DATA_PROPTY_STATE_CODE">'$DB.DATA'!$G$75</definedName>
    <definedName name="DATA_PROPTY_ZIP_CODE">'$DB.DATA'!$G$76</definedName>
    <definedName name="DATA_RESERVATION_DATE">'$DB.DATA'!$G$14</definedName>
    <definedName name="DATA_SECOND_MTG_FLAG">'$DB.DATA'!$G$129</definedName>
    <definedName name="DATA_THRD_BORW_STARTED_FLAG">'$DB.DATA'!$G$42</definedName>
    <definedName name="DATA_TOTAL_DEBT_INC_RATIO">'$DB.DATA'!$G$117</definedName>
    <definedName name="DATA_TOTAL_GRANT_REQ_AMT">'$DB.DATA'!$G$56</definedName>
    <definedName name="EFORM_TYPE_CODE_ADDLDOC">'$DB.LOOKUP'!$D$4</definedName>
    <definedName name="EFORM_TYPE_CODE_DISBURSEMENT">'$DB.LOOKUP'!$D$5</definedName>
    <definedName name="EFORM_TYPE_CODE_RESERVATION">'$DB.LOOKUP'!$D$3</definedName>
    <definedName name="HOUSEHOLD_NUM_ADULTS">ICW!$J$9</definedName>
    <definedName name="HOUSEHOLD_NUM_CHILDREN">ICW!$K$9</definedName>
    <definedName name="ICW_BONUS_CERT_COMPLETE_FLAG">ICW!$B$97</definedName>
    <definedName name="ICW_BONUS_CERT_REQ_FLAG">ICW!$B$96</definedName>
    <definedName name="ICW_BONUS_ONETIME_CERTIFICATION">ICW!$B$93</definedName>
    <definedName name="ICW_BONUS_SUBTOTAL">ICW!$B$95</definedName>
    <definedName name="ICW_HOUSEHOLD_SIZE">ICW!$L$9</definedName>
    <definedName name="ICW_TOTAL_INCOME">ICW!$M$9</definedName>
    <definedName name="INC_GUIDLN_CODE_CATCHALL">'$DB.LOOKUP'!$H$7</definedName>
    <definedName name="INCOME_AREA_NAME_HEADER_HUD" localSheetId="9">TBL_LOOKUP_INCOMEAREAMAP_HUD[[#Headers],[INCOME_AREA_NAME]]</definedName>
    <definedName name="INCOME_AREA_NAME_HEADER_HUD" localSheetId="8">TBL_LOOKUP_INCOMEAREAMAP_HUD[[#Headers],[INCOME_AREA_NAME]]</definedName>
    <definedName name="INCOME_AREA_NAME_HEADER_HUD">TBL_LOOKUP_INCOMEAREAMAP_HUD[[#Headers],[INCOME_AREA_NAME]]</definedName>
    <definedName name="INCOME_AREA_NAME_HEADER_MRB" localSheetId="9">TBL_LOOKUP_INCOMEAREAMAP_MRB[[#Headers],[INCOME_AREA_NAME]]</definedName>
    <definedName name="INCOME_AREA_NAME_HEADER_MRB" localSheetId="8">TBL_LOOKUP_INCOMEAREAMAP_MRB[[#Headers],[INCOME_AREA_NAME]]</definedName>
    <definedName name="INCOME_AREA_NAME_HEADER_MRB">TBL_LOOKUP_INCOMEAREAMAP_MRB[[#Headers],[INCOME_AREA_NAME]]</definedName>
    <definedName name="INCOME_AREA_NOT_READY">'$DB.LOOKUP'!$AL$1</definedName>
    <definedName name="INCOME_SUBTOTAL_A1">ICW!$M$44</definedName>
    <definedName name="INCOME_SUBTOTAL_A2">ICW!$M$77</definedName>
    <definedName name="INCOME_SUBTOTAL_A3">ICW!$M$88</definedName>
    <definedName name="INCOME_SUBTOTAL_A4">ICW!$M$101</definedName>
    <definedName name="INCOME_SUBTOTAL_B">ICW!$M$114</definedName>
    <definedName name="INCOME_SUBTOTAL_C">ICW!$M$126</definedName>
    <definedName name="INCOME_SUBTOTAL_D">ICW!$M$138</definedName>
    <definedName name="INCOME_SUBTOTAL_E">ICW!$M$151</definedName>
    <definedName name="INCOME_SUBTOTAL_F">ICW!$M$162</definedName>
    <definedName name="LAST_REVISION_DATE">'$DB.LOOKUP.ICW'!#REF!</definedName>
    <definedName name="LOOKUP_AMI_TABLE">Configuration!$C$63:$N$2843</definedName>
    <definedName name="LOOKUP_PROGRAM_NAME_HDP">'$DB.LOOKUP'!$B$3</definedName>
    <definedName name="LOOKUP_PROGRAM_NAME_HDPPLUS">'$DB.LOOKUP'!$B$4</definedName>
    <definedName name="LOOKUP_PROGRAM_NAME_HDPWB">'$DB.LOOKUP'!$B$5</definedName>
    <definedName name="MTG_TYPE_FIXED">'$DB.LOOKUP'!$AD$3</definedName>
    <definedName name="MTG_TYPE_VARIABLE">'$DB.LOOKUP'!$AD$4</definedName>
    <definedName name="_xlnm.Print_Area" localSheetId="3">ADL_2!$H$1:$Y$92</definedName>
    <definedName name="_xlnm.Print_Area" localSheetId="6">ADL_3!$H$1:$Y$90</definedName>
    <definedName name="_xlnm.Print_Area" localSheetId="9">ADL_4!$H$1:$Y$90</definedName>
    <definedName name="_xlnm.Print_Area" localSheetId="20">Configuration!$C$1:$O$227</definedName>
    <definedName name="_xlnm.Print_Area" localSheetId="2">DSB_2!$H$1:$Y$122</definedName>
    <definedName name="_xlnm.Print_Area" localSheetId="5">DSB_3!$H$1:$Y$120</definedName>
    <definedName name="_xlnm.Print_Area" localSheetId="8">DSB_4!$H$1:$Y$120</definedName>
    <definedName name="_xlnm.Print_Area" localSheetId="10">ICW!$C$1:$N$175</definedName>
    <definedName name="_xlnm.Print_Area" localSheetId="11">MFI_NJ_REG!$A$1:$Y$35</definedName>
    <definedName name="_xlnm.Print_Area" localSheetId="16">MFI_NJ_VOL!$A$1:$Y$35</definedName>
    <definedName name="_xlnm.Print_Area" localSheetId="12">MFI_NY_REG!$A$1:$Y$70</definedName>
    <definedName name="_xlnm.Print_Area" localSheetId="17">MFI_NY_VOL!$A$1:$Y$70</definedName>
    <definedName name="_xlnm.Print_Area" localSheetId="13">MFI_PR_REG!$A$1:$Y$93</definedName>
    <definedName name="_xlnm.Print_Area" localSheetId="18">MFI_PR_VOL!$A$1:$Y$93</definedName>
    <definedName name="_xlnm.Print_Area" localSheetId="14">MFI_VI_REG!$A$1:$Y$18</definedName>
    <definedName name="_xlnm.Print_Area" localSheetId="19">MFI_VI_VOL!$A$1:$AG$18</definedName>
    <definedName name="_xlnm.Print_Area" localSheetId="1">RES_2!$H$1:$Y$139</definedName>
    <definedName name="_xlnm.Print_Area" localSheetId="4">RES_3!$H$1:$Y$136</definedName>
    <definedName name="_xlnm.Print_Area" localSheetId="7">RES_4!$H$1:$Y$141</definedName>
    <definedName name="_xlnm.Print_Area" localSheetId="0">WELCOME!$C$1:$G$16</definedName>
    <definedName name="_xlnm.Print_Titles" localSheetId="20">Configuration!$1:$3</definedName>
    <definedName name="_xlnm.Print_Titles" localSheetId="10">ICW!$4:$4</definedName>
    <definedName name="_xlnm.Print_Titles" localSheetId="12">MFI_NY_REG!$6:$7</definedName>
    <definedName name="_xlnm.Print_Titles" localSheetId="17">MFI_NY_VOL!$6:$7</definedName>
    <definedName name="_xlnm.Print_Titles" localSheetId="15">MFI_OTHER_REG!$6:$7</definedName>
    <definedName name="_xlnm.Print_Titles" localSheetId="13">MFI_PR_REG!$6:$7</definedName>
    <definedName name="_xlnm.Print_Titles" localSheetId="18">MFI_PR_VOL!$6:$7</definedName>
    <definedName name="_xlnm.Print_Titles" localSheetId="14">MFI_VI_REG!$6:$7</definedName>
    <definedName name="_xlnm.Print_Titles" localSheetId="19">MFI_VI_VOL!$6:$6</definedName>
    <definedName name="RANGE_LOOKUP_CHILDSUPPORT_PYMT_FREQ">'$DB.LOOKUP.ICW'!$C$3:$C$7</definedName>
    <definedName name="RANGE_LOOKUP_COUNSELING_AGENCIES">'$DB.LOOKUP'!$AH$3:$AH$140</definedName>
    <definedName name="RANGE_LOOKUP_COUNTY_PLACEHOLDER">'$DB.LOOKUP'!$X$3</definedName>
    <definedName name="RANGE_LOOKUP_DEPENDENTS">'$DB.LOOKUP.ICW'!$J$3:$J$6</definedName>
    <definedName name="RANGE_LOOKUP_EFORM_TYPE" localSheetId="27">DB_TBL_LOOKUP_EFORM_TYPE[LOOKUP_CODE]</definedName>
    <definedName name="RANGE_LOOKUP_EFORM_TYPE" localSheetId="25">DB_TBL_LOOKUP_EFORM_TYPE[LOOKUP_CODE]</definedName>
    <definedName name="RANGE_LOOKUP_EFORM_TYPE" localSheetId="3">DB_TBL_LOOKUP_EFORM_TYPE[LOOKUP_CODE]</definedName>
    <definedName name="RANGE_LOOKUP_EFORM_TYPE" localSheetId="9">DB_TBL_LOOKUP_EFORM_TYPE[LOOKUP_CODE]</definedName>
    <definedName name="RANGE_LOOKUP_EFORM_TYPE" localSheetId="2">DB_TBL_LOOKUP_EFORM_TYPE[LOOKUP_CODE]</definedName>
    <definedName name="RANGE_LOOKUP_EFORM_TYPE" localSheetId="8">DB_TBL_LOOKUP_EFORM_TYPE[LOOKUP_CODE]</definedName>
    <definedName name="RANGE_LOOKUP_EFORM_TYPE" localSheetId="15">DB_TBL_LOOKUP_EFORM_TYPE[LOOKUP_CODE]</definedName>
    <definedName name="RANGE_LOOKUP_EFORM_TYPE" localSheetId="7">DB_TBL_LOOKUP_EFORM_TYPE[LOOKUP_CODE]</definedName>
    <definedName name="RANGE_LOOKUP_EFORM_TYPE">DB_TBL_LOOKUP_EFORM_TYPE[LOOKUP_CODE]</definedName>
    <definedName name="RANGE_LOOKUP_EFORM_TYPE_CODE" localSheetId="9">DB_TBL_LOOKUP_EFORM_TYPE[LOOKUP_CODE]</definedName>
    <definedName name="RANGE_LOOKUP_EFORM_TYPE_CODE" localSheetId="8">DB_TBL_LOOKUP_EFORM_TYPE[LOOKUP_CODE]</definedName>
    <definedName name="RANGE_LOOKUP_EFORM_TYPE_CODE" localSheetId="7">DB_TBL_LOOKUP_EFORM_TYPE[LOOKUP_CODE]</definedName>
    <definedName name="RANGE_LOOKUP_EFORM_TYPE_CODE">DB_TBL_LOOKUP_EFORM_TYPE[LOOKUP_CODE]</definedName>
    <definedName name="RANGE_LOOKUP_EFORM_TYPE_NAME" localSheetId="9">DB_TBL_LOOKUP_EFORM_TYPE[LOOKUP_VALUE]</definedName>
    <definedName name="RANGE_LOOKUP_EFORM_TYPE_NAME" localSheetId="8">DB_TBL_LOOKUP_EFORM_TYPE[LOOKUP_VALUE]</definedName>
    <definedName name="RANGE_LOOKUP_EFORM_TYPE_NAME" localSheetId="7">DB_TBL_LOOKUP_EFORM_TYPE[LOOKUP_VALUE]</definedName>
    <definedName name="RANGE_LOOKUP_EFORM_TYPE_NAME">DB_TBL_LOOKUP_EFORM_TYPE[LOOKUP_VALUE]</definedName>
    <definedName name="RANGE_LOOKUP_INC_GUIDLN_CODE">'$DB.LOOKUP'!$H$3:$H$6</definedName>
    <definedName name="RANGE_LOOKUP_MARITALSTATUS">'$DB.LOOKUP'!$AB$3:$AB$7</definedName>
    <definedName name="RANGE_LOOKUP_MEMBERLIST">'$DB.LOOKUP.ICW'!#REF!</definedName>
    <definedName name="RANGE_LOOKUP_MTG_TYPE">'$DB.LOOKUP'!$AD$3:$AD$4</definedName>
    <definedName name="RANGE_LOOKUP_PAYSTUBS_PER_YEAR">'$DB.LOOKUP.ICW'!$A$3:$A$6</definedName>
    <definedName name="RANGE_LOOKUP_PREFIX">'$DB.LOOKUP'!$Z$3:$Z$5</definedName>
    <definedName name="RANGE_LOOKUP_PROGRAM_ID" localSheetId="9">DB_TBL_LOOKUP_PROGRAM_TYPE[LOOKUP_CODE]</definedName>
    <definedName name="RANGE_LOOKUP_PROGRAM_ID" localSheetId="8">DB_TBL_LOOKUP_PROGRAM_TYPE[LOOKUP_CODE]</definedName>
    <definedName name="RANGE_LOOKUP_PROGRAM_ID" localSheetId="7">DB_TBL_LOOKUP_PROGRAM_TYPE[LOOKUP_CODE]</definedName>
    <definedName name="RANGE_LOOKUP_PROGRAM_ID">DB_TBL_LOOKUP_PROGRAM_TYPE[LOOKUP_CODE]</definedName>
    <definedName name="RANGE_LOOKUP_PROGRAM_NAME" localSheetId="9">DB_TBL_LOOKUP_PROGRAM_TYPE[LOOKUP_VALUE]</definedName>
    <definedName name="RANGE_LOOKUP_PROGRAM_NAME" localSheetId="8">DB_TBL_LOOKUP_PROGRAM_TYPE[LOOKUP_VALUE]</definedName>
    <definedName name="RANGE_LOOKUP_PROGRAM_NAME" localSheetId="7">DB_TBL_LOOKUP_PROGRAM_TYPE[LOOKUP_VALUE]</definedName>
    <definedName name="RANGE_LOOKUP_PROGRAM_NAME">DB_TBL_LOOKUP_PROGRAM_TYPE[LOOKUP_VALUE]</definedName>
    <definedName name="RANGE_LOOKUP_PROGRAM_NAME_ENABLED" comment="Enabled Programs Only">'$DB.LOOKUP'!#REF!</definedName>
    <definedName name="RANGE_LOOKUP_PROPTY_BLDG_TYPE_CICODE">'$DB.LOOKUP'!$R$3:$R$6</definedName>
    <definedName name="RANGE_LOOKUP_PROPTY_BLDG_TYPE_UI">'$DB.LOOKUP'!$Q$3:$Q$6</definedName>
    <definedName name="RANGE_LOOKUP_SECTD_INCOMESOURCE">'$DB.LOOKUP.ICW'!$F$3:$F$7</definedName>
    <definedName name="RANGE_LOOKUP_SECTE_INCOMESOURCE">'$DB.LOOKUP.ICW'!$H$3:$H$7</definedName>
    <definedName name="RANGE_LOOKUP_STATE">'$DB.LOOKUP'!$G$3:$G$6</definedName>
    <definedName name="RANGE_LOOKUP_STATE_ALLSTATES">'$DB.LOOKUP'!$AF$3:$AF$58</definedName>
    <definedName name="RANGE_LOOKUP_VOE_PYMT_FREQ">'$DB.LOOKUP.ICW'!$L$3:$L$8</definedName>
    <definedName name="RANGE_LOOKUP_VOE_PYMT_FREQ_HOURLY">'$DB.LOOKUP.ICW'!$L$8</definedName>
    <definedName name="RANGE_LOOKUP_YESNO">'$DB.LOOKUP'!$K$3:$K$4</definedName>
    <definedName name="RANGE_LOOKUP_YESNONA">'$DB.LOOKUP'!$M$3:$M$5</definedName>
    <definedName name="SA_PROGRAM_NAME">'$DB.CONFIG'!$D$25</definedName>
    <definedName name="STATE_CODE_NJ">'$DB.LOOKUP'!$G$3</definedName>
    <definedName name="STATE_CODE_NY">'$DB.LOOKUP'!$G$4</definedName>
    <definedName name="STATE_CODE_PR">'$DB.LOOKUP'!$G$5</definedName>
    <definedName name="STATE_CODE_VI">'$DB.LOOKUP'!$G$6</definedName>
    <definedName name="TARGET_ADL_2_1">ADL_2!$I$23</definedName>
    <definedName name="TARGET_ADL_2_2">ADL_2!$I$28</definedName>
    <definedName name="TARGET_ADL_2_3">ADL_2!$I$87</definedName>
    <definedName name="TARGET_ADL_2_ICW_BOOKMARK">ADL_2!$H$56</definedName>
    <definedName name="TARGET_ADL_2_TOP">ADL_2!$H$5</definedName>
    <definedName name="TARGET_ADL_3_1">ADL_3!$I$23</definedName>
    <definedName name="TARGET_ADL_3_2">ADL_3!$I$28</definedName>
    <definedName name="TARGET_ADL_3_3">ADL_3!$I$85</definedName>
    <definedName name="TARGET_ADL_3_ICW_BOOKMARK">ADL_3!$H$56</definedName>
    <definedName name="TARGET_ADL_3_TOP">ADL_3!$H$5</definedName>
    <definedName name="TARGET_ADL_4_1">ADL_4!$I$23</definedName>
    <definedName name="TARGET_ADL_4_2">ADL_4!$I$28</definedName>
    <definedName name="TARGET_ADL_4_3">ADL_4!$I$85</definedName>
    <definedName name="TARGET_ADL_4_ICW_BOOKMARK">ADL_4!$H$56</definedName>
    <definedName name="TARGET_ADL_4_TOP">ADL_4!$H$5</definedName>
    <definedName name="TARGET_CONFIG_TOP">Configuration!$C$3</definedName>
    <definedName name="TARGET_DISB_2_5">DSB_2!$W$74</definedName>
    <definedName name="TARGET_DISB_2_6">DSB_2!$I$117</definedName>
    <definedName name="TARGET_DISB_3_5">DSB_3!$W$74</definedName>
    <definedName name="TARGET_DISB_3_6">DSB_3!$I$115</definedName>
    <definedName name="TARGET_DISB_4_5">DSB_4!$W$74</definedName>
    <definedName name="TARGET_DISB_4_6">DSB_4!$I$115</definedName>
    <definedName name="TARGET_DSB_2_1">DSB_2!$I$24</definedName>
    <definedName name="TARGET_DSB_2_2">DSB_2!$I$29</definedName>
    <definedName name="TARGET_DSB_2_3">DSB_2!$U$34</definedName>
    <definedName name="TARGET_DSB_2_4">DSB_2!$I$45</definedName>
    <definedName name="TARGET_DSB_2_TOP">DSB_2!$H$5</definedName>
    <definedName name="TARGET_DSB_3_1">DSB_3!$I$24</definedName>
    <definedName name="TARGET_DSB_3_2">DSB_3!$I$29</definedName>
    <definedName name="TARGET_DSB_3_3">DSB_3!$U$34</definedName>
    <definedName name="TARGET_DSB_3_4">DSB_3!$I$45</definedName>
    <definedName name="TARGET_DSB_3_TOP">DSB_3!$H$5</definedName>
    <definedName name="TARGET_DSB_4_1">DSB_4!$I$24</definedName>
    <definedName name="TARGET_DSB_4_2">DSB_4!$I$29</definedName>
    <definedName name="TARGET_DSB_4_3">DSB_4!$U$34</definedName>
    <definedName name="TARGET_DSB_4_4">DSB_4!$I$45</definedName>
    <definedName name="TARGET_DSB_4_TOP">DSB_4!$H$5</definedName>
    <definedName name="TARGET_RES_2_1">RES_2!$I$24</definedName>
    <definedName name="TARGET_RES_2_2">RES_2!$W$29</definedName>
    <definedName name="TARGET_RES_2_3">RES_2!$U$48</definedName>
    <definedName name="TARGET_RES_2_4">RES_2!$I$69</definedName>
    <definedName name="TARGET_RES_2_5">RES_2!$I$81</definedName>
    <definedName name="TARGET_RES_2_6">RES_2!$I$134</definedName>
    <definedName name="TARGET_RES_2_ICW_BOOKMARK">RES_2!$H$91</definedName>
    <definedName name="TARGET_RES_3_1">RES_3!$I$24</definedName>
    <definedName name="TARGET_RES_3_2">RES_3!$W$29</definedName>
    <definedName name="TARGET_RES_3_3">RES_3!$U$48</definedName>
    <definedName name="TARGET_RES_3_4">RES_3!$I$69</definedName>
    <definedName name="TARGET_RES_3_5">RES_3!$I$81</definedName>
    <definedName name="TARGET_RES_3_6">RES_3!$I$131</definedName>
    <definedName name="TARGET_RES_3_ICW_BOOKMARK">RES_3!$H$91</definedName>
    <definedName name="TARGET_RES_4_1">RES_4!$I$24</definedName>
    <definedName name="TARGET_RES_4_2">RES_4!$W$29</definedName>
    <definedName name="TARGET_RES_4_3">RES_4!$U$52</definedName>
    <definedName name="TARGET_RES_4_4">RES_4!$I$74</definedName>
    <definedName name="TARGET_RES_4_5">RES_4!$I$86</definedName>
    <definedName name="TARGET_RES_4_6">RES_4!$I$136</definedName>
    <definedName name="TARGET_RES_4_ICW_BOOKMARK">RES_4!$H$96</definedName>
    <definedName name="TARGET_RESERVATION_2_TOP">RES_2!$H$5</definedName>
    <definedName name="TARGET_RESERVATION_3_TOP">RES_3!$H$5</definedName>
    <definedName name="TARGET_RESERVATION_4_TOP">RES_4!$H$5</definedName>
    <definedName name="TARGET_TOP_ICW">ICW!$C$15</definedName>
    <definedName name="TARGET_TOP_MFI_NJ_REG">MFI_NJ_REG!$C$8</definedName>
    <definedName name="TARGET_TOP_MFI_NJ_VOL">MFI_NJ_VOL!$C$8</definedName>
    <definedName name="TARGET_TOP_MFI_NY_REG">MFI_NY_REG!$C$8</definedName>
    <definedName name="TARGET_TOP_MFI_NY_VOL">MFI_NY_VOL!$C$8</definedName>
    <definedName name="TARGET_TOP_MFI_OTHER_REG">MFI_OTHER_REG!$C$8</definedName>
    <definedName name="TARGET_TOP_MFI_PR_REG">MFI_PR_REG!$C$8</definedName>
    <definedName name="TARGET_TOP_MFI_PR_VOL">MFI_PR_VOL!$C$8</definedName>
    <definedName name="TARGET_TOP_MFI_VI_REG">MFI_VI_REG!$C$8</definedName>
    <definedName name="TARGET_TOP_MFI_VI_VOL">MFI_VI_VOL!$C$8</definedName>
    <definedName name="TARGET_WELCOME_TOP">WELCOME!$D$12</definedName>
    <definedName name="THRD_BORW_STARTED_FLAG">'$DB.DATA'!$G$42</definedName>
    <definedName name="WELCOME_SELECTION_EFORM_DESC">WELCOME!#REF!</definedName>
    <definedName name="WELCOME_SELECTION_EFORM_TYPE">WELCOME!#REF!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55" i="37" l="1"/>
  <c r="D5" i="3"/>
  <c r="H73" i="23" l="1"/>
  <c r="K75" i="23" s="1"/>
  <c r="K71" i="23"/>
  <c r="H66" i="23"/>
  <c r="K68" i="23" s="1"/>
  <c r="K64" i="23"/>
  <c r="H59" i="23"/>
  <c r="K61" i="23" s="1"/>
  <c r="K57" i="23"/>
  <c r="H52" i="23"/>
  <c r="I52" i="23" s="1"/>
  <c r="K50" i="23"/>
  <c r="M109" i="23"/>
  <c r="M150" i="23"/>
  <c r="M149" i="23"/>
  <c r="M148" i="23"/>
  <c r="M147" i="23"/>
  <c r="M146" i="23"/>
  <c r="K40" i="23"/>
  <c r="K35" i="23"/>
  <c r="K25" i="23"/>
  <c r="K30" i="23"/>
  <c r="I73" i="23" l="1"/>
  <c r="K73" i="23" s="1"/>
  <c r="I66" i="23"/>
  <c r="K66" i="23" s="1"/>
  <c r="I59" i="23"/>
  <c r="K52" i="23"/>
  <c r="K54" i="23"/>
  <c r="B66" i="39"/>
  <c r="B65" i="39"/>
  <c r="D65" i="39"/>
  <c r="E65" i="39"/>
  <c r="F65" i="39"/>
  <c r="D66" i="39"/>
  <c r="E66" i="39"/>
  <c r="F66" i="39"/>
  <c r="M71" i="23" l="1"/>
  <c r="M64" i="23"/>
  <c r="M57" i="23"/>
  <c r="K59" i="23"/>
  <c r="M50" i="23"/>
  <c r="B66" i="35"/>
  <c r="B65" i="35"/>
  <c r="E65" i="35"/>
  <c r="F65" i="35"/>
  <c r="E66" i="35"/>
  <c r="F66" i="35"/>
  <c r="B66" i="21"/>
  <c r="B65" i="21"/>
  <c r="F66" i="21"/>
  <c r="E66" i="21"/>
  <c r="F65" i="21"/>
  <c r="E65" i="21"/>
  <c r="M77" i="23" l="1"/>
  <c r="P119" i="4"/>
  <c r="P120" i="4"/>
  <c r="Q119" i="4"/>
  <c r="Q120" i="4"/>
  <c r="H2614" i="29"/>
  <c r="J2614" i="29"/>
  <c r="L2614" i="29"/>
  <c r="M2614" i="29"/>
  <c r="H2615" i="29"/>
  <c r="I2615" i="29"/>
  <c r="K2615" i="29"/>
  <c r="L2615" i="29"/>
  <c r="M2615" i="29"/>
  <c r="G2616" i="29"/>
  <c r="H2616" i="29"/>
  <c r="I2616" i="29"/>
  <c r="J2616" i="29"/>
  <c r="B2589" i="29"/>
  <c r="F2589" i="29" s="1"/>
  <c r="B2590" i="29"/>
  <c r="F2590" i="29" s="1"/>
  <c r="B2591" i="29"/>
  <c r="F2591" i="29" s="1"/>
  <c r="B2592" i="29"/>
  <c r="J2592" i="29" s="1"/>
  <c r="B2593" i="29"/>
  <c r="J2593" i="29" s="1"/>
  <c r="B2594" i="29"/>
  <c r="F2594" i="29" s="1"/>
  <c r="B2595" i="29"/>
  <c r="H2595" i="29" s="1"/>
  <c r="B2596" i="29"/>
  <c r="F2596" i="29" s="1"/>
  <c r="B2597" i="29"/>
  <c r="F2597" i="29" s="1"/>
  <c r="B2598" i="29"/>
  <c r="F2598" i="29" s="1"/>
  <c r="B2599" i="29"/>
  <c r="J2599" i="29" s="1"/>
  <c r="B2600" i="29"/>
  <c r="J2600" i="29" s="1"/>
  <c r="B2601" i="29"/>
  <c r="F2601" i="29" s="1"/>
  <c r="B2602" i="29"/>
  <c r="F2602" i="29" s="1"/>
  <c r="B2603" i="29"/>
  <c r="F2603" i="29" s="1"/>
  <c r="B2604" i="29"/>
  <c r="J2604" i="29" s="1"/>
  <c r="B2605" i="29"/>
  <c r="I2605" i="29" s="1"/>
  <c r="B2606" i="29"/>
  <c r="J2606" i="29" s="1"/>
  <c r="B2607" i="29"/>
  <c r="I2607" i="29" s="1"/>
  <c r="B2608" i="29"/>
  <c r="F2608" i="29" s="1"/>
  <c r="B2609" i="29"/>
  <c r="J2609" i="29" s="1"/>
  <c r="B2610" i="29"/>
  <c r="F2610" i="29" s="1"/>
  <c r="B2611" i="29"/>
  <c r="G2611" i="29" s="1"/>
  <c r="B2612" i="29"/>
  <c r="J2612" i="29" s="1"/>
  <c r="B2613" i="29"/>
  <c r="J2613" i="29" s="1"/>
  <c r="B2614" i="29"/>
  <c r="F2614" i="29" s="1"/>
  <c r="B2615" i="29"/>
  <c r="F2615" i="29" s="1"/>
  <c r="B2616" i="29"/>
  <c r="L2616" i="29" s="1"/>
  <c r="B2617" i="29"/>
  <c r="F2617" i="29" s="1"/>
  <c r="B2618" i="29"/>
  <c r="F2618" i="29" s="1"/>
  <c r="B2619" i="29"/>
  <c r="F2619" i="29" s="1"/>
  <c r="B2620" i="29"/>
  <c r="J2620" i="29" s="1"/>
  <c r="B2621" i="29"/>
  <c r="H2621" i="29" s="1"/>
  <c r="B2622" i="29"/>
  <c r="G2622" i="29" s="1"/>
  <c r="B2623" i="29"/>
  <c r="G2623" i="29" s="1"/>
  <c r="B2624" i="29"/>
  <c r="F2624" i="29" s="1"/>
  <c r="C2808" i="7"/>
  <c r="C2809" i="7"/>
  <c r="C2810" i="7"/>
  <c r="C2811" i="7"/>
  <c r="C2812" i="7"/>
  <c r="C2813" i="7"/>
  <c r="C2814" i="7"/>
  <c r="C2815" i="7"/>
  <c r="C2816" i="7"/>
  <c r="C2817" i="7"/>
  <c r="C2818" i="7"/>
  <c r="C2819" i="7"/>
  <c r="C2820" i="7"/>
  <c r="C2821" i="7"/>
  <c r="C2822" i="7"/>
  <c r="C2823" i="7"/>
  <c r="C2824" i="7"/>
  <c r="C2825" i="7"/>
  <c r="C2826" i="7"/>
  <c r="C2827" i="7"/>
  <c r="C2828" i="7"/>
  <c r="C2829" i="7"/>
  <c r="C2830" i="7"/>
  <c r="C2831" i="7"/>
  <c r="C2832" i="7"/>
  <c r="C2833" i="7"/>
  <c r="C2834" i="7"/>
  <c r="C2835" i="7"/>
  <c r="C2836" i="7"/>
  <c r="C2837" i="7"/>
  <c r="C2838" i="7"/>
  <c r="C2839" i="7"/>
  <c r="C2840" i="7"/>
  <c r="C2841" i="7"/>
  <c r="C2842" i="7"/>
  <c r="C2843" i="7"/>
  <c r="J223" i="7"/>
  <c r="F2612" i="29" l="1"/>
  <c r="M2611" i="29"/>
  <c r="J2611" i="29"/>
  <c r="I2611" i="29"/>
  <c r="H2611" i="29"/>
  <c r="F2611" i="29"/>
  <c r="L2595" i="29"/>
  <c r="K2595" i="29"/>
  <c r="K2611" i="29"/>
  <c r="L2611" i="29"/>
  <c r="H2619" i="29"/>
  <c r="G2619" i="29"/>
  <c r="K2616" i="29"/>
  <c r="F2616" i="29"/>
  <c r="M2598" i="29"/>
  <c r="K2598" i="29"/>
  <c r="J2615" i="29"/>
  <c r="J2598" i="29"/>
  <c r="I2598" i="29"/>
  <c r="L2622" i="29"/>
  <c r="K2614" i="29"/>
  <c r="J2595" i="29"/>
  <c r="I2595" i="29"/>
  <c r="K2622" i="29"/>
  <c r="J2622" i="29"/>
  <c r="I2614" i="29"/>
  <c r="L2594" i="29"/>
  <c r="I2594" i="29"/>
  <c r="F2623" i="29"/>
  <c r="I2622" i="29"/>
  <c r="H2622" i="29"/>
  <c r="I2613" i="29"/>
  <c r="H2592" i="29"/>
  <c r="I2620" i="29"/>
  <c r="H2613" i="29"/>
  <c r="M2591" i="29"/>
  <c r="H2620" i="29"/>
  <c r="G2613" i="29"/>
  <c r="K2591" i="29"/>
  <c r="G2620" i="29"/>
  <c r="F2613" i="29"/>
  <c r="H2598" i="29"/>
  <c r="M2622" i="29"/>
  <c r="F2620" i="29"/>
  <c r="M2612" i="29"/>
  <c r="K2619" i="29"/>
  <c r="I2612" i="29"/>
  <c r="J2619" i="29"/>
  <c r="H2612" i="29"/>
  <c r="I2619" i="29"/>
  <c r="G2612" i="29"/>
  <c r="F2599" i="29"/>
  <c r="G2595" i="29"/>
  <c r="M2619" i="29"/>
  <c r="G2615" i="29"/>
  <c r="M2610" i="29"/>
  <c r="F2595" i="29"/>
  <c r="L2619" i="29"/>
  <c r="L2610" i="29"/>
  <c r="M2594" i="29"/>
  <c r="K2609" i="29"/>
  <c r="H2594" i="29"/>
  <c r="I2609" i="29"/>
  <c r="G2592" i="29"/>
  <c r="H2609" i="29"/>
  <c r="F2592" i="29"/>
  <c r="M2618" i="29"/>
  <c r="L2618" i="29"/>
  <c r="L2602" i="29"/>
  <c r="I2591" i="29"/>
  <c r="M2609" i="29"/>
  <c r="F2609" i="29"/>
  <c r="J2623" i="29"/>
  <c r="H2618" i="29"/>
  <c r="L2612" i="29"/>
  <c r="J2602" i="29"/>
  <c r="M2590" i="29"/>
  <c r="H2606" i="29"/>
  <c r="J2591" i="29"/>
  <c r="J2618" i="29"/>
  <c r="K2623" i="29"/>
  <c r="I2618" i="29"/>
  <c r="H2591" i="29"/>
  <c r="I2623" i="29"/>
  <c r="M2616" i="29"/>
  <c r="K2612" i="29"/>
  <c r="I2602" i="29"/>
  <c r="L2590" i="29"/>
  <c r="L2609" i="29"/>
  <c r="G2609" i="29"/>
  <c r="M2623" i="29"/>
  <c r="K2618" i="29"/>
  <c r="L2623" i="29"/>
  <c r="K2602" i="29"/>
  <c r="H2623" i="29"/>
  <c r="H2599" i="29"/>
  <c r="K2590" i="29"/>
  <c r="G2599" i="29"/>
  <c r="J2590" i="29"/>
  <c r="I2606" i="29"/>
  <c r="M2602" i="29"/>
  <c r="I2599" i="29"/>
  <c r="M2595" i="29"/>
  <c r="I2592" i="29"/>
  <c r="M2605" i="29"/>
  <c r="L2605" i="29"/>
  <c r="H2602" i="29"/>
  <c r="L2598" i="29"/>
  <c r="L2591" i="29"/>
  <c r="M2608" i="29"/>
  <c r="M2601" i="29"/>
  <c r="L2608" i="29"/>
  <c r="H2605" i="29"/>
  <c r="L2601" i="29"/>
  <c r="K2608" i="29"/>
  <c r="G2605" i="29"/>
  <c r="K2601" i="29"/>
  <c r="G2598" i="29"/>
  <c r="K2594" i="29"/>
  <c r="G2591" i="29"/>
  <c r="J2608" i="29"/>
  <c r="F2605" i="29"/>
  <c r="J2601" i="29"/>
  <c r="J2594" i="29"/>
  <c r="K2605" i="29"/>
  <c r="G2602" i="29"/>
  <c r="M2607" i="29"/>
  <c r="I2604" i="29"/>
  <c r="M2600" i="29"/>
  <c r="M2593" i="29"/>
  <c r="I2590" i="29"/>
  <c r="M2621" i="29"/>
  <c r="L2621" i="29"/>
  <c r="H2590" i="29"/>
  <c r="J2605" i="29"/>
  <c r="M2597" i="29"/>
  <c r="G2618" i="29"/>
  <c r="H2608" i="29"/>
  <c r="L2604" i="29"/>
  <c r="H2601" i="29"/>
  <c r="L2597" i="29"/>
  <c r="K2607" i="29"/>
  <c r="G2604" i="29"/>
  <c r="K2600" i="29"/>
  <c r="G2597" i="29"/>
  <c r="K2593" i="29"/>
  <c r="G2590" i="29"/>
  <c r="J2621" i="29"/>
  <c r="G2608" i="29"/>
  <c r="G2601" i="29"/>
  <c r="K2597" i="29"/>
  <c r="I2597" i="29"/>
  <c r="L2589" i="29"/>
  <c r="K2624" i="29"/>
  <c r="G2621" i="29"/>
  <c r="K2617" i="29"/>
  <c r="G2614" i="29"/>
  <c r="K2610" i="29"/>
  <c r="G2607" i="29"/>
  <c r="K2603" i="29"/>
  <c r="G2600" i="29"/>
  <c r="K2596" i="29"/>
  <c r="G2593" i="29"/>
  <c r="K2589" i="29"/>
  <c r="I2608" i="29"/>
  <c r="M2604" i="29"/>
  <c r="I2601" i="29"/>
  <c r="L2600" i="29"/>
  <c r="J2607" i="29"/>
  <c r="F2604" i="29"/>
  <c r="M2624" i="29"/>
  <c r="I2621" i="29"/>
  <c r="M2617" i="29"/>
  <c r="I2600" i="29"/>
  <c r="L2617" i="29"/>
  <c r="H2607" i="29"/>
  <c r="J2624" i="29"/>
  <c r="F2621" i="29"/>
  <c r="J2617" i="29"/>
  <c r="J2610" i="29"/>
  <c r="F2607" i="29"/>
  <c r="J2603" i="29"/>
  <c r="F2600" i="29"/>
  <c r="J2596" i="29"/>
  <c r="F2593" i="29"/>
  <c r="J2589" i="29"/>
  <c r="L2607" i="29"/>
  <c r="H2597" i="29"/>
  <c r="K2621" i="29"/>
  <c r="H2593" i="29"/>
  <c r="I2624" i="29"/>
  <c r="M2620" i="29"/>
  <c r="I2617" i="29"/>
  <c r="M2613" i="29"/>
  <c r="I2610" i="29"/>
  <c r="M2606" i="29"/>
  <c r="I2603" i="29"/>
  <c r="M2599" i="29"/>
  <c r="I2596" i="29"/>
  <c r="M2592" i="29"/>
  <c r="I2589" i="29"/>
  <c r="H2604" i="29"/>
  <c r="M2596" i="29"/>
  <c r="H2600" i="29"/>
  <c r="H2624" i="29"/>
  <c r="L2620" i="29"/>
  <c r="H2617" i="29"/>
  <c r="L2613" i="29"/>
  <c r="H2610" i="29"/>
  <c r="L2606" i="29"/>
  <c r="H2603" i="29"/>
  <c r="L2599" i="29"/>
  <c r="H2596" i="29"/>
  <c r="L2592" i="29"/>
  <c r="H2589" i="29"/>
  <c r="F2606" i="29"/>
  <c r="K2604" i="29"/>
  <c r="G2594" i="29"/>
  <c r="F2622" i="29"/>
  <c r="M2603" i="29"/>
  <c r="I2593" i="29"/>
  <c r="L2624" i="29"/>
  <c r="L2596" i="29"/>
  <c r="G2624" i="29"/>
  <c r="K2620" i="29"/>
  <c r="G2617" i="29"/>
  <c r="K2613" i="29"/>
  <c r="G2610" i="29"/>
  <c r="K2606" i="29"/>
  <c r="G2603" i="29"/>
  <c r="K2599" i="29"/>
  <c r="G2596" i="29"/>
  <c r="K2592" i="29"/>
  <c r="G2589" i="29"/>
  <c r="G2606" i="29"/>
  <c r="J2597" i="29"/>
  <c r="L2593" i="29"/>
  <c r="M2589" i="29"/>
  <c r="L2603" i="29"/>
  <c r="B53" i="37"/>
  <c r="B47" i="39"/>
  <c r="B47" i="35"/>
  <c r="B47" i="21"/>
  <c r="B71" i="37"/>
  <c r="B66" i="34"/>
  <c r="B66" i="13"/>
  <c r="E56" i="37"/>
  <c r="F56" i="37"/>
  <c r="P53" i="4"/>
  <c r="B54" i="37"/>
  <c r="E53" i="37"/>
  <c r="F53" i="37"/>
  <c r="E54" i="37"/>
  <c r="F54" i="37"/>
  <c r="E55" i="37"/>
  <c r="F55" i="37"/>
  <c r="P50" i="4"/>
  <c r="P51" i="4"/>
  <c r="P52" i="4"/>
  <c r="B77" i="37"/>
  <c r="B76" i="37"/>
  <c r="B74" i="37"/>
  <c r="E76" i="37"/>
  <c r="F76" i="37"/>
  <c r="D77" i="37"/>
  <c r="E77" i="37"/>
  <c r="F77" i="37"/>
  <c r="B130" i="39"/>
  <c r="V19" i="39" s="1"/>
  <c r="B121" i="39"/>
  <c r="F120" i="39"/>
  <c r="E120" i="39"/>
  <c r="D120" i="39"/>
  <c r="B120" i="39"/>
  <c r="F119" i="39"/>
  <c r="E119" i="39"/>
  <c r="B119" i="39"/>
  <c r="F118" i="39"/>
  <c r="E118" i="39"/>
  <c r="B118" i="39"/>
  <c r="F117" i="39"/>
  <c r="E117" i="39"/>
  <c r="B117" i="39"/>
  <c r="F116" i="39"/>
  <c r="E116" i="39"/>
  <c r="B116" i="39"/>
  <c r="B114" i="39"/>
  <c r="V18" i="39" s="1"/>
  <c r="B105" i="39"/>
  <c r="F104" i="39"/>
  <c r="E104" i="39"/>
  <c r="D104" i="39"/>
  <c r="B104" i="39"/>
  <c r="F103" i="39"/>
  <c r="E103" i="39"/>
  <c r="D103" i="39"/>
  <c r="B103" i="39"/>
  <c r="F102" i="39"/>
  <c r="E102" i="39"/>
  <c r="D102" i="39"/>
  <c r="B102" i="39"/>
  <c r="F101" i="39"/>
  <c r="E101" i="39"/>
  <c r="D101" i="39"/>
  <c r="B101" i="39"/>
  <c r="F100" i="39"/>
  <c r="E100" i="39"/>
  <c r="D100" i="39"/>
  <c r="B100" i="39"/>
  <c r="F99" i="39"/>
  <c r="E99" i="39"/>
  <c r="D99" i="39"/>
  <c r="B99" i="39"/>
  <c r="F98" i="39"/>
  <c r="E98" i="39"/>
  <c r="D98" i="39"/>
  <c r="B98" i="39"/>
  <c r="F97" i="39"/>
  <c r="E97" i="39"/>
  <c r="D97" i="39"/>
  <c r="B97" i="39"/>
  <c r="F96" i="39"/>
  <c r="E96" i="39"/>
  <c r="D96" i="39"/>
  <c r="B96" i="39"/>
  <c r="F95" i="39"/>
  <c r="E95" i="39"/>
  <c r="D95" i="39"/>
  <c r="B95" i="39"/>
  <c r="F94" i="39"/>
  <c r="E94" i="39"/>
  <c r="D94" i="39"/>
  <c r="B94" i="39"/>
  <c r="F93" i="39"/>
  <c r="E93" i="39"/>
  <c r="D93" i="39"/>
  <c r="B93" i="39"/>
  <c r="I89" i="39"/>
  <c r="B78" i="39"/>
  <c r="F77" i="39"/>
  <c r="E77" i="39"/>
  <c r="D77" i="39"/>
  <c r="B77" i="39"/>
  <c r="F76" i="39"/>
  <c r="E76" i="39"/>
  <c r="D76" i="39"/>
  <c r="B76" i="39"/>
  <c r="F75" i="39"/>
  <c r="E75" i="39"/>
  <c r="D75" i="39"/>
  <c r="B75" i="39"/>
  <c r="F74" i="39"/>
  <c r="E74" i="39"/>
  <c r="D74" i="39"/>
  <c r="B74" i="39"/>
  <c r="I71" i="39"/>
  <c r="F73" i="39"/>
  <c r="E73" i="39"/>
  <c r="D73" i="39"/>
  <c r="B73" i="39"/>
  <c r="F72" i="39"/>
  <c r="E72" i="39"/>
  <c r="D72" i="39"/>
  <c r="B72" i="39"/>
  <c r="F71" i="39"/>
  <c r="E71" i="39"/>
  <c r="D71" i="39"/>
  <c r="B71" i="39"/>
  <c r="F70" i="39"/>
  <c r="E70" i="39"/>
  <c r="D70" i="39"/>
  <c r="B70" i="39"/>
  <c r="F69" i="39"/>
  <c r="E69" i="39"/>
  <c r="D69" i="39"/>
  <c r="B69" i="39"/>
  <c r="F68" i="39"/>
  <c r="E68" i="39"/>
  <c r="D68" i="39"/>
  <c r="B68" i="39"/>
  <c r="F67" i="39"/>
  <c r="E67" i="39"/>
  <c r="D67" i="39"/>
  <c r="F64" i="39"/>
  <c r="E64" i="39"/>
  <c r="D64" i="39"/>
  <c r="B64" i="39"/>
  <c r="F63" i="39"/>
  <c r="E63" i="39"/>
  <c r="B63" i="39"/>
  <c r="F62" i="39"/>
  <c r="E62" i="39"/>
  <c r="D62" i="39"/>
  <c r="B62" i="39"/>
  <c r="F61" i="39"/>
  <c r="E61" i="39"/>
  <c r="D61" i="39"/>
  <c r="B61" i="39"/>
  <c r="B59" i="39"/>
  <c r="N19" i="39" s="1"/>
  <c r="B50" i="39"/>
  <c r="F49" i="39"/>
  <c r="E49" i="39"/>
  <c r="D49" i="39"/>
  <c r="B49" i="39"/>
  <c r="E48" i="39"/>
  <c r="E47" i="39"/>
  <c r="D47" i="39"/>
  <c r="E46" i="39"/>
  <c r="D46" i="39"/>
  <c r="B46" i="39"/>
  <c r="B44" i="39"/>
  <c r="I39" i="39"/>
  <c r="B35" i="39"/>
  <c r="F34" i="39"/>
  <c r="E34" i="39"/>
  <c r="D34" i="39"/>
  <c r="B34" i="39"/>
  <c r="F33" i="39"/>
  <c r="E33" i="39"/>
  <c r="D33" i="39"/>
  <c r="B33" i="39"/>
  <c r="F32" i="39"/>
  <c r="D32" i="39"/>
  <c r="B32" i="39"/>
  <c r="I31" i="39"/>
  <c r="B30" i="39"/>
  <c r="N17" i="39" s="1"/>
  <c r="I26" i="39"/>
  <c r="I21" i="39"/>
  <c r="B21" i="39"/>
  <c r="F20" i="39"/>
  <c r="E20" i="39"/>
  <c r="D20" i="39"/>
  <c r="B20" i="39"/>
  <c r="Q19" i="39"/>
  <c r="I19" i="39"/>
  <c r="F19" i="39"/>
  <c r="E19" i="39"/>
  <c r="D19" i="39"/>
  <c r="B19" i="39"/>
  <c r="Q18" i="39"/>
  <c r="N18" i="39"/>
  <c r="I18" i="39"/>
  <c r="Q17" i="39"/>
  <c r="I17" i="39"/>
  <c r="R13" i="39"/>
  <c r="N13" i="39"/>
  <c r="J13" i="39"/>
  <c r="B7" i="39"/>
  <c r="B71" i="38"/>
  <c r="B62" i="38"/>
  <c r="F61" i="38"/>
  <c r="E61" i="38"/>
  <c r="D61" i="38"/>
  <c r="B61" i="38"/>
  <c r="F60" i="38"/>
  <c r="E60" i="38"/>
  <c r="B60" i="38"/>
  <c r="I59" i="38"/>
  <c r="F59" i="38"/>
  <c r="E59" i="38"/>
  <c r="B59" i="38"/>
  <c r="F58" i="38"/>
  <c r="E58" i="38"/>
  <c r="B58" i="38"/>
  <c r="F57" i="38"/>
  <c r="E57" i="38"/>
  <c r="B57" i="38"/>
  <c r="B55" i="38"/>
  <c r="B46" i="38"/>
  <c r="F45" i="38"/>
  <c r="E45" i="38"/>
  <c r="F44" i="38"/>
  <c r="E44" i="38"/>
  <c r="D44" i="38"/>
  <c r="F43" i="38"/>
  <c r="E43" i="38"/>
  <c r="D43" i="38"/>
  <c r="F42" i="38"/>
  <c r="E42" i="38"/>
  <c r="D42" i="38"/>
  <c r="F41" i="38"/>
  <c r="E41" i="38"/>
  <c r="B41" i="38"/>
  <c r="F40" i="38"/>
  <c r="E40" i="38"/>
  <c r="D40" i="38"/>
  <c r="B40" i="38"/>
  <c r="F39" i="38"/>
  <c r="E39" i="38"/>
  <c r="D39" i="38"/>
  <c r="B39" i="38"/>
  <c r="F38" i="38"/>
  <c r="E38" i="38"/>
  <c r="D38" i="38"/>
  <c r="B38" i="38"/>
  <c r="F37" i="38"/>
  <c r="E37" i="38"/>
  <c r="D37" i="38"/>
  <c r="B37" i="38"/>
  <c r="F36" i="38"/>
  <c r="E36" i="38"/>
  <c r="B36" i="38"/>
  <c r="F35" i="38"/>
  <c r="D35" i="38"/>
  <c r="B35" i="38"/>
  <c r="F34" i="38"/>
  <c r="E34" i="38"/>
  <c r="D34" i="38"/>
  <c r="B34" i="38"/>
  <c r="F33" i="38"/>
  <c r="E33" i="38"/>
  <c r="D33" i="38"/>
  <c r="B33" i="38"/>
  <c r="F32" i="38"/>
  <c r="E32" i="38"/>
  <c r="D32" i="38"/>
  <c r="B32" i="38"/>
  <c r="F31" i="38"/>
  <c r="E31" i="38"/>
  <c r="D31" i="38"/>
  <c r="B31" i="38"/>
  <c r="B29" i="38"/>
  <c r="I25" i="38"/>
  <c r="I20" i="38"/>
  <c r="B20" i="38"/>
  <c r="F19" i="38"/>
  <c r="E19" i="38"/>
  <c r="D19" i="38"/>
  <c r="B19" i="38"/>
  <c r="N18" i="38"/>
  <c r="I18" i="38"/>
  <c r="V17" i="38"/>
  <c r="Q17" i="38"/>
  <c r="N17" i="38"/>
  <c r="I17" i="38"/>
  <c r="R13" i="38"/>
  <c r="N13" i="38"/>
  <c r="J13" i="38"/>
  <c r="B12" i="38"/>
  <c r="I6" i="38" s="1"/>
  <c r="B10" i="38"/>
  <c r="B11" i="38" s="1"/>
  <c r="H6" i="38" s="1"/>
  <c r="B9" i="38"/>
  <c r="B7" i="38"/>
  <c r="B158" i="37"/>
  <c r="V19" i="37" s="1"/>
  <c r="B149" i="37"/>
  <c r="F148" i="37"/>
  <c r="E148" i="37"/>
  <c r="D148" i="37"/>
  <c r="B148" i="37"/>
  <c r="F147" i="37"/>
  <c r="E147" i="37"/>
  <c r="B147" i="37"/>
  <c r="F146" i="37"/>
  <c r="E146" i="37"/>
  <c r="B146" i="37"/>
  <c r="F145" i="37"/>
  <c r="E145" i="37"/>
  <c r="B145" i="37"/>
  <c r="F144" i="37"/>
  <c r="E144" i="37"/>
  <c r="B144" i="37"/>
  <c r="B132" i="37"/>
  <c r="F131" i="37"/>
  <c r="E131" i="37"/>
  <c r="B131" i="37"/>
  <c r="F130" i="37"/>
  <c r="E130" i="37"/>
  <c r="D130" i="37"/>
  <c r="F129" i="37"/>
  <c r="E129" i="37"/>
  <c r="D129" i="37"/>
  <c r="B129" i="37"/>
  <c r="F128" i="37"/>
  <c r="E128" i="37"/>
  <c r="D128" i="37"/>
  <c r="B128" i="37"/>
  <c r="F127" i="37"/>
  <c r="E127" i="37"/>
  <c r="D127" i="37"/>
  <c r="F126" i="37"/>
  <c r="E126" i="37"/>
  <c r="D126" i="37"/>
  <c r="F125" i="37"/>
  <c r="E125" i="37"/>
  <c r="D125" i="37"/>
  <c r="F124" i="37"/>
  <c r="E124" i="37"/>
  <c r="F123" i="37"/>
  <c r="E123" i="37"/>
  <c r="D123" i="37"/>
  <c r="F122" i="37"/>
  <c r="E122" i="37"/>
  <c r="B122" i="37"/>
  <c r="F121" i="37"/>
  <c r="E121" i="37"/>
  <c r="D121" i="37"/>
  <c r="F120" i="37"/>
  <c r="E120" i="37"/>
  <c r="F119" i="37"/>
  <c r="E119" i="37"/>
  <c r="D119" i="37"/>
  <c r="I107" i="37"/>
  <c r="B107" i="37"/>
  <c r="F106" i="37"/>
  <c r="E106" i="37"/>
  <c r="D106" i="37"/>
  <c r="B106" i="37"/>
  <c r="X103" i="37"/>
  <c r="F105" i="37"/>
  <c r="E105" i="37"/>
  <c r="D105" i="37"/>
  <c r="B105" i="37"/>
  <c r="F104" i="37"/>
  <c r="E104" i="37"/>
  <c r="D104" i="37"/>
  <c r="B104" i="37"/>
  <c r="F103" i="37"/>
  <c r="E103" i="37"/>
  <c r="D103" i="37"/>
  <c r="B103" i="37"/>
  <c r="F102" i="37"/>
  <c r="E102" i="37"/>
  <c r="D102" i="37"/>
  <c r="B102" i="37"/>
  <c r="F101" i="37"/>
  <c r="E101" i="37"/>
  <c r="D101" i="37"/>
  <c r="B101" i="37"/>
  <c r="F100" i="37"/>
  <c r="E100" i="37"/>
  <c r="B100" i="37"/>
  <c r="F99" i="37"/>
  <c r="E99" i="37"/>
  <c r="D99" i="37"/>
  <c r="B99" i="37"/>
  <c r="F98" i="37"/>
  <c r="E98" i="37"/>
  <c r="D98" i="37"/>
  <c r="B98" i="37"/>
  <c r="F97" i="37"/>
  <c r="E97" i="37"/>
  <c r="D97" i="37"/>
  <c r="B97" i="37"/>
  <c r="F96" i="37"/>
  <c r="E96" i="37"/>
  <c r="D96" i="37"/>
  <c r="B96" i="37"/>
  <c r="F95" i="37"/>
  <c r="E95" i="37"/>
  <c r="D95" i="37"/>
  <c r="B95" i="37"/>
  <c r="B83" i="37"/>
  <c r="I81" i="37"/>
  <c r="F82" i="37"/>
  <c r="E82" i="37"/>
  <c r="D82" i="37"/>
  <c r="B82" i="37"/>
  <c r="F81" i="37"/>
  <c r="E81" i="37"/>
  <c r="F80" i="37"/>
  <c r="E80" i="37"/>
  <c r="D80" i="37"/>
  <c r="F79" i="37"/>
  <c r="E79" i="37"/>
  <c r="D79" i="37"/>
  <c r="B79" i="37"/>
  <c r="F78" i="37"/>
  <c r="E78" i="37"/>
  <c r="D78" i="37"/>
  <c r="B78" i="37"/>
  <c r="F75" i="37"/>
  <c r="E75" i="37"/>
  <c r="D75" i="37"/>
  <c r="B75" i="37"/>
  <c r="F74" i="37"/>
  <c r="E74" i="37"/>
  <c r="F73" i="37"/>
  <c r="E73" i="37"/>
  <c r="D73" i="37"/>
  <c r="B73" i="37"/>
  <c r="E72" i="37"/>
  <c r="E71" i="37"/>
  <c r="D71" i="37"/>
  <c r="E70" i="37"/>
  <c r="D70" i="37"/>
  <c r="B70" i="37"/>
  <c r="I70" i="37"/>
  <c r="B57" i="37"/>
  <c r="F52" i="37"/>
  <c r="E52" i="37"/>
  <c r="D52" i="37"/>
  <c r="B52" i="37"/>
  <c r="F51" i="37"/>
  <c r="E51" i="37"/>
  <c r="D51" i="37"/>
  <c r="B51" i="37"/>
  <c r="F50" i="37"/>
  <c r="E50" i="37"/>
  <c r="D50" i="37"/>
  <c r="B50" i="37"/>
  <c r="F49" i="37"/>
  <c r="E49" i="37"/>
  <c r="D49" i="37"/>
  <c r="B49" i="37"/>
  <c r="F48" i="37"/>
  <c r="E48" i="37"/>
  <c r="D48" i="37"/>
  <c r="B48" i="37"/>
  <c r="F47" i="37"/>
  <c r="E47" i="37"/>
  <c r="D47" i="37"/>
  <c r="B47" i="37"/>
  <c r="F46" i="37"/>
  <c r="E46" i="37"/>
  <c r="D46" i="37"/>
  <c r="B46" i="37"/>
  <c r="I49" i="37"/>
  <c r="F45" i="37"/>
  <c r="E45" i="37"/>
  <c r="D45" i="37"/>
  <c r="B45" i="37"/>
  <c r="F44" i="37"/>
  <c r="E44" i="37"/>
  <c r="D44" i="37"/>
  <c r="B44" i="37"/>
  <c r="F43" i="37"/>
  <c r="E43" i="37"/>
  <c r="D43" i="37"/>
  <c r="B43" i="37"/>
  <c r="F42" i="37"/>
  <c r="E42" i="37"/>
  <c r="D42" i="37"/>
  <c r="B42" i="37"/>
  <c r="F41" i="37"/>
  <c r="E41" i="37"/>
  <c r="D41" i="37"/>
  <c r="B41" i="37"/>
  <c r="F40" i="37"/>
  <c r="E40" i="37"/>
  <c r="D40" i="37"/>
  <c r="B40" i="37"/>
  <c r="F39" i="37"/>
  <c r="E39" i="37"/>
  <c r="D39" i="37"/>
  <c r="B39" i="37"/>
  <c r="F38" i="37"/>
  <c r="E38" i="37"/>
  <c r="D38" i="37"/>
  <c r="B38" i="37"/>
  <c r="F37" i="37"/>
  <c r="E37" i="37"/>
  <c r="D37" i="37"/>
  <c r="B37" i="37"/>
  <c r="F36" i="37"/>
  <c r="E36" i="37"/>
  <c r="D36" i="37"/>
  <c r="B36" i="37"/>
  <c r="F35" i="37"/>
  <c r="E35" i="37"/>
  <c r="D35" i="37"/>
  <c r="B35" i="37"/>
  <c r="F34" i="37"/>
  <c r="E34" i="37"/>
  <c r="D34" i="37"/>
  <c r="B34" i="37"/>
  <c r="F33" i="37"/>
  <c r="E33" i="37"/>
  <c r="D33" i="37"/>
  <c r="B33" i="37"/>
  <c r="F32" i="37"/>
  <c r="D32" i="37"/>
  <c r="B32" i="37"/>
  <c r="F31" i="37"/>
  <c r="E31" i="37"/>
  <c r="D31" i="37"/>
  <c r="B31" i="37"/>
  <c r="B29" i="37"/>
  <c r="N17" i="37" s="1"/>
  <c r="I26" i="37"/>
  <c r="I21" i="37"/>
  <c r="B20" i="37"/>
  <c r="Q19" i="37"/>
  <c r="I19" i="37"/>
  <c r="F19" i="37"/>
  <c r="E19" i="37"/>
  <c r="D19" i="37"/>
  <c r="B19" i="37"/>
  <c r="Q18" i="37"/>
  <c r="I18" i="37"/>
  <c r="Q17" i="37"/>
  <c r="I17" i="37"/>
  <c r="R13" i="37"/>
  <c r="N13" i="37"/>
  <c r="J13" i="37"/>
  <c r="B7" i="37"/>
  <c r="B72" i="34"/>
  <c r="B71" i="34"/>
  <c r="B70" i="34"/>
  <c r="B69" i="34"/>
  <c r="B68" i="34"/>
  <c r="D68" i="34"/>
  <c r="E68" i="34"/>
  <c r="F68" i="34"/>
  <c r="D69" i="34"/>
  <c r="E69" i="34"/>
  <c r="F69" i="34"/>
  <c r="D70" i="34"/>
  <c r="E70" i="34"/>
  <c r="F70" i="34"/>
  <c r="D71" i="34"/>
  <c r="E71" i="34"/>
  <c r="F71" i="34"/>
  <c r="D72" i="34"/>
  <c r="E72" i="34"/>
  <c r="F72" i="34"/>
  <c r="D73" i="34"/>
  <c r="E73" i="34"/>
  <c r="F73" i="34"/>
  <c r="E74" i="34"/>
  <c r="F74" i="34"/>
  <c r="B71" i="13"/>
  <c r="B69" i="13"/>
  <c r="B72" i="13"/>
  <c r="B70" i="13"/>
  <c r="B68" i="13"/>
  <c r="B75" i="13"/>
  <c r="D68" i="13"/>
  <c r="E68" i="13"/>
  <c r="F68" i="13"/>
  <c r="D69" i="13"/>
  <c r="E69" i="13"/>
  <c r="F69" i="13"/>
  <c r="D70" i="13"/>
  <c r="E70" i="13"/>
  <c r="F70" i="13"/>
  <c r="D71" i="13"/>
  <c r="E71" i="13"/>
  <c r="F71" i="13"/>
  <c r="D72" i="13"/>
  <c r="E72" i="13"/>
  <c r="F72" i="13"/>
  <c r="D73" i="13"/>
  <c r="E73" i="13"/>
  <c r="F73" i="13"/>
  <c r="E74" i="13"/>
  <c r="F74" i="13"/>
  <c r="D11" i="3"/>
  <c r="P69" i="4"/>
  <c r="P70" i="4"/>
  <c r="P71" i="4"/>
  <c r="P68" i="4"/>
  <c r="P66" i="4"/>
  <c r="P67" i="4"/>
  <c r="Q66" i="4"/>
  <c r="P60" i="4"/>
  <c r="P61" i="4"/>
  <c r="P62" i="4"/>
  <c r="P63" i="4"/>
  <c r="P64" i="4"/>
  <c r="Q61" i="4"/>
  <c r="Q63" i="4"/>
  <c r="P57" i="4"/>
  <c r="P58" i="4"/>
  <c r="P59" i="4"/>
  <c r="P65" i="4"/>
  <c r="Q59" i="4"/>
  <c r="Q65" i="4"/>
  <c r="F61" i="36"/>
  <c r="E61" i="36"/>
  <c r="D61" i="36"/>
  <c r="F60" i="36"/>
  <c r="E60" i="36"/>
  <c r="F59" i="36"/>
  <c r="E59" i="36"/>
  <c r="F58" i="36"/>
  <c r="E58" i="36"/>
  <c r="F57" i="36"/>
  <c r="E57" i="36"/>
  <c r="F45" i="36"/>
  <c r="E45" i="36"/>
  <c r="F44" i="36"/>
  <c r="E44" i="36"/>
  <c r="D44" i="36"/>
  <c r="F43" i="36"/>
  <c r="E43" i="36"/>
  <c r="D43" i="36"/>
  <c r="F42" i="36"/>
  <c r="E42" i="36"/>
  <c r="D42" i="36"/>
  <c r="F41" i="36"/>
  <c r="E41" i="36"/>
  <c r="F40" i="36"/>
  <c r="E40" i="36"/>
  <c r="D40" i="36"/>
  <c r="F39" i="36"/>
  <c r="E39" i="36"/>
  <c r="D39" i="36"/>
  <c r="F38" i="36"/>
  <c r="E38" i="36"/>
  <c r="D38" i="36"/>
  <c r="F37" i="36"/>
  <c r="E37" i="36"/>
  <c r="D37" i="36"/>
  <c r="F36" i="36"/>
  <c r="E36" i="36"/>
  <c r="F35" i="36"/>
  <c r="D35" i="36"/>
  <c r="F34" i="36"/>
  <c r="E34" i="36"/>
  <c r="D34" i="36"/>
  <c r="F33" i="36"/>
  <c r="E33" i="36"/>
  <c r="D33" i="36"/>
  <c r="F32" i="36"/>
  <c r="E32" i="36"/>
  <c r="D32" i="36"/>
  <c r="F31" i="36"/>
  <c r="E31" i="36"/>
  <c r="D31" i="36"/>
  <c r="F19" i="36"/>
  <c r="E19" i="36"/>
  <c r="D19" i="36"/>
  <c r="B7" i="36"/>
  <c r="B12" i="36"/>
  <c r="F120" i="35"/>
  <c r="E120" i="35"/>
  <c r="D120" i="35"/>
  <c r="F119" i="35"/>
  <c r="E119" i="35"/>
  <c r="F118" i="35"/>
  <c r="E118" i="35"/>
  <c r="F117" i="35"/>
  <c r="E117" i="35"/>
  <c r="F116" i="35"/>
  <c r="E116" i="35"/>
  <c r="F104" i="35"/>
  <c r="E104" i="35"/>
  <c r="D104" i="35"/>
  <c r="F103" i="35"/>
  <c r="E103" i="35"/>
  <c r="D103" i="35"/>
  <c r="F102" i="35"/>
  <c r="E102" i="35"/>
  <c r="D102" i="35"/>
  <c r="F101" i="35"/>
  <c r="E101" i="35"/>
  <c r="D101" i="35"/>
  <c r="F100" i="35"/>
  <c r="E100" i="35"/>
  <c r="D100" i="35"/>
  <c r="F99" i="35"/>
  <c r="E99" i="35"/>
  <c r="D99" i="35"/>
  <c r="F98" i="35"/>
  <c r="E98" i="35"/>
  <c r="D98" i="35"/>
  <c r="F97" i="35"/>
  <c r="E97" i="35"/>
  <c r="D97" i="35"/>
  <c r="F96" i="35"/>
  <c r="E96" i="35"/>
  <c r="D96" i="35"/>
  <c r="F95" i="35"/>
  <c r="E95" i="35"/>
  <c r="D95" i="35"/>
  <c r="F94" i="35"/>
  <c r="E94" i="35"/>
  <c r="D94" i="35"/>
  <c r="F93" i="35"/>
  <c r="E93" i="35"/>
  <c r="D93" i="35"/>
  <c r="F77" i="35"/>
  <c r="E77" i="35"/>
  <c r="D77" i="35"/>
  <c r="F76" i="35"/>
  <c r="E76" i="35"/>
  <c r="D76" i="35"/>
  <c r="F75" i="35"/>
  <c r="E75" i="35"/>
  <c r="D75" i="35"/>
  <c r="F74" i="35"/>
  <c r="E74" i="35"/>
  <c r="D74" i="35"/>
  <c r="F73" i="35"/>
  <c r="E73" i="35"/>
  <c r="D73" i="35"/>
  <c r="F72" i="35"/>
  <c r="E72" i="35"/>
  <c r="D72" i="35"/>
  <c r="F71" i="35"/>
  <c r="E71" i="35"/>
  <c r="D71" i="35"/>
  <c r="F70" i="35"/>
  <c r="E70" i="35"/>
  <c r="D70" i="35"/>
  <c r="F69" i="35"/>
  <c r="E69" i="35"/>
  <c r="D69" i="35"/>
  <c r="F68" i="35"/>
  <c r="E68" i="35"/>
  <c r="D68" i="35"/>
  <c r="F67" i="35"/>
  <c r="E67" i="35"/>
  <c r="D67" i="35"/>
  <c r="F64" i="35"/>
  <c r="E64" i="35"/>
  <c r="D64" i="35"/>
  <c r="F63" i="35"/>
  <c r="E63" i="35"/>
  <c r="F62" i="35"/>
  <c r="E62" i="35"/>
  <c r="D62" i="35"/>
  <c r="F61" i="35"/>
  <c r="E61" i="35"/>
  <c r="D61" i="35"/>
  <c r="F49" i="35"/>
  <c r="E49" i="35"/>
  <c r="D49" i="35"/>
  <c r="E48" i="35"/>
  <c r="E47" i="35"/>
  <c r="D47" i="35"/>
  <c r="E46" i="35"/>
  <c r="D46" i="35"/>
  <c r="F34" i="35"/>
  <c r="E34" i="35"/>
  <c r="D34" i="35"/>
  <c r="F33" i="35"/>
  <c r="E33" i="35"/>
  <c r="D33" i="35"/>
  <c r="F32" i="35"/>
  <c r="D32" i="35"/>
  <c r="F20" i="35"/>
  <c r="E20" i="35"/>
  <c r="D20" i="35"/>
  <c r="F19" i="35"/>
  <c r="E19" i="35"/>
  <c r="D19" i="35"/>
  <c r="B7" i="35"/>
  <c r="W29" i="38" l="1"/>
  <c r="F141" i="34"/>
  <c r="E141" i="34"/>
  <c r="D141" i="34"/>
  <c r="F140" i="34"/>
  <c r="E140" i="34"/>
  <c r="F139" i="34"/>
  <c r="E139" i="34"/>
  <c r="F138" i="34"/>
  <c r="E138" i="34"/>
  <c r="F137" i="34"/>
  <c r="E137" i="34"/>
  <c r="F124" i="34"/>
  <c r="E124" i="34"/>
  <c r="F123" i="34"/>
  <c r="E123" i="34"/>
  <c r="D123" i="34"/>
  <c r="F122" i="34"/>
  <c r="E122" i="34"/>
  <c r="D122" i="34"/>
  <c r="F121" i="34"/>
  <c r="E121" i="34"/>
  <c r="D121" i="34"/>
  <c r="F120" i="34"/>
  <c r="E120" i="34"/>
  <c r="D120" i="34"/>
  <c r="F119" i="34"/>
  <c r="E119" i="34"/>
  <c r="D119" i="34"/>
  <c r="F118" i="34"/>
  <c r="E118" i="34"/>
  <c r="D118" i="34"/>
  <c r="F117" i="34"/>
  <c r="E117" i="34"/>
  <c r="F116" i="34"/>
  <c r="E116" i="34"/>
  <c r="D116" i="34"/>
  <c r="F115" i="34"/>
  <c r="E115" i="34"/>
  <c r="F114" i="34"/>
  <c r="E114" i="34"/>
  <c r="D114" i="34"/>
  <c r="F113" i="34"/>
  <c r="E113" i="34"/>
  <c r="F112" i="34"/>
  <c r="E112" i="34"/>
  <c r="D112" i="34"/>
  <c r="F99" i="34"/>
  <c r="E99" i="34"/>
  <c r="D99" i="34"/>
  <c r="F98" i="34"/>
  <c r="E98" i="34"/>
  <c r="D98" i="34"/>
  <c r="F97" i="34"/>
  <c r="E97" i="34"/>
  <c r="D97" i="34"/>
  <c r="F96" i="34"/>
  <c r="E96" i="34"/>
  <c r="D96" i="34"/>
  <c r="F95" i="34"/>
  <c r="E95" i="34"/>
  <c r="D95" i="34"/>
  <c r="F94" i="34"/>
  <c r="E94" i="34"/>
  <c r="D94" i="34"/>
  <c r="F93" i="34"/>
  <c r="E93" i="34"/>
  <c r="F92" i="34"/>
  <c r="E92" i="34"/>
  <c r="D92" i="34"/>
  <c r="F91" i="34"/>
  <c r="E91" i="34"/>
  <c r="D91" i="34"/>
  <c r="F90" i="34"/>
  <c r="E90" i="34"/>
  <c r="D90" i="34"/>
  <c r="F89" i="34"/>
  <c r="E89" i="34"/>
  <c r="D89" i="34"/>
  <c r="F88" i="34"/>
  <c r="E88" i="34"/>
  <c r="D88" i="34"/>
  <c r="F75" i="34"/>
  <c r="E75" i="34"/>
  <c r="D75" i="34"/>
  <c r="E67" i="34"/>
  <c r="E66" i="34"/>
  <c r="D66" i="34"/>
  <c r="E65" i="34"/>
  <c r="D65" i="34"/>
  <c r="F52" i="34"/>
  <c r="E52" i="34"/>
  <c r="D52" i="34"/>
  <c r="F51" i="34"/>
  <c r="E51" i="34"/>
  <c r="D51" i="34"/>
  <c r="F50" i="34"/>
  <c r="E50" i="34"/>
  <c r="D50" i="34"/>
  <c r="F49" i="34"/>
  <c r="E49" i="34"/>
  <c r="D49" i="34"/>
  <c r="F48" i="34"/>
  <c r="E48" i="34"/>
  <c r="D48" i="34"/>
  <c r="F47" i="34"/>
  <c r="E47" i="34"/>
  <c r="D47" i="34"/>
  <c r="F46" i="34"/>
  <c r="E46" i="34"/>
  <c r="D46" i="34"/>
  <c r="F45" i="34"/>
  <c r="E45" i="34"/>
  <c r="D45" i="34"/>
  <c r="F44" i="34"/>
  <c r="E44" i="34"/>
  <c r="D44" i="34"/>
  <c r="F43" i="34"/>
  <c r="E43" i="34"/>
  <c r="D43" i="34"/>
  <c r="F42" i="34"/>
  <c r="E42" i="34"/>
  <c r="D42" i="34"/>
  <c r="F41" i="34"/>
  <c r="E41" i="34"/>
  <c r="D41" i="34"/>
  <c r="F40" i="34"/>
  <c r="E40" i="34"/>
  <c r="D40" i="34"/>
  <c r="F39" i="34"/>
  <c r="E39" i="34"/>
  <c r="D39" i="34"/>
  <c r="F38" i="34"/>
  <c r="E38" i="34"/>
  <c r="D38" i="34"/>
  <c r="F37" i="34"/>
  <c r="E37" i="34"/>
  <c r="D37" i="34"/>
  <c r="F36" i="34"/>
  <c r="E36" i="34"/>
  <c r="D36" i="34"/>
  <c r="F35" i="34"/>
  <c r="E35" i="34"/>
  <c r="D35" i="34"/>
  <c r="F34" i="34"/>
  <c r="E34" i="34"/>
  <c r="D34" i="34"/>
  <c r="F33" i="34"/>
  <c r="E33" i="34"/>
  <c r="D33" i="34"/>
  <c r="F32" i="34"/>
  <c r="D32" i="34"/>
  <c r="F31" i="34"/>
  <c r="E31" i="34"/>
  <c r="D31" i="34"/>
  <c r="F19" i="34"/>
  <c r="E19" i="34"/>
  <c r="D19" i="34"/>
  <c r="B7" i="34"/>
  <c r="B71" i="36"/>
  <c r="B62" i="36"/>
  <c r="B61" i="36"/>
  <c r="B60" i="36"/>
  <c r="I59" i="36"/>
  <c r="B59" i="36"/>
  <c r="B58" i="36"/>
  <c r="B57" i="36"/>
  <c r="B55" i="36"/>
  <c r="B46" i="36"/>
  <c r="B41" i="36"/>
  <c r="B40" i="36"/>
  <c r="B39" i="36"/>
  <c r="B38" i="36"/>
  <c r="B37" i="36"/>
  <c r="B36" i="36"/>
  <c r="B35" i="36"/>
  <c r="B34" i="36"/>
  <c r="W29" i="36" s="1"/>
  <c r="B33" i="36"/>
  <c r="B32" i="36"/>
  <c r="B31" i="36"/>
  <c r="B29" i="36"/>
  <c r="I25" i="36"/>
  <c r="I20" i="36"/>
  <c r="B20" i="36"/>
  <c r="B19" i="36"/>
  <c r="N18" i="36"/>
  <c r="I18" i="36"/>
  <c r="V17" i="36"/>
  <c r="Q17" i="36"/>
  <c r="N17" i="36"/>
  <c r="I17" i="36"/>
  <c r="R13" i="36"/>
  <c r="N13" i="36"/>
  <c r="J13" i="36"/>
  <c r="I6" i="36"/>
  <c r="B10" i="36"/>
  <c r="B11" i="36" s="1"/>
  <c r="H6" i="36" s="1"/>
  <c r="B9" i="36"/>
  <c r="B130" i="35"/>
  <c r="V19" i="35" s="1"/>
  <c r="B121" i="35"/>
  <c r="B120" i="35"/>
  <c r="B119" i="35"/>
  <c r="B118" i="35"/>
  <c r="B117" i="35"/>
  <c r="B116" i="35"/>
  <c r="B114" i="35"/>
  <c r="V18" i="35" s="1"/>
  <c r="B105" i="35"/>
  <c r="B104" i="35"/>
  <c r="B103" i="35"/>
  <c r="B102" i="35"/>
  <c r="B101" i="35"/>
  <c r="B100" i="35"/>
  <c r="B99" i="35"/>
  <c r="B98" i="35"/>
  <c r="B97" i="35"/>
  <c r="B96" i="35"/>
  <c r="B95" i="35"/>
  <c r="B94" i="35"/>
  <c r="B93" i="35"/>
  <c r="I89" i="35"/>
  <c r="B78" i="35"/>
  <c r="B77" i="35"/>
  <c r="B76" i="35"/>
  <c r="B75" i="35"/>
  <c r="B74" i="35"/>
  <c r="I71" i="35"/>
  <c r="B73" i="35"/>
  <c r="B72" i="35"/>
  <c r="B71" i="35"/>
  <c r="B70" i="35"/>
  <c r="B69" i="35"/>
  <c r="B68" i="35"/>
  <c r="B64" i="35"/>
  <c r="B63" i="35"/>
  <c r="B62" i="35"/>
  <c r="B61" i="35"/>
  <c r="B59" i="35"/>
  <c r="N19" i="35" s="1"/>
  <c r="B50" i="35"/>
  <c r="B49" i="35"/>
  <c r="B46" i="35"/>
  <c r="B44" i="35"/>
  <c r="N18" i="35" s="1"/>
  <c r="I39" i="35"/>
  <c r="B35" i="35"/>
  <c r="B34" i="35"/>
  <c r="B33" i="35"/>
  <c r="B32" i="35"/>
  <c r="I31" i="35"/>
  <c r="B30" i="35"/>
  <c r="N17" i="35" s="1"/>
  <c r="I26" i="35"/>
  <c r="I21" i="35"/>
  <c r="B21" i="35"/>
  <c r="B20" i="35"/>
  <c r="Q19" i="35"/>
  <c r="I19" i="35"/>
  <c r="B19" i="35"/>
  <c r="Q18" i="35"/>
  <c r="I18" i="35"/>
  <c r="Q17" i="35"/>
  <c r="I17" i="35"/>
  <c r="R13" i="35"/>
  <c r="N13" i="35"/>
  <c r="J13" i="35"/>
  <c r="B151" i="34"/>
  <c r="B142" i="34"/>
  <c r="B141" i="34"/>
  <c r="B140" i="34"/>
  <c r="B139" i="34"/>
  <c r="B138" i="34"/>
  <c r="B137" i="34"/>
  <c r="B125" i="34"/>
  <c r="B124" i="34"/>
  <c r="B122" i="34"/>
  <c r="B121" i="34"/>
  <c r="B115" i="34"/>
  <c r="I102" i="34"/>
  <c r="B100" i="34"/>
  <c r="B99" i="34"/>
  <c r="B98" i="34"/>
  <c r="X98" i="34"/>
  <c r="B97" i="34"/>
  <c r="B96" i="34"/>
  <c r="B95" i="34"/>
  <c r="B94" i="34"/>
  <c r="B93" i="34"/>
  <c r="B92" i="34"/>
  <c r="B91" i="34"/>
  <c r="B90" i="34"/>
  <c r="B89" i="34"/>
  <c r="B88" i="34"/>
  <c r="B76" i="34"/>
  <c r="B75" i="34"/>
  <c r="I76" i="34"/>
  <c r="B65" i="34"/>
  <c r="I65" i="34"/>
  <c r="B53" i="34"/>
  <c r="B52" i="34"/>
  <c r="B51" i="34"/>
  <c r="B50" i="34"/>
  <c r="B49" i="34"/>
  <c r="B48" i="34"/>
  <c r="B47" i="34"/>
  <c r="B46" i="34"/>
  <c r="I45" i="34"/>
  <c r="B45" i="34"/>
  <c r="B44" i="34"/>
  <c r="B43" i="34"/>
  <c r="B42" i="34"/>
  <c r="B41" i="34"/>
  <c r="B40" i="34"/>
  <c r="B39" i="34"/>
  <c r="B38" i="34"/>
  <c r="B37" i="34"/>
  <c r="B36" i="34"/>
  <c r="B35" i="34"/>
  <c r="B34" i="34"/>
  <c r="B33" i="34"/>
  <c r="B32" i="34"/>
  <c r="B31" i="34"/>
  <c r="B29" i="34"/>
  <c r="I26" i="34"/>
  <c r="I21" i="34"/>
  <c r="B20" i="34"/>
  <c r="V19" i="34"/>
  <c r="Q19" i="34"/>
  <c r="I19" i="34"/>
  <c r="B19" i="34"/>
  <c r="Q18" i="34"/>
  <c r="I18" i="34"/>
  <c r="Q17" i="34"/>
  <c r="N17" i="34"/>
  <c r="I17" i="34"/>
  <c r="R13" i="34"/>
  <c r="N13" i="34"/>
  <c r="J13" i="34"/>
  <c r="D4" i="33" l="1"/>
  <c r="D4" i="32"/>
  <c r="D4" i="31"/>
  <c r="D4" i="30"/>
  <c r="B10" i="33"/>
  <c r="B9" i="33"/>
  <c r="B8" i="33"/>
  <c r="B85" i="32"/>
  <c r="B84" i="32"/>
  <c r="B83" i="32"/>
  <c r="B82" i="32"/>
  <c r="B81" i="32"/>
  <c r="B80" i="32"/>
  <c r="B79" i="32"/>
  <c r="B78" i="32"/>
  <c r="B77" i="32"/>
  <c r="B76" i="32"/>
  <c r="B75" i="32"/>
  <c r="B74" i="32"/>
  <c r="B73" i="32"/>
  <c r="B72" i="32"/>
  <c r="B71" i="32"/>
  <c r="B70" i="32"/>
  <c r="B69" i="32"/>
  <c r="B68" i="32"/>
  <c r="B67" i="32"/>
  <c r="B66" i="32"/>
  <c r="B65" i="32"/>
  <c r="B64" i="32"/>
  <c r="B63" i="32"/>
  <c r="B62" i="32"/>
  <c r="B61" i="32"/>
  <c r="B60" i="32"/>
  <c r="B59" i="32"/>
  <c r="B58" i="32"/>
  <c r="B57" i="32"/>
  <c r="B56" i="32"/>
  <c r="B55" i="32"/>
  <c r="B54" i="32"/>
  <c r="B53" i="32"/>
  <c r="B52" i="32"/>
  <c r="B51" i="32"/>
  <c r="B50" i="32"/>
  <c r="B49" i="32"/>
  <c r="B48" i="32"/>
  <c r="B47" i="32"/>
  <c r="B46" i="32"/>
  <c r="B45" i="32"/>
  <c r="B44" i="32"/>
  <c r="B43" i="32"/>
  <c r="B42" i="32"/>
  <c r="B41" i="32"/>
  <c r="B40" i="32"/>
  <c r="B39" i="32"/>
  <c r="B38" i="32"/>
  <c r="B37" i="32"/>
  <c r="B36" i="32"/>
  <c r="B35" i="32"/>
  <c r="B34" i="32"/>
  <c r="B33" i="32"/>
  <c r="B32" i="32"/>
  <c r="B31" i="32"/>
  <c r="B30" i="32"/>
  <c r="B29" i="32"/>
  <c r="B28" i="32"/>
  <c r="B27" i="32"/>
  <c r="B26" i="32"/>
  <c r="B25" i="32"/>
  <c r="B24" i="32"/>
  <c r="B23" i="32"/>
  <c r="B22" i="32"/>
  <c r="B21" i="32"/>
  <c r="B20" i="32"/>
  <c r="B19" i="32"/>
  <c r="B18" i="32"/>
  <c r="B17" i="32"/>
  <c r="B16" i="32"/>
  <c r="B15" i="32"/>
  <c r="B14" i="32"/>
  <c r="B13" i="32"/>
  <c r="B12" i="32"/>
  <c r="B11" i="32"/>
  <c r="B10" i="32"/>
  <c r="B9" i="32"/>
  <c r="B8" i="32"/>
  <c r="B69" i="31" l="1"/>
  <c r="B68" i="31"/>
  <c r="B67" i="31"/>
  <c r="B66" i="31"/>
  <c r="B65" i="31"/>
  <c r="B64" i="31"/>
  <c r="B63" i="31"/>
  <c r="B62" i="31"/>
  <c r="B61" i="31"/>
  <c r="B60" i="31"/>
  <c r="B59" i="31"/>
  <c r="B58" i="31"/>
  <c r="B57" i="31"/>
  <c r="B56" i="31"/>
  <c r="B55" i="31"/>
  <c r="B54" i="31"/>
  <c r="B53" i="31"/>
  <c r="B52" i="31"/>
  <c r="B51" i="31"/>
  <c r="B50" i="31"/>
  <c r="B49" i="31"/>
  <c r="B48" i="31"/>
  <c r="B47" i="31"/>
  <c r="B46" i="31"/>
  <c r="B45" i="31"/>
  <c r="B44" i="31"/>
  <c r="B43" i="31"/>
  <c r="B42" i="31"/>
  <c r="B41" i="31"/>
  <c r="B40" i="31"/>
  <c r="B39" i="31"/>
  <c r="B38" i="31"/>
  <c r="B37" i="31"/>
  <c r="B36" i="31"/>
  <c r="B35" i="31"/>
  <c r="B34" i="31"/>
  <c r="B33" i="31"/>
  <c r="B32" i="31"/>
  <c r="B31" i="31"/>
  <c r="B30" i="31"/>
  <c r="B29" i="31"/>
  <c r="B28" i="31"/>
  <c r="B27" i="31"/>
  <c r="B26" i="31"/>
  <c r="B25" i="31"/>
  <c r="B24" i="31"/>
  <c r="B23" i="31"/>
  <c r="B22" i="31"/>
  <c r="B21" i="31"/>
  <c r="B20" i="31"/>
  <c r="B19" i="31"/>
  <c r="B18" i="31"/>
  <c r="B17" i="31"/>
  <c r="B16" i="31"/>
  <c r="B15" i="31"/>
  <c r="B14" i="31"/>
  <c r="B13" i="31"/>
  <c r="B12" i="31"/>
  <c r="B11" i="31"/>
  <c r="B10" i="31"/>
  <c r="B9" i="31"/>
  <c r="B8" i="31"/>
  <c r="B28" i="30" l="1"/>
  <c r="B27" i="30"/>
  <c r="B26" i="30"/>
  <c r="B25" i="30"/>
  <c r="B24" i="30"/>
  <c r="B23" i="30"/>
  <c r="B22" i="30"/>
  <c r="B21" i="30"/>
  <c r="B20" i="30"/>
  <c r="B19" i="30"/>
  <c r="B18" i="30"/>
  <c r="B17" i="30"/>
  <c r="B16" i="30"/>
  <c r="B15" i="30"/>
  <c r="B14" i="30"/>
  <c r="B13" i="30"/>
  <c r="B12" i="30"/>
  <c r="B11" i="30"/>
  <c r="B10" i="30"/>
  <c r="B9" i="30"/>
  <c r="B8" i="30"/>
  <c r="P98" i="4" l="1"/>
  <c r="T98" i="4"/>
  <c r="U98" i="4"/>
  <c r="P99" i="4"/>
  <c r="P100" i="4"/>
  <c r="P101" i="4"/>
  <c r="P102" i="4"/>
  <c r="Q102" i="4"/>
  <c r="D13" i="3" l="1"/>
  <c r="P12" i="4" l="1"/>
  <c r="B5" i="11" l="1"/>
  <c r="B3" i="11"/>
  <c r="B4" i="11" s="1"/>
  <c r="B9" i="11" l="1"/>
  <c r="D9" i="11" s="1"/>
  <c r="B6" i="11"/>
  <c r="D23" i="3" s="1"/>
  <c r="D24" i="3"/>
  <c r="D25" i="3"/>
  <c r="D18" i="3"/>
  <c r="B7" i="11" l="1"/>
  <c r="B5" i="33"/>
  <c r="B5" i="31"/>
  <c r="B5" i="32"/>
  <c r="B5" i="30"/>
  <c r="B4" i="32"/>
  <c r="B4" i="33"/>
  <c r="Q2" i="33" s="1"/>
  <c r="B4" i="31"/>
  <c r="B4" i="30"/>
  <c r="B5" i="23"/>
  <c r="B5" i="28"/>
  <c r="B5" i="29"/>
  <c r="B5" i="27"/>
  <c r="B5" i="25"/>
  <c r="B5" i="24"/>
  <c r="G11" i="4"/>
  <c r="B4" i="28"/>
  <c r="B4" i="29"/>
  <c r="B4" i="27"/>
  <c r="B4" i="25"/>
  <c r="B4" i="24"/>
  <c r="G12" i="4"/>
  <c r="B4" i="23"/>
  <c r="B10" i="11"/>
  <c r="D22" i="3"/>
  <c r="B8" i="11" s="1"/>
  <c r="G65" i="31" a="1"/>
  <c r="G55" i="32" a="1"/>
  <c r="L9" i="33" a="1"/>
  <c r="G46" i="31" a="1"/>
  <c r="F33" i="32" a="1"/>
  <c r="F30" i="31" a="1"/>
  <c r="H26" i="31" a="1"/>
  <c r="H9" i="32" a="1"/>
  <c r="F52" i="31" a="1"/>
  <c r="G22" i="32" a="1"/>
  <c r="G28" i="32" a="1"/>
  <c r="E67" i="32" a="1"/>
  <c r="F30" i="32" a="1"/>
  <c r="E19" i="31" a="1"/>
  <c r="E23" i="32" a="1"/>
  <c r="E58" i="32" a="1"/>
  <c r="H41" i="31" a="1"/>
  <c r="H58" i="32" a="1"/>
  <c r="G8" i="32" a="1"/>
  <c r="G15" i="32" a="1"/>
  <c r="H50" i="31" a="1"/>
  <c r="H24" i="31" a="1"/>
  <c r="H39" i="32" a="1"/>
  <c r="H58" i="31" a="1"/>
  <c r="F55" i="31" a="1"/>
  <c r="E47" i="32" a="1"/>
  <c r="E44" i="32" a="1"/>
  <c r="H59" i="32" a="1"/>
  <c r="F27" i="31" a="1"/>
  <c r="F14" i="32" a="1"/>
  <c r="E51" i="31" a="1"/>
  <c r="G62" i="32" a="1"/>
  <c r="G60" i="31" a="1"/>
  <c r="H36" i="31" a="1"/>
  <c r="G32" i="32" a="1"/>
  <c r="E12" i="31" a="1"/>
  <c r="H18" i="32" a="1"/>
  <c r="R10" i="33" a="1"/>
  <c r="F37" i="31" a="1"/>
  <c r="G18" i="32" a="1"/>
  <c r="G69" i="31" a="1"/>
  <c r="F19" i="32" a="1"/>
  <c r="E45" i="32" a="1"/>
  <c r="E62" i="31" a="1"/>
  <c r="E18" i="32" a="1"/>
  <c r="F56" i="31" a="1"/>
  <c r="H48" i="31" a="1"/>
  <c r="E53" i="32" a="1"/>
  <c r="H65" i="31" a="1"/>
  <c r="F84" i="32" a="1"/>
  <c r="F64" i="32" a="1"/>
  <c r="F13" i="31" a="1"/>
  <c r="F8" i="32" a="1"/>
  <c r="E37" i="31" a="1"/>
  <c r="G23" i="31" a="1"/>
  <c r="E54" i="32" a="1"/>
  <c r="E8" i="31" a="1"/>
  <c r="G71" i="32" a="1"/>
  <c r="H24" i="32" a="1"/>
  <c r="H54" i="31" a="1"/>
  <c r="G83" i="32" a="1"/>
  <c r="F18" i="32" a="1"/>
  <c r="H20" i="32" a="1"/>
  <c r="H73" i="32" a="1"/>
  <c r="E41" i="32" a="1"/>
  <c r="G60" i="32" a="1"/>
  <c r="H69" i="32" a="1"/>
  <c r="F40" i="31" a="1"/>
  <c r="G21" i="31" a="1"/>
  <c r="H56" i="32" a="1"/>
  <c r="I10" i="33" a="1"/>
  <c r="H40" i="31" a="1"/>
  <c r="F10" i="32" a="1"/>
  <c r="G24" i="31" a="1"/>
  <c r="E65" i="31" a="1"/>
  <c r="G47" i="32" a="1"/>
  <c r="H47" i="32" a="1"/>
  <c r="O8" i="33" a="1"/>
  <c r="E29" i="32" a="1"/>
  <c r="G56" i="32" a="1"/>
  <c r="H14" i="31" a="1"/>
  <c r="G64" i="31" a="1"/>
  <c r="H13" i="32" a="1"/>
  <c r="G44" i="31" a="1"/>
  <c r="F70" i="32" a="1"/>
  <c r="G85" i="32" a="1"/>
  <c r="E28" i="31" a="1"/>
  <c r="G30" i="32" a="1"/>
  <c r="E63" i="31" a="1"/>
  <c r="J10" i="33" a="1"/>
  <c r="H10" i="33" a="1"/>
  <c r="H64" i="32" a="1"/>
  <c r="E14" i="32" a="1"/>
  <c r="G40" i="32" a="1"/>
  <c r="F46" i="32" a="1"/>
  <c r="G40" i="31" a="1"/>
  <c r="F16" i="32" a="1"/>
  <c r="E64" i="31" a="1"/>
  <c r="G16" i="31" a="1"/>
  <c r="F50" i="31" a="1"/>
  <c r="E22" i="31" a="1"/>
  <c r="H11" i="32" a="1"/>
  <c r="F51" i="31" a="1"/>
  <c r="G80" i="32" a="1"/>
  <c r="F31" i="31" a="1"/>
  <c r="E83" i="32" a="1"/>
  <c r="F24" i="31" a="1"/>
  <c r="M10" i="33" a="1"/>
  <c r="E62" i="32" a="1"/>
  <c r="H40" i="32" a="1"/>
  <c r="F34" i="31" a="1"/>
  <c r="H68" i="31" a="1"/>
  <c r="Q10" i="33" a="1"/>
  <c r="H57" i="32" a="1"/>
  <c r="K10" i="33" a="1"/>
  <c r="F23" i="31" a="1"/>
  <c r="G16" i="32" a="1"/>
  <c r="F11" i="31" a="1"/>
  <c r="G23" i="32" a="1"/>
  <c r="F39" i="32" a="1"/>
  <c r="F33" i="31" a="1"/>
  <c r="F60" i="31" a="1"/>
  <c r="P10" i="33" a="1"/>
  <c r="E79" i="32" a="1"/>
  <c r="E78" i="32" a="1"/>
  <c r="H28" i="31" a="1"/>
  <c r="E59" i="31" a="1"/>
  <c r="E20" i="32" a="1"/>
  <c r="F22" i="32" a="1"/>
  <c r="E33" i="32" a="1"/>
  <c r="E48" i="31" a="1"/>
  <c r="E68" i="31" a="1"/>
  <c r="E57" i="31" a="1"/>
  <c r="F34" i="32" a="1"/>
  <c r="F11" i="32" a="1"/>
  <c r="H47" i="31" a="1"/>
  <c r="G54" i="31" a="1"/>
  <c r="H49" i="32" a="1"/>
  <c r="H42" i="32" a="1"/>
  <c r="E59" i="32" a="1"/>
  <c r="N10" i="33" a="1"/>
  <c r="H23" i="32" a="1"/>
  <c r="S9" i="33" a="1"/>
  <c r="H85" i="32" a="1"/>
  <c r="H51" i="31" a="1"/>
  <c r="E42" i="32" a="1"/>
  <c r="R9" i="33" a="1"/>
  <c r="G14" i="32" a="1"/>
  <c r="G50" i="32" a="1"/>
  <c r="F57" i="31" a="1"/>
  <c r="F69" i="32" a="1"/>
  <c r="F26" i="32" a="1"/>
  <c r="H72" i="32" a="1"/>
  <c r="H8" i="31" a="1"/>
  <c r="E71" i="32" a="1"/>
  <c r="G44" i="32" a="1"/>
  <c r="F24" i="32" a="1"/>
  <c r="G42" i="31" a="1"/>
  <c r="F15" i="32" a="1"/>
  <c r="E75" i="32" a="1"/>
  <c r="Q9" i="33" a="1"/>
  <c r="E30" i="31" a="1"/>
  <c r="F36" i="31" a="1"/>
  <c r="G19" i="31" a="1"/>
  <c r="E36" i="31" a="1"/>
  <c r="E61" i="31" a="1"/>
  <c r="F71" i="32" a="1"/>
  <c r="H63" i="32" a="1"/>
  <c r="E32" i="31" a="1"/>
  <c r="F8" i="31" a="1"/>
  <c r="F63" i="32" a="1"/>
  <c r="G21" i="32" a="1"/>
  <c r="H52" i="32" a="1"/>
  <c r="F9" i="32" a="1"/>
  <c r="H25" i="32" a="1"/>
  <c r="F18" i="31" a="1"/>
  <c r="E42" i="31" a="1"/>
  <c r="E29" i="31" a="1"/>
  <c r="F12" i="31" a="1"/>
  <c r="F32" i="32" a="1"/>
  <c r="F56" i="32" a="1"/>
  <c r="F12" i="32" a="1"/>
  <c r="F38" i="31" a="1"/>
  <c r="H19" i="32" a="1"/>
  <c r="E8" i="33" a="1"/>
  <c r="F52" i="32" a="1"/>
  <c r="E60" i="32" a="1"/>
  <c r="G36" i="32" a="1"/>
  <c r="F61" i="32" a="1"/>
  <c r="H69" i="31" a="1"/>
  <c r="H52" i="31" a="1"/>
  <c r="E13" i="31" a="1"/>
  <c r="F78" i="32" a="1"/>
  <c r="H44" i="32" a="1"/>
  <c r="G50" i="31" a="1"/>
  <c r="F41" i="32" a="1"/>
  <c r="F77" i="32" a="1"/>
  <c r="G11" i="32" a="1"/>
  <c r="S8" i="33" a="1"/>
  <c r="F31" i="32" a="1"/>
  <c r="F53" i="31" a="1"/>
  <c r="H8" i="32" a="1"/>
  <c r="H55" i="32" a="1"/>
  <c r="G35" i="32" a="1"/>
  <c r="H17" i="31" a="1"/>
  <c r="F76" i="32" a="1"/>
  <c r="F48" i="32" a="1"/>
  <c r="H59" i="31" a="1"/>
  <c r="G58" i="31" a="1"/>
  <c r="G51" i="32" a="1"/>
  <c r="S10" i="33" a="1"/>
  <c r="E26" i="31" a="1"/>
  <c r="E18" i="31" a="1"/>
  <c r="H62" i="31" a="1"/>
  <c r="G52" i="32" a="1"/>
  <c r="G29" i="32" a="1"/>
  <c r="G53" i="31" a="1"/>
  <c r="E80" i="32" a="1"/>
  <c r="G41" i="31" a="1"/>
  <c r="G34" i="32" a="1"/>
  <c r="F50" i="32" a="1"/>
  <c r="G58" i="32" a="1"/>
  <c r="H32" i="31" a="1"/>
  <c r="H57" i="31" a="1"/>
  <c r="F68" i="32" a="1"/>
  <c r="F65" i="32" a="1"/>
  <c r="H10" i="31" a="1"/>
  <c r="H11" i="31" a="1"/>
  <c r="F36" i="32" a="1"/>
  <c r="H21" i="32" a="1"/>
  <c r="E11" i="31" a="1"/>
  <c r="E31" i="32" a="1"/>
  <c r="H15" i="31" a="1"/>
  <c r="G79" i="32" a="1"/>
  <c r="H12" i="31" a="1"/>
  <c r="G14" i="31" a="1"/>
  <c r="L10" i="33" a="1"/>
  <c r="E46" i="32" a="1"/>
  <c r="H14" i="32" a="1"/>
  <c r="G62" i="31" a="1"/>
  <c r="G78" i="32" a="1"/>
  <c r="H31" i="32" a="1"/>
  <c r="F43" i="32" a="1"/>
  <c r="G30" i="31" a="1"/>
  <c r="G11" i="31" a="1"/>
  <c r="F55" i="32" a="1"/>
  <c r="F13" i="32" a="1"/>
  <c r="F40" i="32" a="1"/>
  <c r="H74" i="32" a="1"/>
  <c r="G52" i="31" a="1"/>
  <c r="G64" i="32" a="1"/>
  <c r="G42" i="32" a="1"/>
  <c r="E84" i="32" a="1"/>
  <c r="E44" i="31" a="1"/>
  <c r="F53" i="32" a="1"/>
  <c r="F23" i="32" a="1"/>
  <c r="E70" i="32" a="1"/>
  <c r="G24" i="32" a="1"/>
  <c r="H32" i="32" a="1"/>
  <c r="E8" i="32" a="1"/>
  <c r="F35" i="31" a="1"/>
  <c r="E45" i="31" a="1"/>
  <c r="E50" i="31" a="1"/>
  <c r="G10" i="31" a="1"/>
  <c r="G49" i="31" a="1"/>
  <c r="F38" i="32" a="1"/>
  <c r="F54" i="31" a="1"/>
  <c r="E35" i="32" a="1"/>
  <c r="R8" i="33" a="1"/>
  <c r="G75" i="32" a="1"/>
  <c r="H37" i="32" a="1"/>
  <c r="H81" i="32" a="1"/>
  <c r="G17" i="32" a="1"/>
  <c r="F64" i="31" a="1"/>
  <c r="G69" i="32" a="1"/>
  <c r="E56" i="32" a="1"/>
  <c r="T10" i="33" a="1"/>
  <c r="E10" i="33" a="1"/>
  <c r="E74" i="32" a="1"/>
  <c r="E31" i="31" a="1"/>
  <c r="F25" i="31" a="1"/>
  <c r="G74" i="32" a="1"/>
  <c r="H44" i="31" a="1"/>
  <c r="H48" i="32" a="1"/>
  <c r="G45" i="31" a="1"/>
  <c r="F42" i="32" a="1"/>
  <c r="F65" i="31" a="1"/>
  <c r="F49" i="32" a="1"/>
  <c r="F26" i="31" a="1"/>
  <c r="E81" i="32" a="1"/>
  <c r="G57" i="32" a="1"/>
  <c r="E56" i="31" a="1"/>
  <c r="E21" i="31" a="1"/>
  <c r="H9" i="33" a="1"/>
  <c r="G22" i="31" a="1"/>
  <c r="N8" i="33" a="1"/>
  <c r="G29" i="31" a="1"/>
  <c r="F54" i="32" a="1"/>
  <c r="H41" i="32" a="1"/>
  <c r="F66" i="31" a="1"/>
  <c r="F14" i="31" a="1"/>
  <c r="H45" i="32" a="1"/>
  <c r="E40" i="31" a="1"/>
  <c r="F29" i="31" a="1"/>
  <c r="G13" i="31" a="1"/>
  <c r="E47" i="31" a="1"/>
  <c r="E21" i="32" a="1"/>
  <c r="H77" i="32" a="1"/>
  <c r="F17" i="31" a="1"/>
  <c r="G46" i="32" a="1"/>
  <c r="H53" i="31" a="1"/>
  <c r="F10" i="33" a="1"/>
  <c r="H79" i="32" a="1"/>
  <c r="G12" i="31" a="1"/>
  <c r="H61" i="31" a="1"/>
  <c r="H16" i="31" a="1"/>
  <c r="E16" i="31" a="1"/>
  <c r="F73" i="32" a="1"/>
  <c r="E33" i="31" a="1"/>
  <c r="F41" i="31" a="1"/>
  <c r="F57" i="32" a="1"/>
  <c r="H62" i="32" a="1"/>
  <c r="E43" i="31" a="1"/>
  <c r="G61" i="31" a="1"/>
  <c r="H80" i="32" a="1"/>
  <c r="E17" i="31" a="1"/>
  <c r="G18" i="31" a="1"/>
  <c r="E11" i="32" a="1"/>
  <c r="H35" i="32" a="1"/>
  <c r="H60" i="31" a="1"/>
  <c r="E10" i="31" a="1"/>
  <c r="H27" i="32" a="1"/>
  <c r="F22" i="31" a="1"/>
  <c r="E39" i="32" a="1"/>
  <c r="H43" i="31" a="1"/>
  <c r="H38" i="32" a="1"/>
  <c r="H33" i="32" a="1"/>
  <c r="H34" i="32" a="1"/>
  <c r="G20" i="31" a="1"/>
  <c r="H28" i="32" a="1"/>
  <c r="H45" i="31" a="1"/>
  <c r="G38" i="32" a="1"/>
  <c r="E16" i="32" a="1"/>
  <c r="G82" i="32" a="1"/>
  <c r="E39" i="31" a="1"/>
  <c r="G26" i="32" a="1"/>
  <c r="H30" i="31" a="1"/>
  <c r="H43" i="32" a="1"/>
  <c r="H29" i="31" a="1"/>
  <c r="F9" i="31" a="1"/>
  <c r="F80" i="32" a="1"/>
  <c r="E58" i="31" a="1"/>
  <c r="E20" i="31" a="1"/>
  <c r="G38" i="31" a="1"/>
  <c r="G10" i="32" a="1"/>
  <c r="H78" i="32" a="1"/>
  <c r="G39" i="32" a="1"/>
  <c r="E25" i="31" a="1"/>
  <c r="H68" i="32" a="1"/>
  <c r="F29" i="32" a="1"/>
  <c r="F66" i="32" a="1"/>
  <c r="G63" i="32" a="1"/>
  <c r="H19" i="31" a="1"/>
  <c r="G33" i="32" a="1"/>
  <c r="E46" i="31" a="1"/>
  <c r="H29" i="32" a="1"/>
  <c r="E38" i="32" a="1"/>
  <c r="G9" i="33" a="1"/>
  <c r="F28" i="31" a="1"/>
  <c r="H15" i="32" a="1"/>
  <c r="E82" i="32" a="1"/>
  <c r="H66" i="31" a="1"/>
  <c r="G31" i="32" a="1"/>
  <c r="G36" i="31" a="1"/>
  <c r="N9" i="33" a="1"/>
  <c r="G9" i="32" a="1"/>
  <c r="H46" i="31" a="1"/>
  <c r="F51" i="32" a="1"/>
  <c r="F15" i="31" a="1"/>
  <c r="E30" i="32" a="1"/>
  <c r="F28" i="32" a="1"/>
  <c r="G49" i="32" a="1"/>
  <c r="E67" i="31" a="1"/>
  <c r="F60" i="32" a="1"/>
  <c r="G48" i="32" a="1"/>
  <c r="O10" i="33" a="1"/>
  <c r="E9" i="33" a="1"/>
  <c r="H21" i="31" a="1"/>
  <c r="H71" i="32" a="1"/>
  <c r="F63" i="31" a="1"/>
  <c r="F47" i="31" a="1"/>
  <c r="F68" i="31" a="1"/>
  <c r="E57" i="32" a="1"/>
  <c r="F75" i="32" a="1"/>
  <c r="H38" i="31" a="1"/>
  <c r="H65" i="32" a="1"/>
  <c r="H18" i="31" a="1"/>
  <c r="F67" i="32" a="1"/>
  <c r="P9" i="33" a="1"/>
  <c r="E55" i="32" a="1"/>
  <c r="I8" i="33" a="1"/>
  <c r="E73" i="32" a="1"/>
  <c r="G27" i="31" a="1"/>
  <c r="G10" i="33" a="1"/>
  <c r="F16" i="31" a="1"/>
  <c r="H55" i="31" a="1"/>
  <c r="G37" i="31" a="1"/>
  <c r="F25" i="32" a="1"/>
  <c r="F85" i="32" a="1"/>
  <c r="E24" i="31" a="1"/>
  <c r="F43" i="31" a="1"/>
  <c r="G47" i="31" a="1"/>
  <c r="G39" i="31" a="1"/>
  <c r="H50" i="32" a="1"/>
  <c r="E32" i="32" a="1"/>
  <c r="G13" i="32" a="1"/>
  <c r="E49" i="31" a="1"/>
  <c r="G84" i="32" a="1"/>
  <c r="F21" i="31" a="1"/>
  <c r="H76" i="32" a="1"/>
  <c r="E60" i="31" a="1"/>
  <c r="T9" i="33" a="1"/>
  <c r="E69" i="32" a="1"/>
  <c r="G8" i="31" a="1"/>
  <c r="F62" i="31" a="1"/>
  <c r="E68" i="32" a="1"/>
  <c r="G53" i="32" a="1"/>
  <c r="G12" i="32" a="1"/>
  <c r="G45" i="32" a="1"/>
  <c r="H9" i="31" a="1"/>
  <c r="H31" i="31" a="1"/>
  <c r="E38" i="31" a="1"/>
  <c r="H67" i="32" a="1"/>
  <c r="J8" i="33" a="1"/>
  <c r="E40" i="32" a="1"/>
  <c r="H64" i="31" a="1"/>
  <c r="G41" i="32" a="1"/>
  <c r="G35" i="31" a="1"/>
  <c r="G76" i="32" a="1"/>
  <c r="G19" i="32" a="1"/>
  <c r="E72" i="32" a="1"/>
  <c r="F59" i="32" a="1"/>
  <c r="H22" i="32" a="1"/>
  <c r="E55" i="31" a="1"/>
  <c r="E77" i="32" a="1"/>
  <c r="E27" i="31" a="1"/>
  <c r="E76" i="32" a="1"/>
  <c r="E66" i="32" a="1"/>
  <c r="E53" i="31" a="1"/>
  <c r="E63" i="32" a="1"/>
  <c r="H54" i="32" a="1"/>
  <c r="G59" i="31" a="1"/>
  <c r="M8" i="33" a="1"/>
  <c r="E36" i="32" a="1"/>
  <c r="H83" i="32" a="1"/>
  <c r="H82" i="32" a="1"/>
  <c r="F44" i="32" a="1"/>
  <c r="H13" i="31" a="1"/>
  <c r="G9" i="31" a="1"/>
  <c r="H30" i="32" a="1"/>
  <c r="G68" i="32" a="1"/>
  <c r="E85" i="32" a="1"/>
  <c r="E69" i="31" a="1"/>
  <c r="F82" i="32" a="1"/>
  <c r="H35" i="31" a="1"/>
  <c r="G31" i="31" a="1"/>
  <c r="H67" i="31" a="1"/>
  <c r="G65" i="32" a="1"/>
  <c r="E26" i="32" a="1"/>
  <c r="F58" i="32" a="1"/>
  <c r="E12" i="32" a="1"/>
  <c r="F17" i="32" a="1"/>
  <c r="G25" i="31" a="1"/>
  <c r="F39" i="31" a="1"/>
  <c r="G27" i="32" a="1"/>
  <c r="F74" i="32" a="1"/>
  <c r="F42" i="31" a="1"/>
  <c r="F21" i="32" a="1"/>
  <c r="E52" i="31" a="1"/>
  <c r="J9" i="33" a="1"/>
  <c r="F58" i="31" a="1"/>
  <c r="E15" i="32" a="1"/>
  <c r="F20" i="31" a="1"/>
  <c r="G28" i="31" a="1"/>
  <c r="E25" i="32" a="1"/>
  <c r="E41" i="31" a="1"/>
  <c r="G43" i="31" a="1"/>
  <c r="H60" i="32" a="1"/>
  <c r="Q8" i="33" a="1"/>
  <c r="F62" i="32" a="1"/>
  <c r="H53" i="32" a="1"/>
  <c r="F27" i="32" a="1"/>
  <c r="E27" i="32" a="1"/>
  <c r="G32" i="31" a="1"/>
  <c r="H70" i="32" a="1"/>
  <c r="H22" i="31" a="1"/>
  <c r="H25" i="31" a="1"/>
  <c r="E15" i="31" a="1"/>
  <c r="F8" i="33" a="1"/>
  <c r="G48" i="31" a="1"/>
  <c r="F81" i="32" a="1"/>
  <c r="E14" i="31" a="1"/>
  <c r="H23" i="31" a="1"/>
  <c r="G81" i="32" a="1"/>
  <c r="F19" i="31" a="1"/>
  <c r="T8" i="33" a="1"/>
  <c r="L8" i="33" a="1"/>
  <c r="H20" i="31" a="1"/>
  <c r="H49" i="31" a="1"/>
  <c r="E51" i="32" a="1"/>
  <c r="G66" i="32" a="1"/>
  <c r="E52" i="32" a="1"/>
  <c r="G15" i="31" a="1"/>
  <c r="H39" i="31" a="1"/>
  <c r="E13" i="32" a="1"/>
  <c r="E66" i="31" a="1"/>
  <c r="F46" i="31" a="1"/>
  <c r="H37" i="31" a="1"/>
  <c r="F20" i="32" a="1"/>
  <c r="E34" i="32" a="1"/>
  <c r="E65" i="32" a="1"/>
  <c r="E35" i="31" a="1"/>
  <c r="G20" i="32" a="1"/>
  <c r="F35" i="32" a="1"/>
  <c r="G61" i="32" a="1"/>
  <c r="E48" i="32" a="1"/>
  <c r="G43" i="32" a="1"/>
  <c r="G67" i="32" a="1"/>
  <c r="P8" i="33" a="1"/>
  <c r="E22" i="32" a="1"/>
  <c r="E34" i="31" a="1"/>
  <c r="G34" i="31" a="1"/>
  <c r="H26" i="32" a="1"/>
  <c r="F9" i="33" a="1"/>
  <c r="G68" i="31" a="1"/>
  <c r="F45" i="31" a="1"/>
  <c r="H56" i="31" a="1"/>
  <c r="E9" i="31" a="1"/>
  <c r="H10" i="32" a="1"/>
  <c r="G66" i="31" a="1"/>
  <c r="H34" i="31" a="1"/>
  <c r="F32" i="31" a="1"/>
  <c r="F61" i="31" a="1"/>
  <c r="F79" i="32" a="1"/>
  <c r="F47" i="32" a="1"/>
  <c r="G54" i="32" a="1"/>
  <c r="G72" i="32" a="1"/>
  <c r="F37" i="32" a="1"/>
  <c r="E10" i="32" a="1"/>
  <c r="E19" i="32" a="1"/>
  <c r="F67" i="31" a="1"/>
  <c r="H33" i="31" a="1"/>
  <c r="E23" i="31" a="1"/>
  <c r="E49" i="32" a="1"/>
  <c r="H17" i="32" a="1"/>
  <c r="F72" i="32" a="1"/>
  <c r="E50" i="32" a="1"/>
  <c r="H36" i="32" a="1"/>
  <c r="F45" i="32" a="1"/>
  <c r="H51" i="32" a="1"/>
  <c r="E54" i="31" a="1"/>
  <c r="G8" i="33" a="1"/>
  <c r="F69" i="31" a="1"/>
  <c r="E37" i="32" a="1"/>
  <c r="F48" i="31" a="1"/>
  <c r="K9" i="33" a="1"/>
  <c r="G26" i="31" a="1"/>
  <c r="G17" i="31" a="1"/>
  <c r="G77" i="32" a="1"/>
  <c r="H8" i="33" a="1"/>
  <c r="H61" i="32" a="1"/>
  <c r="E24" i="32" a="1"/>
  <c r="G51" i="31" a="1"/>
  <c r="H75" i="32" a="1"/>
  <c r="G56" i="31" a="1"/>
  <c r="G70" i="32" a="1"/>
  <c r="H12" i="32" a="1"/>
  <c r="I9" i="33" a="1"/>
  <c r="F10" i="31" a="1"/>
  <c r="O9" i="33" a="1"/>
  <c r="H27" i="31" a="1"/>
  <c r="G57" i="31" a="1"/>
  <c r="E9" i="32" a="1"/>
  <c r="E61" i="32" a="1"/>
  <c r="H66" i="32" a="1"/>
  <c r="E28" i="32" a="1"/>
  <c r="F49" i="31" a="1"/>
  <c r="H63" i="31" a="1"/>
  <c r="F59" i="31" a="1"/>
  <c r="E17" i="32" a="1"/>
  <c r="G37" i="32" a="1"/>
  <c r="F44" i="31" a="1"/>
  <c r="K8" i="33" a="1"/>
  <c r="H46" i="32" a="1"/>
  <c r="H84" i="32" a="1"/>
  <c r="G63" i="31" a="1"/>
  <c r="M9" i="33" a="1"/>
  <c r="G55" i="31" a="1"/>
  <c r="E43" i="32" a="1"/>
  <c r="F83" i="32" a="1"/>
  <c r="H42" i="31" a="1"/>
  <c r="H16" i="32" a="1"/>
  <c r="G33" i="31" a="1"/>
  <c r="G73" i="32" a="1"/>
  <c r="G67" i="31" a="1"/>
  <c r="G59" i="32" a="1"/>
  <c r="E64" i="32" a="1"/>
  <c r="G25" i="32" a="1"/>
  <c r="H27" i="32" l="1"/>
  <c r="H57" i="32"/>
  <c r="E41" i="31"/>
  <c r="G18" i="31"/>
  <c r="F79" i="32"/>
  <c r="G16" i="32"/>
  <c r="G41" i="32"/>
  <c r="H74" i="32"/>
  <c r="G53" i="32"/>
  <c r="F44" i="31"/>
  <c r="H30" i="31"/>
  <c r="E65" i="31"/>
  <c r="H69" i="31"/>
  <c r="F24" i="32"/>
  <c r="E12" i="32"/>
  <c r="G78" i="32"/>
  <c r="H62" i="31"/>
  <c r="E40" i="32"/>
  <c r="H18" i="32"/>
  <c r="H81" i="32"/>
  <c r="E59" i="31"/>
  <c r="F68" i="31"/>
  <c r="H39" i="32"/>
  <c r="F22" i="31"/>
  <c r="H39" i="31"/>
  <c r="G9" i="33"/>
  <c r="F36" i="32"/>
  <c r="H43" i="31"/>
  <c r="F18" i="32"/>
  <c r="G62" i="31"/>
  <c r="F57" i="31"/>
  <c r="G42" i="32"/>
  <c r="J9" i="33"/>
  <c r="G13" i="32"/>
  <c r="G29" i="32"/>
  <c r="G10" i="33"/>
  <c r="G14" i="32"/>
  <c r="E38" i="32"/>
  <c r="G60" i="31"/>
  <c r="E13" i="31"/>
  <c r="E9" i="31"/>
  <c r="F8" i="33"/>
  <c r="E17" i="32"/>
  <c r="K8" i="33"/>
  <c r="E68" i="32"/>
  <c r="E70" i="32"/>
  <c r="F40" i="32"/>
  <c r="G83" i="32"/>
  <c r="H61" i="31"/>
  <c r="F20" i="31"/>
  <c r="G47" i="32"/>
  <c r="G45" i="31"/>
  <c r="G61" i="32"/>
  <c r="E43" i="31"/>
  <c r="F19" i="31"/>
  <c r="G28" i="32"/>
  <c r="G51" i="32"/>
  <c r="M8" i="33"/>
  <c r="E55" i="31"/>
  <c r="F43" i="31"/>
  <c r="H52" i="31"/>
  <c r="G18" i="32"/>
  <c r="H13" i="32"/>
  <c r="F51" i="32"/>
  <c r="G37" i="32"/>
  <c r="H83" i="32"/>
  <c r="H22" i="31"/>
  <c r="H53" i="31"/>
  <c r="F64" i="31"/>
  <c r="H36" i="32"/>
  <c r="G52" i="32"/>
  <c r="F83" i="32"/>
  <c r="G49" i="32"/>
  <c r="H13" i="31"/>
  <c r="E45" i="31"/>
  <c r="E24" i="32"/>
  <c r="F31" i="32"/>
  <c r="I10" i="33"/>
  <c r="G54" i="32"/>
  <c r="H8" i="32"/>
  <c r="H46" i="31"/>
  <c r="F19" i="32"/>
  <c r="H17" i="31"/>
  <c r="G9" i="32"/>
  <c r="P10" i="33"/>
  <c r="H9" i="33"/>
  <c r="H19" i="32"/>
  <c r="E8" i="32"/>
  <c r="F12" i="32"/>
  <c r="G17" i="31"/>
  <c r="H28" i="32"/>
  <c r="H78" i="32"/>
  <c r="J10" i="33"/>
  <c r="F48" i="31"/>
  <c r="E56" i="32"/>
  <c r="G68" i="32"/>
  <c r="E68" i="31"/>
  <c r="H15" i="32"/>
  <c r="G22" i="31"/>
  <c r="G63" i="31"/>
  <c r="G39" i="32"/>
  <c r="F65" i="31"/>
  <c r="H37" i="31"/>
  <c r="H59" i="32"/>
  <c r="E59" i="32"/>
  <c r="H10" i="33"/>
  <c r="F45" i="31"/>
  <c r="H9" i="32"/>
  <c r="G58" i="31"/>
  <c r="G35" i="31"/>
  <c r="H49" i="31"/>
  <c r="E11" i="31"/>
  <c r="H26" i="31"/>
  <c r="F13" i="31"/>
  <c r="H35" i="32"/>
  <c r="F60" i="31"/>
  <c r="G16" i="31"/>
  <c r="G57" i="31"/>
  <c r="E22" i="31"/>
  <c r="H61" i="32"/>
  <c r="H27" i="31"/>
  <c r="F29" i="31"/>
  <c r="F21" i="31"/>
  <c r="F14" i="32"/>
  <c r="H58" i="32"/>
  <c r="F33" i="31"/>
  <c r="H16" i="31"/>
  <c r="E48" i="31"/>
  <c r="F14" i="31"/>
  <c r="G30" i="32"/>
  <c r="F16" i="32"/>
  <c r="G46" i="31"/>
  <c r="H68" i="32"/>
  <c r="F43" i="32"/>
  <c r="P9" i="33"/>
  <c r="Q9" i="33"/>
  <c r="E69" i="31"/>
  <c r="F48" i="32"/>
  <c r="H12" i="32"/>
  <c r="N10" i="33"/>
  <c r="E35" i="32"/>
  <c r="H47" i="31"/>
  <c r="M9" i="33"/>
  <c r="F58" i="31"/>
  <c r="Q10" i="33"/>
  <c r="H82" i="32"/>
  <c r="H54" i="31"/>
  <c r="F50" i="31"/>
  <c r="E35" i="31"/>
  <c r="G23" i="31"/>
  <c r="G31" i="31"/>
  <c r="E42" i="31"/>
  <c r="H58" i="31"/>
  <c r="E32" i="31"/>
  <c r="F45" i="32"/>
  <c r="G12" i="31"/>
  <c r="G11" i="31"/>
  <c r="F73" i="32"/>
  <c r="H80" i="32"/>
  <c r="G15" i="31"/>
  <c r="E26" i="31"/>
  <c r="G85" i="32"/>
  <c r="F55" i="31"/>
  <c r="H47" i="32"/>
  <c r="F8" i="31"/>
  <c r="R10" i="33"/>
  <c r="E76" i="32"/>
  <c r="H19" i="31"/>
  <c r="F34" i="31"/>
  <c r="E62" i="31"/>
  <c r="G20" i="32"/>
  <c r="H64" i="31"/>
  <c r="G30" i="31"/>
  <c r="H51" i="32"/>
  <c r="G58" i="32"/>
  <c r="G42" i="31"/>
  <c r="E30" i="32"/>
  <c r="H8" i="31"/>
  <c r="G43" i="31"/>
  <c r="E57" i="31"/>
  <c r="F51" i="31"/>
  <c r="P8" i="33"/>
  <c r="F10" i="33"/>
  <c r="E58" i="32"/>
  <c r="G34" i="31"/>
  <c r="G57" i="32"/>
  <c r="E32" i="32"/>
  <c r="E40" i="31"/>
  <c r="R9" i="33"/>
  <c r="F30" i="31"/>
  <c r="F22" i="32"/>
  <c r="H8" i="33"/>
  <c r="G55" i="31"/>
  <c r="F25" i="32"/>
  <c r="E78" i="32"/>
  <c r="E38" i="31"/>
  <c r="E26" i="32"/>
  <c r="H65" i="31"/>
  <c r="E18" i="32"/>
  <c r="G29" i="31"/>
  <c r="E65" i="32"/>
  <c r="E43" i="32"/>
  <c r="G26" i="32"/>
  <c r="E14" i="31"/>
  <c r="E69" i="32"/>
  <c r="E34" i="32"/>
  <c r="G46" i="32"/>
  <c r="E8" i="31"/>
  <c r="G35" i="32"/>
  <c r="H55" i="31"/>
  <c r="G34" i="32"/>
  <c r="F32" i="31"/>
  <c r="E10" i="31"/>
  <c r="G25" i="32"/>
  <c r="H44" i="31"/>
  <c r="E64" i="32"/>
  <c r="G65" i="32"/>
  <c r="Q8" i="33"/>
  <c r="H41" i="32"/>
  <c r="H25" i="32"/>
  <c r="H44" i="32"/>
  <c r="E60" i="32"/>
  <c r="F35" i="31"/>
  <c r="H18" i="31"/>
  <c r="G14" i="31"/>
  <c r="E8" i="33"/>
  <c r="H33" i="31"/>
  <c r="H66" i="32"/>
  <c r="G21" i="32"/>
  <c r="F39" i="31"/>
  <c r="H79" i="32"/>
  <c r="E20" i="31"/>
  <c r="H22" i="32"/>
  <c r="O9" i="33"/>
  <c r="G13" i="31"/>
  <c r="G44" i="32"/>
  <c r="E49" i="31"/>
  <c r="H69" i="32"/>
  <c r="L9" i="33"/>
  <c r="H65" i="32"/>
  <c r="G40" i="32"/>
  <c r="H21" i="32"/>
  <c r="L10" i="33"/>
  <c r="E67" i="31"/>
  <c r="E67" i="32"/>
  <c r="F47" i="32"/>
  <c r="H76" i="32"/>
  <c r="E41" i="32"/>
  <c r="G26" i="31"/>
  <c r="L8" i="33"/>
  <c r="G79" i="32"/>
  <c r="E29" i="31"/>
  <c r="I8" i="33"/>
  <c r="H55" i="32"/>
  <c r="H45" i="32"/>
  <c r="F38" i="32"/>
  <c r="H23" i="31"/>
  <c r="F13" i="32"/>
  <c r="G72" i="32"/>
  <c r="F31" i="31"/>
  <c r="E56" i="31"/>
  <c r="E25" i="32"/>
  <c r="H67" i="32"/>
  <c r="E53" i="31"/>
  <c r="E18" i="31"/>
  <c r="H14" i="32"/>
  <c r="F78" i="32"/>
  <c r="G65" i="31"/>
  <c r="H37" i="32"/>
  <c r="F15" i="32"/>
  <c r="F20" i="32"/>
  <c r="F26" i="32"/>
  <c r="F17" i="32"/>
  <c r="F34" i="32"/>
  <c r="G59" i="31"/>
  <c r="F52" i="31"/>
  <c r="G39" i="31"/>
  <c r="H24" i="32"/>
  <c r="N8" i="33"/>
  <c r="E51" i="31"/>
  <c r="E61" i="31"/>
  <c r="F42" i="31"/>
  <c r="F69" i="31"/>
  <c r="F10" i="31"/>
  <c r="E34" i="31"/>
  <c r="O10" i="33"/>
  <c r="G82" i="32"/>
  <c r="F9" i="32"/>
  <c r="E28" i="32"/>
  <c r="G47" i="31"/>
  <c r="F44" i="32"/>
  <c r="G31" i="32"/>
  <c r="F62" i="32"/>
  <c r="H38" i="32"/>
  <c r="G64" i="31"/>
  <c r="H50" i="32"/>
  <c r="G41" i="31"/>
  <c r="E33" i="32"/>
  <c r="F53" i="32"/>
  <c r="G80" i="32"/>
  <c r="G15" i="32"/>
  <c r="F29" i="32"/>
  <c r="H68" i="31"/>
  <c r="H51" i="31"/>
  <c r="F70" i="32"/>
  <c r="F55" i="32"/>
  <c r="H33" i="32"/>
  <c r="H10" i="31"/>
  <c r="G64" i="32"/>
  <c r="F12" i="31"/>
  <c r="F40" i="31"/>
  <c r="F17" i="31"/>
  <c r="F68" i="32"/>
  <c r="N9" i="33"/>
  <c r="F54" i="31"/>
  <c r="H11" i="31"/>
  <c r="F10" i="32"/>
  <c r="H63" i="32"/>
  <c r="G60" i="32"/>
  <c r="G38" i="32"/>
  <c r="H34" i="32"/>
  <c r="F76" i="32"/>
  <c r="G56" i="32"/>
  <c r="H40" i="31"/>
  <c r="E36" i="32"/>
  <c r="H46" i="32"/>
  <c r="H49" i="32"/>
  <c r="F47" i="31"/>
  <c r="F75" i="32"/>
  <c r="H28" i="31"/>
  <c r="G21" i="31"/>
  <c r="F82" i="32"/>
  <c r="E73" i="32"/>
  <c r="J8" i="33"/>
  <c r="H57" i="31"/>
  <c r="F66" i="32"/>
  <c r="H71" i="32"/>
  <c r="G43" i="32"/>
  <c r="G84" i="32"/>
  <c r="E22" i="32"/>
  <c r="T10" i="33"/>
  <c r="E63" i="32"/>
  <c r="F63" i="31"/>
  <c r="G71" i="32"/>
  <c r="E77" i="32"/>
  <c r="E85" i="32"/>
  <c r="S10" i="33"/>
  <c r="E16" i="31"/>
  <c r="E72" i="32"/>
  <c r="G77" i="32"/>
  <c r="E25" i="31"/>
  <c r="E28" i="31"/>
  <c r="E66" i="32"/>
  <c r="H29" i="31"/>
  <c r="H10" i="32"/>
  <c r="G69" i="31"/>
  <c r="G55" i="32"/>
  <c r="F32" i="32"/>
  <c r="E55" i="32"/>
  <c r="F59" i="32"/>
  <c r="E61" i="32"/>
  <c r="H63" i="31"/>
  <c r="E53" i="32"/>
  <c r="G38" i="31"/>
  <c r="E44" i="31"/>
  <c r="F8" i="32"/>
  <c r="H60" i="32"/>
  <c r="G37" i="31"/>
  <c r="E20" i="32"/>
  <c r="F38" i="31"/>
  <c r="G53" i="31"/>
  <c r="F59" i="31"/>
  <c r="G25" i="31"/>
  <c r="F41" i="31"/>
  <c r="H73" i="32"/>
  <c r="F61" i="31"/>
  <c r="E23" i="32"/>
  <c r="F63" i="32"/>
  <c r="F60" i="32"/>
  <c r="F85" i="32"/>
  <c r="H56" i="32"/>
  <c r="H56" i="31"/>
  <c r="G73" i="32"/>
  <c r="E39" i="32"/>
  <c r="F61" i="32"/>
  <c r="E50" i="32"/>
  <c r="H41" i="31"/>
  <c r="F46" i="32"/>
  <c r="H11" i="32"/>
  <c r="E19" i="32"/>
  <c r="G70" i="32"/>
  <c r="H72" i="32"/>
  <c r="G8" i="31"/>
  <c r="F56" i="32"/>
  <c r="E21" i="31"/>
  <c r="H20" i="31"/>
  <c r="E58" i="31"/>
  <c r="H24" i="31"/>
  <c r="F15" i="31"/>
  <c r="G52" i="31"/>
  <c r="F81" i="32"/>
  <c r="G22" i="32"/>
  <c r="F71" i="32"/>
  <c r="E24" i="31"/>
  <c r="F50" i="32"/>
  <c r="H64" i="32"/>
  <c r="E46" i="32"/>
  <c r="F66" i="31"/>
  <c r="G36" i="32"/>
  <c r="F64" i="32"/>
  <c r="F39" i="32"/>
  <c r="E66" i="31"/>
  <c r="E12" i="31"/>
  <c r="G24" i="32"/>
  <c r="G23" i="32"/>
  <c r="F65" i="32"/>
  <c r="G36" i="31"/>
  <c r="E51" i="32"/>
  <c r="G24" i="31"/>
  <c r="F54" i="32"/>
  <c r="E9" i="33"/>
  <c r="H54" i="32"/>
  <c r="F57" i="32"/>
  <c r="G40" i="31"/>
  <c r="E52" i="32"/>
  <c r="G66" i="32"/>
  <c r="E9" i="32"/>
  <c r="F25" i="31"/>
  <c r="F37" i="32"/>
  <c r="E44" i="32"/>
  <c r="F9" i="31"/>
  <c r="M10" i="33"/>
  <c r="F23" i="31"/>
  <c r="E15" i="32"/>
  <c r="E64" i="31"/>
  <c r="E37" i="32"/>
  <c r="H67" i="31"/>
  <c r="E10" i="33"/>
  <c r="F46" i="31"/>
  <c r="H15" i="31"/>
  <c r="H42" i="32"/>
  <c r="E19" i="31"/>
  <c r="E21" i="32"/>
  <c r="F35" i="32"/>
  <c r="F9" i="33"/>
  <c r="F67" i="31"/>
  <c r="H32" i="31"/>
  <c r="G68" i="31"/>
  <c r="G44" i="31"/>
  <c r="E49" i="32"/>
  <c r="H35" i="31"/>
  <c r="G17" i="32"/>
  <c r="H36" i="31"/>
  <c r="F72" i="32"/>
  <c r="G69" i="32"/>
  <c r="F23" i="32"/>
  <c r="F27" i="31"/>
  <c r="K9" i="33"/>
  <c r="E31" i="32"/>
  <c r="G67" i="32"/>
  <c r="G8" i="33"/>
  <c r="H85" i="32"/>
  <c r="T8" i="33"/>
  <c r="F52" i="32"/>
  <c r="H50" i="31"/>
  <c r="G67" i="31"/>
  <c r="R8" i="33"/>
  <c r="H31" i="31"/>
  <c r="E54" i="31"/>
  <c r="H38" i="31"/>
  <c r="G63" i="32"/>
  <c r="G66" i="31"/>
  <c r="F49" i="32"/>
  <c r="E48" i="32"/>
  <c r="H25" i="31"/>
  <c r="E33" i="31"/>
  <c r="F41" i="32"/>
  <c r="F42" i="32"/>
  <c r="E14" i="32"/>
  <c r="H42" i="31"/>
  <c r="E57" i="32"/>
  <c r="F18" i="31"/>
  <c r="F69" i="32"/>
  <c r="H12" i="31"/>
  <c r="G49" i="31"/>
  <c r="E30" i="31"/>
  <c r="G12" i="32"/>
  <c r="S8" i="33"/>
  <c r="H52" i="32"/>
  <c r="E36" i="31"/>
  <c r="E82" i="32"/>
  <c r="H48" i="31"/>
  <c r="E31" i="31"/>
  <c r="G11" i="32"/>
  <c r="H66" i="31"/>
  <c r="G74" i="32"/>
  <c r="E75" i="32"/>
  <c r="G33" i="32"/>
  <c r="G8" i="32"/>
  <c r="H77" i="32"/>
  <c r="E60" i="31"/>
  <c r="E63" i="31"/>
  <c r="G81" i="32"/>
  <c r="G27" i="32"/>
  <c r="G33" i="31"/>
  <c r="E74" i="32"/>
  <c r="E52" i="31"/>
  <c r="E45" i="32"/>
  <c r="G54" i="31"/>
  <c r="H45" i="31"/>
  <c r="E62" i="32"/>
  <c r="K10" i="33"/>
  <c r="F28" i="32"/>
  <c r="H16" i="32"/>
  <c r="F74" i="32"/>
  <c r="E29" i="32"/>
  <c r="G9" i="31"/>
  <c r="F11" i="32"/>
  <c r="H84" i="32"/>
  <c r="G28" i="31"/>
  <c r="E46" i="31"/>
  <c r="G32" i="32"/>
  <c r="G59" i="32"/>
  <c r="F30" i="32"/>
  <c r="G27" i="31"/>
  <c r="H62" i="32"/>
  <c r="F80" i="32"/>
  <c r="E47" i="32"/>
  <c r="G19" i="32"/>
  <c r="H23" i="32"/>
  <c r="F16" i="31"/>
  <c r="E71" i="32"/>
  <c r="E84" i="32"/>
  <c r="S9" i="33"/>
  <c r="H59" i="31"/>
  <c r="F49" i="31"/>
  <c r="H14" i="31"/>
  <c r="E37" i="31"/>
  <c r="H20" i="32"/>
  <c r="F58" i="32"/>
  <c r="E39" i="31"/>
  <c r="E11" i="32"/>
  <c r="H29" i="32"/>
  <c r="H17" i="32"/>
  <c r="G48" i="32"/>
  <c r="G50" i="32"/>
  <c r="E15" i="31"/>
  <c r="F56" i="31"/>
  <c r="H31" i="32"/>
  <c r="F36" i="31"/>
  <c r="G61" i="31"/>
  <c r="F26" i="31"/>
  <c r="H26" i="32"/>
  <c r="O8" i="33"/>
  <c r="F27" i="32"/>
  <c r="F77" i="32"/>
  <c r="E23" i="31"/>
  <c r="G50" i="31"/>
  <c r="F62" i="31"/>
  <c r="H9" i="31"/>
  <c r="G76" i="32"/>
  <c r="F24" i="31"/>
  <c r="H53" i="32"/>
  <c r="G75" i="32"/>
  <c r="H75" i="32"/>
  <c r="E50" i="31"/>
  <c r="H48" i="32"/>
  <c r="F11" i="31"/>
  <c r="G62" i="32"/>
  <c r="E27" i="32"/>
  <c r="G19" i="31"/>
  <c r="H32" i="32"/>
  <c r="H70" i="32"/>
  <c r="G48" i="31"/>
  <c r="F84" i="32"/>
  <c r="T9" i="33"/>
  <c r="F53" i="31"/>
  <c r="G45" i="32"/>
  <c r="E80" i="32"/>
  <c r="G10" i="31"/>
  <c r="E47" i="31"/>
  <c r="E79" i="32"/>
  <c r="H30" i="32"/>
  <c r="H43" i="32"/>
  <c r="E42" i="32"/>
  <c r="F37" i="31"/>
  <c r="G56" i="31"/>
  <c r="E10" i="32"/>
  <c r="H34" i="31"/>
  <c r="I9" i="33"/>
  <c r="E81" i="32"/>
  <c r="H21" i="31"/>
  <c r="H60" i="31"/>
  <c r="F28" i="31"/>
  <c r="E83" i="32"/>
  <c r="G51" i="31"/>
  <c r="E54" i="32"/>
  <c r="F67" i="32"/>
  <c r="E27" i="31"/>
  <c r="H40" i="32"/>
  <c r="E13" i="32"/>
  <c r="G10" i="32"/>
  <c r="E16" i="32"/>
  <c r="G32" i="31"/>
  <c r="F21" i="32"/>
  <c r="G20" i="31"/>
  <c r="E17" i="31"/>
  <c r="F33" i="32"/>
  <c r="B53" i="4"/>
  <c r="B120" i="4"/>
  <c r="B119" i="4"/>
  <c r="F2" i="31"/>
  <c r="F2" i="30"/>
  <c r="B50" i="4"/>
  <c r="B51" i="4"/>
  <c r="B52" i="4"/>
  <c r="G52" i="4" s="1"/>
  <c r="F2" i="32"/>
  <c r="B68" i="4"/>
  <c r="B69" i="4"/>
  <c r="B70" i="4"/>
  <c r="B71" i="4"/>
  <c r="B58" i="4"/>
  <c r="B61" i="4"/>
  <c r="B67" i="4"/>
  <c r="B63" i="4"/>
  <c r="B59" i="4"/>
  <c r="B62" i="4"/>
  <c r="B64" i="4"/>
  <c r="B65" i="4"/>
  <c r="B66" i="4"/>
  <c r="B60" i="4"/>
  <c r="B57" i="4"/>
  <c r="B14" i="4"/>
  <c r="B99" i="4"/>
  <c r="B100" i="4"/>
  <c r="B101" i="4"/>
  <c r="B105" i="4"/>
  <c r="B102" i="4"/>
  <c r="B103" i="4"/>
  <c r="B104" i="4"/>
  <c r="B38" i="4"/>
  <c r="B40" i="4"/>
  <c r="B20" i="4"/>
  <c r="B109" i="4"/>
  <c r="B138" i="4"/>
  <c r="B137" i="4"/>
  <c r="B128" i="4"/>
  <c r="B45" i="4"/>
  <c r="B126" i="4"/>
  <c r="B124" i="4"/>
  <c r="B125" i="4"/>
  <c r="B30" i="4"/>
  <c r="B42" i="4"/>
  <c r="B89" i="4"/>
  <c r="B13" i="4"/>
  <c r="B18" i="4"/>
  <c r="B88" i="4"/>
  <c r="B46" i="4"/>
  <c r="B81" i="4"/>
  <c r="B17" i="4"/>
  <c r="B92" i="4"/>
  <c r="B23" i="4"/>
  <c r="B33" i="4"/>
  <c r="B41" i="4"/>
  <c r="B44" i="4"/>
  <c r="B97" i="4"/>
  <c r="B142" i="4"/>
  <c r="B39" i="4"/>
  <c r="B16" i="4"/>
  <c r="B131" i="4"/>
  <c r="B141" i="4"/>
  <c r="B118" i="4"/>
  <c r="B122" i="4"/>
  <c r="B96" i="4"/>
  <c r="B78" i="4"/>
  <c r="B117" i="4"/>
  <c r="B121" i="4"/>
  <c r="B49" i="4"/>
  <c r="B140" i="4"/>
  <c r="B36" i="4"/>
  <c r="B37" i="4"/>
  <c r="B130" i="4"/>
  <c r="B76" i="4"/>
  <c r="B144" i="4"/>
  <c r="B115" i="4"/>
  <c r="B19" i="4"/>
  <c r="B108" i="4"/>
  <c r="B34" i="4"/>
  <c r="B48" i="4"/>
  <c r="B93" i="4"/>
  <c r="B28" i="4"/>
  <c r="B113" i="4"/>
  <c r="B94" i="4"/>
  <c r="B127" i="4"/>
  <c r="B26" i="4"/>
  <c r="B112" i="4"/>
  <c r="B47" i="4"/>
  <c r="B91" i="4"/>
  <c r="B116" i="4"/>
  <c r="B74" i="4"/>
  <c r="B90" i="4"/>
  <c r="B82" i="4"/>
  <c r="B43" i="4"/>
  <c r="B72" i="4"/>
  <c r="B35" i="4"/>
  <c r="B80" i="4"/>
  <c r="B134" i="4"/>
  <c r="B32" i="4"/>
  <c r="B31" i="4"/>
  <c r="B133" i="4"/>
  <c r="B77" i="4"/>
  <c r="B110" i="4"/>
  <c r="B29" i="4"/>
  <c r="B132" i="4"/>
  <c r="B75" i="4"/>
  <c r="B27" i="4"/>
  <c r="B85" i="4"/>
  <c r="B24" i="4"/>
  <c r="B21" i="4"/>
  <c r="B136" i="4"/>
  <c r="B95" i="4"/>
  <c r="B73" i="4"/>
  <c r="B106" i="4"/>
  <c r="B114" i="4"/>
  <c r="B135" i="4"/>
  <c r="B15" i="4"/>
  <c r="B143" i="4"/>
  <c r="B79" i="4"/>
  <c r="B56" i="4"/>
  <c r="B111" i="4"/>
  <c r="B25" i="4"/>
  <c r="B123" i="4"/>
  <c r="B55" i="4"/>
  <c r="B139" i="4"/>
  <c r="B87" i="4"/>
  <c r="B86" i="4"/>
  <c r="B54" i="4"/>
  <c r="B107" i="4"/>
  <c r="B84" i="4"/>
  <c r="B83" i="4"/>
  <c r="B22" i="4"/>
  <c r="B129" i="4"/>
  <c r="D12" i="11"/>
  <c r="G61" i="4"/>
  <c r="G57" i="4"/>
  <c r="G58" i="4"/>
  <c r="G60" i="4"/>
  <c r="G64" i="4"/>
  <c r="G120" i="4"/>
  <c r="G63" i="4"/>
  <c r="G62" i="4"/>
  <c r="G59" i="4"/>
  <c r="B84" i="13" l="1"/>
  <c r="W54" i="13" s="1"/>
  <c r="B91" i="37"/>
  <c r="B84" i="34"/>
  <c r="W54" i="34" s="1"/>
  <c r="G70" i="4"/>
  <c r="G71" i="4"/>
  <c r="G69" i="4"/>
  <c r="G68" i="4"/>
  <c r="E66" i="4"/>
  <c r="E62" i="4"/>
  <c r="E64" i="4"/>
  <c r="E60" i="4"/>
  <c r="D33" i="3"/>
  <c r="D32" i="3"/>
  <c r="D31" i="3"/>
  <c r="D30" i="3"/>
  <c r="D29" i="3"/>
  <c r="D28" i="3"/>
  <c r="D26" i="3"/>
  <c r="D21" i="3"/>
  <c r="D27" i="3"/>
  <c r="D20" i="3"/>
  <c r="D19" i="3"/>
  <c r="G10" i="4" s="1"/>
  <c r="D10" i="3"/>
  <c r="C91" i="37" l="1"/>
  <c r="B92" i="37" s="1"/>
  <c r="B93" i="37" s="1"/>
  <c r="N19" i="37" s="1"/>
  <c r="W58" i="37"/>
  <c r="C84" i="34"/>
  <c r="X54" i="34" s="1"/>
  <c r="I34" i="35"/>
  <c r="I34" i="39"/>
  <c r="I52" i="37"/>
  <c r="I34" i="21"/>
  <c r="I48" i="34"/>
  <c r="I48" i="13"/>
  <c r="B6" i="39"/>
  <c r="B6" i="38"/>
  <c r="B6" i="37"/>
  <c r="I53" i="35"/>
  <c r="I53" i="39"/>
  <c r="B6" i="35"/>
  <c r="B6" i="34"/>
  <c r="B6" i="36"/>
  <c r="B2" i="11"/>
  <c r="U56" i="4"/>
  <c r="B6" i="19"/>
  <c r="B6" i="21"/>
  <c r="B6" i="13"/>
  <c r="X58" i="37" l="1"/>
  <c r="B85" i="34"/>
  <c r="B86" i="34" s="1"/>
  <c r="N19" i="34" s="1"/>
  <c r="F72" i="37"/>
  <c r="F48" i="39"/>
  <c r="F67" i="34"/>
  <c r="F48" i="35"/>
  <c r="V84" i="2"/>
  <c r="V85" i="2"/>
  <c r="V86" i="2"/>
  <c r="V87" i="2"/>
  <c r="V88" i="2"/>
  <c r="V1592" i="2"/>
  <c r="V2417" i="2"/>
  <c r="V255" i="2"/>
  <c r="B115" i="13"/>
  <c r="E115" i="13"/>
  <c r="F115" i="13"/>
  <c r="P96" i="4"/>
  <c r="P95" i="4"/>
  <c r="P93" i="4"/>
  <c r="P94" i="4"/>
  <c r="P92" i="4"/>
  <c r="P91" i="4"/>
  <c r="B60" i="29" l="1"/>
  <c r="B61" i="29"/>
  <c r="B62" i="29"/>
  <c r="B63" i="29"/>
  <c r="B64" i="29"/>
  <c r="B65" i="29"/>
  <c r="B66" i="29"/>
  <c r="B67" i="29"/>
  <c r="B68" i="29"/>
  <c r="B69" i="29"/>
  <c r="B70" i="29"/>
  <c r="B71" i="29"/>
  <c r="B72" i="29"/>
  <c r="B73" i="29"/>
  <c r="B74" i="29"/>
  <c r="B75" i="29"/>
  <c r="B76" i="29"/>
  <c r="B77" i="29"/>
  <c r="B78" i="29"/>
  <c r="B79" i="29"/>
  <c r="B80" i="29"/>
  <c r="B81" i="29"/>
  <c r="B82" i="29"/>
  <c r="B83" i="29"/>
  <c r="B84" i="29"/>
  <c r="B85" i="29"/>
  <c r="B86" i="29"/>
  <c r="B87" i="29"/>
  <c r="B88" i="29"/>
  <c r="B89" i="29"/>
  <c r="B90" i="29"/>
  <c r="B91" i="29"/>
  <c r="B92" i="29"/>
  <c r="B93" i="29"/>
  <c r="B94" i="29"/>
  <c r="B95" i="29"/>
  <c r="B96" i="29"/>
  <c r="B97" i="29"/>
  <c r="B98" i="29"/>
  <c r="B99" i="29"/>
  <c r="B100" i="29"/>
  <c r="B101" i="29"/>
  <c r="B102" i="29"/>
  <c r="B103" i="29"/>
  <c r="B104" i="29"/>
  <c r="B105" i="29"/>
  <c r="B106" i="29"/>
  <c r="B107" i="29"/>
  <c r="B108" i="29"/>
  <c r="B109" i="29"/>
  <c r="B110" i="29"/>
  <c r="B111" i="29"/>
  <c r="B112" i="29"/>
  <c r="B113" i="29"/>
  <c r="B114" i="29"/>
  <c r="B115" i="29"/>
  <c r="B116" i="29"/>
  <c r="B117" i="29"/>
  <c r="B118" i="29"/>
  <c r="B119" i="29"/>
  <c r="B120" i="29"/>
  <c r="B121" i="29"/>
  <c r="B122" i="29"/>
  <c r="B123" i="29"/>
  <c r="B124" i="29"/>
  <c r="B125" i="29"/>
  <c r="B126" i="29"/>
  <c r="B127" i="29"/>
  <c r="B128" i="29"/>
  <c r="B129" i="29"/>
  <c r="B130" i="29"/>
  <c r="B131" i="29"/>
  <c r="B132" i="29"/>
  <c r="B133" i="29"/>
  <c r="B134" i="29"/>
  <c r="B135" i="29"/>
  <c r="B136" i="29"/>
  <c r="B137" i="29"/>
  <c r="B138" i="29"/>
  <c r="B139" i="29"/>
  <c r="B140" i="29"/>
  <c r="B141" i="29"/>
  <c r="B142" i="29"/>
  <c r="B143" i="29"/>
  <c r="B144" i="29"/>
  <c r="B145" i="29"/>
  <c r="B146" i="29"/>
  <c r="B147" i="29"/>
  <c r="B148" i="29"/>
  <c r="B149" i="29"/>
  <c r="B150" i="29"/>
  <c r="B151" i="29"/>
  <c r="B152" i="29"/>
  <c r="B153" i="29"/>
  <c r="B154" i="29"/>
  <c r="B155" i="29"/>
  <c r="B156" i="29"/>
  <c r="B157" i="29"/>
  <c r="B158" i="29"/>
  <c r="B159" i="29"/>
  <c r="B160" i="29"/>
  <c r="B161" i="29"/>
  <c r="B162" i="29"/>
  <c r="B163" i="29"/>
  <c r="B164" i="29"/>
  <c r="B165" i="29"/>
  <c r="B166" i="29"/>
  <c r="B167" i="29"/>
  <c r="B168" i="29"/>
  <c r="B169" i="29"/>
  <c r="B170" i="29"/>
  <c r="B171" i="29"/>
  <c r="B172" i="29"/>
  <c r="B173" i="29"/>
  <c r="B174" i="29"/>
  <c r="B175" i="29"/>
  <c r="B176" i="29"/>
  <c r="B177" i="29"/>
  <c r="B178" i="29"/>
  <c r="B179" i="29"/>
  <c r="B180" i="29"/>
  <c r="B181" i="29"/>
  <c r="B182" i="29"/>
  <c r="B183" i="29"/>
  <c r="B184" i="29"/>
  <c r="B185" i="29"/>
  <c r="B186" i="29"/>
  <c r="B187" i="29"/>
  <c r="B188" i="29"/>
  <c r="B189" i="29"/>
  <c r="B190" i="29"/>
  <c r="B191" i="29"/>
  <c r="B192" i="29"/>
  <c r="B193" i="29"/>
  <c r="B194" i="29"/>
  <c r="B195" i="29"/>
  <c r="B196" i="29"/>
  <c r="B197" i="29"/>
  <c r="B198" i="29"/>
  <c r="B199" i="29"/>
  <c r="B200" i="29"/>
  <c r="B201" i="29"/>
  <c r="B202" i="29"/>
  <c r="B203" i="29"/>
  <c r="B204" i="29"/>
  <c r="B205" i="29"/>
  <c r="B206" i="29"/>
  <c r="B207" i="29"/>
  <c r="B208" i="29"/>
  <c r="B209" i="29"/>
  <c r="B210" i="29"/>
  <c r="B211" i="29"/>
  <c r="B212" i="29"/>
  <c r="B213" i="29"/>
  <c r="B214" i="29"/>
  <c r="B215" i="29"/>
  <c r="B216" i="29"/>
  <c r="B217" i="29"/>
  <c r="B218" i="29"/>
  <c r="B219" i="29"/>
  <c r="B220" i="29"/>
  <c r="B221" i="29"/>
  <c r="B222" i="29"/>
  <c r="B223" i="29"/>
  <c r="B224" i="29"/>
  <c r="B225" i="29"/>
  <c r="B226" i="29"/>
  <c r="B227" i="29"/>
  <c r="B228" i="29"/>
  <c r="B229" i="29"/>
  <c r="B230" i="29"/>
  <c r="B231" i="29"/>
  <c r="B232" i="29"/>
  <c r="B233" i="29"/>
  <c r="B234" i="29"/>
  <c r="B235" i="29"/>
  <c r="B236" i="29"/>
  <c r="B237" i="29"/>
  <c r="B238" i="29"/>
  <c r="B239" i="29"/>
  <c r="B240" i="29"/>
  <c r="B241" i="29"/>
  <c r="B242" i="29"/>
  <c r="B243" i="29"/>
  <c r="B244" i="29"/>
  <c r="B245" i="29"/>
  <c r="B246" i="29"/>
  <c r="B247" i="29"/>
  <c r="B248" i="29"/>
  <c r="B249" i="29"/>
  <c r="B250" i="29"/>
  <c r="B251" i="29"/>
  <c r="B252" i="29"/>
  <c r="B253" i="29"/>
  <c r="B254" i="29"/>
  <c r="B255" i="29"/>
  <c r="B256" i="29"/>
  <c r="B257" i="29"/>
  <c r="B258" i="29"/>
  <c r="B259" i="29"/>
  <c r="B260" i="29"/>
  <c r="B261" i="29"/>
  <c r="B262" i="29"/>
  <c r="B263" i="29"/>
  <c r="B264" i="29"/>
  <c r="B265" i="29"/>
  <c r="B266" i="29"/>
  <c r="B267" i="29"/>
  <c r="B268" i="29"/>
  <c r="B269" i="29"/>
  <c r="B270" i="29"/>
  <c r="B271" i="29"/>
  <c r="B272" i="29"/>
  <c r="B273" i="29"/>
  <c r="B274" i="29"/>
  <c r="B275" i="29"/>
  <c r="B276" i="29"/>
  <c r="B277" i="29"/>
  <c r="B278" i="29"/>
  <c r="B279" i="29"/>
  <c r="B280" i="29"/>
  <c r="B281" i="29"/>
  <c r="B282" i="29"/>
  <c r="B283" i="29"/>
  <c r="B284" i="29"/>
  <c r="B285" i="29"/>
  <c r="B286" i="29"/>
  <c r="B287" i="29"/>
  <c r="B288" i="29"/>
  <c r="B289" i="29"/>
  <c r="B290" i="29"/>
  <c r="B291" i="29"/>
  <c r="B292" i="29"/>
  <c r="B293" i="29"/>
  <c r="B294" i="29"/>
  <c r="B295" i="29"/>
  <c r="B296" i="29"/>
  <c r="B297" i="29"/>
  <c r="B298" i="29"/>
  <c r="B299" i="29"/>
  <c r="B300" i="29"/>
  <c r="B301" i="29"/>
  <c r="B302" i="29"/>
  <c r="B303" i="29"/>
  <c r="B304" i="29"/>
  <c r="B305" i="29"/>
  <c r="B306" i="29"/>
  <c r="B307" i="29"/>
  <c r="B308" i="29"/>
  <c r="B309" i="29"/>
  <c r="B310" i="29"/>
  <c r="B311" i="29"/>
  <c r="B312" i="29"/>
  <c r="B313" i="29"/>
  <c r="B314" i="29"/>
  <c r="B315" i="29"/>
  <c r="B316" i="29"/>
  <c r="B317" i="29"/>
  <c r="B318" i="29"/>
  <c r="B319" i="29"/>
  <c r="B320" i="29"/>
  <c r="B321" i="29"/>
  <c r="B322" i="29"/>
  <c r="B323" i="29"/>
  <c r="B324" i="29"/>
  <c r="B325" i="29"/>
  <c r="B326" i="29"/>
  <c r="B327" i="29"/>
  <c r="B328" i="29"/>
  <c r="B329" i="29"/>
  <c r="B330" i="29"/>
  <c r="B331" i="29"/>
  <c r="B332" i="29"/>
  <c r="B333" i="29"/>
  <c r="B334" i="29"/>
  <c r="B335" i="29"/>
  <c r="B336" i="29"/>
  <c r="B337" i="29"/>
  <c r="B338" i="29"/>
  <c r="B339" i="29"/>
  <c r="B340" i="29"/>
  <c r="B341" i="29"/>
  <c r="B342" i="29"/>
  <c r="B343" i="29"/>
  <c r="B344" i="29"/>
  <c r="B345" i="29"/>
  <c r="B346" i="29"/>
  <c r="B347" i="29"/>
  <c r="B348" i="29"/>
  <c r="B349" i="29"/>
  <c r="B350" i="29"/>
  <c r="B351" i="29"/>
  <c r="B352" i="29"/>
  <c r="B353" i="29"/>
  <c r="B354" i="29"/>
  <c r="B355" i="29"/>
  <c r="B356" i="29"/>
  <c r="B357" i="29"/>
  <c r="B358" i="29"/>
  <c r="B359" i="29"/>
  <c r="B360" i="29"/>
  <c r="B361" i="29"/>
  <c r="B362" i="29"/>
  <c r="B363" i="29"/>
  <c r="B364" i="29"/>
  <c r="B365" i="29"/>
  <c r="B366" i="29"/>
  <c r="B367" i="29"/>
  <c r="B368" i="29"/>
  <c r="B369" i="29"/>
  <c r="B370" i="29"/>
  <c r="B371" i="29"/>
  <c r="B372" i="29"/>
  <c r="B373" i="29"/>
  <c r="B374" i="29"/>
  <c r="B375" i="29"/>
  <c r="B376" i="29"/>
  <c r="B377" i="29"/>
  <c r="B378" i="29"/>
  <c r="B379" i="29"/>
  <c r="B380" i="29"/>
  <c r="B381" i="29"/>
  <c r="B382" i="29"/>
  <c r="B383" i="29"/>
  <c r="B384" i="29"/>
  <c r="B385" i="29"/>
  <c r="B386" i="29"/>
  <c r="B387" i="29"/>
  <c r="B388" i="29"/>
  <c r="B389" i="29"/>
  <c r="B390" i="29"/>
  <c r="B391" i="29"/>
  <c r="B392" i="29"/>
  <c r="B393" i="29"/>
  <c r="B394" i="29"/>
  <c r="B395" i="29"/>
  <c r="B396" i="29"/>
  <c r="B397" i="29"/>
  <c r="B398" i="29"/>
  <c r="B399" i="29"/>
  <c r="B400" i="29"/>
  <c r="B401" i="29"/>
  <c r="B402" i="29"/>
  <c r="B403" i="29"/>
  <c r="B404" i="29"/>
  <c r="B405" i="29"/>
  <c r="B406" i="29"/>
  <c r="B407" i="29"/>
  <c r="B408" i="29"/>
  <c r="B409" i="29"/>
  <c r="B410" i="29"/>
  <c r="B411" i="29"/>
  <c r="B412" i="29"/>
  <c r="B413" i="29"/>
  <c r="B414" i="29"/>
  <c r="B415" i="29"/>
  <c r="B416" i="29"/>
  <c r="B417" i="29"/>
  <c r="B418" i="29"/>
  <c r="B419" i="29"/>
  <c r="B420" i="29"/>
  <c r="B421" i="29"/>
  <c r="B422" i="29"/>
  <c r="B423" i="29"/>
  <c r="B424" i="29"/>
  <c r="B425" i="29"/>
  <c r="B426" i="29"/>
  <c r="B427" i="29"/>
  <c r="B428" i="29"/>
  <c r="B429" i="29"/>
  <c r="B430" i="29"/>
  <c r="B431" i="29"/>
  <c r="B432" i="29"/>
  <c r="B433" i="29"/>
  <c r="B434" i="29"/>
  <c r="B435" i="29"/>
  <c r="B436" i="29"/>
  <c r="B437" i="29"/>
  <c r="B438" i="29"/>
  <c r="B439" i="29"/>
  <c r="B440" i="29"/>
  <c r="B441" i="29"/>
  <c r="B442" i="29"/>
  <c r="B443" i="29"/>
  <c r="B444" i="29"/>
  <c r="B445" i="29"/>
  <c r="B446" i="29"/>
  <c r="B447" i="29"/>
  <c r="B448" i="29"/>
  <c r="B449" i="29"/>
  <c r="B450" i="29"/>
  <c r="B451" i="29"/>
  <c r="B452" i="29"/>
  <c r="B453" i="29"/>
  <c r="B454" i="29"/>
  <c r="B455" i="29"/>
  <c r="B456" i="29"/>
  <c r="B457" i="29"/>
  <c r="B458" i="29"/>
  <c r="B459" i="29"/>
  <c r="B460" i="29"/>
  <c r="B461" i="29"/>
  <c r="B462" i="29"/>
  <c r="B463" i="29"/>
  <c r="B464" i="29"/>
  <c r="B465" i="29"/>
  <c r="B466" i="29"/>
  <c r="B467" i="29"/>
  <c r="B468" i="29"/>
  <c r="B469" i="29"/>
  <c r="B470" i="29"/>
  <c r="B471" i="29"/>
  <c r="B472" i="29"/>
  <c r="B473" i="29"/>
  <c r="B474" i="29"/>
  <c r="B475" i="29"/>
  <c r="B476" i="29"/>
  <c r="B477" i="29"/>
  <c r="B478" i="29"/>
  <c r="B479" i="29"/>
  <c r="B480" i="29"/>
  <c r="B481" i="29"/>
  <c r="B482" i="29"/>
  <c r="B483" i="29"/>
  <c r="B484" i="29"/>
  <c r="B485" i="29"/>
  <c r="B486" i="29"/>
  <c r="B487" i="29"/>
  <c r="B488" i="29"/>
  <c r="B489" i="29"/>
  <c r="B490" i="29"/>
  <c r="B491" i="29"/>
  <c r="B492" i="29"/>
  <c r="B493" i="29"/>
  <c r="B494" i="29"/>
  <c r="B495" i="29"/>
  <c r="B496" i="29"/>
  <c r="B497" i="29"/>
  <c r="B498" i="29"/>
  <c r="B499" i="29"/>
  <c r="B500" i="29"/>
  <c r="B501" i="29"/>
  <c r="B502" i="29"/>
  <c r="B503" i="29"/>
  <c r="B504" i="29"/>
  <c r="B505" i="29"/>
  <c r="B506" i="29"/>
  <c r="B507" i="29"/>
  <c r="B508" i="29"/>
  <c r="B509" i="29"/>
  <c r="B510" i="29"/>
  <c r="B511" i="29"/>
  <c r="B512" i="29"/>
  <c r="B513" i="29"/>
  <c r="B514" i="29"/>
  <c r="B515" i="29"/>
  <c r="B516" i="29"/>
  <c r="B517" i="29"/>
  <c r="B518" i="29"/>
  <c r="B519" i="29"/>
  <c r="B520" i="29"/>
  <c r="B521" i="29"/>
  <c r="B522" i="29"/>
  <c r="B523" i="29"/>
  <c r="B524" i="29"/>
  <c r="B525" i="29"/>
  <c r="B526" i="29"/>
  <c r="B527" i="29"/>
  <c r="B528" i="29"/>
  <c r="B529" i="29"/>
  <c r="B530" i="29"/>
  <c r="B531" i="29"/>
  <c r="B532" i="29"/>
  <c r="B533" i="29"/>
  <c r="B534" i="29"/>
  <c r="B535" i="29"/>
  <c r="B536" i="29"/>
  <c r="B537" i="29"/>
  <c r="B538" i="29"/>
  <c r="B539" i="29"/>
  <c r="B540" i="29"/>
  <c r="B541" i="29"/>
  <c r="B542" i="29"/>
  <c r="B543" i="29"/>
  <c r="B544" i="29"/>
  <c r="B545" i="29"/>
  <c r="B546" i="29"/>
  <c r="B547" i="29"/>
  <c r="B548" i="29"/>
  <c r="B549" i="29"/>
  <c r="B550" i="29"/>
  <c r="B551" i="29"/>
  <c r="B552" i="29"/>
  <c r="B553" i="29"/>
  <c r="B554" i="29"/>
  <c r="B555" i="29"/>
  <c r="B556" i="29"/>
  <c r="B557" i="29"/>
  <c r="B558" i="29"/>
  <c r="B559" i="29"/>
  <c r="B560" i="29"/>
  <c r="B561" i="29"/>
  <c r="B562" i="29"/>
  <c r="B563" i="29"/>
  <c r="B564" i="29"/>
  <c r="B565" i="29"/>
  <c r="B566" i="29"/>
  <c r="B567" i="29"/>
  <c r="B568" i="29"/>
  <c r="B569" i="29"/>
  <c r="B570" i="29"/>
  <c r="B571" i="29"/>
  <c r="B572" i="29"/>
  <c r="B573" i="29"/>
  <c r="B574" i="29"/>
  <c r="B575" i="29"/>
  <c r="B576" i="29"/>
  <c r="B577" i="29"/>
  <c r="B578" i="29"/>
  <c r="B579" i="29"/>
  <c r="B580" i="29"/>
  <c r="B581" i="29"/>
  <c r="B582" i="29"/>
  <c r="B583" i="29"/>
  <c r="B584" i="29"/>
  <c r="B585" i="29"/>
  <c r="B586" i="29"/>
  <c r="B587" i="29"/>
  <c r="B588" i="29"/>
  <c r="B589" i="29"/>
  <c r="B590" i="29"/>
  <c r="B591" i="29"/>
  <c r="B592" i="29"/>
  <c r="B593" i="29"/>
  <c r="B594" i="29"/>
  <c r="B595" i="29"/>
  <c r="B596" i="29"/>
  <c r="B597" i="29"/>
  <c r="B598" i="29"/>
  <c r="B599" i="29"/>
  <c r="B600" i="29"/>
  <c r="B601" i="29"/>
  <c r="B602" i="29"/>
  <c r="B603" i="29"/>
  <c r="B604" i="29"/>
  <c r="B605" i="29"/>
  <c r="B606" i="29"/>
  <c r="B607" i="29"/>
  <c r="B608" i="29"/>
  <c r="B609" i="29"/>
  <c r="B610" i="29"/>
  <c r="B611" i="29"/>
  <c r="B612" i="29"/>
  <c r="B613" i="29"/>
  <c r="B614" i="29"/>
  <c r="B615" i="29"/>
  <c r="B616" i="29"/>
  <c r="B617" i="29"/>
  <c r="B618" i="29"/>
  <c r="B619" i="29"/>
  <c r="B620" i="29"/>
  <c r="B621" i="29"/>
  <c r="B622" i="29"/>
  <c r="B623" i="29"/>
  <c r="B624" i="29"/>
  <c r="B625" i="29"/>
  <c r="B626" i="29"/>
  <c r="B627" i="29"/>
  <c r="B628" i="29"/>
  <c r="B629" i="29"/>
  <c r="B630" i="29"/>
  <c r="B631" i="29"/>
  <c r="B632" i="29"/>
  <c r="B633" i="29"/>
  <c r="B634" i="29"/>
  <c r="B635" i="29"/>
  <c r="B636" i="29"/>
  <c r="B637" i="29"/>
  <c r="B638" i="29"/>
  <c r="B639" i="29"/>
  <c r="B640" i="29"/>
  <c r="B641" i="29"/>
  <c r="B642" i="29"/>
  <c r="B643" i="29"/>
  <c r="B644" i="29"/>
  <c r="B645" i="29"/>
  <c r="B646" i="29"/>
  <c r="B647" i="29"/>
  <c r="B648" i="29"/>
  <c r="B649" i="29"/>
  <c r="B650" i="29"/>
  <c r="B651" i="29"/>
  <c r="B652" i="29"/>
  <c r="B653" i="29"/>
  <c r="B654" i="29"/>
  <c r="B655" i="29"/>
  <c r="B656" i="29"/>
  <c r="B657" i="29"/>
  <c r="B658" i="29"/>
  <c r="B659" i="29"/>
  <c r="B660" i="29"/>
  <c r="B661" i="29"/>
  <c r="B662" i="29"/>
  <c r="B663" i="29"/>
  <c r="B664" i="29"/>
  <c r="B665" i="29"/>
  <c r="B666" i="29"/>
  <c r="B667" i="29"/>
  <c r="B668" i="29"/>
  <c r="B669" i="29"/>
  <c r="B670" i="29"/>
  <c r="B671" i="29"/>
  <c r="B672" i="29"/>
  <c r="B673" i="29"/>
  <c r="B674" i="29"/>
  <c r="B675" i="29"/>
  <c r="B676" i="29"/>
  <c r="B677" i="29"/>
  <c r="B678" i="29"/>
  <c r="B679" i="29"/>
  <c r="B680" i="29"/>
  <c r="B681" i="29"/>
  <c r="B682" i="29"/>
  <c r="B683" i="29"/>
  <c r="B684" i="29"/>
  <c r="B685" i="29"/>
  <c r="B686" i="29"/>
  <c r="B687" i="29"/>
  <c r="B688" i="29"/>
  <c r="B689" i="29"/>
  <c r="B690" i="29"/>
  <c r="B691" i="29"/>
  <c r="B692" i="29"/>
  <c r="B693" i="29"/>
  <c r="B694" i="29"/>
  <c r="B695" i="29"/>
  <c r="B696" i="29"/>
  <c r="B697" i="29"/>
  <c r="B698" i="29"/>
  <c r="B699" i="29"/>
  <c r="B700" i="29"/>
  <c r="B701" i="29"/>
  <c r="B702" i="29"/>
  <c r="B703" i="29"/>
  <c r="B704" i="29"/>
  <c r="B705" i="29"/>
  <c r="B706" i="29"/>
  <c r="B707" i="29"/>
  <c r="B708" i="29"/>
  <c r="B709" i="29"/>
  <c r="B710" i="29"/>
  <c r="B711" i="29"/>
  <c r="B712" i="29"/>
  <c r="B713" i="29"/>
  <c r="B714" i="29"/>
  <c r="B715" i="29"/>
  <c r="B716" i="29"/>
  <c r="B717" i="29"/>
  <c r="B718" i="29"/>
  <c r="B719" i="29"/>
  <c r="B720" i="29"/>
  <c r="B721" i="29"/>
  <c r="B722" i="29"/>
  <c r="B723" i="29"/>
  <c r="B724" i="29"/>
  <c r="B725" i="29"/>
  <c r="B726" i="29"/>
  <c r="B727" i="29"/>
  <c r="B728" i="29"/>
  <c r="B729" i="29"/>
  <c r="B730" i="29"/>
  <c r="B731" i="29"/>
  <c r="B732" i="29"/>
  <c r="B733" i="29"/>
  <c r="B734" i="29"/>
  <c r="B735" i="29"/>
  <c r="B736" i="29"/>
  <c r="B737" i="29"/>
  <c r="B738" i="29"/>
  <c r="B739" i="29"/>
  <c r="B740" i="29"/>
  <c r="B741" i="29"/>
  <c r="B742" i="29"/>
  <c r="B743" i="29"/>
  <c r="B744" i="29"/>
  <c r="B745" i="29"/>
  <c r="B746" i="29"/>
  <c r="B747" i="29"/>
  <c r="B748" i="29"/>
  <c r="B749" i="29"/>
  <c r="B750" i="29"/>
  <c r="B751" i="29"/>
  <c r="B752" i="29"/>
  <c r="B753" i="29"/>
  <c r="B754" i="29"/>
  <c r="B755" i="29"/>
  <c r="B756" i="29"/>
  <c r="B757" i="29"/>
  <c r="B758" i="29"/>
  <c r="B759" i="29"/>
  <c r="B760" i="29"/>
  <c r="B761" i="29"/>
  <c r="B762" i="29"/>
  <c r="B763" i="29"/>
  <c r="B764" i="29"/>
  <c r="B765" i="29"/>
  <c r="B766" i="29"/>
  <c r="B767" i="29"/>
  <c r="B768" i="29"/>
  <c r="B769" i="29"/>
  <c r="B770" i="29"/>
  <c r="B771" i="29"/>
  <c r="B772" i="29"/>
  <c r="B773" i="29"/>
  <c r="B774" i="29"/>
  <c r="B775" i="29"/>
  <c r="B776" i="29"/>
  <c r="B777" i="29"/>
  <c r="B778" i="29"/>
  <c r="B779" i="29"/>
  <c r="B780" i="29"/>
  <c r="B781" i="29"/>
  <c r="B782" i="29"/>
  <c r="B783" i="29"/>
  <c r="B784" i="29"/>
  <c r="B785" i="29"/>
  <c r="B786" i="29"/>
  <c r="B787" i="29"/>
  <c r="B788" i="29"/>
  <c r="B789" i="29"/>
  <c r="B790" i="29"/>
  <c r="B791" i="29"/>
  <c r="B792" i="29"/>
  <c r="B793" i="29"/>
  <c r="B794" i="29"/>
  <c r="B795" i="29"/>
  <c r="B796" i="29"/>
  <c r="B797" i="29"/>
  <c r="B798" i="29"/>
  <c r="B799" i="29"/>
  <c r="B800" i="29"/>
  <c r="B801" i="29"/>
  <c r="B802" i="29"/>
  <c r="B803" i="29"/>
  <c r="B804" i="29"/>
  <c r="B805" i="29"/>
  <c r="B806" i="29"/>
  <c r="B807" i="29"/>
  <c r="B808" i="29"/>
  <c r="B809" i="29"/>
  <c r="B810" i="29"/>
  <c r="B811" i="29"/>
  <c r="B812" i="29"/>
  <c r="B813" i="29"/>
  <c r="B814" i="29"/>
  <c r="B815" i="29"/>
  <c r="B816" i="29"/>
  <c r="B817" i="29"/>
  <c r="B818" i="29"/>
  <c r="B819" i="29"/>
  <c r="B820" i="29"/>
  <c r="B821" i="29"/>
  <c r="B822" i="29"/>
  <c r="B823" i="29"/>
  <c r="B824" i="29"/>
  <c r="B825" i="29"/>
  <c r="B826" i="29"/>
  <c r="B827" i="29"/>
  <c r="B828" i="29"/>
  <c r="B829" i="29"/>
  <c r="B830" i="29"/>
  <c r="B831" i="29"/>
  <c r="B832" i="29"/>
  <c r="B833" i="29"/>
  <c r="B834" i="29"/>
  <c r="B835" i="29"/>
  <c r="B836" i="29"/>
  <c r="B837" i="29"/>
  <c r="B838" i="29"/>
  <c r="B839" i="29"/>
  <c r="B840" i="29"/>
  <c r="B841" i="29"/>
  <c r="B842" i="29"/>
  <c r="B843" i="29"/>
  <c r="B844" i="29"/>
  <c r="B845" i="29"/>
  <c r="B846" i="29"/>
  <c r="B847" i="29"/>
  <c r="B848" i="29"/>
  <c r="B849" i="29"/>
  <c r="B850" i="29"/>
  <c r="B851" i="29"/>
  <c r="B852" i="29"/>
  <c r="B853" i="29"/>
  <c r="B854" i="29"/>
  <c r="B855" i="29"/>
  <c r="B856" i="29"/>
  <c r="B857" i="29"/>
  <c r="B858" i="29"/>
  <c r="B859" i="29"/>
  <c r="B860" i="29"/>
  <c r="B861" i="29"/>
  <c r="B862" i="29"/>
  <c r="B863" i="29"/>
  <c r="B864" i="29"/>
  <c r="B865" i="29"/>
  <c r="B866" i="29"/>
  <c r="B867" i="29"/>
  <c r="B868" i="29"/>
  <c r="B869" i="29"/>
  <c r="B870" i="29"/>
  <c r="B871" i="29"/>
  <c r="B872" i="29"/>
  <c r="B873" i="29"/>
  <c r="B874" i="29"/>
  <c r="B875" i="29"/>
  <c r="B876" i="29"/>
  <c r="B877" i="29"/>
  <c r="B878" i="29"/>
  <c r="B879" i="29"/>
  <c r="B880" i="29"/>
  <c r="B881" i="29"/>
  <c r="B882" i="29"/>
  <c r="B883" i="29"/>
  <c r="B884" i="29"/>
  <c r="B885" i="29"/>
  <c r="B886" i="29"/>
  <c r="B887" i="29"/>
  <c r="B888" i="29"/>
  <c r="B889" i="29"/>
  <c r="B890" i="29"/>
  <c r="B891" i="29"/>
  <c r="B892" i="29"/>
  <c r="B893" i="29"/>
  <c r="B894" i="29"/>
  <c r="B895" i="29"/>
  <c r="B896" i="29"/>
  <c r="B897" i="29"/>
  <c r="B898" i="29"/>
  <c r="B899" i="29"/>
  <c r="B900" i="29"/>
  <c r="B901" i="29"/>
  <c r="B902" i="29"/>
  <c r="B903" i="29"/>
  <c r="B904" i="29"/>
  <c r="B905" i="29"/>
  <c r="B906" i="29"/>
  <c r="B907" i="29"/>
  <c r="B908" i="29"/>
  <c r="B909" i="29"/>
  <c r="B910" i="29"/>
  <c r="B911" i="29"/>
  <c r="B912" i="29"/>
  <c r="B913" i="29"/>
  <c r="B914" i="29"/>
  <c r="B915" i="29"/>
  <c r="B916" i="29"/>
  <c r="B917" i="29"/>
  <c r="B918" i="29"/>
  <c r="B919" i="29"/>
  <c r="B920" i="29"/>
  <c r="B921" i="29"/>
  <c r="B922" i="29"/>
  <c r="B923" i="29"/>
  <c r="B924" i="29"/>
  <c r="B925" i="29"/>
  <c r="B926" i="29"/>
  <c r="B927" i="29"/>
  <c r="B928" i="29"/>
  <c r="B929" i="29"/>
  <c r="B930" i="29"/>
  <c r="B931" i="29"/>
  <c r="B932" i="29"/>
  <c r="B933" i="29"/>
  <c r="B934" i="29"/>
  <c r="B935" i="29"/>
  <c r="B936" i="29"/>
  <c r="B937" i="29"/>
  <c r="B938" i="29"/>
  <c r="B939" i="29"/>
  <c r="B940" i="29"/>
  <c r="B941" i="29"/>
  <c r="B942" i="29"/>
  <c r="B943" i="29"/>
  <c r="B944" i="29"/>
  <c r="B945" i="29"/>
  <c r="B946" i="29"/>
  <c r="B947" i="29"/>
  <c r="B948" i="29"/>
  <c r="B949" i="29"/>
  <c r="B950" i="29"/>
  <c r="B951" i="29"/>
  <c r="B952" i="29"/>
  <c r="B953" i="29"/>
  <c r="B954" i="29"/>
  <c r="B955" i="29"/>
  <c r="B956" i="29"/>
  <c r="B957" i="29"/>
  <c r="B958" i="29"/>
  <c r="B959" i="29"/>
  <c r="B960" i="29"/>
  <c r="B961" i="29"/>
  <c r="B962" i="29"/>
  <c r="B963" i="29"/>
  <c r="B964" i="29"/>
  <c r="B965" i="29"/>
  <c r="B966" i="29"/>
  <c r="B967" i="29"/>
  <c r="B968" i="29"/>
  <c r="B969" i="29"/>
  <c r="B970" i="29"/>
  <c r="B971" i="29"/>
  <c r="B972" i="29"/>
  <c r="B973" i="29"/>
  <c r="B974" i="29"/>
  <c r="B975" i="29"/>
  <c r="B976" i="29"/>
  <c r="B977" i="29"/>
  <c r="B978" i="29"/>
  <c r="B979" i="29"/>
  <c r="B980" i="29"/>
  <c r="B981" i="29"/>
  <c r="B982" i="29"/>
  <c r="B983" i="29"/>
  <c r="B984" i="29"/>
  <c r="B985" i="29"/>
  <c r="B986" i="29"/>
  <c r="B987" i="29"/>
  <c r="B988" i="29"/>
  <c r="B989" i="29"/>
  <c r="B990" i="29"/>
  <c r="B991" i="29"/>
  <c r="B992" i="29"/>
  <c r="B993" i="29"/>
  <c r="B994" i="29"/>
  <c r="B995" i="29"/>
  <c r="B996" i="29"/>
  <c r="B997" i="29"/>
  <c r="B998" i="29"/>
  <c r="B999" i="29"/>
  <c r="B1000" i="29"/>
  <c r="B1001" i="29"/>
  <c r="B1002" i="29"/>
  <c r="B1003" i="29"/>
  <c r="B1004" i="29"/>
  <c r="B1005" i="29"/>
  <c r="B1006" i="29"/>
  <c r="B1007" i="29"/>
  <c r="B1008" i="29"/>
  <c r="B1009" i="29"/>
  <c r="B1010" i="29"/>
  <c r="B1011" i="29"/>
  <c r="B1012" i="29"/>
  <c r="B1013" i="29"/>
  <c r="B1014" i="29"/>
  <c r="B1015" i="29"/>
  <c r="B1016" i="29"/>
  <c r="B1017" i="29"/>
  <c r="B1018" i="29"/>
  <c r="B1019" i="29"/>
  <c r="B1020" i="29"/>
  <c r="B1021" i="29"/>
  <c r="B1022" i="29"/>
  <c r="B1023" i="29"/>
  <c r="B1024" i="29"/>
  <c r="B1025" i="29"/>
  <c r="B1026" i="29"/>
  <c r="B1027" i="29"/>
  <c r="B1028" i="29"/>
  <c r="B1029" i="29"/>
  <c r="B1030" i="29"/>
  <c r="B1031" i="29"/>
  <c r="B1032" i="29"/>
  <c r="B1033" i="29"/>
  <c r="B1034" i="29"/>
  <c r="B1035" i="29"/>
  <c r="B1036" i="29"/>
  <c r="B1037" i="29"/>
  <c r="B1038" i="29"/>
  <c r="B1039" i="29"/>
  <c r="B1040" i="29"/>
  <c r="B1041" i="29"/>
  <c r="B1042" i="29"/>
  <c r="B1043" i="29"/>
  <c r="B1044" i="29"/>
  <c r="B1045" i="29"/>
  <c r="B1046" i="29"/>
  <c r="B1047" i="29"/>
  <c r="B1048" i="29"/>
  <c r="B1049" i="29"/>
  <c r="B1050" i="29"/>
  <c r="B1051" i="29"/>
  <c r="B1052" i="29"/>
  <c r="B1053" i="29"/>
  <c r="B1054" i="29"/>
  <c r="B1055" i="29"/>
  <c r="B1056" i="29"/>
  <c r="B1057" i="29"/>
  <c r="B1058" i="29"/>
  <c r="B1059" i="29"/>
  <c r="B1060" i="29"/>
  <c r="B1061" i="29"/>
  <c r="B1062" i="29"/>
  <c r="B1063" i="29"/>
  <c r="B1064" i="29"/>
  <c r="B1065" i="29"/>
  <c r="B1066" i="29"/>
  <c r="B1067" i="29"/>
  <c r="B1068" i="29"/>
  <c r="B1069" i="29"/>
  <c r="B1070" i="29"/>
  <c r="B1071" i="29"/>
  <c r="B1072" i="29"/>
  <c r="B1073" i="29"/>
  <c r="B1074" i="29"/>
  <c r="B1075" i="29"/>
  <c r="B1076" i="29"/>
  <c r="B1077" i="29"/>
  <c r="B1078" i="29"/>
  <c r="B1079" i="29"/>
  <c r="B1080" i="29"/>
  <c r="B1081" i="29"/>
  <c r="B1082" i="29"/>
  <c r="B1083" i="29"/>
  <c r="B1084" i="29"/>
  <c r="B1085" i="29"/>
  <c r="B1086" i="29"/>
  <c r="B1087" i="29"/>
  <c r="B1088" i="29"/>
  <c r="B1089" i="29"/>
  <c r="B1090" i="29"/>
  <c r="B1091" i="29"/>
  <c r="B1092" i="29"/>
  <c r="B1093" i="29"/>
  <c r="B1094" i="29"/>
  <c r="B1095" i="29"/>
  <c r="B1096" i="29"/>
  <c r="B1097" i="29"/>
  <c r="B1098" i="29"/>
  <c r="B1099" i="29"/>
  <c r="B1100" i="29"/>
  <c r="B1101" i="29"/>
  <c r="B1102" i="29"/>
  <c r="B1103" i="29"/>
  <c r="B1104" i="29"/>
  <c r="B1105" i="29"/>
  <c r="B1106" i="29"/>
  <c r="B1107" i="29"/>
  <c r="B1108" i="29"/>
  <c r="B1109" i="29"/>
  <c r="B1110" i="29"/>
  <c r="B1111" i="29"/>
  <c r="B1112" i="29"/>
  <c r="B1113" i="29"/>
  <c r="B1114" i="29"/>
  <c r="B1115" i="29"/>
  <c r="B1116" i="29"/>
  <c r="B1117" i="29"/>
  <c r="B1118" i="29"/>
  <c r="B1119" i="29"/>
  <c r="B1120" i="29"/>
  <c r="B1121" i="29"/>
  <c r="B1122" i="29"/>
  <c r="B1123" i="29"/>
  <c r="B1124" i="29"/>
  <c r="B1125" i="29"/>
  <c r="B1126" i="29"/>
  <c r="B1127" i="29"/>
  <c r="B1128" i="29"/>
  <c r="B1129" i="29"/>
  <c r="B1130" i="29"/>
  <c r="B1131" i="29"/>
  <c r="B1132" i="29"/>
  <c r="B1133" i="29"/>
  <c r="B1134" i="29"/>
  <c r="B1135" i="29"/>
  <c r="B1136" i="29"/>
  <c r="B1137" i="29"/>
  <c r="B1138" i="29"/>
  <c r="B1139" i="29"/>
  <c r="B1140" i="29"/>
  <c r="B1141" i="29"/>
  <c r="B1142" i="29"/>
  <c r="B1143" i="29"/>
  <c r="B1144" i="29"/>
  <c r="B1145" i="29"/>
  <c r="B1146" i="29"/>
  <c r="B1147" i="29"/>
  <c r="B1148" i="29"/>
  <c r="B1149" i="29"/>
  <c r="B1150" i="29"/>
  <c r="B1151" i="29"/>
  <c r="B1152" i="29"/>
  <c r="B1153" i="29"/>
  <c r="B1154" i="29"/>
  <c r="B1155" i="29"/>
  <c r="B1156" i="29"/>
  <c r="B1157" i="29"/>
  <c r="B1158" i="29"/>
  <c r="B1159" i="29"/>
  <c r="B1160" i="29"/>
  <c r="B1161" i="29"/>
  <c r="B1162" i="29"/>
  <c r="B1163" i="29"/>
  <c r="B1164" i="29"/>
  <c r="B1165" i="29"/>
  <c r="B1166" i="29"/>
  <c r="B1167" i="29"/>
  <c r="B1168" i="29"/>
  <c r="B1169" i="29"/>
  <c r="B1170" i="29"/>
  <c r="B1171" i="29"/>
  <c r="B1172" i="29"/>
  <c r="B1173" i="29"/>
  <c r="B1174" i="29"/>
  <c r="B1175" i="29"/>
  <c r="B1176" i="29"/>
  <c r="B1177" i="29"/>
  <c r="B1178" i="29"/>
  <c r="B1179" i="29"/>
  <c r="B1180" i="29"/>
  <c r="B1181" i="29"/>
  <c r="B1182" i="29"/>
  <c r="B1183" i="29"/>
  <c r="B1184" i="29"/>
  <c r="B1185" i="29"/>
  <c r="B1186" i="29"/>
  <c r="B1187" i="29"/>
  <c r="B1188" i="29"/>
  <c r="B1189" i="29"/>
  <c r="B1190" i="29"/>
  <c r="B1191" i="29"/>
  <c r="B1192" i="29"/>
  <c r="B1193" i="29"/>
  <c r="B1194" i="29"/>
  <c r="B1195" i="29"/>
  <c r="B1196" i="29"/>
  <c r="B1197" i="29"/>
  <c r="B1198" i="29"/>
  <c r="B1199" i="29"/>
  <c r="B1200" i="29"/>
  <c r="B1201" i="29"/>
  <c r="B1202" i="29"/>
  <c r="B1203" i="29"/>
  <c r="B1204" i="29"/>
  <c r="B1205" i="29"/>
  <c r="B1206" i="29"/>
  <c r="B1207" i="29"/>
  <c r="B1208" i="29"/>
  <c r="B1209" i="29"/>
  <c r="B1210" i="29"/>
  <c r="B1211" i="29"/>
  <c r="B1212" i="29"/>
  <c r="B1213" i="29"/>
  <c r="B1214" i="29"/>
  <c r="B1215" i="29"/>
  <c r="B1216" i="29"/>
  <c r="B1217" i="29"/>
  <c r="B1218" i="29"/>
  <c r="B1219" i="29"/>
  <c r="B1220" i="29"/>
  <c r="B1221" i="29"/>
  <c r="B1222" i="29"/>
  <c r="B1223" i="29"/>
  <c r="B1224" i="29"/>
  <c r="B1225" i="29"/>
  <c r="B1226" i="29"/>
  <c r="B1227" i="29"/>
  <c r="B1228" i="29"/>
  <c r="B1229" i="29"/>
  <c r="B1230" i="29"/>
  <c r="B1231" i="29"/>
  <c r="B1232" i="29"/>
  <c r="B1233" i="29"/>
  <c r="B1234" i="29"/>
  <c r="B1235" i="29"/>
  <c r="B1236" i="29"/>
  <c r="B1237" i="29"/>
  <c r="B1238" i="29"/>
  <c r="B1239" i="29"/>
  <c r="B1240" i="29"/>
  <c r="B1241" i="29"/>
  <c r="B1242" i="29"/>
  <c r="B1243" i="29"/>
  <c r="B1244" i="29"/>
  <c r="B1245" i="29"/>
  <c r="B1246" i="29"/>
  <c r="B1247" i="29"/>
  <c r="B1248" i="29"/>
  <c r="B1249" i="29"/>
  <c r="B1250" i="29"/>
  <c r="B1251" i="29"/>
  <c r="B1252" i="29"/>
  <c r="B1253" i="29"/>
  <c r="B1254" i="29"/>
  <c r="B1255" i="29"/>
  <c r="B1256" i="29"/>
  <c r="B1257" i="29"/>
  <c r="B1258" i="29"/>
  <c r="B1259" i="29"/>
  <c r="B1260" i="29"/>
  <c r="B1261" i="29"/>
  <c r="B1262" i="29"/>
  <c r="B1263" i="29"/>
  <c r="B1264" i="29"/>
  <c r="B1265" i="29"/>
  <c r="B1266" i="29"/>
  <c r="B1267" i="29"/>
  <c r="B1268" i="29"/>
  <c r="B1269" i="29"/>
  <c r="B1270" i="29"/>
  <c r="B1271" i="29"/>
  <c r="B1272" i="29"/>
  <c r="B1273" i="29"/>
  <c r="B1274" i="29"/>
  <c r="B1275" i="29"/>
  <c r="B1276" i="29"/>
  <c r="B1277" i="29"/>
  <c r="B1278" i="29"/>
  <c r="B1279" i="29"/>
  <c r="B1280" i="29"/>
  <c r="B1281" i="29"/>
  <c r="B1282" i="29"/>
  <c r="B1283" i="29"/>
  <c r="B1284" i="29"/>
  <c r="B1285" i="29"/>
  <c r="B1286" i="29"/>
  <c r="B1287" i="29"/>
  <c r="B1288" i="29"/>
  <c r="B1289" i="29"/>
  <c r="B1290" i="29"/>
  <c r="B1291" i="29"/>
  <c r="B1292" i="29"/>
  <c r="B1293" i="29"/>
  <c r="B1294" i="29"/>
  <c r="B1295" i="29"/>
  <c r="B1296" i="29"/>
  <c r="B1297" i="29"/>
  <c r="B1298" i="29"/>
  <c r="B1299" i="29"/>
  <c r="B1300" i="29"/>
  <c r="B1301" i="29"/>
  <c r="B1302" i="29"/>
  <c r="B1303" i="29"/>
  <c r="B1304" i="29"/>
  <c r="B1305" i="29"/>
  <c r="B1306" i="29"/>
  <c r="B1307" i="29"/>
  <c r="B1308" i="29"/>
  <c r="B1309" i="29"/>
  <c r="B1310" i="29"/>
  <c r="B1311" i="29"/>
  <c r="B1312" i="29"/>
  <c r="B1313" i="29"/>
  <c r="B1314" i="29"/>
  <c r="B1315" i="29"/>
  <c r="B1316" i="29"/>
  <c r="B1317" i="29"/>
  <c r="B1318" i="29"/>
  <c r="B1319" i="29"/>
  <c r="B1320" i="29"/>
  <c r="B1321" i="29"/>
  <c r="B1322" i="29"/>
  <c r="B1323" i="29"/>
  <c r="B1324" i="29"/>
  <c r="B1325" i="29"/>
  <c r="B1326" i="29"/>
  <c r="B1327" i="29"/>
  <c r="B1328" i="29"/>
  <c r="B1329" i="29"/>
  <c r="B1330" i="29"/>
  <c r="B1331" i="29"/>
  <c r="B1332" i="29"/>
  <c r="B1333" i="29"/>
  <c r="B1334" i="29"/>
  <c r="B1335" i="29"/>
  <c r="B1336" i="29"/>
  <c r="B1337" i="29"/>
  <c r="B1338" i="29"/>
  <c r="B1339" i="29"/>
  <c r="B1340" i="29"/>
  <c r="B1341" i="29"/>
  <c r="B1342" i="29"/>
  <c r="B1343" i="29"/>
  <c r="B1344" i="29"/>
  <c r="B1345" i="29"/>
  <c r="B1346" i="29"/>
  <c r="B1347" i="29"/>
  <c r="B1348" i="29"/>
  <c r="B1349" i="29"/>
  <c r="B1350" i="29"/>
  <c r="B1351" i="29"/>
  <c r="B1352" i="29"/>
  <c r="B1353" i="29"/>
  <c r="B1354" i="29"/>
  <c r="B1355" i="29"/>
  <c r="B1356" i="29"/>
  <c r="B1357" i="29"/>
  <c r="B1358" i="29"/>
  <c r="B1359" i="29"/>
  <c r="B1360" i="29"/>
  <c r="B1361" i="29"/>
  <c r="B1362" i="29"/>
  <c r="B1363" i="29"/>
  <c r="B1364" i="29"/>
  <c r="B1365" i="29"/>
  <c r="B1366" i="29"/>
  <c r="B1367" i="29"/>
  <c r="B1368" i="29"/>
  <c r="B1369" i="29"/>
  <c r="B1370" i="29"/>
  <c r="B1371" i="29"/>
  <c r="B1372" i="29"/>
  <c r="B1373" i="29"/>
  <c r="B1374" i="29"/>
  <c r="B1375" i="29"/>
  <c r="B1376" i="29"/>
  <c r="B1377" i="29"/>
  <c r="B1378" i="29"/>
  <c r="B1379" i="29"/>
  <c r="B1380" i="29"/>
  <c r="B1381" i="29"/>
  <c r="B1382" i="29"/>
  <c r="B1383" i="29"/>
  <c r="B1384" i="29"/>
  <c r="B1385" i="29"/>
  <c r="B1386" i="29"/>
  <c r="B1387" i="29"/>
  <c r="B1388" i="29"/>
  <c r="B1389" i="29"/>
  <c r="B1390" i="29"/>
  <c r="B1391" i="29"/>
  <c r="B1392" i="29"/>
  <c r="B1393" i="29"/>
  <c r="B1394" i="29"/>
  <c r="B1395" i="29"/>
  <c r="B1396" i="29"/>
  <c r="B1397" i="29"/>
  <c r="B1398" i="29"/>
  <c r="B1399" i="29"/>
  <c r="B1400" i="29"/>
  <c r="B1401" i="29"/>
  <c r="B1402" i="29"/>
  <c r="B1403" i="29"/>
  <c r="B1404" i="29"/>
  <c r="B1405" i="29"/>
  <c r="B1406" i="29"/>
  <c r="B1407" i="29"/>
  <c r="B1408" i="29"/>
  <c r="B1409" i="29"/>
  <c r="B1410" i="29"/>
  <c r="B1411" i="29"/>
  <c r="B1412" i="29"/>
  <c r="B1413" i="29"/>
  <c r="B1414" i="29"/>
  <c r="B1415" i="29"/>
  <c r="B1416" i="29"/>
  <c r="B1417" i="29"/>
  <c r="B1418" i="29"/>
  <c r="B1419" i="29"/>
  <c r="B1420" i="29"/>
  <c r="B1421" i="29"/>
  <c r="B1422" i="29"/>
  <c r="B1423" i="29"/>
  <c r="B1424" i="29"/>
  <c r="B1425" i="29"/>
  <c r="B1426" i="29"/>
  <c r="B1427" i="29"/>
  <c r="B1428" i="29"/>
  <c r="B1429" i="29"/>
  <c r="B1430" i="29"/>
  <c r="B1431" i="29"/>
  <c r="B1432" i="29"/>
  <c r="B1433" i="29"/>
  <c r="B1434" i="29"/>
  <c r="B1435" i="29"/>
  <c r="B1436" i="29"/>
  <c r="B1437" i="29"/>
  <c r="B1438" i="29"/>
  <c r="B1439" i="29"/>
  <c r="B1440" i="29"/>
  <c r="B1441" i="29"/>
  <c r="B1442" i="29"/>
  <c r="B1443" i="29"/>
  <c r="B1444" i="29"/>
  <c r="B1445" i="29"/>
  <c r="B1446" i="29"/>
  <c r="B1447" i="29"/>
  <c r="B1448" i="29"/>
  <c r="B1449" i="29"/>
  <c r="B1450" i="29"/>
  <c r="B1451" i="29"/>
  <c r="B1452" i="29"/>
  <c r="B1453" i="29"/>
  <c r="B1454" i="29"/>
  <c r="B1455" i="29"/>
  <c r="B1456" i="29"/>
  <c r="B1457" i="29"/>
  <c r="B1458" i="29"/>
  <c r="B1459" i="29"/>
  <c r="B1460" i="29"/>
  <c r="B1461" i="29"/>
  <c r="B1462" i="29"/>
  <c r="B1463" i="29"/>
  <c r="B1464" i="29"/>
  <c r="B1465" i="29"/>
  <c r="B1466" i="29"/>
  <c r="B1467" i="29"/>
  <c r="B1468" i="29"/>
  <c r="B1469" i="29"/>
  <c r="B1470" i="29"/>
  <c r="B1471" i="29"/>
  <c r="B1472" i="29"/>
  <c r="B1473" i="29"/>
  <c r="B1474" i="29"/>
  <c r="B1475" i="29"/>
  <c r="B1476" i="29"/>
  <c r="B1477" i="29"/>
  <c r="B1478" i="29"/>
  <c r="B1479" i="29"/>
  <c r="B1480" i="29"/>
  <c r="B1481" i="29"/>
  <c r="B1482" i="29"/>
  <c r="B1483" i="29"/>
  <c r="B1484" i="29"/>
  <c r="B1485" i="29"/>
  <c r="B1486" i="29"/>
  <c r="B1487" i="29"/>
  <c r="B1488" i="29"/>
  <c r="B1489" i="29"/>
  <c r="B1490" i="29"/>
  <c r="B1491" i="29"/>
  <c r="B1492" i="29"/>
  <c r="B1493" i="29"/>
  <c r="B1494" i="29"/>
  <c r="B1495" i="29"/>
  <c r="B1496" i="29"/>
  <c r="B1497" i="29"/>
  <c r="B1498" i="29"/>
  <c r="B1499" i="29"/>
  <c r="B1500" i="29"/>
  <c r="B1501" i="29"/>
  <c r="B1502" i="29"/>
  <c r="B1503" i="29"/>
  <c r="B1504" i="29"/>
  <c r="B1505" i="29"/>
  <c r="B1506" i="29"/>
  <c r="B1507" i="29"/>
  <c r="B1508" i="29"/>
  <c r="B1509" i="29"/>
  <c r="B1510" i="29"/>
  <c r="B1511" i="29"/>
  <c r="B1512" i="29"/>
  <c r="B1513" i="29"/>
  <c r="B1514" i="29"/>
  <c r="B1515" i="29"/>
  <c r="B1516" i="29"/>
  <c r="B1517" i="29"/>
  <c r="B1518" i="29"/>
  <c r="B1519" i="29"/>
  <c r="B1520" i="29"/>
  <c r="B1521" i="29"/>
  <c r="B1522" i="29"/>
  <c r="B1523" i="29"/>
  <c r="B1524" i="29"/>
  <c r="B1525" i="29"/>
  <c r="B1526" i="29"/>
  <c r="B1527" i="29"/>
  <c r="B1528" i="29"/>
  <c r="B1529" i="29"/>
  <c r="B1530" i="29"/>
  <c r="B1531" i="29"/>
  <c r="B1532" i="29"/>
  <c r="B1533" i="29"/>
  <c r="B1534" i="29"/>
  <c r="B1535" i="29"/>
  <c r="B1536" i="29"/>
  <c r="B1537" i="29"/>
  <c r="B1538" i="29"/>
  <c r="B1539" i="29"/>
  <c r="B1540" i="29"/>
  <c r="B1541" i="29"/>
  <c r="B1542" i="29"/>
  <c r="B1543" i="29"/>
  <c r="B1544" i="29"/>
  <c r="B1545" i="29"/>
  <c r="B1546" i="29"/>
  <c r="B1547" i="29"/>
  <c r="B1548" i="29"/>
  <c r="B1549" i="29"/>
  <c r="B1550" i="29"/>
  <c r="B1551" i="29"/>
  <c r="B1552" i="29"/>
  <c r="B1553" i="29"/>
  <c r="B1554" i="29"/>
  <c r="B1555" i="29"/>
  <c r="B1556" i="29"/>
  <c r="B1557" i="29"/>
  <c r="B1558" i="29"/>
  <c r="B1559" i="29"/>
  <c r="B1560" i="29"/>
  <c r="B1561" i="29"/>
  <c r="B1562" i="29"/>
  <c r="B1563" i="29"/>
  <c r="B1564" i="29"/>
  <c r="B1565" i="29"/>
  <c r="B1566" i="29"/>
  <c r="B1567" i="29"/>
  <c r="B1568" i="29"/>
  <c r="B1569" i="29"/>
  <c r="B1570" i="29"/>
  <c r="B1571" i="29"/>
  <c r="B1572" i="29"/>
  <c r="B1573" i="29"/>
  <c r="B1574" i="29"/>
  <c r="B1575" i="29"/>
  <c r="B1576" i="29"/>
  <c r="B1577" i="29"/>
  <c r="B1578" i="29"/>
  <c r="B1579" i="29"/>
  <c r="B1580" i="29"/>
  <c r="B1581" i="29"/>
  <c r="B1582" i="29"/>
  <c r="B1583" i="29"/>
  <c r="B1584" i="29"/>
  <c r="B1585" i="29"/>
  <c r="B1586" i="29"/>
  <c r="B1587" i="29"/>
  <c r="B1588" i="29"/>
  <c r="B1589" i="29"/>
  <c r="B1590" i="29"/>
  <c r="B1591" i="29"/>
  <c r="B1592" i="29"/>
  <c r="B1593" i="29"/>
  <c r="B1594" i="29"/>
  <c r="B1595" i="29"/>
  <c r="B1596" i="29"/>
  <c r="B1597" i="29"/>
  <c r="B1598" i="29"/>
  <c r="B1599" i="29"/>
  <c r="B1600" i="29"/>
  <c r="B1601" i="29"/>
  <c r="B1602" i="29"/>
  <c r="B1603" i="29"/>
  <c r="B1604" i="29"/>
  <c r="B1605" i="29"/>
  <c r="B1606" i="29"/>
  <c r="B1607" i="29"/>
  <c r="B1608" i="29"/>
  <c r="B1609" i="29"/>
  <c r="B1610" i="29"/>
  <c r="B1611" i="29"/>
  <c r="B1612" i="29"/>
  <c r="B1613" i="29"/>
  <c r="B1614" i="29"/>
  <c r="B1615" i="29"/>
  <c r="B1616" i="29"/>
  <c r="B1617" i="29"/>
  <c r="B1618" i="29"/>
  <c r="B1619" i="29"/>
  <c r="B1620" i="29"/>
  <c r="B1621" i="29"/>
  <c r="B1622" i="29"/>
  <c r="B1623" i="29"/>
  <c r="B1624" i="29"/>
  <c r="B1625" i="29"/>
  <c r="B1626" i="29"/>
  <c r="B1627" i="29"/>
  <c r="B1628" i="29"/>
  <c r="B1629" i="29"/>
  <c r="B1630" i="29"/>
  <c r="B1631" i="29"/>
  <c r="B1632" i="29"/>
  <c r="B1633" i="29"/>
  <c r="B1634" i="29"/>
  <c r="B1635" i="29"/>
  <c r="B1636" i="29"/>
  <c r="B1637" i="29"/>
  <c r="B1638" i="29"/>
  <c r="B1639" i="29"/>
  <c r="B1640" i="29"/>
  <c r="B1641" i="29"/>
  <c r="B1642" i="29"/>
  <c r="B1643" i="29"/>
  <c r="B1644" i="29"/>
  <c r="B1645" i="29"/>
  <c r="B1646" i="29"/>
  <c r="B1647" i="29"/>
  <c r="B1648" i="29"/>
  <c r="B1649" i="29"/>
  <c r="B1650" i="29"/>
  <c r="B1651" i="29"/>
  <c r="B1652" i="29"/>
  <c r="B1653" i="29"/>
  <c r="B1654" i="29"/>
  <c r="B1655" i="29"/>
  <c r="B1656" i="29"/>
  <c r="B1657" i="29"/>
  <c r="B1658" i="29"/>
  <c r="B1659" i="29"/>
  <c r="B1660" i="29"/>
  <c r="B1661" i="29"/>
  <c r="B1662" i="29"/>
  <c r="B1663" i="29"/>
  <c r="B1664" i="29"/>
  <c r="B1665" i="29"/>
  <c r="B1666" i="29"/>
  <c r="B1667" i="29"/>
  <c r="B1668" i="29"/>
  <c r="B1669" i="29"/>
  <c r="B1670" i="29"/>
  <c r="B1671" i="29"/>
  <c r="B1672" i="29"/>
  <c r="B1673" i="29"/>
  <c r="B1674" i="29"/>
  <c r="B1675" i="29"/>
  <c r="B1676" i="29"/>
  <c r="B1677" i="29"/>
  <c r="B1678" i="29"/>
  <c r="B1679" i="29"/>
  <c r="B1680" i="29"/>
  <c r="B1681" i="29"/>
  <c r="B1682" i="29"/>
  <c r="B1683" i="29"/>
  <c r="B1684" i="29"/>
  <c r="B1685" i="29"/>
  <c r="B1686" i="29"/>
  <c r="B1687" i="29"/>
  <c r="B1688" i="29"/>
  <c r="B1689" i="29"/>
  <c r="B1690" i="29"/>
  <c r="B1691" i="29"/>
  <c r="B1692" i="29"/>
  <c r="B1693" i="29"/>
  <c r="B1694" i="29"/>
  <c r="B1695" i="29"/>
  <c r="B1696" i="29"/>
  <c r="B1697" i="29"/>
  <c r="B1698" i="29"/>
  <c r="B1699" i="29"/>
  <c r="B1700" i="29"/>
  <c r="B1701" i="29"/>
  <c r="B1702" i="29"/>
  <c r="B1703" i="29"/>
  <c r="B1704" i="29"/>
  <c r="B1705" i="29"/>
  <c r="B1706" i="29"/>
  <c r="B1707" i="29"/>
  <c r="B1708" i="29"/>
  <c r="B1709" i="29"/>
  <c r="B1710" i="29"/>
  <c r="B1711" i="29"/>
  <c r="B1712" i="29"/>
  <c r="B1713" i="29"/>
  <c r="B1714" i="29"/>
  <c r="B1715" i="29"/>
  <c r="B1716" i="29"/>
  <c r="B1717" i="29"/>
  <c r="B1718" i="29"/>
  <c r="B1719" i="29"/>
  <c r="B1720" i="29"/>
  <c r="B1721" i="29"/>
  <c r="B1722" i="29"/>
  <c r="B1723" i="29"/>
  <c r="B1724" i="29"/>
  <c r="B1725" i="29"/>
  <c r="B1726" i="29"/>
  <c r="B1727" i="29"/>
  <c r="B1728" i="29"/>
  <c r="B1729" i="29"/>
  <c r="B1730" i="29"/>
  <c r="B1731" i="29"/>
  <c r="B1732" i="29"/>
  <c r="B1733" i="29"/>
  <c r="B1734" i="29"/>
  <c r="B1735" i="29"/>
  <c r="B1736" i="29"/>
  <c r="B1737" i="29"/>
  <c r="B1738" i="29"/>
  <c r="B1739" i="29"/>
  <c r="B1740" i="29"/>
  <c r="B1741" i="29"/>
  <c r="B1742" i="29"/>
  <c r="B1743" i="29"/>
  <c r="B1744" i="29"/>
  <c r="B1745" i="29"/>
  <c r="B1746" i="29"/>
  <c r="B1747" i="29"/>
  <c r="B1748" i="29"/>
  <c r="B1749" i="29"/>
  <c r="B1750" i="29"/>
  <c r="B1751" i="29"/>
  <c r="B1752" i="29"/>
  <c r="B1753" i="29"/>
  <c r="B1754" i="29"/>
  <c r="B1755" i="29"/>
  <c r="B1756" i="29"/>
  <c r="B1757" i="29"/>
  <c r="B1758" i="29"/>
  <c r="B1759" i="29"/>
  <c r="B1760" i="29"/>
  <c r="B1761" i="29"/>
  <c r="B1762" i="29"/>
  <c r="B1763" i="29"/>
  <c r="B1764" i="29"/>
  <c r="B1765" i="29"/>
  <c r="B1766" i="29"/>
  <c r="B1767" i="29"/>
  <c r="B1768" i="29"/>
  <c r="B1769" i="29"/>
  <c r="B1770" i="29"/>
  <c r="B1771" i="29"/>
  <c r="B1772" i="29"/>
  <c r="B1773" i="29"/>
  <c r="B1774" i="29"/>
  <c r="B1775" i="29"/>
  <c r="B1776" i="29"/>
  <c r="B1777" i="29"/>
  <c r="B1778" i="29"/>
  <c r="B1779" i="29"/>
  <c r="B1780" i="29"/>
  <c r="B1781" i="29"/>
  <c r="B1782" i="29"/>
  <c r="B1783" i="29"/>
  <c r="B1784" i="29"/>
  <c r="B1785" i="29"/>
  <c r="B1786" i="29"/>
  <c r="B1787" i="29"/>
  <c r="B1788" i="29"/>
  <c r="B1789" i="29"/>
  <c r="B1790" i="29"/>
  <c r="B1791" i="29"/>
  <c r="B1792" i="29"/>
  <c r="B1793" i="29"/>
  <c r="B1794" i="29"/>
  <c r="B1795" i="29"/>
  <c r="B1796" i="29"/>
  <c r="B1797" i="29"/>
  <c r="B1798" i="29"/>
  <c r="B1799" i="29"/>
  <c r="B1800" i="29"/>
  <c r="B1801" i="29"/>
  <c r="B1802" i="29"/>
  <c r="B1803" i="29"/>
  <c r="B1804" i="29"/>
  <c r="B1805" i="29"/>
  <c r="B1806" i="29"/>
  <c r="B1807" i="29"/>
  <c r="B1808" i="29"/>
  <c r="B1809" i="29"/>
  <c r="B1810" i="29"/>
  <c r="B1811" i="29"/>
  <c r="B1812" i="29"/>
  <c r="B1813" i="29"/>
  <c r="B1814" i="29"/>
  <c r="B1815" i="29"/>
  <c r="B1816" i="29"/>
  <c r="B1817" i="29"/>
  <c r="B1818" i="29"/>
  <c r="B1819" i="29"/>
  <c r="B1820" i="29"/>
  <c r="B1821" i="29"/>
  <c r="B1822" i="29"/>
  <c r="B1823" i="29"/>
  <c r="B1824" i="29"/>
  <c r="B1825" i="29"/>
  <c r="B1826" i="29"/>
  <c r="B1827" i="29"/>
  <c r="B1828" i="29"/>
  <c r="B1829" i="29"/>
  <c r="B1830" i="29"/>
  <c r="B1831" i="29"/>
  <c r="B1832" i="29"/>
  <c r="B1833" i="29"/>
  <c r="B1834" i="29"/>
  <c r="B1835" i="29"/>
  <c r="B1836" i="29"/>
  <c r="B1837" i="29"/>
  <c r="B1838" i="29"/>
  <c r="B1839" i="29"/>
  <c r="B1840" i="29"/>
  <c r="B1841" i="29"/>
  <c r="B1842" i="29"/>
  <c r="B1843" i="29"/>
  <c r="B1844" i="29"/>
  <c r="B1845" i="29"/>
  <c r="B1846" i="29"/>
  <c r="B1847" i="29"/>
  <c r="B1848" i="29"/>
  <c r="B1849" i="29"/>
  <c r="B1850" i="29"/>
  <c r="B1851" i="29"/>
  <c r="B1852" i="29"/>
  <c r="B1853" i="29"/>
  <c r="B1854" i="29"/>
  <c r="B1855" i="29"/>
  <c r="B1856" i="29"/>
  <c r="B1857" i="29"/>
  <c r="B1858" i="29"/>
  <c r="B1859" i="29"/>
  <c r="B1860" i="29"/>
  <c r="B1861" i="29"/>
  <c r="B1862" i="29"/>
  <c r="B1863" i="29"/>
  <c r="B1864" i="29"/>
  <c r="B1865" i="29"/>
  <c r="B1866" i="29"/>
  <c r="B1867" i="29"/>
  <c r="B1868" i="29"/>
  <c r="B1869" i="29"/>
  <c r="B1870" i="29"/>
  <c r="B1871" i="29"/>
  <c r="B1872" i="29"/>
  <c r="B1873" i="29"/>
  <c r="B1874" i="29"/>
  <c r="B1875" i="29"/>
  <c r="B1876" i="29"/>
  <c r="B1877" i="29"/>
  <c r="B1878" i="29"/>
  <c r="B1879" i="29"/>
  <c r="B1880" i="29"/>
  <c r="B1881" i="29"/>
  <c r="B1882" i="29"/>
  <c r="B1883" i="29"/>
  <c r="B1884" i="29"/>
  <c r="B1885" i="29"/>
  <c r="B1886" i="29"/>
  <c r="B1887" i="29"/>
  <c r="B1888" i="29"/>
  <c r="B1889" i="29"/>
  <c r="B1890" i="29"/>
  <c r="B1891" i="29"/>
  <c r="B1892" i="29"/>
  <c r="B1893" i="29"/>
  <c r="B1894" i="29"/>
  <c r="B1895" i="29"/>
  <c r="B1896" i="29"/>
  <c r="B1897" i="29"/>
  <c r="B1898" i="29"/>
  <c r="B1899" i="29"/>
  <c r="B1900" i="29"/>
  <c r="B1901" i="29"/>
  <c r="B1902" i="29"/>
  <c r="B1903" i="29"/>
  <c r="B1904" i="29"/>
  <c r="B1905" i="29"/>
  <c r="B1906" i="29"/>
  <c r="B1907" i="29"/>
  <c r="B1908" i="29"/>
  <c r="B1909" i="29"/>
  <c r="B1910" i="29"/>
  <c r="B1911" i="29"/>
  <c r="B1912" i="29"/>
  <c r="B1913" i="29"/>
  <c r="B1914" i="29"/>
  <c r="B1915" i="29"/>
  <c r="B1916" i="29"/>
  <c r="B1917" i="29"/>
  <c r="B1918" i="29"/>
  <c r="B1919" i="29"/>
  <c r="B1920" i="29"/>
  <c r="B1921" i="29"/>
  <c r="B1922" i="29"/>
  <c r="B1923" i="29"/>
  <c r="B1924" i="29"/>
  <c r="B1925" i="29"/>
  <c r="B1926" i="29"/>
  <c r="B1927" i="29"/>
  <c r="B1928" i="29"/>
  <c r="B1929" i="29"/>
  <c r="B1930" i="29"/>
  <c r="B1931" i="29"/>
  <c r="B1932" i="29"/>
  <c r="B1933" i="29"/>
  <c r="B1934" i="29"/>
  <c r="B1935" i="29"/>
  <c r="B1936" i="29"/>
  <c r="B1937" i="29"/>
  <c r="B1938" i="29"/>
  <c r="B1939" i="29"/>
  <c r="B1940" i="29"/>
  <c r="B1941" i="29"/>
  <c r="B1942" i="29"/>
  <c r="B1943" i="29"/>
  <c r="B1944" i="29"/>
  <c r="B1945" i="29"/>
  <c r="B1946" i="29"/>
  <c r="B1947" i="29"/>
  <c r="B1948" i="29"/>
  <c r="B1949" i="29"/>
  <c r="B1950" i="29"/>
  <c r="B1951" i="29"/>
  <c r="B1952" i="29"/>
  <c r="B1953" i="29"/>
  <c r="B1954" i="29"/>
  <c r="B1955" i="29"/>
  <c r="B1956" i="29"/>
  <c r="B1957" i="29"/>
  <c r="B1958" i="29"/>
  <c r="B1959" i="29"/>
  <c r="B1960" i="29"/>
  <c r="B1961" i="29"/>
  <c r="B1962" i="29"/>
  <c r="B1963" i="29"/>
  <c r="B1964" i="29"/>
  <c r="B1965" i="29"/>
  <c r="B1966" i="29"/>
  <c r="B1967" i="29"/>
  <c r="B1968" i="29"/>
  <c r="B1969" i="29"/>
  <c r="B1970" i="29"/>
  <c r="B1971" i="29"/>
  <c r="B1972" i="29"/>
  <c r="B1973" i="29"/>
  <c r="B1974" i="29"/>
  <c r="B1975" i="29"/>
  <c r="B1976" i="29"/>
  <c r="B1977" i="29"/>
  <c r="B1978" i="29"/>
  <c r="B1979" i="29"/>
  <c r="B1980" i="29"/>
  <c r="B1981" i="29"/>
  <c r="B1982" i="29"/>
  <c r="B1983" i="29"/>
  <c r="B1984" i="29"/>
  <c r="B1985" i="29"/>
  <c r="B1986" i="29"/>
  <c r="B1987" i="29"/>
  <c r="B1988" i="29"/>
  <c r="B1989" i="29"/>
  <c r="B1990" i="29"/>
  <c r="B1991" i="29"/>
  <c r="B1992" i="29"/>
  <c r="B1993" i="29"/>
  <c r="B1994" i="29"/>
  <c r="B1995" i="29"/>
  <c r="B1996" i="29"/>
  <c r="B1997" i="29"/>
  <c r="B1998" i="29"/>
  <c r="B1999" i="29"/>
  <c r="B2000" i="29"/>
  <c r="B2001" i="29"/>
  <c r="B2002" i="29"/>
  <c r="B2003" i="29"/>
  <c r="B2004" i="29"/>
  <c r="B2005" i="29"/>
  <c r="B2006" i="29"/>
  <c r="B2007" i="29"/>
  <c r="B2008" i="29"/>
  <c r="B2009" i="29"/>
  <c r="B2010" i="29"/>
  <c r="B2011" i="29"/>
  <c r="B2012" i="29"/>
  <c r="B2013" i="29"/>
  <c r="B2014" i="29"/>
  <c r="B2015" i="29"/>
  <c r="B2016" i="29"/>
  <c r="B2017" i="29"/>
  <c r="B2018" i="29"/>
  <c r="B2019" i="29"/>
  <c r="B2020" i="29"/>
  <c r="B2021" i="29"/>
  <c r="B2022" i="29"/>
  <c r="B2023" i="29"/>
  <c r="B2024" i="29"/>
  <c r="B2025" i="29"/>
  <c r="B2026" i="29"/>
  <c r="B2027" i="29"/>
  <c r="B2028" i="29"/>
  <c r="B2029" i="29"/>
  <c r="B2030" i="29"/>
  <c r="B2031" i="29"/>
  <c r="B2032" i="29"/>
  <c r="B2033" i="29"/>
  <c r="B2034" i="29"/>
  <c r="B2035" i="29"/>
  <c r="B2036" i="29"/>
  <c r="B2037" i="29"/>
  <c r="B2038" i="29"/>
  <c r="B2039" i="29"/>
  <c r="B2040" i="29"/>
  <c r="B2041" i="29"/>
  <c r="B2042" i="29"/>
  <c r="B2043" i="29"/>
  <c r="B2044" i="29"/>
  <c r="B2045" i="29"/>
  <c r="B2046" i="29"/>
  <c r="B2047" i="29"/>
  <c r="B2048" i="29"/>
  <c r="B2049" i="29"/>
  <c r="B2050" i="29"/>
  <c r="B2051" i="29"/>
  <c r="B2052" i="29"/>
  <c r="B2053" i="29"/>
  <c r="B2054" i="29"/>
  <c r="B2055" i="29"/>
  <c r="B2056" i="29"/>
  <c r="B2057" i="29"/>
  <c r="B2058" i="29"/>
  <c r="B2059" i="29"/>
  <c r="B2060" i="29"/>
  <c r="B2061" i="29"/>
  <c r="B2062" i="29"/>
  <c r="B2063" i="29"/>
  <c r="B2064" i="29"/>
  <c r="B2065" i="29"/>
  <c r="B2066" i="29"/>
  <c r="B2067" i="29"/>
  <c r="B2068" i="29"/>
  <c r="B2069" i="29"/>
  <c r="B2070" i="29"/>
  <c r="B2071" i="29"/>
  <c r="B2072" i="29"/>
  <c r="B2073" i="29"/>
  <c r="B2074" i="29"/>
  <c r="B2075" i="29"/>
  <c r="B2076" i="29"/>
  <c r="B2077" i="29"/>
  <c r="B2078" i="29"/>
  <c r="B2079" i="29"/>
  <c r="B2080" i="29"/>
  <c r="B2081" i="29"/>
  <c r="B2082" i="29"/>
  <c r="B2083" i="29"/>
  <c r="B2084" i="29"/>
  <c r="B2085" i="29"/>
  <c r="B2086" i="29"/>
  <c r="B2087" i="29"/>
  <c r="B2088" i="29"/>
  <c r="B2089" i="29"/>
  <c r="B2090" i="29"/>
  <c r="B2091" i="29"/>
  <c r="B2092" i="29"/>
  <c r="B2093" i="29"/>
  <c r="B2094" i="29"/>
  <c r="B2095" i="29"/>
  <c r="B2096" i="29"/>
  <c r="B2097" i="29"/>
  <c r="B2098" i="29"/>
  <c r="B2099" i="29"/>
  <c r="B2100" i="29"/>
  <c r="B2101" i="29"/>
  <c r="B2102" i="29"/>
  <c r="B2103" i="29"/>
  <c r="B2104" i="29"/>
  <c r="B2105" i="29"/>
  <c r="B2106" i="29"/>
  <c r="B2107" i="29"/>
  <c r="B2108" i="29"/>
  <c r="B2109" i="29"/>
  <c r="B2110" i="29"/>
  <c r="B2111" i="29"/>
  <c r="B2112" i="29"/>
  <c r="B2113" i="29"/>
  <c r="B2114" i="29"/>
  <c r="B2115" i="29"/>
  <c r="B2116" i="29"/>
  <c r="B2117" i="29"/>
  <c r="B2118" i="29"/>
  <c r="B2119" i="29"/>
  <c r="B2120" i="29"/>
  <c r="B2121" i="29"/>
  <c r="B2122" i="29"/>
  <c r="B2123" i="29"/>
  <c r="B2124" i="29"/>
  <c r="B2125" i="29"/>
  <c r="B2126" i="29"/>
  <c r="B2127" i="29"/>
  <c r="B2128" i="29"/>
  <c r="B2129" i="29"/>
  <c r="B2130" i="29"/>
  <c r="B2131" i="29"/>
  <c r="B2132" i="29"/>
  <c r="B2133" i="29"/>
  <c r="B2134" i="29"/>
  <c r="B2135" i="29"/>
  <c r="B2136" i="29"/>
  <c r="B2137" i="29"/>
  <c r="B2138" i="29"/>
  <c r="B2139" i="29"/>
  <c r="B2140" i="29"/>
  <c r="B2141" i="29"/>
  <c r="B2142" i="29"/>
  <c r="B2143" i="29"/>
  <c r="B2144" i="29"/>
  <c r="B2145" i="29"/>
  <c r="B2146" i="29"/>
  <c r="B2147" i="29"/>
  <c r="B2148" i="29"/>
  <c r="B2149" i="29"/>
  <c r="B2150" i="29"/>
  <c r="B2151" i="29"/>
  <c r="B2152" i="29"/>
  <c r="B2153" i="29"/>
  <c r="B2154" i="29"/>
  <c r="B2155" i="29"/>
  <c r="B2156" i="29"/>
  <c r="B2157" i="29"/>
  <c r="B2158" i="29"/>
  <c r="B2159" i="29"/>
  <c r="B2160" i="29"/>
  <c r="B2161" i="29"/>
  <c r="B2162" i="29"/>
  <c r="B2163" i="29"/>
  <c r="B2164" i="29"/>
  <c r="B2165" i="29"/>
  <c r="B2166" i="29"/>
  <c r="B2167" i="29"/>
  <c r="B2168" i="29"/>
  <c r="B2169" i="29"/>
  <c r="B2170" i="29"/>
  <c r="B2171" i="29"/>
  <c r="B2172" i="29"/>
  <c r="B2173" i="29"/>
  <c r="B2174" i="29"/>
  <c r="B2175" i="29"/>
  <c r="B2176" i="29"/>
  <c r="B2177" i="29"/>
  <c r="B2178" i="29"/>
  <c r="B2179" i="29"/>
  <c r="B2180" i="29"/>
  <c r="B2181" i="29"/>
  <c r="B2182" i="29"/>
  <c r="B2183" i="29"/>
  <c r="B2184" i="29"/>
  <c r="B2185" i="29"/>
  <c r="B2186" i="29"/>
  <c r="B2187" i="29"/>
  <c r="B2188" i="29"/>
  <c r="B2189" i="29"/>
  <c r="B2190" i="29"/>
  <c r="B2191" i="29"/>
  <c r="B2192" i="29"/>
  <c r="B2193" i="29"/>
  <c r="B2194" i="29"/>
  <c r="B2195" i="29"/>
  <c r="B2196" i="29"/>
  <c r="B2197" i="29"/>
  <c r="B2198" i="29"/>
  <c r="B2199" i="29"/>
  <c r="B2200" i="29"/>
  <c r="B2201" i="29"/>
  <c r="B2202" i="29"/>
  <c r="B2203" i="29"/>
  <c r="B2204" i="29"/>
  <c r="B2205" i="29"/>
  <c r="B2206" i="29"/>
  <c r="B2207" i="29"/>
  <c r="B2208" i="29"/>
  <c r="B2209" i="29"/>
  <c r="B2210" i="29"/>
  <c r="B2211" i="29"/>
  <c r="B2212" i="29"/>
  <c r="B2213" i="29"/>
  <c r="B2214" i="29"/>
  <c r="B2215" i="29"/>
  <c r="B2216" i="29"/>
  <c r="B2217" i="29"/>
  <c r="B2218" i="29"/>
  <c r="B2219" i="29"/>
  <c r="B2220" i="29"/>
  <c r="B2221" i="29"/>
  <c r="B2222" i="29"/>
  <c r="B2223" i="29"/>
  <c r="B2224" i="29"/>
  <c r="B2225" i="29"/>
  <c r="B2226" i="29"/>
  <c r="B2227" i="29"/>
  <c r="B2228" i="29"/>
  <c r="B2229" i="29"/>
  <c r="B2230" i="29"/>
  <c r="B2231" i="29"/>
  <c r="B2232" i="29"/>
  <c r="B2233" i="29"/>
  <c r="B2234" i="29"/>
  <c r="B2235" i="29"/>
  <c r="B2236" i="29"/>
  <c r="B2237" i="29"/>
  <c r="B2238" i="29"/>
  <c r="B2239" i="29"/>
  <c r="B2240" i="29"/>
  <c r="B2241" i="29"/>
  <c r="B2242" i="29"/>
  <c r="B2243" i="29"/>
  <c r="B2244" i="29"/>
  <c r="B2245" i="29"/>
  <c r="B2246" i="29"/>
  <c r="B2247" i="29"/>
  <c r="B2248" i="29"/>
  <c r="B2249" i="29"/>
  <c r="B2250" i="29"/>
  <c r="B2251" i="29"/>
  <c r="B2252" i="29"/>
  <c r="B2253" i="29"/>
  <c r="B2254" i="29"/>
  <c r="B2255" i="29"/>
  <c r="B2256" i="29"/>
  <c r="B2257" i="29"/>
  <c r="B2258" i="29"/>
  <c r="B2259" i="29"/>
  <c r="B2260" i="29"/>
  <c r="B2261" i="29"/>
  <c r="B2262" i="29"/>
  <c r="B2263" i="29"/>
  <c r="B2264" i="29"/>
  <c r="B2265" i="29"/>
  <c r="B2266" i="29"/>
  <c r="B2267" i="29"/>
  <c r="B2268" i="29"/>
  <c r="B2269" i="29"/>
  <c r="B2270" i="29"/>
  <c r="B2271" i="29"/>
  <c r="B2272" i="29"/>
  <c r="B2273" i="29"/>
  <c r="B2274" i="29"/>
  <c r="B2275" i="29"/>
  <c r="B2276" i="29"/>
  <c r="B2277" i="29"/>
  <c r="B2278" i="29"/>
  <c r="B2279" i="29"/>
  <c r="B2280" i="29"/>
  <c r="B2281" i="29"/>
  <c r="B2282" i="29"/>
  <c r="B2283" i="29"/>
  <c r="B2284" i="29"/>
  <c r="B2285" i="29"/>
  <c r="B2286" i="29"/>
  <c r="B2287" i="29"/>
  <c r="B2288" i="29"/>
  <c r="B2289" i="29"/>
  <c r="B2290" i="29"/>
  <c r="B2291" i="29"/>
  <c r="B2292" i="29"/>
  <c r="B2293" i="29"/>
  <c r="B2294" i="29"/>
  <c r="B2295" i="29"/>
  <c r="B2296" i="29"/>
  <c r="B2297" i="29"/>
  <c r="B2298" i="29"/>
  <c r="B2299" i="29"/>
  <c r="B2300" i="29"/>
  <c r="B2301" i="29"/>
  <c r="B2302" i="29"/>
  <c r="B2303" i="29"/>
  <c r="B2304" i="29"/>
  <c r="B2305" i="29"/>
  <c r="B2306" i="29"/>
  <c r="B2307" i="29"/>
  <c r="B2308" i="29"/>
  <c r="B2309" i="29"/>
  <c r="B2310" i="29"/>
  <c r="B2311" i="29"/>
  <c r="B2312" i="29"/>
  <c r="B2313" i="29"/>
  <c r="B2314" i="29"/>
  <c r="B2315" i="29"/>
  <c r="B2316" i="29"/>
  <c r="B2317" i="29"/>
  <c r="B2318" i="29"/>
  <c r="B2319" i="29"/>
  <c r="B2320" i="29"/>
  <c r="B2321" i="29"/>
  <c r="B2322" i="29"/>
  <c r="B2323" i="29"/>
  <c r="B2324" i="29"/>
  <c r="B2325" i="29"/>
  <c r="B2326" i="29"/>
  <c r="B2327" i="29"/>
  <c r="B2328" i="29"/>
  <c r="B2329" i="29"/>
  <c r="B2330" i="29"/>
  <c r="B2331" i="29"/>
  <c r="B2332" i="29"/>
  <c r="B2333" i="29"/>
  <c r="B2334" i="29"/>
  <c r="B2335" i="29"/>
  <c r="B2336" i="29"/>
  <c r="B2337" i="29"/>
  <c r="B2338" i="29"/>
  <c r="B2339" i="29"/>
  <c r="B2340" i="29"/>
  <c r="B2341" i="29"/>
  <c r="B2342" i="29"/>
  <c r="B2343" i="29"/>
  <c r="B2344" i="29"/>
  <c r="B2345" i="29"/>
  <c r="B2346" i="29"/>
  <c r="B2347" i="29"/>
  <c r="B2348" i="29"/>
  <c r="B2349" i="29"/>
  <c r="B2350" i="29"/>
  <c r="B2351" i="29"/>
  <c r="B2352" i="29"/>
  <c r="B2353" i="29"/>
  <c r="B2354" i="29"/>
  <c r="B2355" i="29"/>
  <c r="B2356" i="29"/>
  <c r="B2357" i="29"/>
  <c r="B2358" i="29"/>
  <c r="B2359" i="29"/>
  <c r="B2360" i="29"/>
  <c r="B2361" i="29"/>
  <c r="B2362" i="29"/>
  <c r="B2363" i="29"/>
  <c r="B2364" i="29"/>
  <c r="B2365" i="29"/>
  <c r="B2366" i="29"/>
  <c r="B2367" i="29"/>
  <c r="B2368" i="29"/>
  <c r="B2369" i="29"/>
  <c r="B2370" i="29"/>
  <c r="B2371" i="29"/>
  <c r="B2372" i="29"/>
  <c r="B2373" i="29"/>
  <c r="B2374" i="29"/>
  <c r="B2375" i="29"/>
  <c r="B2376" i="29"/>
  <c r="B2377" i="29"/>
  <c r="B2378" i="29"/>
  <c r="B2379" i="29"/>
  <c r="B2380" i="29"/>
  <c r="B2381" i="29"/>
  <c r="B2382" i="29"/>
  <c r="B2383" i="29"/>
  <c r="B2384" i="29"/>
  <c r="B2385" i="29"/>
  <c r="B2386" i="29"/>
  <c r="B2387" i="29"/>
  <c r="B2388" i="29"/>
  <c r="B2389" i="29"/>
  <c r="B2390" i="29"/>
  <c r="B2391" i="29"/>
  <c r="B2392" i="29"/>
  <c r="B2393" i="29"/>
  <c r="B2394" i="29"/>
  <c r="B2395" i="29"/>
  <c r="B2396" i="29"/>
  <c r="B2397" i="29"/>
  <c r="B2398" i="29"/>
  <c r="B2399" i="29"/>
  <c r="B2400" i="29"/>
  <c r="B2401" i="29"/>
  <c r="B2402" i="29"/>
  <c r="B2403" i="29"/>
  <c r="B2404" i="29"/>
  <c r="B2405" i="29"/>
  <c r="B2406" i="29"/>
  <c r="B2407" i="29"/>
  <c r="B2408" i="29"/>
  <c r="B2409" i="29"/>
  <c r="B2410" i="29"/>
  <c r="B2411" i="29"/>
  <c r="B2412" i="29"/>
  <c r="B2413" i="29"/>
  <c r="B2414" i="29"/>
  <c r="B2415" i="29"/>
  <c r="B2416" i="29"/>
  <c r="B2417" i="29"/>
  <c r="B2418" i="29"/>
  <c r="B2419" i="29"/>
  <c r="B2420" i="29"/>
  <c r="B2421" i="29"/>
  <c r="B2422" i="29"/>
  <c r="B2423" i="29"/>
  <c r="B2424" i="29"/>
  <c r="B2425" i="29"/>
  <c r="B2426" i="29"/>
  <c r="B2427" i="29"/>
  <c r="B2428" i="29"/>
  <c r="B2429" i="29"/>
  <c r="B2430" i="29"/>
  <c r="B2431" i="29"/>
  <c r="B2432" i="29"/>
  <c r="B2433" i="29"/>
  <c r="B2434" i="29"/>
  <c r="B2435" i="29"/>
  <c r="B2436" i="29"/>
  <c r="B2437" i="29"/>
  <c r="B2438" i="29"/>
  <c r="B2439" i="29"/>
  <c r="B2440" i="29"/>
  <c r="B2441" i="29"/>
  <c r="B2442" i="29"/>
  <c r="B2443" i="29"/>
  <c r="B2444" i="29"/>
  <c r="B2445" i="29"/>
  <c r="B2446" i="29"/>
  <c r="B2447" i="29"/>
  <c r="B2448" i="29"/>
  <c r="B2449" i="29"/>
  <c r="B2450" i="29"/>
  <c r="B2451" i="29"/>
  <c r="B2452" i="29"/>
  <c r="B2453" i="29"/>
  <c r="B2454" i="29"/>
  <c r="B2455" i="29"/>
  <c r="B2456" i="29"/>
  <c r="B2457" i="29"/>
  <c r="B2458" i="29"/>
  <c r="B2459" i="29"/>
  <c r="B2460" i="29"/>
  <c r="B2461" i="29"/>
  <c r="B2462" i="29"/>
  <c r="B2463" i="29"/>
  <c r="B2464" i="29"/>
  <c r="B2465" i="29"/>
  <c r="B2466" i="29"/>
  <c r="B2467" i="29"/>
  <c r="B2468" i="29"/>
  <c r="B2469" i="29"/>
  <c r="B2470" i="29"/>
  <c r="B2471" i="29"/>
  <c r="B2472" i="29"/>
  <c r="B2473" i="29"/>
  <c r="B2474" i="29"/>
  <c r="B2475" i="29"/>
  <c r="B2476" i="29"/>
  <c r="B2477" i="29"/>
  <c r="B2478" i="29"/>
  <c r="B2479" i="29"/>
  <c r="B2480" i="29"/>
  <c r="B2481" i="29"/>
  <c r="B2482" i="29"/>
  <c r="B2483" i="29"/>
  <c r="B2484" i="29"/>
  <c r="B2485" i="29"/>
  <c r="B2486" i="29"/>
  <c r="B2487" i="29"/>
  <c r="B2488" i="29"/>
  <c r="B2489" i="29"/>
  <c r="B2490" i="29"/>
  <c r="B2491" i="29"/>
  <c r="B2492" i="29"/>
  <c r="B2493" i="29"/>
  <c r="B2494" i="29"/>
  <c r="B2495" i="29"/>
  <c r="B2496" i="29"/>
  <c r="B2497" i="29"/>
  <c r="B2498" i="29"/>
  <c r="B2499" i="29"/>
  <c r="B2500" i="29"/>
  <c r="B2501" i="29"/>
  <c r="B2502" i="29"/>
  <c r="B2503" i="29"/>
  <c r="B2504" i="29"/>
  <c r="B2505" i="29"/>
  <c r="B2506" i="29"/>
  <c r="B2507" i="29"/>
  <c r="B2508" i="29"/>
  <c r="B2509" i="29"/>
  <c r="B2510" i="29"/>
  <c r="B2511" i="29"/>
  <c r="B2512" i="29"/>
  <c r="B2513" i="29"/>
  <c r="B2514" i="29"/>
  <c r="B2515" i="29"/>
  <c r="B2516" i="29"/>
  <c r="B2517" i="29"/>
  <c r="B2518" i="29"/>
  <c r="B2519" i="29"/>
  <c r="B2520" i="29"/>
  <c r="B2521" i="29"/>
  <c r="B2522" i="29"/>
  <c r="B2523" i="29"/>
  <c r="B2524" i="29"/>
  <c r="B2525" i="29"/>
  <c r="B2526" i="29"/>
  <c r="B2527" i="29"/>
  <c r="B2528" i="29"/>
  <c r="B2529" i="29"/>
  <c r="B2530" i="29"/>
  <c r="B2531" i="29"/>
  <c r="B2532" i="29"/>
  <c r="B2533" i="29"/>
  <c r="B2534" i="29"/>
  <c r="B2535" i="29"/>
  <c r="B2536" i="29"/>
  <c r="B2537" i="29"/>
  <c r="B2538" i="29"/>
  <c r="B2539" i="29"/>
  <c r="B2540" i="29"/>
  <c r="B2541" i="29"/>
  <c r="B2542" i="29"/>
  <c r="B2543" i="29"/>
  <c r="B2544" i="29"/>
  <c r="B2545" i="29"/>
  <c r="B2546" i="29"/>
  <c r="B2547" i="29"/>
  <c r="B2548" i="29"/>
  <c r="B2549" i="29"/>
  <c r="B2550" i="29"/>
  <c r="B2551" i="29"/>
  <c r="B2552" i="29"/>
  <c r="B2553" i="29"/>
  <c r="B2554" i="29"/>
  <c r="B2555" i="29"/>
  <c r="B2556" i="29"/>
  <c r="B2557" i="29"/>
  <c r="B2558" i="29"/>
  <c r="B2559" i="29"/>
  <c r="B2560" i="29"/>
  <c r="B2561" i="29"/>
  <c r="B2562" i="29"/>
  <c r="B2563" i="29"/>
  <c r="B2564" i="29"/>
  <c r="B2565" i="29"/>
  <c r="B2566" i="29"/>
  <c r="B2567" i="29"/>
  <c r="B2568" i="29"/>
  <c r="B2569" i="29"/>
  <c r="B2570" i="29"/>
  <c r="B2571" i="29"/>
  <c r="B2572" i="29"/>
  <c r="B2573" i="29"/>
  <c r="B2574" i="29"/>
  <c r="B2575" i="29"/>
  <c r="B2576" i="29"/>
  <c r="B2577" i="29"/>
  <c r="B2578" i="29"/>
  <c r="B2579" i="29"/>
  <c r="B2580" i="29"/>
  <c r="B2581" i="29"/>
  <c r="B2582" i="29"/>
  <c r="B2583" i="29"/>
  <c r="B2584" i="29"/>
  <c r="B2585" i="29"/>
  <c r="B2586" i="29"/>
  <c r="B2587" i="29"/>
  <c r="B2588" i="29"/>
  <c r="B9" i="29"/>
  <c r="B10" i="29"/>
  <c r="B11" i="29"/>
  <c r="B12" i="29"/>
  <c r="B13" i="29"/>
  <c r="B14" i="29"/>
  <c r="B15" i="29"/>
  <c r="B16" i="29"/>
  <c r="B17" i="29"/>
  <c r="B18" i="29"/>
  <c r="B19" i="29"/>
  <c r="B20" i="29"/>
  <c r="B21" i="29"/>
  <c r="B22" i="29"/>
  <c r="B23" i="29"/>
  <c r="B24" i="29"/>
  <c r="B25" i="29"/>
  <c r="B26" i="29"/>
  <c r="B27" i="29"/>
  <c r="B28" i="29"/>
  <c r="B29" i="29"/>
  <c r="B30" i="29"/>
  <c r="B31" i="29"/>
  <c r="B32" i="29"/>
  <c r="B33" i="29"/>
  <c r="B34" i="29"/>
  <c r="B35" i="29"/>
  <c r="B36" i="29"/>
  <c r="B37" i="29"/>
  <c r="B38" i="29"/>
  <c r="B39" i="29"/>
  <c r="B40" i="29"/>
  <c r="B41" i="29"/>
  <c r="B42" i="29"/>
  <c r="B43" i="29"/>
  <c r="B44" i="29"/>
  <c r="B45" i="29"/>
  <c r="B46" i="29"/>
  <c r="B47" i="29"/>
  <c r="B48" i="29"/>
  <c r="B49" i="29"/>
  <c r="B50" i="29"/>
  <c r="B51" i="29"/>
  <c r="B52" i="29"/>
  <c r="B53" i="29"/>
  <c r="B54" i="29"/>
  <c r="B55" i="29"/>
  <c r="B56" i="29"/>
  <c r="B57" i="29"/>
  <c r="B58" i="29"/>
  <c r="B59" i="29"/>
  <c r="B8" i="29"/>
  <c r="C279" i="7"/>
  <c r="C280" i="7"/>
  <c r="C281" i="7"/>
  <c r="C282" i="7"/>
  <c r="C283" i="7"/>
  <c r="C284" i="7"/>
  <c r="C285" i="7"/>
  <c r="C286" i="7"/>
  <c r="C287" i="7"/>
  <c r="C288" i="7"/>
  <c r="C289" i="7"/>
  <c r="C290" i="7"/>
  <c r="C291" i="7"/>
  <c r="C292" i="7"/>
  <c r="C293" i="7"/>
  <c r="C294" i="7"/>
  <c r="C295" i="7"/>
  <c r="C296" i="7"/>
  <c r="C297" i="7"/>
  <c r="C298" i="7"/>
  <c r="C299" i="7"/>
  <c r="C300" i="7"/>
  <c r="C301" i="7"/>
  <c r="C302" i="7"/>
  <c r="C303" i="7"/>
  <c r="C304" i="7"/>
  <c r="C305" i="7"/>
  <c r="C306" i="7"/>
  <c r="C307" i="7"/>
  <c r="C308" i="7"/>
  <c r="C309" i="7"/>
  <c r="C310" i="7"/>
  <c r="C311" i="7"/>
  <c r="C312" i="7"/>
  <c r="C313" i="7"/>
  <c r="C314" i="7"/>
  <c r="C315" i="7"/>
  <c r="C316" i="7"/>
  <c r="C317" i="7"/>
  <c r="C318" i="7"/>
  <c r="C319" i="7"/>
  <c r="C320" i="7"/>
  <c r="C321" i="7"/>
  <c r="C322" i="7"/>
  <c r="C323" i="7"/>
  <c r="C324" i="7"/>
  <c r="C325" i="7"/>
  <c r="C326" i="7"/>
  <c r="C327" i="7"/>
  <c r="C328" i="7"/>
  <c r="C329" i="7"/>
  <c r="C330" i="7"/>
  <c r="C331" i="7"/>
  <c r="C332" i="7"/>
  <c r="C333" i="7"/>
  <c r="C334" i="7"/>
  <c r="C335" i="7"/>
  <c r="C336" i="7"/>
  <c r="C337" i="7"/>
  <c r="C338" i="7"/>
  <c r="C339" i="7"/>
  <c r="C340" i="7"/>
  <c r="C341" i="7"/>
  <c r="C342" i="7"/>
  <c r="C343" i="7"/>
  <c r="C344" i="7"/>
  <c r="C345" i="7"/>
  <c r="C346" i="7"/>
  <c r="C347" i="7"/>
  <c r="C348" i="7"/>
  <c r="C349" i="7"/>
  <c r="C350" i="7"/>
  <c r="C351" i="7"/>
  <c r="C352" i="7"/>
  <c r="C353" i="7"/>
  <c r="C354" i="7"/>
  <c r="C355" i="7"/>
  <c r="C356" i="7"/>
  <c r="C357" i="7"/>
  <c r="C358" i="7"/>
  <c r="C359" i="7"/>
  <c r="C360" i="7"/>
  <c r="C361" i="7"/>
  <c r="C362" i="7"/>
  <c r="C363" i="7"/>
  <c r="C364" i="7"/>
  <c r="C365" i="7"/>
  <c r="C366" i="7"/>
  <c r="C367" i="7"/>
  <c r="C368" i="7"/>
  <c r="C369" i="7"/>
  <c r="C370" i="7"/>
  <c r="C371" i="7"/>
  <c r="C372" i="7"/>
  <c r="C373" i="7"/>
  <c r="C374" i="7"/>
  <c r="C375" i="7"/>
  <c r="C376" i="7"/>
  <c r="C377" i="7"/>
  <c r="C378" i="7"/>
  <c r="C379" i="7"/>
  <c r="C380" i="7"/>
  <c r="C381" i="7"/>
  <c r="C382" i="7"/>
  <c r="C383" i="7"/>
  <c r="C384" i="7"/>
  <c r="C385" i="7"/>
  <c r="C386" i="7"/>
  <c r="C387" i="7"/>
  <c r="C388" i="7"/>
  <c r="C389" i="7"/>
  <c r="C390" i="7"/>
  <c r="C391" i="7"/>
  <c r="C392" i="7"/>
  <c r="C393" i="7"/>
  <c r="C394" i="7"/>
  <c r="C395" i="7"/>
  <c r="C396" i="7"/>
  <c r="C397" i="7"/>
  <c r="C398" i="7"/>
  <c r="C399" i="7"/>
  <c r="C400" i="7"/>
  <c r="C401" i="7"/>
  <c r="C402" i="7"/>
  <c r="C403" i="7"/>
  <c r="C404" i="7"/>
  <c r="C405" i="7"/>
  <c r="C406" i="7"/>
  <c r="C407" i="7"/>
  <c r="C408" i="7"/>
  <c r="C409" i="7"/>
  <c r="C410" i="7"/>
  <c r="C411" i="7"/>
  <c r="C412" i="7"/>
  <c r="C413" i="7"/>
  <c r="C414" i="7"/>
  <c r="C415" i="7"/>
  <c r="C416" i="7"/>
  <c r="C417" i="7"/>
  <c r="C418" i="7"/>
  <c r="C419" i="7"/>
  <c r="C420" i="7"/>
  <c r="C421" i="7"/>
  <c r="C422" i="7"/>
  <c r="C423" i="7"/>
  <c r="C424" i="7"/>
  <c r="C425" i="7"/>
  <c r="C426" i="7"/>
  <c r="C427" i="7"/>
  <c r="C428" i="7"/>
  <c r="C429" i="7"/>
  <c r="C430" i="7"/>
  <c r="C431" i="7"/>
  <c r="C432" i="7"/>
  <c r="C433" i="7"/>
  <c r="C434" i="7"/>
  <c r="C435" i="7"/>
  <c r="C436" i="7"/>
  <c r="C437" i="7"/>
  <c r="C438" i="7"/>
  <c r="C439" i="7"/>
  <c r="C440" i="7"/>
  <c r="C441" i="7"/>
  <c r="C442" i="7"/>
  <c r="C443" i="7"/>
  <c r="C444" i="7"/>
  <c r="C445" i="7"/>
  <c r="C446" i="7"/>
  <c r="C447" i="7"/>
  <c r="C448" i="7"/>
  <c r="C449" i="7"/>
  <c r="C450" i="7"/>
  <c r="C451" i="7"/>
  <c r="C452" i="7"/>
  <c r="C453" i="7"/>
  <c r="C454" i="7"/>
  <c r="C455" i="7"/>
  <c r="C456" i="7"/>
  <c r="C457" i="7"/>
  <c r="C458" i="7"/>
  <c r="C459" i="7"/>
  <c r="C460" i="7"/>
  <c r="C461" i="7"/>
  <c r="C462" i="7"/>
  <c r="C463" i="7"/>
  <c r="C464" i="7"/>
  <c r="C465" i="7"/>
  <c r="C466" i="7"/>
  <c r="C467" i="7"/>
  <c r="C468" i="7"/>
  <c r="C469" i="7"/>
  <c r="C470" i="7"/>
  <c r="C471" i="7"/>
  <c r="C472" i="7"/>
  <c r="C473" i="7"/>
  <c r="C474" i="7"/>
  <c r="C475" i="7"/>
  <c r="C476" i="7"/>
  <c r="C477" i="7"/>
  <c r="C478" i="7"/>
  <c r="C479" i="7"/>
  <c r="C480" i="7"/>
  <c r="C481" i="7"/>
  <c r="C482" i="7"/>
  <c r="C483" i="7"/>
  <c r="C484" i="7"/>
  <c r="C485" i="7"/>
  <c r="C486" i="7"/>
  <c r="C487" i="7"/>
  <c r="C488" i="7"/>
  <c r="C489" i="7"/>
  <c r="C490" i="7"/>
  <c r="C491" i="7"/>
  <c r="C492" i="7"/>
  <c r="C493" i="7"/>
  <c r="C494" i="7"/>
  <c r="C495" i="7"/>
  <c r="C496" i="7"/>
  <c r="C497" i="7"/>
  <c r="C498" i="7"/>
  <c r="C499" i="7"/>
  <c r="C500" i="7"/>
  <c r="C501" i="7"/>
  <c r="C502" i="7"/>
  <c r="C503" i="7"/>
  <c r="C504" i="7"/>
  <c r="C505" i="7"/>
  <c r="C506" i="7"/>
  <c r="C507" i="7"/>
  <c r="C508" i="7"/>
  <c r="C509" i="7"/>
  <c r="C510" i="7"/>
  <c r="C511" i="7"/>
  <c r="C512" i="7"/>
  <c r="C513" i="7"/>
  <c r="C514" i="7"/>
  <c r="C515" i="7"/>
  <c r="C516" i="7"/>
  <c r="C517" i="7"/>
  <c r="C518" i="7"/>
  <c r="C519" i="7"/>
  <c r="C520" i="7"/>
  <c r="C521" i="7"/>
  <c r="C522" i="7"/>
  <c r="C523" i="7"/>
  <c r="C524" i="7"/>
  <c r="C525" i="7"/>
  <c r="C526" i="7"/>
  <c r="C527" i="7"/>
  <c r="C528" i="7"/>
  <c r="C529" i="7"/>
  <c r="C530" i="7"/>
  <c r="C531" i="7"/>
  <c r="C532" i="7"/>
  <c r="C533" i="7"/>
  <c r="C534" i="7"/>
  <c r="C535" i="7"/>
  <c r="C536" i="7"/>
  <c r="C537" i="7"/>
  <c r="C538" i="7"/>
  <c r="C539" i="7"/>
  <c r="C540" i="7"/>
  <c r="C541" i="7"/>
  <c r="C542" i="7"/>
  <c r="C543" i="7"/>
  <c r="C544" i="7"/>
  <c r="C545" i="7"/>
  <c r="C546" i="7"/>
  <c r="C547" i="7"/>
  <c r="C548" i="7"/>
  <c r="C549" i="7"/>
  <c r="C550" i="7"/>
  <c r="C551" i="7"/>
  <c r="C552" i="7"/>
  <c r="C553" i="7"/>
  <c r="C554" i="7"/>
  <c r="C555" i="7"/>
  <c r="C556" i="7"/>
  <c r="C557" i="7"/>
  <c r="C558" i="7"/>
  <c r="C559" i="7"/>
  <c r="C560" i="7"/>
  <c r="C561" i="7"/>
  <c r="C562" i="7"/>
  <c r="C563" i="7"/>
  <c r="C564" i="7"/>
  <c r="C565" i="7"/>
  <c r="C566" i="7"/>
  <c r="C567" i="7"/>
  <c r="C568" i="7"/>
  <c r="C569" i="7"/>
  <c r="C570" i="7"/>
  <c r="C571" i="7"/>
  <c r="C572" i="7"/>
  <c r="C573" i="7"/>
  <c r="C574" i="7"/>
  <c r="C575" i="7"/>
  <c r="C576" i="7"/>
  <c r="C577" i="7"/>
  <c r="C578" i="7"/>
  <c r="C579" i="7"/>
  <c r="C580" i="7"/>
  <c r="C581" i="7"/>
  <c r="C582" i="7"/>
  <c r="C583" i="7"/>
  <c r="C584" i="7"/>
  <c r="C585" i="7"/>
  <c r="C586" i="7"/>
  <c r="C587" i="7"/>
  <c r="C588" i="7"/>
  <c r="C589" i="7"/>
  <c r="C590" i="7"/>
  <c r="C591" i="7"/>
  <c r="C592" i="7"/>
  <c r="C593" i="7"/>
  <c r="C594" i="7"/>
  <c r="C595" i="7"/>
  <c r="C596" i="7"/>
  <c r="C597" i="7"/>
  <c r="C598" i="7"/>
  <c r="C599" i="7"/>
  <c r="C600" i="7"/>
  <c r="C601" i="7"/>
  <c r="C602" i="7"/>
  <c r="C603" i="7"/>
  <c r="C604" i="7"/>
  <c r="C605" i="7"/>
  <c r="C606" i="7"/>
  <c r="C607" i="7"/>
  <c r="C608" i="7"/>
  <c r="C609" i="7"/>
  <c r="C610" i="7"/>
  <c r="C611" i="7"/>
  <c r="C612" i="7"/>
  <c r="C613" i="7"/>
  <c r="C614" i="7"/>
  <c r="C615" i="7"/>
  <c r="C616" i="7"/>
  <c r="C617" i="7"/>
  <c r="C618" i="7"/>
  <c r="C619" i="7"/>
  <c r="C620" i="7"/>
  <c r="C621" i="7"/>
  <c r="C622" i="7"/>
  <c r="C623" i="7"/>
  <c r="C624" i="7"/>
  <c r="C625" i="7"/>
  <c r="C626" i="7"/>
  <c r="C627" i="7"/>
  <c r="C628" i="7"/>
  <c r="C629" i="7"/>
  <c r="C630" i="7"/>
  <c r="C631" i="7"/>
  <c r="C632" i="7"/>
  <c r="C633" i="7"/>
  <c r="C634" i="7"/>
  <c r="C635" i="7"/>
  <c r="C636" i="7"/>
  <c r="C637" i="7"/>
  <c r="C638" i="7"/>
  <c r="C639" i="7"/>
  <c r="C640" i="7"/>
  <c r="C641" i="7"/>
  <c r="C642" i="7"/>
  <c r="C643" i="7"/>
  <c r="C644" i="7"/>
  <c r="C645" i="7"/>
  <c r="C646" i="7"/>
  <c r="C647" i="7"/>
  <c r="C648" i="7"/>
  <c r="C649" i="7"/>
  <c r="C650" i="7"/>
  <c r="C651" i="7"/>
  <c r="C652" i="7"/>
  <c r="C653" i="7"/>
  <c r="C654" i="7"/>
  <c r="C655" i="7"/>
  <c r="C656" i="7"/>
  <c r="C657" i="7"/>
  <c r="C658" i="7"/>
  <c r="C659" i="7"/>
  <c r="C660" i="7"/>
  <c r="C661" i="7"/>
  <c r="C662" i="7"/>
  <c r="C663" i="7"/>
  <c r="C664" i="7"/>
  <c r="C665" i="7"/>
  <c r="C666" i="7"/>
  <c r="C667" i="7"/>
  <c r="C668" i="7"/>
  <c r="C669" i="7"/>
  <c r="C670" i="7"/>
  <c r="C671" i="7"/>
  <c r="C672" i="7"/>
  <c r="C673" i="7"/>
  <c r="C674" i="7"/>
  <c r="C675" i="7"/>
  <c r="C676" i="7"/>
  <c r="C677" i="7"/>
  <c r="C678" i="7"/>
  <c r="C679" i="7"/>
  <c r="C680" i="7"/>
  <c r="C681" i="7"/>
  <c r="C682" i="7"/>
  <c r="C683" i="7"/>
  <c r="C684" i="7"/>
  <c r="C685" i="7"/>
  <c r="C686" i="7"/>
  <c r="C687" i="7"/>
  <c r="C688" i="7"/>
  <c r="C689" i="7"/>
  <c r="C690" i="7"/>
  <c r="C691" i="7"/>
  <c r="C692" i="7"/>
  <c r="C693" i="7"/>
  <c r="C694" i="7"/>
  <c r="C695" i="7"/>
  <c r="C696" i="7"/>
  <c r="C697" i="7"/>
  <c r="C698" i="7"/>
  <c r="C699" i="7"/>
  <c r="C700" i="7"/>
  <c r="C701" i="7"/>
  <c r="C702" i="7"/>
  <c r="C703" i="7"/>
  <c r="C704" i="7"/>
  <c r="C705" i="7"/>
  <c r="C706" i="7"/>
  <c r="C707" i="7"/>
  <c r="C708" i="7"/>
  <c r="C709" i="7"/>
  <c r="C710" i="7"/>
  <c r="C711" i="7"/>
  <c r="C712" i="7"/>
  <c r="C713" i="7"/>
  <c r="C714" i="7"/>
  <c r="C715" i="7"/>
  <c r="C716" i="7"/>
  <c r="C717" i="7"/>
  <c r="C718" i="7"/>
  <c r="C719" i="7"/>
  <c r="C720" i="7"/>
  <c r="C721" i="7"/>
  <c r="C722" i="7"/>
  <c r="C723" i="7"/>
  <c r="C724" i="7"/>
  <c r="C725" i="7"/>
  <c r="C726" i="7"/>
  <c r="C727" i="7"/>
  <c r="C728" i="7"/>
  <c r="C729" i="7"/>
  <c r="C730" i="7"/>
  <c r="C731" i="7"/>
  <c r="C732" i="7"/>
  <c r="C733" i="7"/>
  <c r="C734" i="7"/>
  <c r="C735" i="7"/>
  <c r="C736" i="7"/>
  <c r="C737" i="7"/>
  <c r="C738" i="7"/>
  <c r="C739" i="7"/>
  <c r="C740" i="7"/>
  <c r="C741" i="7"/>
  <c r="C742" i="7"/>
  <c r="C743" i="7"/>
  <c r="C744" i="7"/>
  <c r="C745" i="7"/>
  <c r="C746" i="7"/>
  <c r="C747" i="7"/>
  <c r="C748" i="7"/>
  <c r="C749" i="7"/>
  <c r="C750" i="7"/>
  <c r="C751" i="7"/>
  <c r="C752" i="7"/>
  <c r="C753" i="7"/>
  <c r="C754" i="7"/>
  <c r="C755" i="7"/>
  <c r="C756" i="7"/>
  <c r="C757" i="7"/>
  <c r="C758" i="7"/>
  <c r="C759" i="7"/>
  <c r="C760" i="7"/>
  <c r="C761" i="7"/>
  <c r="C762" i="7"/>
  <c r="C763" i="7"/>
  <c r="C764" i="7"/>
  <c r="C765" i="7"/>
  <c r="C766" i="7"/>
  <c r="C767" i="7"/>
  <c r="C768" i="7"/>
  <c r="C769" i="7"/>
  <c r="C770" i="7"/>
  <c r="C771" i="7"/>
  <c r="C772" i="7"/>
  <c r="C773" i="7"/>
  <c r="C774" i="7"/>
  <c r="C775" i="7"/>
  <c r="C776" i="7"/>
  <c r="C777" i="7"/>
  <c r="C778" i="7"/>
  <c r="C779" i="7"/>
  <c r="C780" i="7"/>
  <c r="C781" i="7"/>
  <c r="C782" i="7"/>
  <c r="C783" i="7"/>
  <c r="C784" i="7"/>
  <c r="C785" i="7"/>
  <c r="C786" i="7"/>
  <c r="C787" i="7"/>
  <c r="C788" i="7"/>
  <c r="C789" i="7"/>
  <c r="C790" i="7"/>
  <c r="C791" i="7"/>
  <c r="C792" i="7"/>
  <c r="C793" i="7"/>
  <c r="C794" i="7"/>
  <c r="C795" i="7"/>
  <c r="C796" i="7"/>
  <c r="C797" i="7"/>
  <c r="C798" i="7"/>
  <c r="C799" i="7"/>
  <c r="C800" i="7"/>
  <c r="C801" i="7"/>
  <c r="C802" i="7"/>
  <c r="C803" i="7"/>
  <c r="C804" i="7"/>
  <c r="C805" i="7"/>
  <c r="C806" i="7"/>
  <c r="C807" i="7"/>
  <c r="C808" i="7"/>
  <c r="C809" i="7"/>
  <c r="C810" i="7"/>
  <c r="C811" i="7"/>
  <c r="C812" i="7"/>
  <c r="C813" i="7"/>
  <c r="C814" i="7"/>
  <c r="C815" i="7"/>
  <c r="C816" i="7"/>
  <c r="C817" i="7"/>
  <c r="C818" i="7"/>
  <c r="C819" i="7"/>
  <c r="C820" i="7"/>
  <c r="C821" i="7"/>
  <c r="C822" i="7"/>
  <c r="C823" i="7"/>
  <c r="C824" i="7"/>
  <c r="C825" i="7"/>
  <c r="C826" i="7"/>
  <c r="C827" i="7"/>
  <c r="C828" i="7"/>
  <c r="C829" i="7"/>
  <c r="C830" i="7"/>
  <c r="C831" i="7"/>
  <c r="C832" i="7"/>
  <c r="C833" i="7"/>
  <c r="C834" i="7"/>
  <c r="C835" i="7"/>
  <c r="C836" i="7"/>
  <c r="C837" i="7"/>
  <c r="C838" i="7"/>
  <c r="C839" i="7"/>
  <c r="C840" i="7"/>
  <c r="C841" i="7"/>
  <c r="C842" i="7"/>
  <c r="C843" i="7"/>
  <c r="C844" i="7"/>
  <c r="C845" i="7"/>
  <c r="C846" i="7"/>
  <c r="C847" i="7"/>
  <c r="C848" i="7"/>
  <c r="C849" i="7"/>
  <c r="C850" i="7"/>
  <c r="C851" i="7"/>
  <c r="C852" i="7"/>
  <c r="C853" i="7"/>
  <c r="C854" i="7"/>
  <c r="C855" i="7"/>
  <c r="C856" i="7"/>
  <c r="C857" i="7"/>
  <c r="C858" i="7"/>
  <c r="C859" i="7"/>
  <c r="C860" i="7"/>
  <c r="C861" i="7"/>
  <c r="C862" i="7"/>
  <c r="C863" i="7"/>
  <c r="C864" i="7"/>
  <c r="C865" i="7"/>
  <c r="C866" i="7"/>
  <c r="C867" i="7"/>
  <c r="C868" i="7"/>
  <c r="C869" i="7"/>
  <c r="C870" i="7"/>
  <c r="C871" i="7"/>
  <c r="C872" i="7"/>
  <c r="C873" i="7"/>
  <c r="C874" i="7"/>
  <c r="C875" i="7"/>
  <c r="C876" i="7"/>
  <c r="C877" i="7"/>
  <c r="C878" i="7"/>
  <c r="C879" i="7"/>
  <c r="C880" i="7"/>
  <c r="C881" i="7"/>
  <c r="C882" i="7"/>
  <c r="C883" i="7"/>
  <c r="C884" i="7"/>
  <c r="C885" i="7"/>
  <c r="C886" i="7"/>
  <c r="C887" i="7"/>
  <c r="C888" i="7"/>
  <c r="C889" i="7"/>
  <c r="C890" i="7"/>
  <c r="C891" i="7"/>
  <c r="C892" i="7"/>
  <c r="C893" i="7"/>
  <c r="C894" i="7"/>
  <c r="C895" i="7"/>
  <c r="C896" i="7"/>
  <c r="C897" i="7"/>
  <c r="C898" i="7"/>
  <c r="C899" i="7"/>
  <c r="C900" i="7"/>
  <c r="C901" i="7"/>
  <c r="C902" i="7"/>
  <c r="C903" i="7"/>
  <c r="C904" i="7"/>
  <c r="C905" i="7"/>
  <c r="C906" i="7"/>
  <c r="C907" i="7"/>
  <c r="C908" i="7"/>
  <c r="C909" i="7"/>
  <c r="C910" i="7"/>
  <c r="C911" i="7"/>
  <c r="C912" i="7"/>
  <c r="C913" i="7"/>
  <c r="C914" i="7"/>
  <c r="C915" i="7"/>
  <c r="C916" i="7"/>
  <c r="C917" i="7"/>
  <c r="C918" i="7"/>
  <c r="C919" i="7"/>
  <c r="C920" i="7"/>
  <c r="C921" i="7"/>
  <c r="C922" i="7"/>
  <c r="C923" i="7"/>
  <c r="C924" i="7"/>
  <c r="C925" i="7"/>
  <c r="C926" i="7"/>
  <c r="C927" i="7"/>
  <c r="C928" i="7"/>
  <c r="C929" i="7"/>
  <c r="C930" i="7"/>
  <c r="C931" i="7"/>
  <c r="C932" i="7"/>
  <c r="C933" i="7"/>
  <c r="C934" i="7"/>
  <c r="C935" i="7"/>
  <c r="C936" i="7"/>
  <c r="C937" i="7"/>
  <c r="C938" i="7"/>
  <c r="C939" i="7"/>
  <c r="C940" i="7"/>
  <c r="C941" i="7"/>
  <c r="C942" i="7"/>
  <c r="C943" i="7"/>
  <c r="C944" i="7"/>
  <c r="C945" i="7"/>
  <c r="C946" i="7"/>
  <c r="C947" i="7"/>
  <c r="C948" i="7"/>
  <c r="C949" i="7"/>
  <c r="C950" i="7"/>
  <c r="C951" i="7"/>
  <c r="C952" i="7"/>
  <c r="C953" i="7"/>
  <c r="C954" i="7"/>
  <c r="C955" i="7"/>
  <c r="C956" i="7"/>
  <c r="C957" i="7"/>
  <c r="C958" i="7"/>
  <c r="C959" i="7"/>
  <c r="C960" i="7"/>
  <c r="C961" i="7"/>
  <c r="C962" i="7"/>
  <c r="C963" i="7"/>
  <c r="C964" i="7"/>
  <c r="C965" i="7"/>
  <c r="C966" i="7"/>
  <c r="C967" i="7"/>
  <c r="C968" i="7"/>
  <c r="C969" i="7"/>
  <c r="C970" i="7"/>
  <c r="C971" i="7"/>
  <c r="C972" i="7"/>
  <c r="C973" i="7"/>
  <c r="C974" i="7"/>
  <c r="C975" i="7"/>
  <c r="C976" i="7"/>
  <c r="C977" i="7"/>
  <c r="C978" i="7"/>
  <c r="C979" i="7"/>
  <c r="C980" i="7"/>
  <c r="C981" i="7"/>
  <c r="C982" i="7"/>
  <c r="C983" i="7"/>
  <c r="C984" i="7"/>
  <c r="C985" i="7"/>
  <c r="C986" i="7"/>
  <c r="C987" i="7"/>
  <c r="C988" i="7"/>
  <c r="C989" i="7"/>
  <c r="C990" i="7"/>
  <c r="C991" i="7"/>
  <c r="C992" i="7"/>
  <c r="C993" i="7"/>
  <c r="C994" i="7"/>
  <c r="C995" i="7"/>
  <c r="C996" i="7"/>
  <c r="C997" i="7"/>
  <c r="C998" i="7"/>
  <c r="C999" i="7"/>
  <c r="C1000" i="7"/>
  <c r="C1001" i="7"/>
  <c r="C1002" i="7"/>
  <c r="C1003" i="7"/>
  <c r="C1004" i="7"/>
  <c r="C1005" i="7"/>
  <c r="C1006" i="7"/>
  <c r="C1007" i="7"/>
  <c r="C1008" i="7"/>
  <c r="C1009" i="7"/>
  <c r="C1010" i="7"/>
  <c r="C1011" i="7"/>
  <c r="C1012" i="7"/>
  <c r="C1013" i="7"/>
  <c r="C1014" i="7"/>
  <c r="C1015" i="7"/>
  <c r="C1016" i="7"/>
  <c r="C1017" i="7"/>
  <c r="C1018" i="7"/>
  <c r="C1019" i="7"/>
  <c r="C1020" i="7"/>
  <c r="C1021" i="7"/>
  <c r="C1022" i="7"/>
  <c r="C1023" i="7"/>
  <c r="C1024" i="7"/>
  <c r="C1025" i="7"/>
  <c r="C1026" i="7"/>
  <c r="C1027" i="7"/>
  <c r="C1028" i="7"/>
  <c r="C1029" i="7"/>
  <c r="C1030" i="7"/>
  <c r="C1031" i="7"/>
  <c r="C1032" i="7"/>
  <c r="C1033" i="7"/>
  <c r="C1034" i="7"/>
  <c r="C1035" i="7"/>
  <c r="C1036" i="7"/>
  <c r="C1037" i="7"/>
  <c r="C1038" i="7"/>
  <c r="C1039" i="7"/>
  <c r="C1040" i="7"/>
  <c r="C1041" i="7"/>
  <c r="C1042" i="7"/>
  <c r="C1043" i="7"/>
  <c r="C1044" i="7"/>
  <c r="C1045" i="7"/>
  <c r="C1046" i="7"/>
  <c r="C1047" i="7"/>
  <c r="C1048" i="7"/>
  <c r="C1049" i="7"/>
  <c r="C1050" i="7"/>
  <c r="C1051" i="7"/>
  <c r="C1052" i="7"/>
  <c r="C1053" i="7"/>
  <c r="C1054" i="7"/>
  <c r="C1055" i="7"/>
  <c r="C1056" i="7"/>
  <c r="C1057" i="7"/>
  <c r="C1058" i="7"/>
  <c r="C1059" i="7"/>
  <c r="C1060" i="7"/>
  <c r="C1061" i="7"/>
  <c r="C1062" i="7"/>
  <c r="C1063" i="7"/>
  <c r="C1064" i="7"/>
  <c r="C1065" i="7"/>
  <c r="C1066" i="7"/>
  <c r="C1067" i="7"/>
  <c r="C1068" i="7"/>
  <c r="C1069" i="7"/>
  <c r="C1070" i="7"/>
  <c r="C1071" i="7"/>
  <c r="C1072" i="7"/>
  <c r="C1073" i="7"/>
  <c r="C1074" i="7"/>
  <c r="C1075" i="7"/>
  <c r="C1076" i="7"/>
  <c r="C1077" i="7"/>
  <c r="C1078" i="7"/>
  <c r="C1079" i="7"/>
  <c r="C1080" i="7"/>
  <c r="C1081" i="7"/>
  <c r="C1082" i="7"/>
  <c r="C1083" i="7"/>
  <c r="C1084" i="7"/>
  <c r="C1085" i="7"/>
  <c r="C1086" i="7"/>
  <c r="C1087" i="7"/>
  <c r="C1088" i="7"/>
  <c r="C1089" i="7"/>
  <c r="C1090" i="7"/>
  <c r="C1091" i="7"/>
  <c r="C1092" i="7"/>
  <c r="C1093" i="7"/>
  <c r="C1094" i="7"/>
  <c r="C1095" i="7"/>
  <c r="C1096" i="7"/>
  <c r="C1097" i="7"/>
  <c r="C1098" i="7"/>
  <c r="C1099" i="7"/>
  <c r="C1100" i="7"/>
  <c r="C1101" i="7"/>
  <c r="C1102" i="7"/>
  <c r="C1103" i="7"/>
  <c r="C1104" i="7"/>
  <c r="C1105" i="7"/>
  <c r="C1106" i="7"/>
  <c r="C1107" i="7"/>
  <c r="C1108" i="7"/>
  <c r="C1109" i="7"/>
  <c r="C1110" i="7"/>
  <c r="C1111" i="7"/>
  <c r="C1112" i="7"/>
  <c r="C1113" i="7"/>
  <c r="C1114" i="7"/>
  <c r="C1115" i="7"/>
  <c r="C1116" i="7"/>
  <c r="C1117" i="7"/>
  <c r="C1118" i="7"/>
  <c r="C1119" i="7"/>
  <c r="C1120" i="7"/>
  <c r="C1121" i="7"/>
  <c r="C1122" i="7"/>
  <c r="C1123" i="7"/>
  <c r="C1124" i="7"/>
  <c r="C1125" i="7"/>
  <c r="C1126" i="7"/>
  <c r="C1127" i="7"/>
  <c r="C1128" i="7"/>
  <c r="C1129" i="7"/>
  <c r="C1130" i="7"/>
  <c r="C1131" i="7"/>
  <c r="C1132" i="7"/>
  <c r="C1133" i="7"/>
  <c r="C1134" i="7"/>
  <c r="C1135" i="7"/>
  <c r="C1136" i="7"/>
  <c r="C1137" i="7"/>
  <c r="C1138" i="7"/>
  <c r="C1139" i="7"/>
  <c r="C1140" i="7"/>
  <c r="C1141" i="7"/>
  <c r="C1142" i="7"/>
  <c r="C1143" i="7"/>
  <c r="C1144" i="7"/>
  <c r="C1145" i="7"/>
  <c r="C1146" i="7"/>
  <c r="C1147" i="7"/>
  <c r="C1148" i="7"/>
  <c r="C1149" i="7"/>
  <c r="C1150" i="7"/>
  <c r="C1151" i="7"/>
  <c r="C1152" i="7"/>
  <c r="C1153" i="7"/>
  <c r="C1154" i="7"/>
  <c r="C1155" i="7"/>
  <c r="C1156" i="7"/>
  <c r="C1157" i="7"/>
  <c r="C1158" i="7"/>
  <c r="C1159" i="7"/>
  <c r="C1160" i="7"/>
  <c r="C1161" i="7"/>
  <c r="C1162" i="7"/>
  <c r="C1163" i="7"/>
  <c r="C1164" i="7"/>
  <c r="C1165" i="7"/>
  <c r="C1166" i="7"/>
  <c r="C1167" i="7"/>
  <c r="C1168" i="7"/>
  <c r="C1169" i="7"/>
  <c r="C1170" i="7"/>
  <c r="C1171" i="7"/>
  <c r="C1172" i="7"/>
  <c r="C1173" i="7"/>
  <c r="C1174" i="7"/>
  <c r="C1175" i="7"/>
  <c r="C1176" i="7"/>
  <c r="C1177" i="7"/>
  <c r="C1178" i="7"/>
  <c r="C1179" i="7"/>
  <c r="C1180" i="7"/>
  <c r="C1181" i="7"/>
  <c r="C1182" i="7"/>
  <c r="C1183" i="7"/>
  <c r="C1184" i="7"/>
  <c r="C1185" i="7"/>
  <c r="C1186" i="7"/>
  <c r="C1187" i="7"/>
  <c r="C1188" i="7"/>
  <c r="C1189" i="7"/>
  <c r="C1190" i="7"/>
  <c r="C1191" i="7"/>
  <c r="C1192" i="7"/>
  <c r="C1193" i="7"/>
  <c r="C1194" i="7"/>
  <c r="C1195" i="7"/>
  <c r="C1196" i="7"/>
  <c r="C1197" i="7"/>
  <c r="C1198" i="7"/>
  <c r="C1199" i="7"/>
  <c r="C1200" i="7"/>
  <c r="C1201" i="7"/>
  <c r="C1202" i="7"/>
  <c r="C1203" i="7"/>
  <c r="C1204" i="7"/>
  <c r="C1205" i="7"/>
  <c r="C1206" i="7"/>
  <c r="C1207" i="7"/>
  <c r="C1208" i="7"/>
  <c r="C1209" i="7"/>
  <c r="C1210" i="7"/>
  <c r="C1211" i="7"/>
  <c r="C1212" i="7"/>
  <c r="C1213" i="7"/>
  <c r="C1214" i="7"/>
  <c r="C1215" i="7"/>
  <c r="C1216" i="7"/>
  <c r="C1217" i="7"/>
  <c r="C1218" i="7"/>
  <c r="C1219" i="7"/>
  <c r="C1220" i="7"/>
  <c r="C1221" i="7"/>
  <c r="C1222" i="7"/>
  <c r="C1223" i="7"/>
  <c r="C1224" i="7"/>
  <c r="C1225" i="7"/>
  <c r="C1226" i="7"/>
  <c r="C1227" i="7"/>
  <c r="C1228" i="7"/>
  <c r="C1229" i="7"/>
  <c r="C1230" i="7"/>
  <c r="C1231" i="7"/>
  <c r="C1232" i="7"/>
  <c r="C1233" i="7"/>
  <c r="C1234" i="7"/>
  <c r="C1235" i="7"/>
  <c r="C1236" i="7"/>
  <c r="C1237" i="7"/>
  <c r="C1238" i="7"/>
  <c r="C1239" i="7"/>
  <c r="C1240" i="7"/>
  <c r="C1241" i="7"/>
  <c r="C1242" i="7"/>
  <c r="C1243" i="7"/>
  <c r="C1244" i="7"/>
  <c r="C1245" i="7"/>
  <c r="C1246" i="7"/>
  <c r="C1247" i="7"/>
  <c r="C1248" i="7"/>
  <c r="C1249" i="7"/>
  <c r="C1250" i="7"/>
  <c r="C1251" i="7"/>
  <c r="C1252" i="7"/>
  <c r="C1253" i="7"/>
  <c r="C1254" i="7"/>
  <c r="C1255" i="7"/>
  <c r="C1256" i="7"/>
  <c r="C1257" i="7"/>
  <c r="C1258" i="7"/>
  <c r="C1259" i="7"/>
  <c r="C1260" i="7"/>
  <c r="C1261" i="7"/>
  <c r="C1262" i="7"/>
  <c r="C1263" i="7"/>
  <c r="C1264" i="7"/>
  <c r="C1265" i="7"/>
  <c r="C1266" i="7"/>
  <c r="C1267" i="7"/>
  <c r="C1268" i="7"/>
  <c r="C1269" i="7"/>
  <c r="C1270" i="7"/>
  <c r="C1271" i="7"/>
  <c r="C1272" i="7"/>
  <c r="C1273" i="7"/>
  <c r="C1274" i="7"/>
  <c r="C1275" i="7"/>
  <c r="C1276" i="7"/>
  <c r="C1277" i="7"/>
  <c r="C1278" i="7"/>
  <c r="C1279" i="7"/>
  <c r="C1280" i="7"/>
  <c r="C1281" i="7"/>
  <c r="C1282" i="7"/>
  <c r="C1283" i="7"/>
  <c r="C1284" i="7"/>
  <c r="C1285" i="7"/>
  <c r="C1286" i="7"/>
  <c r="C1287" i="7"/>
  <c r="C1288" i="7"/>
  <c r="C1289" i="7"/>
  <c r="C1290" i="7"/>
  <c r="C1291" i="7"/>
  <c r="C1292" i="7"/>
  <c r="C1293" i="7"/>
  <c r="C1294" i="7"/>
  <c r="C1295" i="7"/>
  <c r="C1296" i="7"/>
  <c r="C1297" i="7"/>
  <c r="C1298" i="7"/>
  <c r="C1299" i="7"/>
  <c r="C1300" i="7"/>
  <c r="C1301" i="7"/>
  <c r="C1302" i="7"/>
  <c r="C1303" i="7"/>
  <c r="C1304" i="7"/>
  <c r="C1305" i="7"/>
  <c r="C1306" i="7"/>
  <c r="C1307" i="7"/>
  <c r="C1308" i="7"/>
  <c r="C1309" i="7"/>
  <c r="C1310" i="7"/>
  <c r="C1311" i="7"/>
  <c r="C1312" i="7"/>
  <c r="C1313" i="7"/>
  <c r="C1314" i="7"/>
  <c r="C1315" i="7"/>
  <c r="C1316" i="7"/>
  <c r="C1317" i="7"/>
  <c r="C1318" i="7"/>
  <c r="C1319" i="7"/>
  <c r="C1320" i="7"/>
  <c r="C1321" i="7"/>
  <c r="C1322" i="7"/>
  <c r="C1323" i="7"/>
  <c r="C1324" i="7"/>
  <c r="C1325" i="7"/>
  <c r="C1326" i="7"/>
  <c r="C1327" i="7"/>
  <c r="C1328" i="7"/>
  <c r="C1329" i="7"/>
  <c r="C1330" i="7"/>
  <c r="C1331" i="7"/>
  <c r="C1332" i="7"/>
  <c r="C1333" i="7"/>
  <c r="C1334" i="7"/>
  <c r="C1335" i="7"/>
  <c r="C1336" i="7"/>
  <c r="C1337" i="7"/>
  <c r="C1338" i="7"/>
  <c r="C1339" i="7"/>
  <c r="C1340" i="7"/>
  <c r="C1341" i="7"/>
  <c r="C1342" i="7"/>
  <c r="C1343" i="7"/>
  <c r="C1344" i="7"/>
  <c r="C1345" i="7"/>
  <c r="C1346" i="7"/>
  <c r="C1347" i="7"/>
  <c r="C1348" i="7"/>
  <c r="C1349" i="7"/>
  <c r="C1350" i="7"/>
  <c r="C1351" i="7"/>
  <c r="C1352" i="7"/>
  <c r="C1353" i="7"/>
  <c r="C1354" i="7"/>
  <c r="C1355" i="7"/>
  <c r="C1356" i="7"/>
  <c r="C1357" i="7"/>
  <c r="C1358" i="7"/>
  <c r="C1359" i="7"/>
  <c r="C1360" i="7"/>
  <c r="C1361" i="7"/>
  <c r="C1362" i="7"/>
  <c r="C1363" i="7"/>
  <c r="C1364" i="7"/>
  <c r="C1365" i="7"/>
  <c r="C1366" i="7"/>
  <c r="C1367" i="7"/>
  <c r="C1368" i="7"/>
  <c r="C1369" i="7"/>
  <c r="C1370" i="7"/>
  <c r="C1371" i="7"/>
  <c r="C1372" i="7"/>
  <c r="C1373" i="7"/>
  <c r="C1374" i="7"/>
  <c r="C1375" i="7"/>
  <c r="C1376" i="7"/>
  <c r="C1377" i="7"/>
  <c r="C1378" i="7"/>
  <c r="C1379" i="7"/>
  <c r="C1380" i="7"/>
  <c r="C1381" i="7"/>
  <c r="C1382" i="7"/>
  <c r="C1383" i="7"/>
  <c r="C1384" i="7"/>
  <c r="C1385" i="7"/>
  <c r="C1386" i="7"/>
  <c r="C1387" i="7"/>
  <c r="C1388" i="7"/>
  <c r="C1389" i="7"/>
  <c r="C1390" i="7"/>
  <c r="C1391" i="7"/>
  <c r="C1392" i="7"/>
  <c r="C1393" i="7"/>
  <c r="C1394" i="7"/>
  <c r="C1395" i="7"/>
  <c r="C1396" i="7"/>
  <c r="C1397" i="7"/>
  <c r="C1398" i="7"/>
  <c r="C1399" i="7"/>
  <c r="C1400" i="7"/>
  <c r="C1401" i="7"/>
  <c r="C1402" i="7"/>
  <c r="C1403" i="7"/>
  <c r="C1404" i="7"/>
  <c r="C1405" i="7"/>
  <c r="C1406" i="7"/>
  <c r="C1407" i="7"/>
  <c r="C1408" i="7"/>
  <c r="C1409" i="7"/>
  <c r="C1410" i="7"/>
  <c r="C1411" i="7"/>
  <c r="C1412" i="7"/>
  <c r="C1413" i="7"/>
  <c r="C1414" i="7"/>
  <c r="C1415" i="7"/>
  <c r="C1416" i="7"/>
  <c r="C1417" i="7"/>
  <c r="C1418" i="7"/>
  <c r="C1419" i="7"/>
  <c r="C1420" i="7"/>
  <c r="C1421" i="7"/>
  <c r="C1422" i="7"/>
  <c r="C1423" i="7"/>
  <c r="C1424" i="7"/>
  <c r="C1425" i="7"/>
  <c r="C1426" i="7"/>
  <c r="C1427" i="7"/>
  <c r="C1428" i="7"/>
  <c r="C1429" i="7"/>
  <c r="C1430" i="7"/>
  <c r="C1431" i="7"/>
  <c r="C1432" i="7"/>
  <c r="C1433" i="7"/>
  <c r="C1434" i="7"/>
  <c r="C1435" i="7"/>
  <c r="C1436" i="7"/>
  <c r="C1437" i="7"/>
  <c r="C1438" i="7"/>
  <c r="C1439" i="7"/>
  <c r="C1440" i="7"/>
  <c r="C1441" i="7"/>
  <c r="C1442" i="7"/>
  <c r="C1443" i="7"/>
  <c r="C1444" i="7"/>
  <c r="C1445" i="7"/>
  <c r="C1446" i="7"/>
  <c r="C1447" i="7"/>
  <c r="C1448" i="7"/>
  <c r="C1449" i="7"/>
  <c r="C1450" i="7"/>
  <c r="C1451" i="7"/>
  <c r="C1452" i="7"/>
  <c r="C1453" i="7"/>
  <c r="C1454" i="7"/>
  <c r="C1455" i="7"/>
  <c r="C1456" i="7"/>
  <c r="C1457" i="7"/>
  <c r="C1458" i="7"/>
  <c r="C1459" i="7"/>
  <c r="C1460" i="7"/>
  <c r="C1461" i="7"/>
  <c r="C1462" i="7"/>
  <c r="C1463" i="7"/>
  <c r="C1464" i="7"/>
  <c r="C1465" i="7"/>
  <c r="C1466" i="7"/>
  <c r="C1467" i="7"/>
  <c r="C1468" i="7"/>
  <c r="C1469" i="7"/>
  <c r="C1470" i="7"/>
  <c r="C1471" i="7"/>
  <c r="C1472" i="7"/>
  <c r="C1473" i="7"/>
  <c r="C1474" i="7"/>
  <c r="C1475" i="7"/>
  <c r="C1476" i="7"/>
  <c r="C1477" i="7"/>
  <c r="C1478" i="7"/>
  <c r="C1479" i="7"/>
  <c r="C1480" i="7"/>
  <c r="C1481" i="7"/>
  <c r="C1482" i="7"/>
  <c r="C1483" i="7"/>
  <c r="C1484" i="7"/>
  <c r="C1485" i="7"/>
  <c r="C1486" i="7"/>
  <c r="C1487" i="7"/>
  <c r="C1488" i="7"/>
  <c r="C1489" i="7"/>
  <c r="C1490" i="7"/>
  <c r="C1491" i="7"/>
  <c r="C1492" i="7"/>
  <c r="C1493" i="7"/>
  <c r="C1494" i="7"/>
  <c r="C1495" i="7"/>
  <c r="C1496" i="7"/>
  <c r="C1497" i="7"/>
  <c r="C1498" i="7"/>
  <c r="C1499" i="7"/>
  <c r="C1500" i="7"/>
  <c r="C1501" i="7"/>
  <c r="C1502" i="7"/>
  <c r="C1503" i="7"/>
  <c r="C1504" i="7"/>
  <c r="C1505" i="7"/>
  <c r="C1506" i="7"/>
  <c r="C1507" i="7"/>
  <c r="C1508" i="7"/>
  <c r="C1509" i="7"/>
  <c r="C1510" i="7"/>
  <c r="C1511" i="7"/>
  <c r="C1512" i="7"/>
  <c r="C1513" i="7"/>
  <c r="C1514" i="7"/>
  <c r="C1515" i="7"/>
  <c r="C1516" i="7"/>
  <c r="C1517" i="7"/>
  <c r="C1518" i="7"/>
  <c r="C1519" i="7"/>
  <c r="C1520" i="7"/>
  <c r="C1521" i="7"/>
  <c r="C1522" i="7"/>
  <c r="C1523" i="7"/>
  <c r="C1524" i="7"/>
  <c r="C1525" i="7"/>
  <c r="C1526" i="7"/>
  <c r="C1527" i="7"/>
  <c r="C1528" i="7"/>
  <c r="C1529" i="7"/>
  <c r="C1530" i="7"/>
  <c r="C1531" i="7"/>
  <c r="C1532" i="7"/>
  <c r="C1533" i="7"/>
  <c r="C1534" i="7"/>
  <c r="C1535" i="7"/>
  <c r="C1536" i="7"/>
  <c r="C1537" i="7"/>
  <c r="C1538" i="7"/>
  <c r="C1539" i="7"/>
  <c r="C1540" i="7"/>
  <c r="C1541" i="7"/>
  <c r="C1542" i="7"/>
  <c r="C1543" i="7"/>
  <c r="C1544" i="7"/>
  <c r="C1545" i="7"/>
  <c r="C1546" i="7"/>
  <c r="C1547" i="7"/>
  <c r="C1548" i="7"/>
  <c r="C1549" i="7"/>
  <c r="C1550" i="7"/>
  <c r="C1551" i="7"/>
  <c r="C1552" i="7"/>
  <c r="C1553" i="7"/>
  <c r="C1554" i="7"/>
  <c r="C1555" i="7"/>
  <c r="C1556" i="7"/>
  <c r="C1557" i="7"/>
  <c r="C1558" i="7"/>
  <c r="C1559" i="7"/>
  <c r="C1560" i="7"/>
  <c r="C1561" i="7"/>
  <c r="C1562" i="7"/>
  <c r="C1563" i="7"/>
  <c r="C1564" i="7"/>
  <c r="C1565" i="7"/>
  <c r="C1566" i="7"/>
  <c r="C1567" i="7"/>
  <c r="C1568" i="7"/>
  <c r="C1569" i="7"/>
  <c r="C1570" i="7"/>
  <c r="C1571" i="7"/>
  <c r="C1572" i="7"/>
  <c r="C1573" i="7"/>
  <c r="C1574" i="7"/>
  <c r="C1575" i="7"/>
  <c r="C1576" i="7"/>
  <c r="C1577" i="7"/>
  <c r="C1578" i="7"/>
  <c r="C1579" i="7"/>
  <c r="C1580" i="7"/>
  <c r="C1581" i="7"/>
  <c r="C1582" i="7"/>
  <c r="C1583" i="7"/>
  <c r="C1584" i="7"/>
  <c r="C1585" i="7"/>
  <c r="C1586" i="7"/>
  <c r="C1587" i="7"/>
  <c r="C1588" i="7"/>
  <c r="C1589" i="7"/>
  <c r="C1590" i="7"/>
  <c r="C1591" i="7"/>
  <c r="C1592" i="7"/>
  <c r="C1593" i="7"/>
  <c r="C1594" i="7"/>
  <c r="C1595" i="7"/>
  <c r="C1596" i="7"/>
  <c r="C1597" i="7"/>
  <c r="C1598" i="7"/>
  <c r="C1599" i="7"/>
  <c r="C1600" i="7"/>
  <c r="C1601" i="7"/>
  <c r="C1602" i="7"/>
  <c r="C1603" i="7"/>
  <c r="C1604" i="7"/>
  <c r="C1605" i="7"/>
  <c r="C1606" i="7"/>
  <c r="C1607" i="7"/>
  <c r="C1608" i="7"/>
  <c r="C1609" i="7"/>
  <c r="C1610" i="7"/>
  <c r="C1611" i="7"/>
  <c r="C1612" i="7"/>
  <c r="C1613" i="7"/>
  <c r="C1614" i="7"/>
  <c r="C1615" i="7"/>
  <c r="C1616" i="7"/>
  <c r="C1617" i="7"/>
  <c r="C1618" i="7"/>
  <c r="C1619" i="7"/>
  <c r="C1620" i="7"/>
  <c r="C1621" i="7"/>
  <c r="C1622" i="7"/>
  <c r="C1623" i="7"/>
  <c r="C1624" i="7"/>
  <c r="C1625" i="7"/>
  <c r="C1626" i="7"/>
  <c r="C1627" i="7"/>
  <c r="C1628" i="7"/>
  <c r="C1629" i="7"/>
  <c r="C1630" i="7"/>
  <c r="C1631" i="7"/>
  <c r="C1632" i="7"/>
  <c r="C1633" i="7"/>
  <c r="C1634" i="7"/>
  <c r="C1635" i="7"/>
  <c r="C1636" i="7"/>
  <c r="C1637" i="7"/>
  <c r="C1638" i="7"/>
  <c r="C1639" i="7"/>
  <c r="C1640" i="7"/>
  <c r="C1641" i="7"/>
  <c r="C1642" i="7"/>
  <c r="C1643" i="7"/>
  <c r="C1644" i="7"/>
  <c r="C1645" i="7"/>
  <c r="C1646" i="7"/>
  <c r="C1647" i="7"/>
  <c r="C1648" i="7"/>
  <c r="C1649" i="7"/>
  <c r="C1650" i="7"/>
  <c r="C1651" i="7"/>
  <c r="C1652" i="7"/>
  <c r="C1653" i="7"/>
  <c r="C1654" i="7"/>
  <c r="C1655" i="7"/>
  <c r="C1656" i="7"/>
  <c r="C1657" i="7"/>
  <c r="C1658" i="7"/>
  <c r="C1659" i="7"/>
  <c r="C1660" i="7"/>
  <c r="C1661" i="7"/>
  <c r="C1662" i="7"/>
  <c r="C1663" i="7"/>
  <c r="C1664" i="7"/>
  <c r="C1665" i="7"/>
  <c r="C1666" i="7"/>
  <c r="C1667" i="7"/>
  <c r="C1668" i="7"/>
  <c r="C1669" i="7"/>
  <c r="C1670" i="7"/>
  <c r="C1671" i="7"/>
  <c r="C1672" i="7"/>
  <c r="C1673" i="7"/>
  <c r="C1674" i="7"/>
  <c r="C1675" i="7"/>
  <c r="C1676" i="7"/>
  <c r="C1677" i="7"/>
  <c r="C1678" i="7"/>
  <c r="C1679" i="7"/>
  <c r="C1680" i="7"/>
  <c r="C1681" i="7"/>
  <c r="C1682" i="7"/>
  <c r="C1683" i="7"/>
  <c r="C1684" i="7"/>
  <c r="C1685" i="7"/>
  <c r="C1686" i="7"/>
  <c r="C1687" i="7"/>
  <c r="C1688" i="7"/>
  <c r="C1689" i="7"/>
  <c r="C1690" i="7"/>
  <c r="C1691" i="7"/>
  <c r="C1692" i="7"/>
  <c r="C1693" i="7"/>
  <c r="C1694" i="7"/>
  <c r="C1695" i="7"/>
  <c r="C1696" i="7"/>
  <c r="C1697" i="7"/>
  <c r="C1698" i="7"/>
  <c r="C1699" i="7"/>
  <c r="C1700" i="7"/>
  <c r="C1701" i="7"/>
  <c r="C1702" i="7"/>
  <c r="C1703" i="7"/>
  <c r="C1704" i="7"/>
  <c r="C1705" i="7"/>
  <c r="C1706" i="7"/>
  <c r="C1707" i="7"/>
  <c r="C1708" i="7"/>
  <c r="C1709" i="7"/>
  <c r="C1710" i="7"/>
  <c r="C1711" i="7"/>
  <c r="C1712" i="7"/>
  <c r="C1713" i="7"/>
  <c r="C1714" i="7"/>
  <c r="C1715" i="7"/>
  <c r="C1716" i="7"/>
  <c r="C1717" i="7"/>
  <c r="C1718" i="7"/>
  <c r="C1719" i="7"/>
  <c r="C1720" i="7"/>
  <c r="C1721" i="7"/>
  <c r="C1722" i="7"/>
  <c r="C1723" i="7"/>
  <c r="C1724" i="7"/>
  <c r="C1725" i="7"/>
  <c r="C1726" i="7"/>
  <c r="C1727" i="7"/>
  <c r="C1728" i="7"/>
  <c r="C1729" i="7"/>
  <c r="C1730" i="7"/>
  <c r="C1731" i="7"/>
  <c r="C1732" i="7"/>
  <c r="C1733" i="7"/>
  <c r="C1734" i="7"/>
  <c r="C1735" i="7"/>
  <c r="C1736" i="7"/>
  <c r="C1737" i="7"/>
  <c r="C1738" i="7"/>
  <c r="C1739" i="7"/>
  <c r="C1740" i="7"/>
  <c r="C1741" i="7"/>
  <c r="C1742" i="7"/>
  <c r="C1743" i="7"/>
  <c r="C1744" i="7"/>
  <c r="C1745" i="7"/>
  <c r="C1746" i="7"/>
  <c r="C1747" i="7"/>
  <c r="C1748" i="7"/>
  <c r="C1749" i="7"/>
  <c r="C1750" i="7"/>
  <c r="C1751" i="7"/>
  <c r="C1752" i="7"/>
  <c r="C1753" i="7"/>
  <c r="C1754" i="7"/>
  <c r="C1755" i="7"/>
  <c r="C1756" i="7"/>
  <c r="C1757" i="7"/>
  <c r="C1758" i="7"/>
  <c r="C1759" i="7"/>
  <c r="C1760" i="7"/>
  <c r="C1761" i="7"/>
  <c r="C1762" i="7"/>
  <c r="C1763" i="7"/>
  <c r="C1764" i="7"/>
  <c r="C1765" i="7"/>
  <c r="C1766" i="7"/>
  <c r="C1767" i="7"/>
  <c r="C1768" i="7"/>
  <c r="C1769" i="7"/>
  <c r="C1770" i="7"/>
  <c r="C1771" i="7"/>
  <c r="C1772" i="7"/>
  <c r="C1773" i="7"/>
  <c r="C1774" i="7"/>
  <c r="C1775" i="7"/>
  <c r="C1776" i="7"/>
  <c r="C1777" i="7"/>
  <c r="C1778" i="7"/>
  <c r="C1779" i="7"/>
  <c r="C1780" i="7"/>
  <c r="C1781" i="7"/>
  <c r="C1782" i="7"/>
  <c r="C1783" i="7"/>
  <c r="C1784" i="7"/>
  <c r="C1785" i="7"/>
  <c r="C1786" i="7"/>
  <c r="C1787" i="7"/>
  <c r="C1788" i="7"/>
  <c r="C1789" i="7"/>
  <c r="C1790" i="7"/>
  <c r="C1791" i="7"/>
  <c r="C1792" i="7"/>
  <c r="C1793" i="7"/>
  <c r="C1794" i="7"/>
  <c r="C1795" i="7"/>
  <c r="C1796" i="7"/>
  <c r="C1797" i="7"/>
  <c r="C1798" i="7"/>
  <c r="C1799" i="7"/>
  <c r="C1800" i="7"/>
  <c r="C1801" i="7"/>
  <c r="C1802" i="7"/>
  <c r="C1803" i="7"/>
  <c r="C1804" i="7"/>
  <c r="C1805" i="7"/>
  <c r="C1806" i="7"/>
  <c r="C1807" i="7"/>
  <c r="C1808" i="7"/>
  <c r="C1809" i="7"/>
  <c r="C1810" i="7"/>
  <c r="C1811" i="7"/>
  <c r="C1812" i="7"/>
  <c r="C1813" i="7"/>
  <c r="C1814" i="7"/>
  <c r="C1815" i="7"/>
  <c r="C1816" i="7"/>
  <c r="C1817" i="7"/>
  <c r="C1818" i="7"/>
  <c r="C1819" i="7"/>
  <c r="C1820" i="7"/>
  <c r="C1821" i="7"/>
  <c r="C1822" i="7"/>
  <c r="C1823" i="7"/>
  <c r="C1824" i="7"/>
  <c r="C1825" i="7"/>
  <c r="C1826" i="7"/>
  <c r="C1827" i="7"/>
  <c r="C1828" i="7"/>
  <c r="C1829" i="7"/>
  <c r="C1830" i="7"/>
  <c r="C1831" i="7"/>
  <c r="C1832" i="7"/>
  <c r="C1833" i="7"/>
  <c r="C1834" i="7"/>
  <c r="C1835" i="7"/>
  <c r="C1836" i="7"/>
  <c r="C1837" i="7"/>
  <c r="C1838" i="7"/>
  <c r="C1839" i="7"/>
  <c r="C1840" i="7"/>
  <c r="C1841" i="7"/>
  <c r="C1842" i="7"/>
  <c r="C1843" i="7"/>
  <c r="C1844" i="7"/>
  <c r="C1845" i="7"/>
  <c r="C1846" i="7"/>
  <c r="C1847" i="7"/>
  <c r="C1848" i="7"/>
  <c r="C1849" i="7"/>
  <c r="C1850" i="7"/>
  <c r="C1851" i="7"/>
  <c r="C1852" i="7"/>
  <c r="C1853" i="7"/>
  <c r="C1854" i="7"/>
  <c r="C1855" i="7"/>
  <c r="C1856" i="7"/>
  <c r="C1857" i="7"/>
  <c r="C1858" i="7"/>
  <c r="C1859" i="7"/>
  <c r="C1860" i="7"/>
  <c r="C1861" i="7"/>
  <c r="C1862" i="7"/>
  <c r="C1863" i="7"/>
  <c r="C1864" i="7"/>
  <c r="C1865" i="7"/>
  <c r="C1866" i="7"/>
  <c r="C1867" i="7"/>
  <c r="C1868" i="7"/>
  <c r="C1869" i="7"/>
  <c r="C1870" i="7"/>
  <c r="C1871" i="7"/>
  <c r="C1872" i="7"/>
  <c r="C1873" i="7"/>
  <c r="C1874" i="7"/>
  <c r="C1875" i="7"/>
  <c r="C1876" i="7"/>
  <c r="C1877" i="7"/>
  <c r="C1878" i="7"/>
  <c r="C1879" i="7"/>
  <c r="C1880" i="7"/>
  <c r="C1881" i="7"/>
  <c r="C1882" i="7"/>
  <c r="C1883" i="7"/>
  <c r="C1884" i="7"/>
  <c r="C1885" i="7"/>
  <c r="C1886" i="7"/>
  <c r="C1887" i="7"/>
  <c r="C1888" i="7"/>
  <c r="C1889" i="7"/>
  <c r="C1890" i="7"/>
  <c r="C1891" i="7"/>
  <c r="C1892" i="7"/>
  <c r="C1893" i="7"/>
  <c r="C1894" i="7"/>
  <c r="C1895" i="7"/>
  <c r="C1896" i="7"/>
  <c r="C1897" i="7"/>
  <c r="C1898" i="7"/>
  <c r="C1899" i="7"/>
  <c r="C1900" i="7"/>
  <c r="C1901" i="7"/>
  <c r="C1902" i="7"/>
  <c r="C1903" i="7"/>
  <c r="C1904" i="7"/>
  <c r="C1905" i="7"/>
  <c r="C1906" i="7"/>
  <c r="C1907" i="7"/>
  <c r="C1908" i="7"/>
  <c r="C1909" i="7"/>
  <c r="C1910" i="7"/>
  <c r="C1911" i="7"/>
  <c r="C1912" i="7"/>
  <c r="C1913" i="7"/>
  <c r="C1914" i="7"/>
  <c r="C1915" i="7"/>
  <c r="C1916" i="7"/>
  <c r="C1917" i="7"/>
  <c r="C1918" i="7"/>
  <c r="C1919" i="7"/>
  <c r="C1920" i="7"/>
  <c r="C1921" i="7"/>
  <c r="C1922" i="7"/>
  <c r="C1923" i="7"/>
  <c r="C1924" i="7"/>
  <c r="C1925" i="7"/>
  <c r="C1926" i="7"/>
  <c r="C1927" i="7"/>
  <c r="C1928" i="7"/>
  <c r="C1929" i="7"/>
  <c r="C1930" i="7"/>
  <c r="C1931" i="7"/>
  <c r="C1932" i="7"/>
  <c r="C1933" i="7"/>
  <c r="C1934" i="7"/>
  <c r="C1935" i="7"/>
  <c r="C1936" i="7"/>
  <c r="C1937" i="7"/>
  <c r="C1938" i="7"/>
  <c r="C1939" i="7"/>
  <c r="C1940" i="7"/>
  <c r="C1941" i="7"/>
  <c r="C1942" i="7"/>
  <c r="C1943" i="7"/>
  <c r="C1944" i="7"/>
  <c r="C1945" i="7"/>
  <c r="C1946" i="7"/>
  <c r="C1947" i="7"/>
  <c r="C1948" i="7"/>
  <c r="C1949" i="7"/>
  <c r="C1950" i="7"/>
  <c r="C1951" i="7"/>
  <c r="C1952" i="7"/>
  <c r="C1953" i="7"/>
  <c r="C1954" i="7"/>
  <c r="C1955" i="7"/>
  <c r="C1956" i="7"/>
  <c r="C1957" i="7"/>
  <c r="C1958" i="7"/>
  <c r="C1959" i="7"/>
  <c r="C1960" i="7"/>
  <c r="C1961" i="7"/>
  <c r="C1962" i="7"/>
  <c r="C1963" i="7"/>
  <c r="C1964" i="7"/>
  <c r="C1965" i="7"/>
  <c r="C1966" i="7"/>
  <c r="C1967" i="7"/>
  <c r="C1968" i="7"/>
  <c r="C1969" i="7"/>
  <c r="C1970" i="7"/>
  <c r="C1971" i="7"/>
  <c r="C1972" i="7"/>
  <c r="C1973" i="7"/>
  <c r="C1974" i="7"/>
  <c r="C1975" i="7"/>
  <c r="C1976" i="7"/>
  <c r="C1977" i="7"/>
  <c r="C1978" i="7"/>
  <c r="C1979" i="7"/>
  <c r="C1980" i="7"/>
  <c r="C1981" i="7"/>
  <c r="C1982" i="7"/>
  <c r="C1983" i="7"/>
  <c r="C1984" i="7"/>
  <c r="C1985" i="7"/>
  <c r="C1986" i="7"/>
  <c r="C1987" i="7"/>
  <c r="C1988" i="7"/>
  <c r="C1989" i="7"/>
  <c r="C1990" i="7"/>
  <c r="C1991" i="7"/>
  <c r="C1992" i="7"/>
  <c r="C1993" i="7"/>
  <c r="C1994" i="7"/>
  <c r="C1995" i="7"/>
  <c r="C1996" i="7"/>
  <c r="C1997" i="7"/>
  <c r="C1998" i="7"/>
  <c r="C1999" i="7"/>
  <c r="C2000" i="7"/>
  <c r="C2001" i="7"/>
  <c r="C2002" i="7"/>
  <c r="C2003" i="7"/>
  <c r="C2004" i="7"/>
  <c r="C2005" i="7"/>
  <c r="C2006" i="7"/>
  <c r="C2007" i="7"/>
  <c r="C2008" i="7"/>
  <c r="C2009" i="7"/>
  <c r="C2010" i="7"/>
  <c r="C2011" i="7"/>
  <c r="C2012" i="7"/>
  <c r="C2013" i="7"/>
  <c r="C2014" i="7"/>
  <c r="C2015" i="7"/>
  <c r="C2016" i="7"/>
  <c r="C2017" i="7"/>
  <c r="C2018" i="7"/>
  <c r="C2019" i="7"/>
  <c r="C2020" i="7"/>
  <c r="C2021" i="7"/>
  <c r="C2022" i="7"/>
  <c r="C2023" i="7"/>
  <c r="C2024" i="7"/>
  <c r="C2025" i="7"/>
  <c r="C2026" i="7"/>
  <c r="C2027" i="7"/>
  <c r="C2028" i="7"/>
  <c r="C2029" i="7"/>
  <c r="C2030" i="7"/>
  <c r="C2031" i="7"/>
  <c r="C2032" i="7"/>
  <c r="C2033" i="7"/>
  <c r="C2034" i="7"/>
  <c r="C2035" i="7"/>
  <c r="C2036" i="7"/>
  <c r="C2037" i="7"/>
  <c r="C2038" i="7"/>
  <c r="C2039" i="7"/>
  <c r="C2040" i="7"/>
  <c r="C2041" i="7"/>
  <c r="C2042" i="7"/>
  <c r="C2043" i="7"/>
  <c r="C2044" i="7"/>
  <c r="C2045" i="7"/>
  <c r="C2046" i="7"/>
  <c r="C2047" i="7"/>
  <c r="C2048" i="7"/>
  <c r="C2049" i="7"/>
  <c r="C2050" i="7"/>
  <c r="C2051" i="7"/>
  <c r="C2052" i="7"/>
  <c r="C2053" i="7"/>
  <c r="C2054" i="7"/>
  <c r="C2055" i="7"/>
  <c r="C2056" i="7"/>
  <c r="C2057" i="7"/>
  <c r="C2058" i="7"/>
  <c r="C2059" i="7"/>
  <c r="C2060" i="7"/>
  <c r="C2061" i="7"/>
  <c r="C2062" i="7"/>
  <c r="C2063" i="7"/>
  <c r="C2064" i="7"/>
  <c r="C2065" i="7"/>
  <c r="C2066" i="7"/>
  <c r="C2067" i="7"/>
  <c r="C2068" i="7"/>
  <c r="C2069" i="7"/>
  <c r="C2070" i="7"/>
  <c r="C2071" i="7"/>
  <c r="C2072" i="7"/>
  <c r="C2073" i="7"/>
  <c r="C2074" i="7"/>
  <c r="C2075" i="7"/>
  <c r="C2076" i="7"/>
  <c r="C2077" i="7"/>
  <c r="C2078" i="7"/>
  <c r="C2079" i="7"/>
  <c r="C2080" i="7"/>
  <c r="C2081" i="7"/>
  <c r="C2082" i="7"/>
  <c r="C2083" i="7"/>
  <c r="C2084" i="7"/>
  <c r="C2085" i="7"/>
  <c r="C2086" i="7"/>
  <c r="C2087" i="7"/>
  <c r="C2088" i="7"/>
  <c r="C2089" i="7"/>
  <c r="C2090" i="7"/>
  <c r="C2091" i="7"/>
  <c r="C2092" i="7"/>
  <c r="C2093" i="7"/>
  <c r="C2094" i="7"/>
  <c r="C2095" i="7"/>
  <c r="C2096" i="7"/>
  <c r="C2097" i="7"/>
  <c r="C2098" i="7"/>
  <c r="C2099" i="7"/>
  <c r="C2100" i="7"/>
  <c r="C2101" i="7"/>
  <c r="C2102" i="7"/>
  <c r="C2103" i="7"/>
  <c r="C2104" i="7"/>
  <c r="C2105" i="7"/>
  <c r="C2106" i="7"/>
  <c r="C2107" i="7"/>
  <c r="C2108" i="7"/>
  <c r="C2109" i="7"/>
  <c r="C2110" i="7"/>
  <c r="C2111" i="7"/>
  <c r="C2112" i="7"/>
  <c r="C2113" i="7"/>
  <c r="C2114" i="7"/>
  <c r="C2115" i="7"/>
  <c r="C2116" i="7"/>
  <c r="C2117" i="7"/>
  <c r="C2118" i="7"/>
  <c r="C2119" i="7"/>
  <c r="C2120" i="7"/>
  <c r="C2121" i="7"/>
  <c r="C2122" i="7"/>
  <c r="C2123" i="7"/>
  <c r="C2124" i="7"/>
  <c r="C2125" i="7"/>
  <c r="C2126" i="7"/>
  <c r="C2127" i="7"/>
  <c r="C2128" i="7"/>
  <c r="C2129" i="7"/>
  <c r="C2130" i="7"/>
  <c r="C2131" i="7"/>
  <c r="C2132" i="7"/>
  <c r="C2133" i="7"/>
  <c r="C2134" i="7"/>
  <c r="C2135" i="7"/>
  <c r="C2136" i="7"/>
  <c r="C2137" i="7"/>
  <c r="C2138" i="7"/>
  <c r="C2139" i="7"/>
  <c r="C2140" i="7"/>
  <c r="C2141" i="7"/>
  <c r="C2142" i="7"/>
  <c r="C2143" i="7"/>
  <c r="C2144" i="7"/>
  <c r="C2145" i="7"/>
  <c r="C2146" i="7"/>
  <c r="C2147" i="7"/>
  <c r="C2148" i="7"/>
  <c r="C2149" i="7"/>
  <c r="C2150" i="7"/>
  <c r="C2151" i="7"/>
  <c r="C2152" i="7"/>
  <c r="C2153" i="7"/>
  <c r="C2154" i="7"/>
  <c r="C2155" i="7"/>
  <c r="C2156" i="7"/>
  <c r="C2157" i="7"/>
  <c r="C2158" i="7"/>
  <c r="C2159" i="7"/>
  <c r="C2160" i="7"/>
  <c r="C2161" i="7"/>
  <c r="C2162" i="7"/>
  <c r="C2163" i="7"/>
  <c r="C2164" i="7"/>
  <c r="C2165" i="7"/>
  <c r="C2166" i="7"/>
  <c r="C2167" i="7"/>
  <c r="C2168" i="7"/>
  <c r="C2169" i="7"/>
  <c r="C2170" i="7"/>
  <c r="C2171" i="7"/>
  <c r="C2172" i="7"/>
  <c r="C2173" i="7"/>
  <c r="C2174" i="7"/>
  <c r="C2175" i="7"/>
  <c r="C2176" i="7"/>
  <c r="C2177" i="7"/>
  <c r="C2178" i="7"/>
  <c r="C2179" i="7"/>
  <c r="C2180" i="7"/>
  <c r="C2181" i="7"/>
  <c r="C2182" i="7"/>
  <c r="C2183" i="7"/>
  <c r="C2184" i="7"/>
  <c r="C2185" i="7"/>
  <c r="C2186" i="7"/>
  <c r="C2187" i="7"/>
  <c r="C2188" i="7"/>
  <c r="C2189" i="7"/>
  <c r="C2190" i="7"/>
  <c r="C2191" i="7"/>
  <c r="C2192" i="7"/>
  <c r="C2193" i="7"/>
  <c r="C2194" i="7"/>
  <c r="C2195" i="7"/>
  <c r="C2196" i="7"/>
  <c r="C2197" i="7"/>
  <c r="C2198" i="7"/>
  <c r="C2199" i="7"/>
  <c r="C2200" i="7"/>
  <c r="C2201" i="7"/>
  <c r="C2202" i="7"/>
  <c r="C2203" i="7"/>
  <c r="C2204" i="7"/>
  <c r="C2205" i="7"/>
  <c r="C2206" i="7"/>
  <c r="C2207" i="7"/>
  <c r="C2208" i="7"/>
  <c r="C2209" i="7"/>
  <c r="C2210" i="7"/>
  <c r="C2211" i="7"/>
  <c r="C2212" i="7"/>
  <c r="C2213" i="7"/>
  <c r="C2214" i="7"/>
  <c r="C2215" i="7"/>
  <c r="C2216" i="7"/>
  <c r="C2217" i="7"/>
  <c r="C2218" i="7"/>
  <c r="C2219" i="7"/>
  <c r="C2220" i="7"/>
  <c r="C2221" i="7"/>
  <c r="C2222" i="7"/>
  <c r="C2223" i="7"/>
  <c r="C2224" i="7"/>
  <c r="C2225" i="7"/>
  <c r="C2226" i="7"/>
  <c r="C2227" i="7"/>
  <c r="C2228" i="7"/>
  <c r="C2229" i="7"/>
  <c r="C2230" i="7"/>
  <c r="C2231" i="7"/>
  <c r="C2232" i="7"/>
  <c r="C2233" i="7"/>
  <c r="C2234" i="7"/>
  <c r="C2235" i="7"/>
  <c r="C2236" i="7"/>
  <c r="C2237" i="7"/>
  <c r="C2238" i="7"/>
  <c r="C2239" i="7"/>
  <c r="C2240" i="7"/>
  <c r="C2241" i="7"/>
  <c r="C2242" i="7"/>
  <c r="C2243" i="7"/>
  <c r="C2244" i="7"/>
  <c r="C2245" i="7"/>
  <c r="C2246" i="7"/>
  <c r="C2247" i="7"/>
  <c r="C2248" i="7"/>
  <c r="C2249" i="7"/>
  <c r="C2250" i="7"/>
  <c r="C2251" i="7"/>
  <c r="C2252" i="7"/>
  <c r="C2253" i="7"/>
  <c r="C2254" i="7"/>
  <c r="C2255" i="7"/>
  <c r="C2256" i="7"/>
  <c r="C2257" i="7"/>
  <c r="C2258" i="7"/>
  <c r="C2259" i="7"/>
  <c r="C2260" i="7"/>
  <c r="C2261" i="7"/>
  <c r="C2262" i="7"/>
  <c r="C2263" i="7"/>
  <c r="C2264" i="7"/>
  <c r="C2265" i="7"/>
  <c r="C2266" i="7"/>
  <c r="C2267" i="7"/>
  <c r="C2268" i="7"/>
  <c r="C2269" i="7"/>
  <c r="C2270" i="7"/>
  <c r="C2271" i="7"/>
  <c r="C2272" i="7"/>
  <c r="C2273" i="7"/>
  <c r="C2274" i="7"/>
  <c r="C2275" i="7"/>
  <c r="C2276" i="7"/>
  <c r="C2277" i="7"/>
  <c r="C2278" i="7"/>
  <c r="C2279" i="7"/>
  <c r="C2280" i="7"/>
  <c r="C2281" i="7"/>
  <c r="C2282" i="7"/>
  <c r="C2283" i="7"/>
  <c r="C2284" i="7"/>
  <c r="C2285" i="7"/>
  <c r="C2286" i="7"/>
  <c r="C2287" i="7"/>
  <c r="C2288" i="7"/>
  <c r="C2289" i="7"/>
  <c r="C2290" i="7"/>
  <c r="C2291" i="7"/>
  <c r="C2292" i="7"/>
  <c r="C2293" i="7"/>
  <c r="C2294" i="7"/>
  <c r="C2295" i="7"/>
  <c r="C2296" i="7"/>
  <c r="C2297" i="7"/>
  <c r="C2298" i="7"/>
  <c r="C2299" i="7"/>
  <c r="C2300" i="7"/>
  <c r="C2301" i="7"/>
  <c r="C2302" i="7"/>
  <c r="C2303" i="7"/>
  <c r="C2304" i="7"/>
  <c r="C2305" i="7"/>
  <c r="C2306" i="7"/>
  <c r="C2307" i="7"/>
  <c r="C2308" i="7"/>
  <c r="C2309" i="7"/>
  <c r="C2310" i="7"/>
  <c r="C2311" i="7"/>
  <c r="C2312" i="7"/>
  <c r="C2313" i="7"/>
  <c r="C2314" i="7"/>
  <c r="C2315" i="7"/>
  <c r="C2316" i="7"/>
  <c r="C2317" i="7"/>
  <c r="C2318" i="7"/>
  <c r="C2319" i="7"/>
  <c r="C2320" i="7"/>
  <c r="C2321" i="7"/>
  <c r="C2322" i="7"/>
  <c r="C2323" i="7"/>
  <c r="C2324" i="7"/>
  <c r="C2325" i="7"/>
  <c r="C2326" i="7"/>
  <c r="C2327" i="7"/>
  <c r="C2328" i="7"/>
  <c r="C2329" i="7"/>
  <c r="C2330" i="7"/>
  <c r="C2331" i="7"/>
  <c r="C2332" i="7"/>
  <c r="C2333" i="7"/>
  <c r="C2334" i="7"/>
  <c r="C2335" i="7"/>
  <c r="C2336" i="7"/>
  <c r="C2337" i="7"/>
  <c r="C2338" i="7"/>
  <c r="C2339" i="7"/>
  <c r="C2340" i="7"/>
  <c r="C2341" i="7"/>
  <c r="C2342" i="7"/>
  <c r="C2343" i="7"/>
  <c r="C2344" i="7"/>
  <c r="C2345" i="7"/>
  <c r="C2346" i="7"/>
  <c r="C2347" i="7"/>
  <c r="C2348" i="7"/>
  <c r="C2349" i="7"/>
  <c r="C2350" i="7"/>
  <c r="C2351" i="7"/>
  <c r="C2352" i="7"/>
  <c r="C2353" i="7"/>
  <c r="C2354" i="7"/>
  <c r="C2355" i="7"/>
  <c r="C2356" i="7"/>
  <c r="C2357" i="7"/>
  <c r="C2358" i="7"/>
  <c r="C2359" i="7"/>
  <c r="C2360" i="7"/>
  <c r="C2361" i="7"/>
  <c r="C2362" i="7"/>
  <c r="C2363" i="7"/>
  <c r="C2364" i="7"/>
  <c r="C2365" i="7"/>
  <c r="C2366" i="7"/>
  <c r="C2367" i="7"/>
  <c r="C2368" i="7"/>
  <c r="C2369" i="7"/>
  <c r="C2370" i="7"/>
  <c r="C2371" i="7"/>
  <c r="C2372" i="7"/>
  <c r="C2373" i="7"/>
  <c r="C2374" i="7"/>
  <c r="C2375" i="7"/>
  <c r="C2376" i="7"/>
  <c r="C2377" i="7"/>
  <c r="C2378" i="7"/>
  <c r="C2379" i="7"/>
  <c r="C2380" i="7"/>
  <c r="C2381" i="7"/>
  <c r="C2382" i="7"/>
  <c r="C2383" i="7"/>
  <c r="C2384" i="7"/>
  <c r="C2385" i="7"/>
  <c r="C2386" i="7"/>
  <c r="C2387" i="7"/>
  <c r="C2388" i="7"/>
  <c r="C2389" i="7"/>
  <c r="C2390" i="7"/>
  <c r="C2391" i="7"/>
  <c r="C2392" i="7"/>
  <c r="C2393" i="7"/>
  <c r="C2394" i="7"/>
  <c r="C2395" i="7"/>
  <c r="C2396" i="7"/>
  <c r="C2397" i="7"/>
  <c r="C2398" i="7"/>
  <c r="C2399" i="7"/>
  <c r="C2400" i="7"/>
  <c r="C2401" i="7"/>
  <c r="C2402" i="7"/>
  <c r="C2403" i="7"/>
  <c r="C2404" i="7"/>
  <c r="C2405" i="7"/>
  <c r="C2406" i="7"/>
  <c r="C2407" i="7"/>
  <c r="C2408" i="7"/>
  <c r="C2409" i="7"/>
  <c r="C2410" i="7"/>
  <c r="C2411" i="7"/>
  <c r="C2412" i="7"/>
  <c r="C2413" i="7"/>
  <c r="C2414" i="7"/>
  <c r="C2415" i="7"/>
  <c r="C2416" i="7"/>
  <c r="C2417" i="7"/>
  <c r="C2418" i="7"/>
  <c r="C2419" i="7"/>
  <c r="C2420" i="7"/>
  <c r="C2421" i="7"/>
  <c r="C2422" i="7"/>
  <c r="C2423" i="7"/>
  <c r="C2424" i="7"/>
  <c r="C2425" i="7"/>
  <c r="C2426" i="7"/>
  <c r="C2427" i="7"/>
  <c r="C2428" i="7"/>
  <c r="C2429" i="7"/>
  <c r="C2430" i="7"/>
  <c r="C2431" i="7"/>
  <c r="C2432" i="7"/>
  <c r="C2433" i="7"/>
  <c r="C2434" i="7"/>
  <c r="C2435" i="7"/>
  <c r="C2436" i="7"/>
  <c r="C2437" i="7"/>
  <c r="C2438" i="7"/>
  <c r="C2439" i="7"/>
  <c r="C2440" i="7"/>
  <c r="C2441" i="7"/>
  <c r="C2442" i="7"/>
  <c r="C2443" i="7"/>
  <c r="C2444" i="7"/>
  <c r="C2445" i="7"/>
  <c r="C2446" i="7"/>
  <c r="C2447" i="7"/>
  <c r="C2448" i="7"/>
  <c r="C2449" i="7"/>
  <c r="C2450" i="7"/>
  <c r="C2451" i="7"/>
  <c r="C2452" i="7"/>
  <c r="C2453" i="7"/>
  <c r="C2454" i="7"/>
  <c r="C2455" i="7"/>
  <c r="C2456" i="7"/>
  <c r="C2457" i="7"/>
  <c r="C2458" i="7"/>
  <c r="C2459" i="7"/>
  <c r="C2460" i="7"/>
  <c r="C2461" i="7"/>
  <c r="C2462" i="7"/>
  <c r="C2463" i="7"/>
  <c r="C2464" i="7"/>
  <c r="C2465" i="7"/>
  <c r="C2466" i="7"/>
  <c r="C2467" i="7"/>
  <c r="C2468" i="7"/>
  <c r="C2469" i="7"/>
  <c r="C2470" i="7"/>
  <c r="C2471" i="7"/>
  <c r="C2472" i="7"/>
  <c r="C2473" i="7"/>
  <c r="C2474" i="7"/>
  <c r="C2475" i="7"/>
  <c r="C2476" i="7"/>
  <c r="C2477" i="7"/>
  <c r="C2478" i="7"/>
  <c r="C2479" i="7"/>
  <c r="C2480" i="7"/>
  <c r="C2481" i="7"/>
  <c r="C2482" i="7"/>
  <c r="C2483" i="7"/>
  <c r="C2484" i="7"/>
  <c r="C2485" i="7"/>
  <c r="C2486" i="7"/>
  <c r="C2487" i="7"/>
  <c r="C2488" i="7"/>
  <c r="C2489" i="7"/>
  <c r="C2490" i="7"/>
  <c r="C2491" i="7"/>
  <c r="C2492" i="7"/>
  <c r="C2493" i="7"/>
  <c r="C2494" i="7"/>
  <c r="C2495" i="7"/>
  <c r="C2496" i="7"/>
  <c r="C2497" i="7"/>
  <c r="C2498" i="7"/>
  <c r="C2499" i="7"/>
  <c r="C2500" i="7"/>
  <c r="C2501" i="7"/>
  <c r="C2502" i="7"/>
  <c r="C2503" i="7"/>
  <c r="C2504" i="7"/>
  <c r="C2505" i="7"/>
  <c r="C2506" i="7"/>
  <c r="C2507" i="7"/>
  <c r="C2508" i="7"/>
  <c r="C2509" i="7"/>
  <c r="C2510" i="7"/>
  <c r="C2511" i="7"/>
  <c r="C2512" i="7"/>
  <c r="C2513" i="7"/>
  <c r="C2514" i="7"/>
  <c r="C2515" i="7"/>
  <c r="C2516" i="7"/>
  <c r="C2517" i="7"/>
  <c r="C2518" i="7"/>
  <c r="C2519" i="7"/>
  <c r="C2520" i="7"/>
  <c r="C2521" i="7"/>
  <c r="C2522" i="7"/>
  <c r="C2523" i="7"/>
  <c r="C2524" i="7"/>
  <c r="C2525" i="7"/>
  <c r="C2526" i="7"/>
  <c r="C2527" i="7"/>
  <c r="C2528" i="7"/>
  <c r="C2529" i="7"/>
  <c r="C2530" i="7"/>
  <c r="C2531" i="7"/>
  <c r="C2532" i="7"/>
  <c r="C2533" i="7"/>
  <c r="C2534" i="7"/>
  <c r="C2535" i="7"/>
  <c r="C2536" i="7"/>
  <c r="C2537" i="7"/>
  <c r="C2538" i="7"/>
  <c r="C2539" i="7"/>
  <c r="C2540" i="7"/>
  <c r="C2541" i="7"/>
  <c r="C2542" i="7"/>
  <c r="C2543" i="7"/>
  <c r="C2544" i="7"/>
  <c r="C2545" i="7"/>
  <c r="C2546" i="7"/>
  <c r="C2547" i="7"/>
  <c r="C2548" i="7"/>
  <c r="C2549" i="7"/>
  <c r="C2550" i="7"/>
  <c r="C2551" i="7"/>
  <c r="C2552" i="7"/>
  <c r="C2553" i="7"/>
  <c r="C2554" i="7"/>
  <c r="C2555" i="7"/>
  <c r="C2556" i="7"/>
  <c r="C2557" i="7"/>
  <c r="C2558" i="7"/>
  <c r="C2559" i="7"/>
  <c r="C2560" i="7"/>
  <c r="C2561" i="7"/>
  <c r="C2562" i="7"/>
  <c r="C2563" i="7"/>
  <c r="C2564" i="7"/>
  <c r="C2565" i="7"/>
  <c r="C2566" i="7"/>
  <c r="C2567" i="7"/>
  <c r="C2568" i="7"/>
  <c r="C2569" i="7"/>
  <c r="C2570" i="7"/>
  <c r="C2571" i="7"/>
  <c r="C2572" i="7"/>
  <c r="C2573" i="7"/>
  <c r="C2574" i="7"/>
  <c r="C2575" i="7"/>
  <c r="C2576" i="7"/>
  <c r="C2577" i="7"/>
  <c r="C2578" i="7"/>
  <c r="C2579" i="7"/>
  <c r="C2580" i="7"/>
  <c r="C2581" i="7"/>
  <c r="C2582" i="7"/>
  <c r="C2583" i="7"/>
  <c r="C2584" i="7"/>
  <c r="C2585" i="7"/>
  <c r="C2586" i="7"/>
  <c r="C2587" i="7"/>
  <c r="C2588" i="7"/>
  <c r="C2589" i="7"/>
  <c r="C2590" i="7"/>
  <c r="C2591" i="7"/>
  <c r="C2592" i="7"/>
  <c r="C2593" i="7"/>
  <c r="C2594" i="7"/>
  <c r="C2595" i="7"/>
  <c r="C2596" i="7"/>
  <c r="C2597" i="7"/>
  <c r="C2598" i="7"/>
  <c r="C2599" i="7"/>
  <c r="C2600" i="7"/>
  <c r="C2601" i="7"/>
  <c r="C2602" i="7"/>
  <c r="C2603" i="7"/>
  <c r="C2604" i="7"/>
  <c r="C2605" i="7"/>
  <c r="C2606" i="7"/>
  <c r="C2607" i="7"/>
  <c r="C2608" i="7"/>
  <c r="C2609" i="7"/>
  <c r="C2610" i="7"/>
  <c r="C2611" i="7"/>
  <c r="C2612" i="7"/>
  <c r="C2613" i="7"/>
  <c r="C2614" i="7"/>
  <c r="C2615" i="7"/>
  <c r="C2616" i="7"/>
  <c r="C2617" i="7"/>
  <c r="C2618" i="7"/>
  <c r="C2619" i="7"/>
  <c r="C2620" i="7"/>
  <c r="C2621" i="7"/>
  <c r="C2622" i="7"/>
  <c r="C2623" i="7"/>
  <c r="C2624" i="7"/>
  <c r="C2625" i="7"/>
  <c r="C2626" i="7"/>
  <c r="C2627" i="7"/>
  <c r="C2628" i="7"/>
  <c r="C2629" i="7"/>
  <c r="C2630" i="7"/>
  <c r="C2631" i="7"/>
  <c r="C2632" i="7"/>
  <c r="C2633" i="7"/>
  <c r="C2634" i="7"/>
  <c r="C2635" i="7"/>
  <c r="C2636" i="7"/>
  <c r="C2637" i="7"/>
  <c r="C2638" i="7"/>
  <c r="C2639" i="7"/>
  <c r="C2640" i="7"/>
  <c r="C2641" i="7"/>
  <c r="C2642" i="7"/>
  <c r="C2643" i="7"/>
  <c r="C2644" i="7"/>
  <c r="C2645" i="7"/>
  <c r="C2646" i="7"/>
  <c r="C2647" i="7"/>
  <c r="C2648" i="7"/>
  <c r="C2649" i="7"/>
  <c r="C2650" i="7"/>
  <c r="C2651" i="7"/>
  <c r="C2652" i="7"/>
  <c r="C2653" i="7"/>
  <c r="C2654" i="7"/>
  <c r="C2655" i="7"/>
  <c r="C2656" i="7"/>
  <c r="C2657" i="7"/>
  <c r="C2658" i="7"/>
  <c r="C2659" i="7"/>
  <c r="C2660" i="7"/>
  <c r="C2661" i="7"/>
  <c r="C2662" i="7"/>
  <c r="C2663" i="7"/>
  <c r="C2664" i="7"/>
  <c r="C2665" i="7"/>
  <c r="C2666" i="7"/>
  <c r="C2667" i="7"/>
  <c r="C2668" i="7"/>
  <c r="C2669" i="7"/>
  <c r="C2670" i="7"/>
  <c r="C2671" i="7"/>
  <c r="C2672" i="7"/>
  <c r="C2673" i="7"/>
  <c r="C2674" i="7"/>
  <c r="C2675" i="7"/>
  <c r="C2676" i="7"/>
  <c r="C2677" i="7"/>
  <c r="C2678" i="7"/>
  <c r="C2679" i="7"/>
  <c r="C2680" i="7"/>
  <c r="C2681" i="7"/>
  <c r="C2682" i="7"/>
  <c r="C2683" i="7"/>
  <c r="C2684" i="7"/>
  <c r="C2685" i="7"/>
  <c r="C2686" i="7"/>
  <c r="C2687" i="7"/>
  <c r="C2688" i="7"/>
  <c r="C2689" i="7"/>
  <c r="C2690" i="7"/>
  <c r="C2691" i="7"/>
  <c r="C2692" i="7"/>
  <c r="C2693" i="7"/>
  <c r="C2694" i="7"/>
  <c r="C2695" i="7"/>
  <c r="C2696" i="7"/>
  <c r="C2697" i="7"/>
  <c r="C2698" i="7"/>
  <c r="C2699" i="7"/>
  <c r="C2700" i="7"/>
  <c r="C2701" i="7"/>
  <c r="C2702" i="7"/>
  <c r="C2703" i="7"/>
  <c r="C2704" i="7"/>
  <c r="C2705" i="7"/>
  <c r="C2706" i="7"/>
  <c r="C2707" i="7"/>
  <c r="C2708" i="7"/>
  <c r="C2709" i="7"/>
  <c r="C2710" i="7"/>
  <c r="C2711" i="7"/>
  <c r="C2712" i="7"/>
  <c r="C2713" i="7"/>
  <c r="C2714" i="7"/>
  <c r="C2715" i="7"/>
  <c r="C2716" i="7"/>
  <c r="C2717" i="7"/>
  <c r="C2718" i="7"/>
  <c r="C2719" i="7"/>
  <c r="C2720" i="7"/>
  <c r="C2721" i="7"/>
  <c r="C2722" i="7"/>
  <c r="C2723" i="7"/>
  <c r="C2724" i="7"/>
  <c r="C2725" i="7"/>
  <c r="C2726" i="7"/>
  <c r="C2727" i="7"/>
  <c r="C2728" i="7"/>
  <c r="C2729" i="7"/>
  <c r="C2730" i="7"/>
  <c r="C2731" i="7"/>
  <c r="C2732" i="7"/>
  <c r="C2733" i="7"/>
  <c r="C2734" i="7"/>
  <c r="C2735" i="7"/>
  <c r="C2736" i="7"/>
  <c r="C2737" i="7"/>
  <c r="C2738" i="7"/>
  <c r="C2739" i="7"/>
  <c r="C2740" i="7"/>
  <c r="C2741" i="7"/>
  <c r="C2742" i="7"/>
  <c r="C2743" i="7"/>
  <c r="C2744" i="7"/>
  <c r="C2745" i="7"/>
  <c r="C2746" i="7"/>
  <c r="C2747" i="7"/>
  <c r="C2748" i="7"/>
  <c r="C2749" i="7"/>
  <c r="C2750" i="7"/>
  <c r="C2751" i="7"/>
  <c r="C2752" i="7"/>
  <c r="C2753" i="7"/>
  <c r="C2754" i="7"/>
  <c r="C2755" i="7"/>
  <c r="C2756" i="7"/>
  <c r="C2757" i="7"/>
  <c r="C2758" i="7"/>
  <c r="C2759" i="7"/>
  <c r="C2760" i="7"/>
  <c r="C2761" i="7"/>
  <c r="C2762" i="7"/>
  <c r="C2763" i="7"/>
  <c r="C2764" i="7"/>
  <c r="C2765" i="7"/>
  <c r="C2766" i="7"/>
  <c r="C2767" i="7"/>
  <c r="C2768" i="7"/>
  <c r="C2769" i="7"/>
  <c r="C2770" i="7"/>
  <c r="C2771" i="7"/>
  <c r="C2772" i="7"/>
  <c r="C2773" i="7"/>
  <c r="C2774" i="7"/>
  <c r="C2775" i="7"/>
  <c r="C2776" i="7"/>
  <c r="C2777" i="7"/>
  <c r="C2778" i="7"/>
  <c r="C2779" i="7"/>
  <c r="C2780" i="7"/>
  <c r="C2781" i="7"/>
  <c r="C2782" i="7"/>
  <c r="C2783" i="7"/>
  <c r="C2784" i="7"/>
  <c r="C2785" i="7"/>
  <c r="C2786" i="7"/>
  <c r="C2787" i="7"/>
  <c r="C2788" i="7"/>
  <c r="C2789" i="7"/>
  <c r="C2790" i="7"/>
  <c r="C2791" i="7"/>
  <c r="C2792" i="7"/>
  <c r="C2793" i="7"/>
  <c r="C2794" i="7"/>
  <c r="C2795" i="7"/>
  <c r="C2796" i="7"/>
  <c r="C2797" i="7"/>
  <c r="C2798" i="7"/>
  <c r="C2799" i="7"/>
  <c r="C2800" i="7"/>
  <c r="C2801" i="7"/>
  <c r="C2802" i="7"/>
  <c r="C2803" i="7"/>
  <c r="C2804" i="7"/>
  <c r="C2805" i="7"/>
  <c r="C2806" i="7"/>
  <c r="C2807" i="7"/>
  <c r="C278" i="7"/>
  <c r="C236" i="7"/>
  <c r="C237" i="7"/>
  <c r="C238" i="7"/>
  <c r="C239" i="7"/>
  <c r="C240" i="7"/>
  <c r="C241" i="7"/>
  <c r="C242" i="7"/>
  <c r="C243" i="7"/>
  <c r="C244" i="7"/>
  <c r="C245" i="7"/>
  <c r="C246" i="7"/>
  <c r="C247" i="7"/>
  <c r="C248" i="7"/>
  <c r="C249" i="7"/>
  <c r="C250" i="7"/>
  <c r="C251" i="7"/>
  <c r="C252" i="7"/>
  <c r="C253" i="7"/>
  <c r="C254" i="7"/>
  <c r="C255" i="7"/>
  <c r="C256" i="7"/>
  <c r="C257" i="7"/>
  <c r="C258" i="7"/>
  <c r="C259" i="7"/>
  <c r="C260" i="7"/>
  <c r="C261" i="7"/>
  <c r="C262" i="7"/>
  <c r="C263" i="7"/>
  <c r="C264" i="7"/>
  <c r="C265" i="7"/>
  <c r="C266" i="7"/>
  <c r="C267" i="7"/>
  <c r="C268" i="7"/>
  <c r="C269" i="7"/>
  <c r="C270" i="7"/>
  <c r="C271" i="7"/>
  <c r="C272" i="7"/>
  <c r="C273" i="7"/>
  <c r="C274" i="7"/>
  <c r="C275" i="7"/>
  <c r="C276" i="7"/>
  <c r="C277" i="7"/>
  <c r="C120" i="7"/>
  <c r="V3265" i="2"/>
  <c r="V3264" i="2"/>
  <c r="V3263" i="2"/>
  <c r="V3262" i="2"/>
  <c r="V3261" i="2"/>
  <c r="V3260" i="2"/>
  <c r="V3259" i="2"/>
  <c r="V3258" i="2"/>
  <c r="V3257" i="2"/>
  <c r="V3256" i="2"/>
  <c r="V3255" i="2"/>
  <c r="V3254" i="2"/>
  <c r="V3253" i="2"/>
  <c r="V3252" i="2"/>
  <c r="V3251" i="2"/>
  <c r="V3250" i="2"/>
  <c r="V3249" i="2"/>
  <c r="V3248" i="2"/>
  <c r="V3247" i="2"/>
  <c r="V3246" i="2"/>
  <c r="V3245" i="2"/>
  <c r="V3244" i="2"/>
  <c r="V3243" i="2"/>
  <c r="V3242" i="2"/>
  <c r="V3241" i="2"/>
  <c r="V3240" i="2"/>
  <c r="V3239" i="2"/>
  <c r="V3238" i="2"/>
  <c r="V3237" i="2"/>
  <c r="V3236" i="2"/>
  <c r="V3235" i="2"/>
  <c r="V3234" i="2"/>
  <c r="V3233" i="2"/>
  <c r="V3232" i="2"/>
  <c r="V3231" i="2"/>
  <c r="V3230" i="2"/>
  <c r="V3229" i="2"/>
  <c r="V3228" i="2"/>
  <c r="C227" i="7"/>
  <c r="C228" i="7"/>
  <c r="C229" i="7"/>
  <c r="C230" i="7"/>
  <c r="C231" i="7"/>
  <c r="C232" i="7"/>
  <c r="C233" i="7"/>
  <c r="C234" i="7"/>
  <c r="C235" i="7"/>
  <c r="K11" i="7"/>
  <c r="D4" i="29"/>
  <c r="X98" i="13" l="1"/>
  <c r="B100" i="13"/>
  <c r="B9" i="28"/>
  <c r="B10" i="28"/>
  <c r="B8" i="28"/>
  <c r="D4" i="28"/>
  <c r="B9" i="27"/>
  <c r="B10" i="27"/>
  <c r="B11" i="27"/>
  <c r="B12" i="27"/>
  <c r="B13" i="27"/>
  <c r="B14" i="27"/>
  <c r="B15" i="27"/>
  <c r="B16" i="27"/>
  <c r="B17" i="27"/>
  <c r="B18" i="27"/>
  <c r="B19" i="27"/>
  <c r="B20" i="27"/>
  <c r="B21" i="27"/>
  <c r="B22" i="27"/>
  <c r="B23" i="27"/>
  <c r="B24" i="27"/>
  <c r="B25" i="27"/>
  <c r="B26" i="27"/>
  <c r="B27" i="27"/>
  <c r="B28" i="27"/>
  <c r="B29" i="27"/>
  <c r="B30" i="27"/>
  <c r="B31" i="27"/>
  <c r="B32" i="27"/>
  <c r="B33" i="27"/>
  <c r="B34" i="27"/>
  <c r="B35" i="27"/>
  <c r="B36" i="27"/>
  <c r="B37" i="27"/>
  <c r="B38" i="27"/>
  <c r="B39" i="27"/>
  <c r="B40" i="27"/>
  <c r="B41" i="27"/>
  <c r="B42" i="27"/>
  <c r="B43" i="27"/>
  <c r="B44" i="27"/>
  <c r="B45" i="27"/>
  <c r="B46" i="27"/>
  <c r="B47" i="27"/>
  <c r="B48" i="27"/>
  <c r="B49" i="27"/>
  <c r="B50" i="27"/>
  <c r="B51" i="27"/>
  <c r="B52" i="27"/>
  <c r="B53" i="27"/>
  <c r="B54" i="27"/>
  <c r="B55" i="27"/>
  <c r="B56" i="27"/>
  <c r="B57" i="27"/>
  <c r="B58" i="27"/>
  <c r="B59" i="27"/>
  <c r="B60" i="27"/>
  <c r="B61" i="27"/>
  <c r="B62" i="27"/>
  <c r="B63" i="27"/>
  <c r="B64" i="27"/>
  <c r="B65" i="27"/>
  <c r="B66" i="27"/>
  <c r="B67" i="27"/>
  <c r="B68" i="27"/>
  <c r="B69" i="27"/>
  <c r="B70" i="27"/>
  <c r="B71" i="27"/>
  <c r="B72" i="27"/>
  <c r="B73" i="27"/>
  <c r="B74" i="27"/>
  <c r="B75" i="27"/>
  <c r="B76" i="27"/>
  <c r="B77" i="27"/>
  <c r="B78" i="27"/>
  <c r="B79" i="27"/>
  <c r="B80" i="27"/>
  <c r="B81" i="27"/>
  <c r="B82" i="27"/>
  <c r="B83" i="27"/>
  <c r="B84" i="27"/>
  <c r="B85" i="27"/>
  <c r="B8" i="27"/>
  <c r="D4" i="27"/>
  <c r="D4" i="25"/>
  <c r="B9" i="25"/>
  <c r="B10" i="25"/>
  <c r="B11" i="25"/>
  <c r="B12" i="25"/>
  <c r="B13" i="25"/>
  <c r="B14" i="25"/>
  <c r="B15" i="25"/>
  <c r="B16" i="25"/>
  <c r="B17" i="25"/>
  <c r="B18" i="25"/>
  <c r="B19" i="25"/>
  <c r="B20" i="25"/>
  <c r="B21" i="25"/>
  <c r="B22" i="25"/>
  <c r="B23" i="25"/>
  <c r="B24" i="25"/>
  <c r="B25" i="25"/>
  <c r="B26" i="25"/>
  <c r="B27" i="25"/>
  <c r="B28" i="25"/>
  <c r="B29" i="25"/>
  <c r="B30" i="25"/>
  <c r="B31" i="25"/>
  <c r="B32" i="25"/>
  <c r="B33" i="25"/>
  <c r="B34" i="25"/>
  <c r="B35" i="25"/>
  <c r="B36" i="25"/>
  <c r="B37" i="25"/>
  <c r="B38" i="25"/>
  <c r="B39" i="25"/>
  <c r="B40" i="25"/>
  <c r="B41" i="25"/>
  <c r="B42" i="25"/>
  <c r="B43" i="25"/>
  <c r="B44" i="25"/>
  <c r="B45" i="25"/>
  <c r="B46" i="25"/>
  <c r="B47" i="25"/>
  <c r="B48" i="25"/>
  <c r="B49" i="25"/>
  <c r="B50" i="25"/>
  <c r="B51" i="25"/>
  <c r="B52" i="25"/>
  <c r="B53" i="25"/>
  <c r="B54" i="25"/>
  <c r="B55" i="25"/>
  <c r="B56" i="25"/>
  <c r="B57" i="25"/>
  <c r="B58" i="25"/>
  <c r="B59" i="25"/>
  <c r="B60" i="25"/>
  <c r="B61" i="25"/>
  <c r="B62" i="25"/>
  <c r="B63" i="25"/>
  <c r="B64" i="25"/>
  <c r="B65" i="25"/>
  <c r="B66" i="25"/>
  <c r="B67" i="25"/>
  <c r="B68" i="25"/>
  <c r="B69" i="25"/>
  <c r="B8" i="25"/>
  <c r="D4" i="24"/>
  <c r="B9" i="24"/>
  <c r="B10" i="24"/>
  <c r="B11" i="24"/>
  <c r="B12" i="24"/>
  <c r="B13" i="24"/>
  <c r="B14" i="24"/>
  <c r="B15" i="24"/>
  <c r="B16" i="24"/>
  <c r="B17" i="24"/>
  <c r="B18" i="24"/>
  <c r="B19" i="24"/>
  <c r="B20" i="24"/>
  <c r="B21" i="24"/>
  <c r="B22" i="24"/>
  <c r="B23" i="24"/>
  <c r="B24" i="24"/>
  <c r="B25" i="24"/>
  <c r="B26" i="24"/>
  <c r="B27" i="24"/>
  <c r="B28" i="24"/>
  <c r="B8" i="24"/>
  <c r="B32" i="13"/>
  <c r="B31" i="13"/>
  <c r="B93" i="13"/>
  <c r="B94" i="13"/>
  <c r="E93" i="13" l="1"/>
  <c r="F93" i="13"/>
  <c r="P79" i="4"/>
  <c r="Q79" i="4"/>
  <c r="I40" i="23" l="1"/>
  <c r="I35" i="23"/>
  <c r="I30" i="23"/>
  <c r="I25" i="23"/>
  <c r="G8" i="4" l="1"/>
  <c r="D9" i="3" l="1"/>
  <c r="E2" i="18" l="1"/>
  <c r="B73" i="21" l="1"/>
  <c r="B72" i="21"/>
  <c r="Q17" i="19" l="1"/>
  <c r="I18" i="19"/>
  <c r="B61" i="19"/>
  <c r="B60" i="19"/>
  <c r="B59" i="19"/>
  <c r="B58" i="19"/>
  <c r="B57" i="19"/>
  <c r="I59" i="19"/>
  <c r="B71" i="19"/>
  <c r="V17" i="19" s="1"/>
  <c r="B62" i="19"/>
  <c r="F61" i="19"/>
  <c r="E61" i="19"/>
  <c r="D61" i="19"/>
  <c r="F60" i="19"/>
  <c r="E60" i="19"/>
  <c r="F59" i="19"/>
  <c r="E59" i="19"/>
  <c r="F58" i="19"/>
  <c r="E58" i="19"/>
  <c r="F57" i="19"/>
  <c r="E57" i="19"/>
  <c r="B94" i="21"/>
  <c r="B95" i="21"/>
  <c r="B96" i="21"/>
  <c r="B97" i="21"/>
  <c r="B98" i="21"/>
  <c r="Q19" i="21"/>
  <c r="B35" i="21"/>
  <c r="B120" i="21"/>
  <c r="B119" i="21"/>
  <c r="B118" i="21"/>
  <c r="B117" i="21"/>
  <c r="B116" i="21"/>
  <c r="I89" i="21"/>
  <c r="B121" i="21" l="1"/>
  <c r="B130" i="21"/>
  <c r="V19" i="21" s="1"/>
  <c r="F120" i="21"/>
  <c r="E120" i="21"/>
  <c r="D120" i="21"/>
  <c r="F119" i="21"/>
  <c r="E119" i="21"/>
  <c r="F118" i="21"/>
  <c r="E118" i="21"/>
  <c r="F117" i="21"/>
  <c r="E117" i="21"/>
  <c r="F116" i="21"/>
  <c r="E116" i="21"/>
  <c r="Q19" i="13" l="1"/>
  <c r="B140" i="13"/>
  <c r="B139" i="13"/>
  <c r="B138" i="13"/>
  <c r="B137" i="13"/>
  <c r="B136" i="13"/>
  <c r="I102" i="13"/>
  <c r="B141" i="13"/>
  <c r="F140" i="13"/>
  <c r="E140" i="13"/>
  <c r="D140" i="13"/>
  <c r="F139" i="13"/>
  <c r="E139" i="13"/>
  <c r="F138" i="13"/>
  <c r="E138" i="13"/>
  <c r="F137" i="13"/>
  <c r="E137" i="13"/>
  <c r="F136" i="13"/>
  <c r="E136" i="13"/>
  <c r="P18" i="4"/>
  <c r="Q18" i="4"/>
  <c r="P17" i="4"/>
  <c r="P19" i="4"/>
  <c r="Q17" i="4"/>
  <c r="B36" i="19" l="1"/>
  <c r="B41" i="19"/>
  <c r="B40" i="19"/>
  <c r="B91" i="13"/>
  <c r="B39" i="19"/>
  <c r="B38" i="19"/>
  <c r="B37" i="19"/>
  <c r="D43" i="19"/>
  <c r="E43" i="19"/>
  <c r="F43" i="19"/>
  <c r="E36" i="19"/>
  <c r="F36" i="19"/>
  <c r="D37" i="19"/>
  <c r="E37" i="19"/>
  <c r="F37" i="19"/>
  <c r="D38" i="19"/>
  <c r="E38" i="19"/>
  <c r="F38" i="19"/>
  <c r="D39" i="19"/>
  <c r="E39" i="19"/>
  <c r="F39" i="19"/>
  <c r="E40" i="19"/>
  <c r="F40" i="19"/>
  <c r="E41" i="19"/>
  <c r="F41" i="19"/>
  <c r="D42" i="19"/>
  <c r="E42" i="19"/>
  <c r="F42" i="19"/>
  <c r="D44" i="19"/>
  <c r="E44" i="19"/>
  <c r="F44" i="19"/>
  <c r="E45" i="19"/>
  <c r="F45" i="19"/>
  <c r="P111" i="4" l="1"/>
  <c r="P112" i="4"/>
  <c r="B64" i="21" l="1"/>
  <c r="E64" i="21"/>
  <c r="F64" i="21"/>
  <c r="P118" i="4" l="1"/>
  <c r="Q118" i="4"/>
  <c r="I53" i="21"/>
  <c r="B51" i="13" l="1"/>
  <c r="T113" i="4" l="1"/>
  <c r="T23" i="4"/>
  <c r="E35" i="38" l="1"/>
  <c r="E32" i="39"/>
  <c r="E32" i="34"/>
  <c r="E32" i="37"/>
  <c r="E32" i="35"/>
  <c r="E35" i="36"/>
  <c r="D12" i="3"/>
  <c r="D14" i="3" s="1"/>
  <c r="V42" i="4"/>
  <c r="K42" i="4" s="1"/>
  <c r="P42" i="4"/>
  <c r="P36" i="4"/>
  <c r="P78" i="4" l="1"/>
  <c r="L9" i="23" l="1"/>
  <c r="L25" i="23"/>
  <c r="L30" i="23"/>
  <c r="L35" i="23"/>
  <c r="L40" i="23"/>
  <c r="M40" i="23" s="1"/>
  <c r="M88" i="23"/>
  <c r="M101" i="23"/>
  <c r="B95" i="23" s="1"/>
  <c r="M110" i="23"/>
  <c r="M111" i="23"/>
  <c r="M112" i="23"/>
  <c r="M113" i="23"/>
  <c r="M122" i="23"/>
  <c r="M123" i="23"/>
  <c r="M124" i="23"/>
  <c r="M125" i="23"/>
  <c r="M134" i="23"/>
  <c r="M135" i="23"/>
  <c r="M136" i="23"/>
  <c r="M137" i="23"/>
  <c r="M151" i="23"/>
  <c r="K159" i="23"/>
  <c r="M159" i="23" s="1"/>
  <c r="K160" i="23"/>
  <c r="M160" i="23" s="1"/>
  <c r="K161" i="23"/>
  <c r="M161" i="23" s="1"/>
  <c r="B96" i="23" l="1"/>
  <c r="M93" i="23"/>
  <c r="B97" i="23"/>
  <c r="I101" i="37"/>
  <c r="B123" i="37" s="1"/>
  <c r="O51" i="38"/>
  <c r="B42" i="38" s="1"/>
  <c r="I96" i="34"/>
  <c r="B116" i="34" s="1"/>
  <c r="O51" i="36"/>
  <c r="B42" i="36" s="1"/>
  <c r="M30" i="23"/>
  <c r="M114" i="23"/>
  <c r="I96" i="13"/>
  <c r="B116" i="13" s="1"/>
  <c r="O51" i="19"/>
  <c r="B42" i="19" s="1"/>
  <c r="M126" i="23"/>
  <c r="M162" i="23"/>
  <c r="M138" i="23"/>
  <c r="M25" i="23"/>
  <c r="M44" i="23" s="1"/>
  <c r="M35" i="23"/>
  <c r="B121" i="13"/>
  <c r="B120" i="13"/>
  <c r="E120" i="13"/>
  <c r="F120" i="13"/>
  <c r="E121" i="13"/>
  <c r="F121" i="13"/>
  <c r="D122" i="13"/>
  <c r="E122" i="13"/>
  <c r="F122" i="13"/>
  <c r="M9" i="23" l="1"/>
  <c r="P106" i="4"/>
  <c r="P107" i="4"/>
  <c r="Q106" i="4"/>
  <c r="Q107" i="4"/>
  <c r="K101" i="37" l="1"/>
  <c r="B126" i="37" s="1"/>
  <c r="U51" i="38"/>
  <c r="B43" i="38" s="1"/>
  <c r="M96" i="13"/>
  <c r="K96" i="34"/>
  <c r="B119" i="34" s="1"/>
  <c r="U51" i="36"/>
  <c r="B43" i="36" s="1"/>
  <c r="U51" i="19"/>
  <c r="B43" i="19" s="1"/>
  <c r="B50" i="21"/>
  <c r="B104" i="21" l="1"/>
  <c r="B103" i="21"/>
  <c r="B102" i="21"/>
  <c r="B101" i="21"/>
  <c r="B100" i="21"/>
  <c r="B99" i="21"/>
  <c r="B93" i="21"/>
  <c r="B77" i="21"/>
  <c r="B76" i="21"/>
  <c r="B75" i="21"/>
  <c r="B74" i="21"/>
  <c r="B71" i="21"/>
  <c r="B70" i="21"/>
  <c r="B69" i="21"/>
  <c r="B68" i="21"/>
  <c r="B63" i="21"/>
  <c r="B62" i="21"/>
  <c r="B61" i="21"/>
  <c r="E94" i="21" l="1"/>
  <c r="F94" i="21"/>
  <c r="E95" i="21"/>
  <c r="F95" i="21"/>
  <c r="E96" i="21"/>
  <c r="F96" i="21"/>
  <c r="E97" i="21"/>
  <c r="F97" i="21"/>
  <c r="E98" i="21"/>
  <c r="F98" i="21"/>
  <c r="E99" i="21"/>
  <c r="F99" i="21"/>
  <c r="E100" i="21"/>
  <c r="F100" i="21"/>
  <c r="E101" i="21"/>
  <c r="F101" i="21"/>
  <c r="E102" i="21"/>
  <c r="F102" i="21"/>
  <c r="E103" i="21"/>
  <c r="F103" i="21"/>
  <c r="E104" i="21"/>
  <c r="F104" i="21"/>
  <c r="E62" i="21"/>
  <c r="F62" i="21"/>
  <c r="E63" i="21"/>
  <c r="F63" i="21"/>
  <c r="E67" i="21"/>
  <c r="F67" i="21"/>
  <c r="E68" i="21"/>
  <c r="F68" i="21"/>
  <c r="E69" i="21"/>
  <c r="F69" i="21"/>
  <c r="E70" i="21"/>
  <c r="F70" i="21"/>
  <c r="E71" i="21"/>
  <c r="F71" i="21"/>
  <c r="E72" i="21"/>
  <c r="F72" i="21"/>
  <c r="E73" i="21"/>
  <c r="F73" i="21"/>
  <c r="E74" i="21"/>
  <c r="F74" i="21"/>
  <c r="E75" i="21"/>
  <c r="F75" i="21"/>
  <c r="E76" i="21"/>
  <c r="F76" i="21"/>
  <c r="E77" i="21"/>
  <c r="F77" i="21"/>
  <c r="B46" i="21" l="1"/>
  <c r="B34" i="21"/>
  <c r="B33" i="21"/>
  <c r="B32" i="21"/>
  <c r="B114" i="21"/>
  <c r="V18" i="21" s="1"/>
  <c r="B105" i="21"/>
  <c r="F93" i="21"/>
  <c r="E93" i="21"/>
  <c r="B78" i="21"/>
  <c r="F61" i="21"/>
  <c r="E61" i="21"/>
  <c r="B59" i="21"/>
  <c r="N19" i="21" s="1"/>
  <c r="I71" i="21"/>
  <c r="F49" i="21"/>
  <c r="E49" i="21"/>
  <c r="D49" i="21"/>
  <c r="B49" i="21"/>
  <c r="E48" i="21"/>
  <c r="E47" i="21"/>
  <c r="D47" i="21"/>
  <c r="E46" i="21"/>
  <c r="D46" i="21"/>
  <c r="B44" i="21"/>
  <c r="N18" i="21" s="1"/>
  <c r="I39" i="21"/>
  <c r="I31" i="21"/>
  <c r="F34" i="21"/>
  <c r="E34" i="21"/>
  <c r="D34" i="21"/>
  <c r="F33" i="21"/>
  <c r="E33" i="21"/>
  <c r="D33" i="21"/>
  <c r="F32" i="21"/>
  <c r="E32" i="21"/>
  <c r="I26" i="21"/>
  <c r="B30" i="21"/>
  <c r="N17" i="21" s="1"/>
  <c r="B21" i="21"/>
  <c r="I21" i="21"/>
  <c r="F20" i="21"/>
  <c r="E20" i="21"/>
  <c r="D20" i="21"/>
  <c r="B20" i="21"/>
  <c r="I19" i="21"/>
  <c r="F19" i="21"/>
  <c r="E19" i="21"/>
  <c r="D19" i="21"/>
  <c r="B19" i="21"/>
  <c r="Q18" i="21"/>
  <c r="I18" i="21"/>
  <c r="Q17" i="21"/>
  <c r="I17" i="21"/>
  <c r="R13" i="21"/>
  <c r="N13" i="21"/>
  <c r="J13" i="21"/>
  <c r="B7" i="21"/>
  <c r="P142" i="4" l="1"/>
  <c r="P133" i="4"/>
  <c r="P129" i="4"/>
  <c r="P125" i="4"/>
  <c r="P126" i="4"/>
  <c r="P127" i="4"/>
  <c r="P128" i="4"/>
  <c r="P130" i="4"/>
  <c r="P131" i="4"/>
  <c r="P132" i="4"/>
  <c r="P134" i="4"/>
  <c r="P135" i="4"/>
  <c r="P136" i="4"/>
  <c r="P137" i="4"/>
  <c r="P138" i="4"/>
  <c r="P139" i="4"/>
  <c r="P140" i="4"/>
  <c r="P141" i="4"/>
  <c r="P143" i="4"/>
  <c r="P144" i="4"/>
  <c r="Q125" i="4"/>
  <c r="Q126" i="4"/>
  <c r="Q127" i="4"/>
  <c r="Q130" i="4"/>
  <c r="Q131" i="4"/>
  <c r="Q132" i="4"/>
  <c r="Q134" i="4"/>
  <c r="Q135" i="4"/>
  <c r="Q136" i="4"/>
  <c r="Q137" i="4"/>
  <c r="Q138" i="4"/>
  <c r="Q139" i="4"/>
  <c r="Q140" i="4"/>
  <c r="Q141" i="4"/>
  <c r="Q143" i="4"/>
  <c r="Q144" i="4"/>
  <c r="P124" i="4" l="1"/>
  <c r="Q124" i="4"/>
  <c r="P123" i="4"/>
  <c r="Q123" i="4"/>
  <c r="P122" i="4"/>
  <c r="Q122" i="4"/>
  <c r="P121" i="4"/>
  <c r="Q121" i="4"/>
  <c r="P117" i="4"/>
  <c r="Q117" i="4"/>
  <c r="P116" i="4"/>
  <c r="Q116" i="4"/>
  <c r="P115" i="4"/>
  <c r="B9" i="19" l="1"/>
  <c r="B34" i="19"/>
  <c r="B32" i="19" l="1"/>
  <c r="B31" i="19"/>
  <c r="B35" i="19"/>
  <c r="B33" i="19"/>
  <c r="P114" i="4" l="1"/>
  <c r="B55" i="19"/>
  <c r="N18" i="19" s="1"/>
  <c r="B46" i="19"/>
  <c r="F35" i="19"/>
  <c r="E35" i="19"/>
  <c r="F34" i="19"/>
  <c r="W29" i="19" s="1"/>
  <c r="E34" i="19"/>
  <c r="F33" i="19"/>
  <c r="E33" i="19"/>
  <c r="D33" i="19"/>
  <c r="F32" i="19"/>
  <c r="E32" i="19"/>
  <c r="D32" i="19"/>
  <c r="F31" i="19"/>
  <c r="E31" i="19"/>
  <c r="D31" i="19"/>
  <c r="I25" i="19"/>
  <c r="B29" i="19"/>
  <c r="N17" i="19" s="1"/>
  <c r="B20" i="19"/>
  <c r="I20" i="19"/>
  <c r="F19" i="19"/>
  <c r="E19" i="19"/>
  <c r="D19" i="19"/>
  <c r="B19" i="19"/>
  <c r="I17" i="19"/>
  <c r="R13" i="19"/>
  <c r="N13" i="19"/>
  <c r="J13" i="19"/>
  <c r="B10" i="19"/>
  <c r="B7" i="19"/>
  <c r="B12" i="19" l="1"/>
  <c r="I6" i="19" s="1"/>
  <c r="B11" i="19"/>
  <c r="H6" i="19" s="1"/>
  <c r="P113" i="4"/>
  <c r="P110" i="4"/>
  <c r="Q110" i="4"/>
  <c r="V4" i="2" l="1"/>
  <c r="V5" i="2"/>
  <c r="V6" i="2"/>
  <c r="V7" i="2"/>
  <c r="V8" i="2"/>
  <c r="V9" i="2"/>
  <c r="V10" i="2"/>
  <c r="V11" i="2"/>
  <c r="V12" i="2"/>
  <c r="V13" i="2"/>
  <c r="V14" i="2"/>
  <c r="V15" i="2"/>
  <c r="V16" i="2"/>
  <c r="V17" i="2"/>
  <c r="V18" i="2"/>
  <c r="V19" i="2"/>
  <c r="V20" i="2"/>
  <c r="V21" i="2"/>
  <c r="V22" i="2"/>
  <c r="V23" i="2"/>
  <c r="V24" i="2"/>
  <c r="V25" i="2"/>
  <c r="V26" i="2"/>
  <c r="V27" i="2"/>
  <c r="V28" i="2"/>
  <c r="V29" i="2"/>
  <c r="V30" i="2"/>
  <c r="V31" i="2"/>
  <c r="V32" i="2"/>
  <c r="V33" i="2"/>
  <c r="V34" i="2"/>
  <c r="V35" i="2"/>
  <c r="V36" i="2"/>
  <c r="V37" i="2"/>
  <c r="V38" i="2"/>
  <c r="V39" i="2"/>
  <c r="V40" i="2"/>
  <c r="V41" i="2"/>
  <c r="V42" i="2"/>
  <c r="V43" i="2"/>
  <c r="V44" i="2"/>
  <c r="V45" i="2"/>
  <c r="V46" i="2"/>
  <c r="V47" i="2"/>
  <c r="V48" i="2"/>
  <c r="V49" i="2"/>
  <c r="V50" i="2"/>
  <c r="V51" i="2"/>
  <c r="V52" i="2"/>
  <c r="V53" i="2"/>
  <c r="V54" i="2"/>
  <c r="V55" i="2"/>
  <c r="V56" i="2"/>
  <c r="V57" i="2"/>
  <c r="V58" i="2"/>
  <c r="V59" i="2"/>
  <c r="V60" i="2"/>
  <c r="V61" i="2"/>
  <c r="V62" i="2"/>
  <c r="V63" i="2"/>
  <c r="V64" i="2"/>
  <c r="V65" i="2"/>
  <c r="V66" i="2"/>
  <c r="V67" i="2"/>
  <c r="V68" i="2"/>
  <c r="V69" i="2"/>
  <c r="V70" i="2"/>
  <c r="V71" i="2"/>
  <c r="V72" i="2"/>
  <c r="V73" i="2"/>
  <c r="V74" i="2"/>
  <c r="V75" i="2"/>
  <c r="V76" i="2"/>
  <c r="V77" i="2"/>
  <c r="V78" i="2"/>
  <c r="V79" i="2"/>
  <c r="V80" i="2"/>
  <c r="V81" i="2"/>
  <c r="V82" i="2"/>
  <c r="V83" i="2"/>
  <c r="V89" i="2"/>
  <c r="V90" i="2"/>
  <c r="V91" i="2"/>
  <c r="V92" i="2"/>
  <c r="V93" i="2"/>
  <c r="V94" i="2"/>
  <c r="V95" i="2"/>
  <c r="V96" i="2"/>
  <c r="V97" i="2"/>
  <c r="V98" i="2"/>
  <c r="V99" i="2"/>
  <c r="V100" i="2"/>
  <c r="V101" i="2"/>
  <c r="V102" i="2"/>
  <c r="V103" i="2"/>
  <c r="V104" i="2"/>
  <c r="V105" i="2"/>
  <c r="V106" i="2"/>
  <c r="V107" i="2"/>
  <c r="V108" i="2"/>
  <c r="V109" i="2"/>
  <c r="V110" i="2"/>
  <c r="V111" i="2"/>
  <c r="V112" i="2"/>
  <c r="V113" i="2"/>
  <c r="V114" i="2"/>
  <c r="V115" i="2"/>
  <c r="V116" i="2"/>
  <c r="V117" i="2"/>
  <c r="V118" i="2"/>
  <c r="V119" i="2"/>
  <c r="V120" i="2"/>
  <c r="V121" i="2"/>
  <c r="V122" i="2"/>
  <c r="V123" i="2"/>
  <c r="V124" i="2"/>
  <c r="V125" i="2"/>
  <c r="V126" i="2"/>
  <c r="V127" i="2"/>
  <c r="V128" i="2"/>
  <c r="V129" i="2"/>
  <c r="V130" i="2"/>
  <c r="V131" i="2"/>
  <c r="V132" i="2"/>
  <c r="V133" i="2"/>
  <c r="V134" i="2"/>
  <c r="V135" i="2"/>
  <c r="V136" i="2"/>
  <c r="V137" i="2"/>
  <c r="V138" i="2"/>
  <c r="V139" i="2"/>
  <c r="V140" i="2"/>
  <c r="V141" i="2"/>
  <c r="V142" i="2"/>
  <c r="V143" i="2"/>
  <c r="V144" i="2"/>
  <c r="V145" i="2"/>
  <c r="V146" i="2"/>
  <c r="V147" i="2"/>
  <c r="V148" i="2"/>
  <c r="V149" i="2"/>
  <c r="V150" i="2"/>
  <c r="V151" i="2"/>
  <c r="V152" i="2"/>
  <c r="V153" i="2"/>
  <c r="V154" i="2"/>
  <c r="V155" i="2"/>
  <c r="V156" i="2"/>
  <c r="V157" i="2"/>
  <c r="V158" i="2"/>
  <c r="V159" i="2"/>
  <c r="V160" i="2"/>
  <c r="V161" i="2"/>
  <c r="V162" i="2"/>
  <c r="V163" i="2"/>
  <c r="V164" i="2"/>
  <c r="V165" i="2"/>
  <c r="V166" i="2"/>
  <c r="V167" i="2"/>
  <c r="V168" i="2"/>
  <c r="V169" i="2"/>
  <c r="V170" i="2"/>
  <c r="V171" i="2"/>
  <c r="V172" i="2"/>
  <c r="V173" i="2"/>
  <c r="V174" i="2"/>
  <c r="V175" i="2"/>
  <c r="V176" i="2"/>
  <c r="V177" i="2"/>
  <c r="V178" i="2"/>
  <c r="V179" i="2"/>
  <c r="V180" i="2"/>
  <c r="V181" i="2"/>
  <c r="V182" i="2"/>
  <c r="V183" i="2"/>
  <c r="V184" i="2"/>
  <c r="V185" i="2"/>
  <c r="V186" i="2"/>
  <c r="V187" i="2"/>
  <c r="V188" i="2"/>
  <c r="V189" i="2"/>
  <c r="V190" i="2"/>
  <c r="V191" i="2"/>
  <c r="V192" i="2"/>
  <c r="V193" i="2"/>
  <c r="V194" i="2"/>
  <c r="V195" i="2"/>
  <c r="V196" i="2"/>
  <c r="V197" i="2"/>
  <c r="V198" i="2"/>
  <c r="V199" i="2"/>
  <c r="V200" i="2"/>
  <c r="V201" i="2"/>
  <c r="V202" i="2"/>
  <c r="V203" i="2"/>
  <c r="V204" i="2"/>
  <c r="V205" i="2"/>
  <c r="V206" i="2"/>
  <c r="V207" i="2"/>
  <c r="V208" i="2"/>
  <c r="V209" i="2"/>
  <c r="V210" i="2"/>
  <c r="V211" i="2"/>
  <c r="V212" i="2"/>
  <c r="V213" i="2"/>
  <c r="V214" i="2"/>
  <c r="V215" i="2"/>
  <c r="V216" i="2"/>
  <c r="V217" i="2"/>
  <c r="V218" i="2"/>
  <c r="V219" i="2"/>
  <c r="V220" i="2"/>
  <c r="V221" i="2"/>
  <c r="V222" i="2"/>
  <c r="V223" i="2"/>
  <c r="V224" i="2"/>
  <c r="V225" i="2"/>
  <c r="V226" i="2"/>
  <c r="V227" i="2"/>
  <c r="V228" i="2"/>
  <c r="V229" i="2"/>
  <c r="V230" i="2"/>
  <c r="V231" i="2"/>
  <c r="V232" i="2"/>
  <c r="V233" i="2"/>
  <c r="V234" i="2"/>
  <c r="V235" i="2"/>
  <c r="V236" i="2"/>
  <c r="V237" i="2"/>
  <c r="V238" i="2"/>
  <c r="V239" i="2"/>
  <c r="V240" i="2"/>
  <c r="V241" i="2"/>
  <c r="V242" i="2"/>
  <c r="V243" i="2"/>
  <c r="V244" i="2"/>
  <c r="V245" i="2"/>
  <c r="V246" i="2"/>
  <c r="V247" i="2"/>
  <c r="V248" i="2"/>
  <c r="V249" i="2"/>
  <c r="V250" i="2"/>
  <c r="V251" i="2"/>
  <c r="V252" i="2"/>
  <c r="V253" i="2"/>
  <c r="V254" i="2"/>
  <c r="V256" i="2"/>
  <c r="V257" i="2"/>
  <c r="V258" i="2"/>
  <c r="V259" i="2"/>
  <c r="V260" i="2"/>
  <c r="V261" i="2"/>
  <c r="V262" i="2"/>
  <c r="V263" i="2"/>
  <c r="V264" i="2"/>
  <c r="V265" i="2"/>
  <c r="V266" i="2"/>
  <c r="V267" i="2"/>
  <c r="V268" i="2"/>
  <c r="V269" i="2"/>
  <c r="V270" i="2"/>
  <c r="V271" i="2"/>
  <c r="V272" i="2"/>
  <c r="V273" i="2"/>
  <c r="V274" i="2"/>
  <c r="V275" i="2"/>
  <c r="V276" i="2"/>
  <c r="V277" i="2"/>
  <c r="V278" i="2"/>
  <c r="V279" i="2"/>
  <c r="V280" i="2"/>
  <c r="V281" i="2"/>
  <c r="V282" i="2"/>
  <c r="V283" i="2"/>
  <c r="V284" i="2"/>
  <c r="V285" i="2"/>
  <c r="V286" i="2"/>
  <c r="V287" i="2"/>
  <c r="V288" i="2"/>
  <c r="V289" i="2"/>
  <c r="V290" i="2"/>
  <c r="V291" i="2"/>
  <c r="V292" i="2"/>
  <c r="V293" i="2"/>
  <c r="V294" i="2"/>
  <c r="V295" i="2"/>
  <c r="V296" i="2"/>
  <c r="V297" i="2"/>
  <c r="V298" i="2"/>
  <c r="V299" i="2"/>
  <c r="V300" i="2"/>
  <c r="V301" i="2"/>
  <c r="V302" i="2"/>
  <c r="V303" i="2"/>
  <c r="V304" i="2"/>
  <c r="V305" i="2"/>
  <c r="V306" i="2"/>
  <c r="V307" i="2"/>
  <c r="V308" i="2"/>
  <c r="V309" i="2"/>
  <c r="V310" i="2"/>
  <c r="V311" i="2"/>
  <c r="V312" i="2"/>
  <c r="V313" i="2"/>
  <c r="V314" i="2"/>
  <c r="V315" i="2"/>
  <c r="V316" i="2"/>
  <c r="V317" i="2"/>
  <c r="V318" i="2"/>
  <c r="V319" i="2"/>
  <c r="V320" i="2"/>
  <c r="V321" i="2"/>
  <c r="V322" i="2"/>
  <c r="V323" i="2"/>
  <c r="V324" i="2"/>
  <c r="V325" i="2"/>
  <c r="V326" i="2"/>
  <c r="V327" i="2"/>
  <c r="V328" i="2"/>
  <c r="V329" i="2"/>
  <c r="V330" i="2"/>
  <c r="V331" i="2"/>
  <c r="V332" i="2"/>
  <c r="V333" i="2"/>
  <c r="V334" i="2"/>
  <c r="V335" i="2"/>
  <c r="V336" i="2"/>
  <c r="V337" i="2"/>
  <c r="V338" i="2"/>
  <c r="V339" i="2"/>
  <c r="V340" i="2"/>
  <c r="V341" i="2"/>
  <c r="V342" i="2"/>
  <c r="V343" i="2"/>
  <c r="V344" i="2"/>
  <c r="V345" i="2"/>
  <c r="V346" i="2"/>
  <c r="V347" i="2"/>
  <c r="V348" i="2"/>
  <c r="V349" i="2"/>
  <c r="V350" i="2"/>
  <c r="V351" i="2"/>
  <c r="V352" i="2"/>
  <c r="V353" i="2"/>
  <c r="V354" i="2"/>
  <c r="V355" i="2"/>
  <c r="V356" i="2"/>
  <c r="V357" i="2"/>
  <c r="V358" i="2"/>
  <c r="V359" i="2"/>
  <c r="V360" i="2"/>
  <c r="V361" i="2"/>
  <c r="V362" i="2"/>
  <c r="V363" i="2"/>
  <c r="V364" i="2"/>
  <c r="V365" i="2"/>
  <c r="V366" i="2"/>
  <c r="V367" i="2"/>
  <c r="V368" i="2"/>
  <c r="V369" i="2"/>
  <c r="V370" i="2"/>
  <c r="V371" i="2"/>
  <c r="V372" i="2"/>
  <c r="V373" i="2"/>
  <c r="V374" i="2"/>
  <c r="V375" i="2"/>
  <c r="V376" i="2"/>
  <c r="V377" i="2"/>
  <c r="V378" i="2"/>
  <c r="V379" i="2"/>
  <c r="V380" i="2"/>
  <c r="V381" i="2"/>
  <c r="V382" i="2"/>
  <c r="V383" i="2"/>
  <c r="V384" i="2"/>
  <c r="V385" i="2"/>
  <c r="V386" i="2"/>
  <c r="V387" i="2"/>
  <c r="V388" i="2"/>
  <c r="V389" i="2"/>
  <c r="V390" i="2"/>
  <c r="V391" i="2"/>
  <c r="V392" i="2"/>
  <c r="V393" i="2"/>
  <c r="V394" i="2"/>
  <c r="V395" i="2"/>
  <c r="V396" i="2"/>
  <c r="V397" i="2"/>
  <c r="V398" i="2"/>
  <c r="V399" i="2"/>
  <c r="V400" i="2"/>
  <c r="V401" i="2"/>
  <c r="V402" i="2"/>
  <c r="V403" i="2"/>
  <c r="V404" i="2"/>
  <c r="V405" i="2"/>
  <c r="V406" i="2"/>
  <c r="V407" i="2"/>
  <c r="V408" i="2"/>
  <c r="V409" i="2"/>
  <c r="V410" i="2"/>
  <c r="V411" i="2"/>
  <c r="V412" i="2"/>
  <c r="V413" i="2"/>
  <c r="V414" i="2"/>
  <c r="V415" i="2"/>
  <c r="V416" i="2"/>
  <c r="V417" i="2"/>
  <c r="V418" i="2"/>
  <c r="V419" i="2"/>
  <c r="V420" i="2"/>
  <c r="V421" i="2"/>
  <c r="V422" i="2"/>
  <c r="V423" i="2"/>
  <c r="V424" i="2"/>
  <c r="V425" i="2"/>
  <c r="V426" i="2"/>
  <c r="V427" i="2"/>
  <c r="V428" i="2"/>
  <c r="V429" i="2"/>
  <c r="V430" i="2"/>
  <c r="V431" i="2"/>
  <c r="V432" i="2"/>
  <c r="V433" i="2"/>
  <c r="V434" i="2"/>
  <c r="V435" i="2"/>
  <c r="V436" i="2"/>
  <c r="V437" i="2"/>
  <c r="V438" i="2"/>
  <c r="V439" i="2"/>
  <c r="V440" i="2"/>
  <c r="V441" i="2"/>
  <c r="V442" i="2"/>
  <c r="V443" i="2"/>
  <c r="V444" i="2"/>
  <c r="V445" i="2"/>
  <c r="V446" i="2"/>
  <c r="V447" i="2"/>
  <c r="V448" i="2"/>
  <c r="V449" i="2"/>
  <c r="V450" i="2"/>
  <c r="V451" i="2"/>
  <c r="V452" i="2"/>
  <c r="V453" i="2"/>
  <c r="V454" i="2"/>
  <c r="V455" i="2"/>
  <c r="V456" i="2"/>
  <c r="V457" i="2"/>
  <c r="V458" i="2"/>
  <c r="V459" i="2"/>
  <c r="V460" i="2"/>
  <c r="V461" i="2"/>
  <c r="V462" i="2"/>
  <c r="V463" i="2"/>
  <c r="V464" i="2"/>
  <c r="V465" i="2"/>
  <c r="V466" i="2"/>
  <c r="V467" i="2"/>
  <c r="V468" i="2"/>
  <c r="V469" i="2"/>
  <c r="V470" i="2"/>
  <c r="V471" i="2"/>
  <c r="V472" i="2"/>
  <c r="V473" i="2"/>
  <c r="V474" i="2"/>
  <c r="V475" i="2"/>
  <c r="V476" i="2"/>
  <c r="V477" i="2"/>
  <c r="V478" i="2"/>
  <c r="V479" i="2"/>
  <c r="V480" i="2"/>
  <c r="V481" i="2"/>
  <c r="V482" i="2"/>
  <c r="V483" i="2"/>
  <c r="V484" i="2"/>
  <c r="V485" i="2"/>
  <c r="V486" i="2"/>
  <c r="V487" i="2"/>
  <c r="V488" i="2"/>
  <c r="V489" i="2"/>
  <c r="V490" i="2"/>
  <c r="V491" i="2"/>
  <c r="V492" i="2"/>
  <c r="V493" i="2"/>
  <c r="V494" i="2"/>
  <c r="V495" i="2"/>
  <c r="V496" i="2"/>
  <c r="V497" i="2"/>
  <c r="V498" i="2"/>
  <c r="V499" i="2"/>
  <c r="V500" i="2"/>
  <c r="V501" i="2"/>
  <c r="V502" i="2"/>
  <c r="V503" i="2"/>
  <c r="V504" i="2"/>
  <c r="V505" i="2"/>
  <c r="V506" i="2"/>
  <c r="V507" i="2"/>
  <c r="V508" i="2"/>
  <c r="V509" i="2"/>
  <c r="V510" i="2"/>
  <c r="V511" i="2"/>
  <c r="V512" i="2"/>
  <c r="V513" i="2"/>
  <c r="V514" i="2"/>
  <c r="V515" i="2"/>
  <c r="V516" i="2"/>
  <c r="V517" i="2"/>
  <c r="V518" i="2"/>
  <c r="V519" i="2"/>
  <c r="V520" i="2"/>
  <c r="V521" i="2"/>
  <c r="V522" i="2"/>
  <c r="V523" i="2"/>
  <c r="V524" i="2"/>
  <c r="V525" i="2"/>
  <c r="V526" i="2"/>
  <c r="V527" i="2"/>
  <c r="V528" i="2"/>
  <c r="V529" i="2"/>
  <c r="V530" i="2"/>
  <c r="V531" i="2"/>
  <c r="V532" i="2"/>
  <c r="V533" i="2"/>
  <c r="V534" i="2"/>
  <c r="V535" i="2"/>
  <c r="V536" i="2"/>
  <c r="V537" i="2"/>
  <c r="V538" i="2"/>
  <c r="V539" i="2"/>
  <c r="V540" i="2"/>
  <c r="V541" i="2"/>
  <c r="V542" i="2"/>
  <c r="V543" i="2"/>
  <c r="V544" i="2"/>
  <c r="V545" i="2"/>
  <c r="V546" i="2"/>
  <c r="V547" i="2"/>
  <c r="V548" i="2"/>
  <c r="V549" i="2"/>
  <c r="V550" i="2"/>
  <c r="V551" i="2"/>
  <c r="V552" i="2"/>
  <c r="V553" i="2"/>
  <c r="V554" i="2"/>
  <c r="V555" i="2"/>
  <c r="V556" i="2"/>
  <c r="V557" i="2"/>
  <c r="V558" i="2"/>
  <c r="V559" i="2"/>
  <c r="V560" i="2"/>
  <c r="V561" i="2"/>
  <c r="V562" i="2"/>
  <c r="V563" i="2"/>
  <c r="V564" i="2"/>
  <c r="V565" i="2"/>
  <c r="V566" i="2"/>
  <c r="V567" i="2"/>
  <c r="V568" i="2"/>
  <c r="V569" i="2"/>
  <c r="V570" i="2"/>
  <c r="V571" i="2"/>
  <c r="V572" i="2"/>
  <c r="V573" i="2"/>
  <c r="V574" i="2"/>
  <c r="V575" i="2"/>
  <c r="V576" i="2"/>
  <c r="V577" i="2"/>
  <c r="V578" i="2"/>
  <c r="V579" i="2"/>
  <c r="V580" i="2"/>
  <c r="V581" i="2"/>
  <c r="V582" i="2"/>
  <c r="V583" i="2"/>
  <c r="V584" i="2"/>
  <c r="V585" i="2"/>
  <c r="V586" i="2"/>
  <c r="V587" i="2"/>
  <c r="V588" i="2"/>
  <c r="V589" i="2"/>
  <c r="V590" i="2"/>
  <c r="V591" i="2"/>
  <c r="V592" i="2"/>
  <c r="V593" i="2"/>
  <c r="V594" i="2"/>
  <c r="V595" i="2"/>
  <c r="V596" i="2"/>
  <c r="V597" i="2"/>
  <c r="V598" i="2"/>
  <c r="V599" i="2"/>
  <c r="V600" i="2"/>
  <c r="V601" i="2"/>
  <c r="V602" i="2"/>
  <c r="V603" i="2"/>
  <c r="V604" i="2"/>
  <c r="V605" i="2"/>
  <c r="V606" i="2"/>
  <c r="V607" i="2"/>
  <c r="V608" i="2"/>
  <c r="V609" i="2"/>
  <c r="V610" i="2"/>
  <c r="V611" i="2"/>
  <c r="V612" i="2"/>
  <c r="V613" i="2"/>
  <c r="V614" i="2"/>
  <c r="V615" i="2"/>
  <c r="V616" i="2"/>
  <c r="V617" i="2"/>
  <c r="V618" i="2"/>
  <c r="V619" i="2"/>
  <c r="V620" i="2"/>
  <c r="V621" i="2"/>
  <c r="V622" i="2"/>
  <c r="V623" i="2"/>
  <c r="V624" i="2"/>
  <c r="V625" i="2"/>
  <c r="V626" i="2"/>
  <c r="V627" i="2"/>
  <c r="V628" i="2"/>
  <c r="V629" i="2"/>
  <c r="V630" i="2"/>
  <c r="V631" i="2"/>
  <c r="V632" i="2"/>
  <c r="V633" i="2"/>
  <c r="V634" i="2"/>
  <c r="V635" i="2"/>
  <c r="V636" i="2"/>
  <c r="V637" i="2"/>
  <c r="V638" i="2"/>
  <c r="V639" i="2"/>
  <c r="V640" i="2"/>
  <c r="V641" i="2"/>
  <c r="V642" i="2"/>
  <c r="V643" i="2"/>
  <c r="V644" i="2"/>
  <c r="V645" i="2"/>
  <c r="V646" i="2"/>
  <c r="V647" i="2"/>
  <c r="V648" i="2"/>
  <c r="V649" i="2"/>
  <c r="V650" i="2"/>
  <c r="V651" i="2"/>
  <c r="V652" i="2"/>
  <c r="V653" i="2"/>
  <c r="V654" i="2"/>
  <c r="V655" i="2"/>
  <c r="V656" i="2"/>
  <c r="V657" i="2"/>
  <c r="V658" i="2"/>
  <c r="V659" i="2"/>
  <c r="V660" i="2"/>
  <c r="V661" i="2"/>
  <c r="V662" i="2"/>
  <c r="V663" i="2"/>
  <c r="V664" i="2"/>
  <c r="V665" i="2"/>
  <c r="V666" i="2"/>
  <c r="V667" i="2"/>
  <c r="V668" i="2"/>
  <c r="V669" i="2"/>
  <c r="V670" i="2"/>
  <c r="V671" i="2"/>
  <c r="V672" i="2"/>
  <c r="V673" i="2"/>
  <c r="V674" i="2"/>
  <c r="V675" i="2"/>
  <c r="V676" i="2"/>
  <c r="V677" i="2"/>
  <c r="V678" i="2"/>
  <c r="V679" i="2"/>
  <c r="V680" i="2"/>
  <c r="V681" i="2"/>
  <c r="V682" i="2"/>
  <c r="V683" i="2"/>
  <c r="V684" i="2"/>
  <c r="V685" i="2"/>
  <c r="V686" i="2"/>
  <c r="V687" i="2"/>
  <c r="V688" i="2"/>
  <c r="V689" i="2"/>
  <c r="V690" i="2"/>
  <c r="V691" i="2"/>
  <c r="V692" i="2"/>
  <c r="V693" i="2"/>
  <c r="V694" i="2"/>
  <c r="V695" i="2"/>
  <c r="V696" i="2"/>
  <c r="V697" i="2"/>
  <c r="V698" i="2"/>
  <c r="V699" i="2"/>
  <c r="V700" i="2"/>
  <c r="V701" i="2"/>
  <c r="V702" i="2"/>
  <c r="V703" i="2"/>
  <c r="V704" i="2"/>
  <c r="V705" i="2"/>
  <c r="V706" i="2"/>
  <c r="V707" i="2"/>
  <c r="V708" i="2"/>
  <c r="V709" i="2"/>
  <c r="V710" i="2"/>
  <c r="V711" i="2"/>
  <c r="V712" i="2"/>
  <c r="V713" i="2"/>
  <c r="V714" i="2"/>
  <c r="V715" i="2"/>
  <c r="V716" i="2"/>
  <c r="V717" i="2"/>
  <c r="V718" i="2"/>
  <c r="V719" i="2"/>
  <c r="V720" i="2"/>
  <c r="V721" i="2"/>
  <c r="V722" i="2"/>
  <c r="V723" i="2"/>
  <c r="V724" i="2"/>
  <c r="V725" i="2"/>
  <c r="V726" i="2"/>
  <c r="V727" i="2"/>
  <c r="V728" i="2"/>
  <c r="V729" i="2"/>
  <c r="V730" i="2"/>
  <c r="V731" i="2"/>
  <c r="V732" i="2"/>
  <c r="V733" i="2"/>
  <c r="V734" i="2"/>
  <c r="V735" i="2"/>
  <c r="V736" i="2"/>
  <c r="V737" i="2"/>
  <c r="V738" i="2"/>
  <c r="V739" i="2"/>
  <c r="V740" i="2"/>
  <c r="V741" i="2"/>
  <c r="V742" i="2"/>
  <c r="V743" i="2"/>
  <c r="V744" i="2"/>
  <c r="V745" i="2"/>
  <c r="V746" i="2"/>
  <c r="V747" i="2"/>
  <c r="V748" i="2"/>
  <c r="V749" i="2"/>
  <c r="V750" i="2"/>
  <c r="V751" i="2"/>
  <c r="V752" i="2"/>
  <c r="V753" i="2"/>
  <c r="V754" i="2"/>
  <c r="V755" i="2"/>
  <c r="V756" i="2"/>
  <c r="V757" i="2"/>
  <c r="V758" i="2"/>
  <c r="V759" i="2"/>
  <c r="V760" i="2"/>
  <c r="V761" i="2"/>
  <c r="V762" i="2"/>
  <c r="V763" i="2"/>
  <c r="V764" i="2"/>
  <c r="V765" i="2"/>
  <c r="V766" i="2"/>
  <c r="V767" i="2"/>
  <c r="V768" i="2"/>
  <c r="V769" i="2"/>
  <c r="V770" i="2"/>
  <c r="V771" i="2"/>
  <c r="V772" i="2"/>
  <c r="V773" i="2"/>
  <c r="V774" i="2"/>
  <c r="V775" i="2"/>
  <c r="V776" i="2"/>
  <c r="V777" i="2"/>
  <c r="V778" i="2"/>
  <c r="V779" i="2"/>
  <c r="V780" i="2"/>
  <c r="V781" i="2"/>
  <c r="V782" i="2"/>
  <c r="V783" i="2"/>
  <c r="V784" i="2"/>
  <c r="V785" i="2"/>
  <c r="V786" i="2"/>
  <c r="V787" i="2"/>
  <c r="V788" i="2"/>
  <c r="V789" i="2"/>
  <c r="V790" i="2"/>
  <c r="V791" i="2"/>
  <c r="V792" i="2"/>
  <c r="V793" i="2"/>
  <c r="V794" i="2"/>
  <c r="V795" i="2"/>
  <c r="V796" i="2"/>
  <c r="V797" i="2"/>
  <c r="V798" i="2"/>
  <c r="V799" i="2"/>
  <c r="V800" i="2"/>
  <c r="V801" i="2"/>
  <c r="V802" i="2"/>
  <c r="V803" i="2"/>
  <c r="V804" i="2"/>
  <c r="V805" i="2"/>
  <c r="V806" i="2"/>
  <c r="V807" i="2"/>
  <c r="V808" i="2"/>
  <c r="V809" i="2"/>
  <c r="V810" i="2"/>
  <c r="V811" i="2"/>
  <c r="V812" i="2"/>
  <c r="V813" i="2"/>
  <c r="V814" i="2"/>
  <c r="V815" i="2"/>
  <c r="V816" i="2"/>
  <c r="V817" i="2"/>
  <c r="V818" i="2"/>
  <c r="V819" i="2"/>
  <c r="V820" i="2"/>
  <c r="V821" i="2"/>
  <c r="V822" i="2"/>
  <c r="V823" i="2"/>
  <c r="V824" i="2"/>
  <c r="V825" i="2"/>
  <c r="V826" i="2"/>
  <c r="V827" i="2"/>
  <c r="V828" i="2"/>
  <c r="V829" i="2"/>
  <c r="V830" i="2"/>
  <c r="V831" i="2"/>
  <c r="V832" i="2"/>
  <c r="V833" i="2"/>
  <c r="V834" i="2"/>
  <c r="V835" i="2"/>
  <c r="V836" i="2"/>
  <c r="V837" i="2"/>
  <c r="V838" i="2"/>
  <c r="V839" i="2"/>
  <c r="V840" i="2"/>
  <c r="V841" i="2"/>
  <c r="V842" i="2"/>
  <c r="V843" i="2"/>
  <c r="V844" i="2"/>
  <c r="V845" i="2"/>
  <c r="V846" i="2"/>
  <c r="V847" i="2"/>
  <c r="V848" i="2"/>
  <c r="V849" i="2"/>
  <c r="V850" i="2"/>
  <c r="V851" i="2"/>
  <c r="V852" i="2"/>
  <c r="V853" i="2"/>
  <c r="V854" i="2"/>
  <c r="V855" i="2"/>
  <c r="V856" i="2"/>
  <c r="V857" i="2"/>
  <c r="V858" i="2"/>
  <c r="V859" i="2"/>
  <c r="V860" i="2"/>
  <c r="V861" i="2"/>
  <c r="V862" i="2"/>
  <c r="V863" i="2"/>
  <c r="V864" i="2"/>
  <c r="V865" i="2"/>
  <c r="V866" i="2"/>
  <c r="V867" i="2"/>
  <c r="V868" i="2"/>
  <c r="V869" i="2"/>
  <c r="V870" i="2"/>
  <c r="V871" i="2"/>
  <c r="V872" i="2"/>
  <c r="V873" i="2"/>
  <c r="V874" i="2"/>
  <c r="V875" i="2"/>
  <c r="V876" i="2"/>
  <c r="V877" i="2"/>
  <c r="V878" i="2"/>
  <c r="V879" i="2"/>
  <c r="V880" i="2"/>
  <c r="V881" i="2"/>
  <c r="V882" i="2"/>
  <c r="V883" i="2"/>
  <c r="V884" i="2"/>
  <c r="V885" i="2"/>
  <c r="V886" i="2"/>
  <c r="V887" i="2"/>
  <c r="V888" i="2"/>
  <c r="V889" i="2"/>
  <c r="V890" i="2"/>
  <c r="V891" i="2"/>
  <c r="V892" i="2"/>
  <c r="V893" i="2"/>
  <c r="V894" i="2"/>
  <c r="V895" i="2"/>
  <c r="V896" i="2"/>
  <c r="V897" i="2"/>
  <c r="V898" i="2"/>
  <c r="V899" i="2"/>
  <c r="V900" i="2"/>
  <c r="V901" i="2"/>
  <c r="V902" i="2"/>
  <c r="V903" i="2"/>
  <c r="V904" i="2"/>
  <c r="V905" i="2"/>
  <c r="V906" i="2"/>
  <c r="V907" i="2"/>
  <c r="V908" i="2"/>
  <c r="V909" i="2"/>
  <c r="V910" i="2"/>
  <c r="V911" i="2"/>
  <c r="V912" i="2"/>
  <c r="V913" i="2"/>
  <c r="V914" i="2"/>
  <c r="V915" i="2"/>
  <c r="V916" i="2"/>
  <c r="V917" i="2"/>
  <c r="V918" i="2"/>
  <c r="V919" i="2"/>
  <c r="V920" i="2"/>
  <c r="V921" i="2"/>
  <c r="V922" i="2"/>
  <c r="V923" i="2"/>
  <c r="V924" i="2"/>
  <c r="V925" i="2"/>
  <c r="V926" i="2"/>
  <c r="V927" i="2"/>
  <c r="V928" i="2"/>
  <c r="V929" i="2"/>
  <c r="V930" i="2"/>
  <c r="V931" i="2"/>
  <c r="V932" i="2"/>
  <c r="V933" i="2"/>
  <c r="V934" i="2"/>
  <c r="V935" i="2"/>
  <c r="V936" i="2"/>
  <c r="V937" i="2"/>
  <c r="V938" i="2"/>
  <c r="V939" i="2"/>
  <c r="V940" i="2"/>
  <c r="V941" i="2"/>
  <c r="V942" i="2"/>
  <c r="V943" i="2"/>
  <c r="V944" i="2"/>
  <c r="V945" i="2"/>
  <c r="V946" i="2"/>
  <c r="V947" i="2"/>
  <c r="V948" i="2"/>
  <c r="V949" i="2"/>
  <c r="V950" i="2"/>
  <c r="V951" i="2"/>
  <c r="V952" i="2"/>
  <c r="V953" i="2"/>
  <c r="V954" i="2"/>
  <c r="V955" i="2"/>
  <c r="V956" i="2"/>
  <c r="V957" i="2"/>
  <c r="V958" i="2"/>
  <c r="V959" i="2"/>
  <c r="V960" i="2"/>
  <c r="V961" i="2"/>
  <c r="V962" i="2"/>
  <c r="V963" i="2"/>
  <c r="V964" i="2"/>
  <c r="V965" i="2"/>
  <c r="V966" i="2"/>
  <c r="V967" i="2"/>
  <c r="V968" i="2"/>
  <c r="V969" i="2"/>
  <c r="V970" i="2"/>
  <c r="V971" i="2"/>
  <c r="V972" i="2"/>
  <c r="V973" i="2"/>
  <c r="V974" i="2"/>
  <c r="V975" i="2"/>
  <c r="V976" i="2"/>
  <c r="V977" i="2"/>
  <c r="V978" i="2"/>
  <c r="V979" i="2"/>
  <c r="V980" i="2"/>
  <c r="V981" i="2"/>
  <c r="V982" i="2"/>
  <c r="V983" i="2"/>
  <c r="V984" i="2"/>
  <c r="V985" i="2"/>
  <c r="V986" i="2"/>
  <c r="V987" i="2"/>
  <c r="V988" i="2"/>
  <c r="V989" i="2"/>
  <c r="V990" i="2"/>
  <c r="V991" i="2"/>
  <c r="V992" i="2"/>
  <c r="V993" i="2"/>
  <c r="V994" i="2"/>
  <c r="V995" i="2"/>
  <c r="V996" i="2"/>
  <c r="V997" i="2"/>
  <c r="V998" i="2"/>
  <c r="V999" i="2"/>
  <c r="V1000" i="2"/>
  <c r="V1001" i="2"/>
  <c r="V1002" i="2"/>
  <c r="V1003" i="2"/>
  <c r="V1004" i="2"/>
  <c r="V1005" i="2"/>
  <c r="V1006" i="2"/>
  <c r="V1007" i="2"/>
  <c r="V1008" i="2"/>
  <c r="V1009" i="2"/>
  <c r="V1010" i="2"/>
  <c r="V1011" i="2"/>
  <c r="V1012" i="2"/>
  <c r="V1013" i="2"/>
  <c r="V1014" i="2"/>
  <c r="V1015" i="2"/>
  <c r="V1016" i="2"/>
  <c r="V1017" i="2"/>
  <c r="V1018" i="2"/>
  <c r="V1019" i="2"/>
  <c r="V1020" i="2"/>
  <c r="V1021" i="2"/>
  <c r="V1022" i="2"/>
  <c r="V1023" i="2"/>
  <c r="V1024" i="2"/>
  <c r="V1025" i="2"/>
  <c r="V1026" i="2"/>
  <c r="V1027" i="2"/>
  <c r="V1028" i="2"/>
  <c r="V1029" i="2"/>
  <c r="V1030" i="2"/>
  <c r="V1031" i="2"/>
  <c r="V1032" i="2"/>
  <c r="V1033" i="2"/>
  <c r="V1034" i="2"/>
  <c r="V1035" i="2"/>
  <c r="V1036" i="2"/>
  <c r="V1037" i="2"/>
  <c r="V1038" i="2"/>
  <c r="V1039" i="2"/>
  <c r="V1040" i="2"/>
  <c r="V1041" i="2"/>
  <c r="V1042" i="2"/>
  <c r="V1043" i="2"/>
  <c r="V1044" i="2"/>
  <c r="V1045" i="2"/>
  <c r="V1046" i="2"/>
  <c r="V1047" i="2"/>
  <c r="V1048" i="2"/>
  <c r="V1049" i="2"/>
  <c r="V1050" i="2"/>
  <c r="V1051" i="2"/>
  <c r="V1052" i="2"/>
  <c r="V1053" i="2"/>
  <c r="V1054" i="2"/>
  <c r="V1055" i="2"/>
  <c r="V1056" i="2"/>
  <c r="V1057" i="2"/>
  <c r="V1058" i="2"/>
  <c r="V1059" i="2"/>
  <c r="V1060" i="2"/>
  <c r="V1061" i="2"/>
  <c r="V1062" i="2"/>
  <c r="V1063" i="2"/>
  <c r="V1064" i="2"/>
  <c r="V1065" i="2"/>
  <c r="V1066" i="2"/>
  <c r="V1067" i="2"/>
  <c r="V1068" i="2"/>
  <c r="V1069" i="2"/>
  <c r="V1070" i="2"/>
  <c r="V1071" i="2"/>
  <c r="V1072" i="2"/>
  <c r="V1073" i="2"/>
  <c r="V1074" i="2"/>
  <c r="V1075" i="2"/>
  <c r="V1076" i="2"/>
  <c r="V1077" i="2"/>
  <c r="V1078" i="2"/>
  <c r="V1079" i="2"/>
  <c r="V1080" i="2"/>
  <c r="V1081" i="2"/>
  <c r="V1082" i="2"/>
  <c r="V1083" i="2"/>
  <c r="V1084" i="2"/>
  <c r="V1085" i="2"/>
  <c r="V1086" i="2"/>
  <c r="V1087" i="2"/>
  <c r="V1088" i="2"/>
  <c r="V1089" i="2"/>
  <c r="V1090" i="2"/>
  <c r="V1091" i="2"/>
  <c r="V1092" i="2"/>
  <c r="V1093" i="2"/>
  <c r="V1094" i="2"/>
  <c r="V1095" i="2"/>
  <c r="V1096" i="2"/>
  <c r="V1097" i="2"/>
  <c r="V1098" i="2"/>
  <c r="V1099" i="2"/>
  <c r="V1100" i="2"/>
  <c r="V1101" i="2"/>
  <c r="V1102" i="2"/>
  <c r="V1103" i="2"/>
  <c r="V1104" i="2"/>
  <c r="V1105" i="2"/>
  <c r="V1106" i="2"/>
  <c r="V1107" i="2"/>
  <c r="V1108" i="2"/>
  <c r="V1109" i="2"/>
  <c r="V1110" i="2"/>
  <c r="V1111" i="2"/>
  <c r="V1112" i="2"/>
  <c r="V1113" i="2"/>
  <c r="V1114" i="2"/>
  <c r="V1115" i="2"/>
  <c r="V1116" i="2"/>
  <c r="V1117" i="2"/>
  <c r="V1118" i="2"/>
  <c r="V1119" i="2"/>
  <c r="V1120" i="2"/>
  <c r="V1121" i="2"/>
  <c r="V1122" i="2"/>
  <c r="V1123" i="2"/>
  <c r="V1124" i="2"/>
  <c r="V1125" i="2"/>
  <c r="V1126" i="2"/>
  <c r="V1127" i="2"/>
  <c r="V1128" i="2"/>
  <c r="V1129" i="2"/>
  <c r="V1130" i="2"/>
  <c r="V1131" i="2"/>
  <c r="V1132" i="2"/>
  <c r="V1133" i="2"/>
  <c r="V1134" i="2"/>
  <c r="V1135" i="2"/>
  <c r="V1136" i="2"/>
  <c r="V1137" i="2"/>
  <c r="V1138" i="2"/>
  <c r="V1139" i="2"/>
  <c r="V1140" i="2"/>
  <c r="V1141" i="2"/>
  <c r="V1142" i="2"/>
  <c r="V1143" i="2"/>
  <c r="V1144" i="2"/>
  <c r="V1145" i="2"/>
  <c r="V1146" i="2"/>
  <c r="V1147" i="2"/>
  <c r="V1148" i="2"/>
  <c r="V1149" i="2"/>
  <c r="V1150" i="2"/>
  <c r="V1151" i="2"/>
  <c r="V1152" i="2"/>
  <c r="V1153" i="2"/>
  <c r="V1154" i="2"/>
  <c r="V1155" i="2"/>
  <c r="V1156" i="2"/>
  <c r="V1157" i="2"/>
  <c r="V1158" i="2"/>
  <c r="V1159" i="2"/>
  <c r="V1160" i="2"/>
  <c r="V1161" i="2"/>
  <c r="V1162" i="2"/>
  <c r="V1163" i="2"/>
  <c r="V1164" i="2"/>
  <c r="V1165" i="2"/>
  <c r="V1166" i="2"/>
  <c r="V1167" i="2"/>
  <c r="V1168" i="2"/>
  <c r="V1169" i="2"/>
  <c r="V1170" i="2"/>
  <c r="V1171" i="2"/>
  <c r="V1172" i="2"/>
  <c r="V1173" i="2"/>
  <c r="V1174" i="2"/>
  <c r="V1175" i="2"/>
  <c r="V1176" i="2"/>
  <c r="V1177" i="2"/>
  <c r="V1178" i="2"/>
  <c r="V1179" i="2"/>
  <c r="V1180" i="2"/>
  <c r="V1181" i="2"/>
  <c r="V1182" i="2"/>
  <c r="V1183" i="2"/>
  <c r="V1184" i="2"/>
  <c r="V1185" i="2"/>
  <c r="V1186" i="2"/>
  <c r="V1187" i="2"/>
  <c r="V1188" i="2"/>
  <c r="V1189" i="2"/>
  <c r="V1190" i="2"/>
  <c r="V1191" i="2"/>
  <c r="V1192" i="2"/>
  <c r="V1193" i="2"/>
  <c r="V1194" i="2"/>
  <c r="V1195" i="2"/>
  <c r="V1196" i="2"/>
  <c r="V1197" i="2"/>
  <c r="V1198" i="2"/>
  <c r="V1199" i="2"/>
  <c r="V1200" i="2"/>
  <c r="V1201" i="2"/>
  <c r="V1202" i="2"/>
  <c r="V1203" i="2"/>
  <c r="V1204" i="2"/>
  <c r="V1205" i="2"/>
  <c r="V1206" i="2"/>
  <c r="V1207" i="2"/>
  <c r="V1208" i="2"/>
  <c r="V1209" i="2"/>
  <c r="V1210" i="2"/>
  <c r="V1211" i="2"/>
  <c r="V1212" i="2"/>
  <c r="V1213" i="2"/>
  <c r="V1214" i="2"/>
  <c r="V1215" i="2"/>
  <c r="V1216" i="2"/>
  <c r="V1217" i="2"/>
  <c r="V1218" i="2"/>
  <c r="V1219" i="2"/>
  <c r="V1220" i="2"/>
  <c r="V1221" i="2"/>
  <c r="V1222" i="2"/>
  <c r="V1223" i="2"/>
  <c r="V1224" i="2"/>
  <c r="V1225" i="2"/>
  <c r="V1226" i="2"/>
  <c r="V1227" i="2"/>
  <c r="V1228" i="2"/>
  <c r="V1229" i="2"/>
  <c r="V1230" i="2"/>
  <c r="V1231" i="2"/>
  <c r="V1232" i="2"/>
  <c r="V1233" i="2"/>
  <c r="V1234" i="2"/>
  <c r="V1235" i="2"/>
  <c r="V1236" i="2"/>
  <c r="V1237" i="2"/>
  <c r="V1238" i="2"/>
  <c r="V1239" i="2"/>
  <c r="V1240" i="2"/>
  <c r="V1241" i="2"/>
  <c r="V1242" i="2"/>
  <c r="V1243" i="2"/>
  <c r="V1244" i="2"/>
  <c r="V1245" i="2"/>
  <c r="V1246" i="2"/>
  <c r="V1247" i="2"/>
  <c r="V1248" i="2"/>
  <c r="V1249" i="2"/>
  <c r="V1250" i="2"/>
  <c r="V1251" i="2"/>
  <c r="V1252" i="2"/>
  <c r="V1253" i="2"/>
  <c r="V1254" i="2"/>
  <c r="V1255" i="2"/>
  <c r="V1256" i="2"/>
  <c r="V1257" i="2"/>
  <c r="V1258" i="2"/>
  <c r="V1259" i="2"/>
  <c r="V1260" i="2"/>
  <c r="V1261" i="2"/>
  <c r="V1262" i="2"/>
  <c r="V1263" i="2"/>
  <c r="V1264" i="2"/>
  <c r="V1265" i="2"/>
  <c r="V1266" i="2"/>
  <c r="V1267" i="2"/>
  <c r="V1268" i="2"/>
  <c r="V1269" i="2"/>
  <c r="V1270" i="2"/>
  <c r="V1271" i="2"/>
  <c r="V1272" i="2"/>
  <c r="V1273" i="2"/>
  <c r="V1274" i="2"/>
  <c r="V1275" i="2"/>
  <c r="V1276" i="2"/>
  <c r="V1277" i="2"/>
  <c r="V1278" i="2"/>
  <c r="V1279" i="2"/>
  <c r="V1280" i="2"/>
  <c r="V1281" i="2"/>
  <c r="V1282" i="2"/>
  <c r="V1283" i="2"/>
  <c r="V1284" i="2"/>
  <c r="V1285" i="2"/>
  <c r="V1286" i="2"/>
  <c r="V1287" i="2"/>
  <c r="V1288" i="2"/>
  <c r="V1289" i="2"/>
  <c r="V1290" i="2"/>
  <c r="V1291" i="2"/>
  <c r="V1292" i="2"/>
  <c r="V1293" i="2"/>
  <c r="V1294" i="2"/>
  <c r="V1295" i="2"/>
  <c r="V1296" i="2"/>
  <c r="V1297" i="2"/>
  <c r="V1298" i="2"/>
  <c r="V1299" i="2"/>
  <c r="V1300" i="2"/>
  <c r="V1301" i="2"/>
  <c r="V1302" i="2"/>
  <c r="V1303" i="2"/>
  <c r="V1304" i="2"/>
  <c r="V1305" i="2"/>
  <c r="V1306" i="2"/>
  <c r="V1307" i="2"/>
  <c r="V1308" i="2"/>
  <c r="V1309" i="2"/>
  <c r="V1310" i="2"/>
  <c r="V1311" i="2"/>
  <c r="V1312" i="2"/>
  <c r="V1313" i="2"/>
  <c r="V1314" i="2"/>
  <c r="V1315" i="2"/>
  <c r="V1316" i="2"/>
  <c r="V1317" i="2"/>
  <c r="V1318" i="2"/>
  <c r="V1319" i="2"/>
  <c r="V1320" i="2"/>
  <c r="V1321" i="2"/>
  <c r="V1322" i="2"/>
  <c r="V1323" i="2"/>
  <c r="V1324" i="2"/>
  <c r="V1325" i="2"/>
  <c r="V1326" i="2"/>
  <c r="V1327" i="2"/>
  <c r="V1328" i="2"/>
  <c r="V1329" i="2"/>
  <c r="V1330" i="2"/>
  <c r="V1331" i="2"/>
  <c r="V1332" i="2"/>
  <c r="V1333" i="2"/>
  <c r="V1334" i="2"/>
  <c r="V1335" i="2"/>
  <c r="V1336" i="2"/>
  <c r="V1337" i="2"/>
  <c r="V1338" i="2"/>
  <c r="V1339" i="2"/>
  <c r="V1340" i="2"/>
  <c r="V1341" i="2"/>
  <c r="V1342" i="2"/>
  <c r="V1343" i="2"/>
  <c r="V1344" i="2"/>
  <c r="V1345" i="2"/>
  <c r="V1346" i="2"/>
  <c r="V1347" i="2"/>
  <c r="V1348" i="2"/>
  <c r="V1349" i="2"/>
  <c r="V1350" i="2"/>
  <c r="V1351" i="2"/>
  <c r="V1352" i="2"/>
  <c r="V1353" i="2"/>
  <c r="V1354" i="2"/>
  <c r="V1355" i="2"/>
  <c r="V1356" i="2"/>
  <c r="V1357" i="2"/>
  <c r="V1358" i="2"/>
  <c r="V1359" i="2"/>
  <c r="V1360" i="2"/>
  <c r="V1361" i="2"/>
  <c r="V1362" i="2"/>
  <c r="V1363" i="2"/>
  <c r="V1364" i="2"/>
  <c r="V1365" i="2"/>
  <c r="V1366" i="2"/>
  <c r="V1367" i="2"/>
  <c r="V1368" i="2"/>
  <c r="V1369" i="2"/>
  <c r="V1370" i="2"/>
  <c r="V1371" i="2"/>
  <c r="V1372" i="2"/>
  <c r="V1373" i="2"/>
  <c r="V1374" i="2"/>
  <c r="V1375" i="2"/>
  <c r="V1376" i="2"/>
  <c r="V1377" i="2"/>
  <c r="V1378" i="2"/>
  <c r="V1379" i="2"/>
  <c r="V1380" i="2"/>
  <c r="V1381" i="2"/>
  <c r="V1382" i="2"/>
  <c r="V1383" i="2"/>
  <c r="V1384" i="2"/>
  <c r="V1385" i="2"/>
  <c r="V1386" i="2"/>
  <c r="V1387" i="2"/>
  <c r="V1388" i="2"/>
  <c r="V1389" i="2"/>
  <c r="V1390" i="2"/>
  <c r="V1391" i="2"/>
  <c r="V1392" i="2"/>
  <c r="V1393" i="2"/>
  <c r="V1394" i="2"/>
  <c r="V1395" i="2"/>
  <c r="V1396" i="2"/>
  <c r="V1397" i="2"/>
  <c r="V1398" i="2"/>
  <c r="V1399" i="2"/>
  <c r="V1400" i="2"/>
  <c r="V1401" i="2"/>
  <c r="V1402" i="2"/>
  <c r="V1403" i="2"/>
  <c r="V1404" i="2"/>
  <c r="V1405" i="2"/>
  <c r="V1406" i="2"/>
  <c r="V1407" i="2"/>
  <c r="V1408" i="2"/>
  <c r="V1409" i="2"/>
  <c r="V1410" i="2"/>
  <c r="V1411" i="2"/>
  <c r="V1412" i="2"/>
  <c r="V1413" i="2"/>
  <c r="V1414" i="2"/>
  <c r="V1415" i="2"/>
  <c r="V1416" i="2"/>
  <c r="V1417" i="2"/>
  <c r="V1418" i="2"/>
  <c r="V1419" i="2"/>
  <c r="V1420" i="2"/>
  <c r="V1421" i="2"/>
  <c r="V1422" i="2"/>
  <c r="V1423" i="2"/>
  <c r="V1424" i="2"/>
  <c r="V1425" i="2"/>
  <c r="V1426" i="2"/>
  <c r="V1427" i="2"/>
  <c r="V1428" i="2"/>
  <c r="V1429" i="2"/>
  <c r="V1430" i="2"/>
  <c r="V1431" i="2"/>
  <c r="V1432" i="2"/>
  <c r="V1433" i="2"/>
  <c r="V1434" i="2"/>
  <c r="V1435" i="2"/>
  <c r="V1436" i="2"/>
  <c r="V1437" i="2"/>
  <c r="V1438" i="2"/>
  <c r="V1439" i="2"/>
  <c r="V1440" i="2"/>
  <c r="V1441" i="2"/>
  <c r="V1442" i="2"/>
  <c r="V1443" i="2"/>
  <c r="V1444" i="2"/>
  <c r="V1445" i="2"/>
  <c r="V1446" i="2"/>
  <c r="V1447" i="2"/>
  <c r="V1448" i="2"/>
  <c r="V1449" i="2"/>
  <c r="V1450" i="2"/>
  <c r="V1451" i="2"/>
  <c r="V1452" i="2"/>
  <c r="V1453" i="2"/>
  <c r="V1454" i="2"/>
  <c r="V1455" i="2"/>
  <c r="V1456" i="2"/>
  <c r="V1457" i="2"/>
  <c r="V1458" i="2"/>
  <c r="V1459" i="2"/>
  <c r="V1460" i="2"/>
  <c r="V1461" i="2"/>
  <c r="V1462" i="2"/>
  <c r="V1463" i="2"/>
  <c r="V1464" i="2"/>
  <c r="V1465" i="2"/>
  <c r="V1466" i="2"/>
  <c r="V1467" i="2"/>
  <c r="V1468" i="2"/>
  <c r="V1469" i="2"/>
  <c r="V1470" i="2"/>
  <c r="V1471" i="2"/>
  <c r="V1472" i="2"/>
  <c r="V1473" i="2"/>
  <c r="V1474" i="2"/>
  <c r="V1475" i="2"/>
  <c r="V1476" i="2"/>
  <c r="V1477" i="2"/>
  <c r="V1478" i="2"/>
  <c r="V1479" i="2"/>
  <c r="V1480" i="2"/>
  <c r="V1481" i="2"/>
  <c r="V1482" i="2"/>
  <c r="V1483" i="2"/>
  <c r="V1484" i="2"/>
  <c r="V1485" i="2"/>
  <c r="V1486" i="2"/>
  <c r="V1487" i="2"/>
  <c r="V1488" i="2"/>
  <c r="V1489" i="2"/>
  <c r="V1490" i="2"/>
  <c r="V1491" i="2"/>
  <c r="V1492" i="2"/>
  <c r="V1493" i="2"/>
  <c r="V1494" i="2"/>
  <c r="V1495" i="2"/>
  <c r="V1496" i="2"/>
  <c r="V1497" i="2"/>
  <c r="V1498" i="2"/>
  <c r="V1499" i="2"/>
  <c r="V1500" i="2"/>
  <c r="V1501" i="2"/>
  <c r="V1502" i="2"/>
  <c r="V1503" i="2"/>
  <c r="V1504" i="2"/>
  <c r="V1505" i="2"/>
  <c r="V1506" i="2"/>
  <c r="V1507" i="2"/>
  <c r="V1508" i="2"/>
  <c r="V1509" i="2"/>
  <c r="V1510" i="2"/>
  <c r="V1511" i="2"/>
  <c r="V1512" i="2"/>
  <c r="V1513" i="2"/>
  <c r="V1514" i="2"/>
  <c r="V1515" i="2"/>
  <c r="V1516" i="2"/>
  <c r="V1517" i="2"/>
  <c r="V1518" i="2"/>
  <c r="V1519" i="2"/>
  <c r="V1520" i="2"/>
  <c r="V1521" i="2"/>
  <c r="V1522" i="2"/>
  <c r="V1523" i="2"/>
  <c r="V1524" i="2"/>
  <c r="V1525" i="2"/>
  <c r="V1526" i="2"/>
  <c r="V1527" i="2"/>
  <c r="V1528" i="2"/>
  <c r="V1529" i="2"/>
  <c r="V1530" i="2"/>
  <c r="V1531" i="2"/>
  <c r="V1532" i="2"/>
  <c r="V1533" i="2"/>
  <c r="V1534" i="2"/>
  <c r="V1535" i="2"/>
  <c r="V1536" i="2"/>
  <c r="V1537" i="2"/>
  <c r="V1538" i="2"/>
  <c r="V1539" i="2"/>
  <c r="V1540" i="2"/>
  <c r="V1541" i="2"/>
  <c r="V1542" i="2"/>
  <c r="V1543" i="2"/>
  <c r="V1544" i="2"/>
  <c r="V1545" i="2"/>
  <c r="V1546" i="2"/>
  <c r="V1547" i="2"/>
  <c r="V1548" i="2"/>
  <c r="V1549" i="2"/>
  <c r="V1550" i="2"/>
  <c r="V1551" i="2"/>
  <c r="V1552" i="2"/>
  <c r="V1553" i="2"/>
  <c r="V1554" i="2"/>
  <c r="V1555" i="2"/>
  <c r="V1556" i="2"/>
  <c r="V1557" i="2"/>
  <c r="V1558" i="2"/>
  <c r="V1559" i="2"/>
  <c r="V1560" i="2"/>
  <c r="V1561" i="2"/>
  <c r="V1562" i="2"/>
  <c r="V1563" i="2"/>
  <c r="V1564" i="2"/>
  <c r="V1565" i="2"/>
  <c r="V1566" i="2"/>
  <c r="V1567" i="2"/>
  <c r="V1568" i="2"/>
  <c r="V1569" i="2"/>
  <c r="V1570" i="2"/>
  <c r="V1571" i="2"/>
  <c r="V1572" i="2"/>
  <c r="V1573" i="2"/>
  <c r="V1574" i="2"/>
  <c r="V1575" i="2"/>
  <c r="V1576" i="2"/>
  <c r="V1577" i="2"/>
  <c r="V1578" i="2"/>
  <c r="V1579" i="2"/>
  <c r="V1580" i="2"/>
  <c r="V1581" i="2"/>
  <c r="V1582" i="2"/>
  <c r="V1583" i="2"/>
  <c r="V1584" i="2"/>
  <c r="V1585" i="2"/>
  <c r="V1586" i="2"/>
  <c r="V1587" i="2"/>
  <c r="V1588" i="2"/>
  <c r="V1589" i="2"/>
  <c r="V1590" i="2"/>
  <c r="V1591" i="2"/>
  <c r="V1593" i="2"/>
  <c r="V1594" i="2"/>
  <c r="V1595" i="2"/>
  <c r="V1596" i="2"/>
  <c r="V1597" i="2"/>
  <c r="V1598" i="2"/>
  <c r="V1599" i="2"/>
  <c r="V1600" i="2"/>
  <c r="V1601" i="2"/>
  <c r="V1602" i="2"/>
  <c r="V1603" i="2"/>
  <c r="V1604" i="2"/>
  <c r="V1605" i="2"/>
  <c r="V1606" i="2"/>
  <c r="V1607" i="2"/>
  <c r="V1608" i="2"/>
  <c r="V1609" i="2"/>
  <c r="V1610" i="2"/>
  <c r="V1611" i="2"/>
  <c r="V1612" i="2"/>
  <c r="V1613" i="2"/>
  <c r="V1614" i="2"/>
  <c r="V1615" i="2"/>
  <c r="V1616" i="2"/>
  <c r="V1617" i="2"/>
  <c r="V1618" i="2"/>
  <c r="V1619" i="2"/>
  <c r="V1620" i="2"/>
  <c r="V1621" i="2"/>
  <c r="V1622" i="2"/>
  <c r="V1623" i="2"/>
  <c r="V1624" i="2"/>
  <c r="V1625" i="2"/>
  <c r="V1626" i="2"/>
  <c r="V1627" i="2"/>
  <c r="V1628" i="2"/>
  <c r="V1629" i="2"/>
  <c r="V1630" i="2"/>
  <c r="V1631" i="2"/>
  <c r="V1632" i="2"/>
  <c r="V1633" i="2"/>
  <c r="V1634" i="2"/>
  <c r="V1635" i="2"/>
  <c r="V1636" i="2"/>
  <c r="V1637" i="2"/>
  <c r="V1638" i="2"/>
  <c r="V1639" i="2"/>
  <c r="V1640" i="2"/>
  <c r="V1641" i="2"/>
  <c r="V1642" i="2"/>
  <c r="V1643" i="2"/>
  <c r="V1644" i="2"/>
  <c r="V1645" i="2"/>
  <c r="V1646" i="2"/>
  <c r="V1647" i="2"/>
  <c r="V1648" i="2"/>
  <c r="V1649" i="2"/>
  <c r="V1650" i="2"/>
  <c r="V1651" i="2"/>
  <c r="V1652" i="2"/>
  <c r="V1653" i="2"/>
  <c r="V1654" i="2"/>
  <c r="V1655" i="2"/>
  <c r="V1656" i="2"/>
  <c r="V1657" i="2"/>
  <c r="V1658" i="2"/>
  <c r="V1659" i="2"/>
  <c r="V1660" i="2"/>
  <c r="V1661" i="2"/>
  <c r="V1662" i="2"/>
  <c r="V1663" i="2"/>
  <c r="V1664" i="2"/>
  <c r="V1665" i="2"/>
  <c r="V1666" i="2"/>
  <c r="V1667" i="2"/>
  <c r="V1668" i="2"/>
  <c r="V1669" i="2"/>
  <c r="V1670" i="2"/>
  <c r="V1671" i="2"/>
  <c r="V1672" i="2"/>
  <c r="V1673" i="2"/>
  <c r="V1674" i="2"/>
  <c r="V1675" i="2"/>
  <c r="V1676" i="2"/>
  <c r="V1677" i="2"/>
  <c r="V1678" i="2"/>
  <c r="V1679" i="2"/>
  <c r="V1680" i="2"/>
  <c r="V1681" i="2"/>
  <c r="V1682" i="2"/>
  <c r="V1683" i="2"/>
  <c r="V1684" i="2"/>
  <c r="V1685" i="2"/>
  <c r="V1686" i="2"/>
  <c r="V1687" i="2"/>
  <c r="V1688" i="2"/>
  <c r="V1689" i="2"/>
  <c r="V1690" i="2"/>
  <c r="V1691" i="2"/>
  <c r="V1692" i="2"/>
  <c r="V1693" i="2"/>
  <c r="V1694" i="2"/>
  <c r="V1695" i="2"/>
  <c r="V1696" i="2"/>
  <c r="V1697" i="2"/>
  <c r="V1698" i="2"/>
  <c r="V1699" i="2"/>
  <c r="V1700" i="2"/>
  <c r="V1701" i="2"/>
  <c r="V1702" i="2"/>
  <c r="V1703" i="2"/>
  <c r="V1704" i="2"/>
  <c r="V1705" i="2"/>
  <c r="V1706" i="2"/>
  <c r="V1707" i="2"/>
  <c r="V1708" i="2"/>
  <c r="V1709" i="2"/>
  <c r="V1710" i="2"/>
  <c r="V1711" i="2"/>
  <c r="V1712" i="2"/>
  <c r="V1713" i="2"/>
  <c r="V1714" i="2"/>
  <c r="V1715" i="2"/>
  <c r="V1716" i="2"/>
  <c r="V1717" i="2"/>
  <c r="V1718" i="2"/>
  <c r="V1719" i="2"/>
  <c r="V1720" i="2"/>
  <c r="V1721" i="2"/>
  <c r="V1722" i="2"/>
  <c r="V1723" i="2"/>
  <c r="V1724" i="2"/>
  <c r="V1725" i="2"/>
  <c r="V1726" i="2"/>
  <c r="V1727" i="2"/>
  <c r="V1728" i="2"/>
  <c r="V1729" i="2"/>
  <c r="V1730" i="2"/>
  <c r="V1731" i="2"/>
  <c r="V1732" i="2"/>
  <c r="V1733" i="2"/>
  <c r="V1734" i="2"/>
  <c r="V1735" i="2"/>
  <c r="V1736" i="2"/>
  <c r="V1737" i="2"/>
  <c r="V1738" i="2"/>
  <c r="V1739" i="2"/>
  <c r="V1740" i="2"/>
  <c r="V1741" i="2"/>
  <c r="V1742" i="2"/>
  <c r="V1743" i="2"/>
  <c r="V1744" i="2"/>
  <c r="V1745" i="2"/>
  <c r="V1746" i="2"/>
  <c r="V1747" i="2"/>
  <c r="V1748" i="2"/>
  <c r="V1749" i="2"/>
  <c r="V1750" i="2"/>
  <c r="V1751" i="2"/>
  <c r="V1752" i="2"/>
  <c r="V1753" i="2"/>
  <c r="V1754" i="2"/>
  <c r="V1755" i="2"/>
  <c r="V1756" i="2"/>
  <c r="V1757" i="2"/>
  <c r="V1758" i="2"/>
  <c r="V1759" i="2"/>
  <c r="V1760" i="2"/>
  <c r="V1761" i="2"/>
  <c r="V1762" i="2"/>
  <c r="V1763" i="2"/>
  <c r="V1764" i="2"/>
  <c r="V1765" i="2"/>
  <c r="V1766" i="2"/>
  <c r="V1767" i="2"/>
  <c r="V1768" i="2"/>
  <c r="V1769" i="2"/>
  <c r="V1770" i="2"/>
  <c r="V1771" i="2"/>
  <c r="V1772" i="2"/>
  <c r="V1773" i="2"/>
  <c r="V1774" i="2"/>
  <c r="V1775" i="2"/>
  <c r="V1776" i="2"/>
  <c r="V1777" i="2"/>
  <c r="V1778" i="2"/>
  <c r="V1779" i="2"/>
  <c r="V1780" i="2"/>
  <c r="V1781" i="2"/>
  <c r="V1782" i="2"/>
  <c r="V1783" i="2"/>
  <c r="V1784" i="2"/>
  <c r="V1785" i="2"/>
  <c r="V1786" i="2"/>
  <c r="V1787" i="2"/>
  <c r="V1788" i="2"/>
  <c r="V1789" i="2"/>
  <c r="V1790" i="2"/>
  <c r="V1791" i="2"/>
  <c r="V1792" i="2"/>
  <c r="V1793" i="2"/>
  <c r="V1794" i="2"/>
  <c r="V1795" i="2"/>
  <c r="V1796" i="2"/>
  <c r="V1797" i="2"/>
  <c r="V1798" i="2"/>
  <c r="V1799" i="2"/>
  <c r="V1800" i="2"/>
  <c r="V1801" i="2"/>
  <c r="V1802" i="2"/>
  <c r="V1803" i="2"/>
  <c r="V1804" i="2"/>
  <c r="V1805" i="2"/>
  <c r="V1806" i="2"/>
  <c r="V1807" i="2"/>
  <c r="V1808" i="2"/>
  <c r="V1809" i="2"/>
  <c r="V1810" i="2"/>
  <c r="V1811" i="2"/>
  <c r="V1812" i="2"/>
  <c r="V1813" i="2"/>
  <c r="V1814" i="2"/>
  <c r="V1815" i="2"/>
  <c r="V1816" i="2"/>
  <c r="V1817" i="2"/>
  <c r="V1818" i="2"/>
  <c r="V1819" i="2"/>
  <c r="V1820" i="2"/>
  <c r="V1821" i="2"/>
  <c r="V1822" i="2"/>
  <c r="V1823" i="2"/>
  <c r="V1824" i="2"/>
  <c r="V1825" i="2"/>
  <c r="V1826" i="2"/>
  <c r="V1827" i="2"/>
  <c r="V1828" i="2"/>
  <c r="V1829" i="2"/>
  <c r="V1830" i="2"/>
  <c r="V1831" i="2"/>
  <c r="V1832" i="2"/>
  <c r="V1833" i="2"/>
  <c r="V1834" i="2"/>
  <c r="V1835" i="2"/>
  <c r="V1836" i="2"/>
  <c r="V1837" i="2"/>
  <c r="V1838" i="2"/>
  <c r="V1839" i="2"/>
  <c r="V1840" i="2"/>
  <c r="V1841" i="2"/>
  <c r="V1842" i="2"/>
  <c r="V1843" i="2"/>
  <c r="V1844" i="2"/>
  <c r="V1845" i="2"/>
  <c r="V1846" i="2"/>
  <c r="V1847" i="2"/>
  <c r="V1848" i="2"/>
  <c r="V1849" i="2"/>
  <c r="V1850" i="2"/>
  <c r="V1851" i="2"/>
  <c r="V1852" i="2"/>
  <c r="V1853" i="2"/>
  <c r="V1854" i="2"/>
  <c r="V1855" i="2"/>
  <c r="V1856" i="2"/>
  <c r="V1857" i="2"/>
  <c r="V1858" i="2"/>
  <c r="V1859" i="2"/>
  <c r="V1860" i="2"/>
  <c r="V1861" i="2"/>
  <c r="V1862" i="2"/>
  <c r="V1863" i="2"/>
  <c r="V1864" i="2"/>
  <c r="V1865" i="2"/>
  <c r="V1866" i="2"/>
  <c r="V1867" i="2"/>
  <c r="V1868" i="2"/>
  <c r="V1869" i="2"/>
  <c r="V1870" i="2"/>
  <c r="V1871" i="2"/>
  <c r="V1872" i="2"/>
  <c r="V1873" i="2"/>
  <c r="V1874" i="2"/>
  <c r="V1875" i="2"/>
  <c r="V1876" i="2"/>
  <c r="V1877" i="2"/>
  <c r="V1878" i="2"/>
  <c r="V1879" i="2"/>
  <c r="V1880" i="2"/>
  <c r="V1881" i="2"/>
  <c r="V1882" i="2"/>
  <c r="V1883" i="2"/>
  <c r="V1884" i="2"/>
  <c r="V1885" i="2"/>
  <c r="V1886" i="2"/>
  <c r="V1887" i="2"/>
  <c r="V1888" i="2"/>
  <c r="V1889" i="2"/>
  <c r="V1890" i="2"/>
  <c r="V1891" i="2"/>
  <c r="V1892" i="2"/>
  <c r="V1893" i="2"/>
  <c r="V1894" i="2"/>
  <c r="V1895" i="2"/>
  <c r="V1896" i="2"/>
  <c r="V1897" i="2"/>
  <c r="V1898" i="2"/>
  <c r="V1899" i="2"/>
  <c r="V1900" i="2"/>
  <c r="V1901" i="2"/>
  <c r="V1902" i="2"/>
  <c r="V1903" i="2"/>
  <c r="V1904" i="2"/>
  <c r="V1905" i="2"/>
  <c r="V1906" i="2"/>
  <c r="V1907" i="2"/>
  <c r="V1908" i="2"/>
  <c r="V1909" i="2"/>
  <c r="V1910" i="2"/>
  <c r="V1911" i="2"/>
  <c r="V1912" i="2"/>
  <c r="V1913" i="2"/>
  <c r="V1914" i="2"/>
  <c r="V1915" i="2"/>
  <c r="V1916" i="2"/>
  <c r="V1917" i="2"/>
  <c r="V1918" i="2"/>
  <c r="V1919" i="2"/>
  <c r="V1920" i="2"/>
  <c r="V1921" i="2"/>
  <c r="V1922" i="2"/>
  <c r="V1923" i="2"/>
  <c r="V1924" i="2"/>
  <c r="V1925" i="2"/>
  <c r="V1926" i="2"/>
  <c r="V1927" i="2"/>
  <c r="V1928" i="2"/>
  <c r="V1929" i="2"/>
  <c r="V1930" i="2"/>
  <c r="V1931" i="2"/>
  <c r="V1932" i="2"/>
  <c r="V1933" i="2"/>
  <c r="V1934" i="2"/>
  <c r="V1935" i="2"/>
  <c r="V1936" i="2"/>
  <c r="V1937" i="2"/>
  <c r="V1938" i="2"/>
  <c r="V1939" i="2"/>
  <c r="V1940" i="2"/>
  <c r="V1941" i="2"/>
  <c r="V1942" i="2"/>
  <c r="V1943" i="2"/>
  <c r="V1944" i="2"/>
  <c r="V1945" i="2"/>
  <c r="V1946" i="2"/>
  <c r="V1947" i="2"/>
  <c r="V1948" i="2"/>
  <c r="V1949" i="2"/>
  <c r="V1950" i="2"/>
  <c r="V1951" i="2"/>
  <c r="V1952" i="2"/>
  <c r="V1953" i="2"/>
  <c r="V1954" i="2"/>
  <c r="V1955" i="2"/>
  <c r="V1956" i="2"/>
  <c r="V1957" i="2"/>
  <c r="V1958" i="2"/>
  <c r="V1959" i="2"/>
  <c r="V1960" i="2"/>
  <c r="V1961" i="2"/>
  <c r="V1962" i="2"/>
  <c r="V1963" i="2"/>
  <c r="V1964" i="2"/>
  <c r="V1965" i="2"/>
  <c r="V1966" i="2"/>
  <c r="V1967" i="2"/>
  <c r="V1968" i="2"/>
  <c r="V1969" i="2"/>
  <c r="V1970" i="2"/>
  <c r="V1971" i="2"/>
  <c r="V1972" i="2"/>
  <c r="V1973" i="2"/>
  <c r="V1974" i="2"/>
  <c r="V1975" i="2"/>
  <c r="V1976" i="2"/>
  <c r="V1977" i="2"/>
  <c r="V1978" i="2"/>
  <c r="V1979" i="2"/>
  <c r="V1980" i="2"/>
  <c r="V1981" i="2"/>
  <c r="V1982" i="2"/>
  <c r="V1983" i="2"/>
  <c r="V1984" i="2"/>
  <c r="V1985" i="2"/>
  <c r="V1986" i="2"/>
  <c r="V1987" i="2"/>
  <c r="V1988" i="2"/>
  <c r="V1989" i="2"/>
  <c r="V1990" i="2"/>
  <c r="V1991" i="2"/>
  <c r="V1992" i="2"/>
  <c r="V1993" i="2"/>
  <c r="V1994" i="2"/>
  <c r="V1995" i="2"/>
  <c r="V1996" i="2"/>
  <c r="V1997" i="2"/>
  <c r="V1998" i="2"/>
  <c r="V1999" i="2"/>
  <c r="V2000" i="2"/>
  <c r="V2001" i="2"/>
  <c r="V2002" i="2"/>
  <c r="V2003" i="2"/>
  <c r="V2004" i="2"/>
  <c r="V2005" i="2"/>
  <c r="V2006" i="2"/>
  <c r="V2007" i="2"/>
  <c r="V2008" i="2"/>
  <c r="V2009" i="2"/>
  <c r="V2010" i="2"/>
  <c r="V2011" i="2"/>
  <c r="V2012" i="2"/>
  <c r="V2013" i="2"/>
  <c r="V2014" i="2"/>
  <c r="V2015" i="2"/>
  <c r="V2016" i="2"/>
  <c r="V2017" i="2"/>
  <c r="V2018" i="2"/>
  <c r="V2019" i="2"/>
  <c r="V2020" i="2"/>
  <c r="V2021" i="2"/>
  <c r="V2022" i="2"/>
  <c r="V2023" i="2"/>
  <c r="V2024" i="2"/>
  <c r="V2025" i="2"/>
  <c r="V2026" i="2"/>
  <c r="V2027" i="2"/>
  <c r="V2028" i="2"/>
  <c r="V2029" i="2"/>
  <c r="V2030" i="2"/>
  <c r="V2031" i="2"/>
  <c r="V2032" i="2"/>
  <c r="V2033" i="2"/>
  <c r="V2034" i="2"/>
  <c r="V2035" i="2"/>
  <c r="V2036" i="2"/>
  <c r="V2037" i="2"/>
  <c r="V2038" i="2"/>
  <c r="V2039" i="2"/>
  <c r="V2040" i="2"/>
  <c r="V2041" i="2"/>
  <c r="V2042" i="2"/>
  <c r="V2043" i="2"/>
  <c r="V2044" i="2"/>
  <c r="V2045" i="2"/>
  <c r="V2046" i="2"/>
  <c r="V2047" i="2"/>
  <c r="V2048" i="2"/>
  <c r="V2049" i="2"/>
  <c r="V2050" i="2"/>
  <c r="V2051" i="2"/>
  <c r="V2052" i="2"/>
  <c r="V2053" i="2"/>
  <c r="V2054" i="2"/>
  <c r="V2055" i="2"/>
  <c r="V2056" i="2"/>
  <c r="V2057" i="2"/>
  <c r="V2058" i="2"/>
  <c r="V2059" i="2"/>
  <c r="V2060" i="2"/>
  <c r="V2061" i="2"/>
  <c r="V2062" i="2"/>
  <c r="V2063" i="2"/>
  <c r="V2064" i="2"/>
  <c r="V2065" i="2"/>
  <c r="V2066" i="2"/>
  <c r="V2067" i="2"/>
  <c r="V2068" i="2"/>
  <c r="V2069" i="2"/>
  <c r="V2070" i="2"/>
  <c r="V2071" i="2"/>
  <c r="V2072" i="2"/>
  <c r="V2073" i="2"/>
  <c r="V2074" i="2"/>
  <c r="V2075" i="2"/>
  <c r="V2076" i="2"/>
  <c r="V2077" i="2"/>
  <c r="V2078" i="2"/>
  <c r="V2079" i="2"/>
  <c r="V2080" i="2"/>
  <c r="V2081" i="2"/>
  <c r="V2082" i="2"/>
  <c r="V2083" i="2"/>
  <c r="V2084" i="2"/>
  <c r="V2085" i="2"/>
  <c r="V2086" i="2"/>
  <c r="V2087" i="2"/>
  <c r="V2088" i="2"/>
  <c r="V2089" i="2"/>
  <c r="V2090" i="2"/>
  <c r="V2091" i="2"/>
  <c r="V2092" i="2"/>
  <c r="V2093" i="2"/>
  <c r="V2094" i="2"/>
  <c r="V2095" i="2"/>
  <c r="V2096" i="2"/>
  <c r="V2097" i="2"/>
  <c r="V2098" i="2"/>
  <c r="V2099" i="2"/>
  <c r="V2100" i="2"/>
  <c r="V2101" i="2"/>
  <c r="V2102" i="2"/>
  <c r="V2103" i="2"/>
  <c r="V2104" i="2"/>
  <c r="V2105" i="2"/>
  <c r="V2106" i="2"/>
  <c r="V2107" i="2"/>
  <c r="V2108" i="2"/>
  <c r="V2109" i="2"/>
  <c r="V2110" i="2"/>
  <c r="V2111" i="2"/>
  <c r="V2112" i="2"/>
  <c r="V2113" i="2"/>
  <c r="V2114" i="2"/>
  <c r="V2115" i="2"/>
  <c r="V2116" i="2"/>
  <c r="V2117" i="2"/>
  <c r="V2118" i="2"/>
  <c r="V2119" i="2"/>
  <c r="V2120" i="2"/>
  <c r="V2121" i="2"/>
  <c r="V2122" i="2"/>
  <c r="V2123" i="2"/>
  <c r="V2124" i="2"/>
  <c r="V2125" i="2"/>
  <c r="V2126" i="2"/>
  <c r="V2127" i="2"/>
  <c r="V2128" i="2"/>
  <c r="V2129" i="2"/>
  <c r="V2130" i="2"/>
  <c r="V2131" i="2"/>
  <c r="V2132" i="2"/>
  <c r="V2133" i="2"/>
  <c r="V2134" i="2"/>
  <c r="V2135" i="2"/>
  <c r="V2136" i="2"/>
  <c r="V2137" i="2"/>
  <c r="V2138" i="2"/>
  <c r="V2139" i="2"/>
  <c r="V2140" i="2"/>
  <c r="V2141" i="2"/>
  <c r="V2142" i="2"/>
  <c r="V2143" i="2"/>
  <c r="V2144" i="2"/>
  <c r="V2145" i="2"/>
  <c r="V2146" i="2"/>
  <c r="V2147" i="2"/>
  <c r="V2148" i="2"/>
  <c r="V2149" i="2"/>
  <c r="V2150" i="2"/>
  <c r="V2151" i="2"/>
  <c r="V2152" i="2"/>
  <c r="V2153" i="2"/>
  <c r="V2154" i="2"/>
  <c r="V2155" i="2"/>
  <c r="V2156" i="2"/>
  <c r="V2157" i="2"/>
  <c r="V2158" i="2"/>
  <c r="V2159" i="2"/>
  <c r="V2160" i="2"/>
  <c r="V2161" i="2"/>
  <c r="V2162" i="2"/>
  <c r="V2163" i="2"/>
  <c r="V2164" i="2"/>
  <c r="V2165" i="2"/>
  <c r="V2166" i="2"/>
  <c r="V2167" i="2"/>
  <c r="V2168" i="2"/>
  <c r="V2169" i="2"/>
  <c r="V2170" i="2"/>
  <c r="V2171" i="2"/>
  <c r="V2172" i="2"/>
  <c r="V2173" i="2"/>
  <c r="V2174" i="2"/>
  <c r="V2175" i="2"/>
  <c r="V2176" i="2"/>
  <c r="V2177" i="2"/>
  <c r="V2178" i="2"/>
  <c r="V2179" i="2"/>
  <c r="V2180" i="2"/>
  <c r="V2181" i="2"/>
  <c r="V2182" i="2"/>
  <c r="V2183" i="2"/>
  <c r="V2184" i="2"/>
  <c r="V2185" i="2"/>
  <c r="V2186" i="2"/>
  <c r="V2187" i="2"/>
  <c r="V2188" i="2"/>
  <c r="V2189" i="2"/>
  <c r="V2190" i="2"/>
  <c r="V2191" i="2"/>
  <c r="V2192" i="2"/>
  <c r="V2193" i="2"/>
  <c r="V2194" i="2"/>
  <c r="V2195" i="2"/>
  <c r="V2196" i="2"/>
  <c r="V2197" i="2"/>
  <c r="V2198" i="2"/>
  <c r="V2199" i="2"/>
  <c r="V2200" i="2"/>
  <c r="V2201" i="2"/>
  <c r="V2202" i="2"/>
  <c r="V2203" i="2"/>
  <c r="V2204" i="2"/>
  <c r="V2205" i="2"/>
  <c r="V2206" i="2"/>
  <c r="V2207" i="2"/>
  <c r="V2208" i="2"/>
  <c r="V2209" i="2"/>
  <c r="V2210" i="2"/>
  <c r="V2211" i="2"/>
  <c r="V2212" i="2"/>
  <c r="V2213" i="2"/>
  <c r="V2214" i="2"/>
  <c r="V2215" i="2"/>
  <c r="V2216" i="2"/>
  <c r="V2217" i="2"/>
  <c r="V2218" i="2"/>
  <c r="V2219" i="2"/>
  <c r="V2220" i="2"/>
  <c r="V2221" i="2"/>
  <c r="V2222" i="2"/>
  <c r="V2223" i="2"/>
  <c r="V2224" i="2"/>
  <c r="V2225" i="2"/>
  <c r="V2226" i="2"/>
  <c r="V2227" i="2"/>
  <c r="V2228" i="2"/>
  <c r="V2229" i="2"/>
  <c r="V2230" i="2"/>
  <c r="V2231" i="2"/>
  <c r="V2232" i="2"/>
  <c r="V2233" i="2"/>
  <c r="V2234" i="2"/>
  <c r="V2235" i="2"/>
  <c r="V2236" i="2"/>
  <c r="V2237" i="2"/>
  <c r="V2238" i="2"/>
  <c r="V2239" i="2"/>
  <c r="V2240" i="2"/>
  <c r="V2241" i="2"/>
  <c r="V2242" i="2"/>
  <c r="V2243" i="2"/>
  <c r="V2244" i="2"/>
  <c r="V2245" i="2"/>
  <c r="V2246" i="2"/>
  <c r="V2247" i="2"/>
  <c r="V2248" i="2"/>
  <c r="V2249" i="2"/>
  <c r="V2250" i="2"/>
  <c r="V2251" i="2"/>
  <c r="V2252" i="2"/>
  <c r="V2253" i="2"/>
  <c r="V2254" i="2"/>
  <c r="V2255" i="2"/>
  <c r="V2256" i="2"/>
  <c r="V2257" i="2"/>
  <c r="V2258" i="2"/>
  <c r="V2259" i="2"/>
  <c r="V2260" i="2"/>
  <c r="V2261" i="2"/>
  <c r="V2262" i="2"/>
  <c r="V2263" i="2"/>
  <c r="V2264" i="2"/>
  <c r="V2265" i="2"/>
  <c r="V2266" i="2"/>
  <c r="V2267" i="2"/>
  <c r="V2268" i="2"/>
  <c r="V2269" i="2"/>
  <c r="V2270" i="2"/>
  <c r="V2271" i="2"/>
  <c r="V2272" i="2"/>
  <c r="V2273" i="2"/>
  <c r="V2274" i="2"/>
  <c r="V2275" i="2"/>
  <c r="V2276" i="2"/>
  <c r="V2277" i="2"/>
  <c r="V2278" i="2"/>
  <c r="V2279" i="2"/>
  <c r="V2280" i="2"/>
  <c r="V2281" i="2"/>
  <c r="V2282" i="2"/>
  <c r="V2283" i="2"/>
  <c r="V2284" i="2"/>
  <c r="V2285" i="2"/>
  <c r="V2286" i="2"/>
  <c r="V2287" i="2"/>
  <c r="V2288" i="2"/>
  <c r="V2289" i="2"/>
  <c r="V2290" i="2"/>
  <c r="V2291" i="2"/>
  <c r="V2292" i="2"/>
  <c r="V2293" i="2"/>
  <c r="V2294" i="2"/>
  <c r="V2295" i="2"/>
  <c r="V2296" i="2"/>
  <c r="V2297" i="2"/>
  <c r="V2298" i="2"/>
  <c r="V2299" i="2"/>
  <c r="V2300" i="2"/>
  <c r="V2301" i="2"/>
  <c r="V2302" i="2"/>
  <c r="V2303" i="2"/>
  <c r="V2304" i="2"/>
  <c r="V2305" i="2"/>
  <c r="V2306" i="2"/>
  <c r="V2307" i="2"/>
  <c r="V2308" i="2"/>
  <c r="V2309" i="2"/>
  <c r="V2310" i="2"/>
  <c r="V2311" i="2"/>
  <c r="V2312" i="2"/>
  <c r="V2313" i="2"/>
  <c r="V2314" i="2"/>
  <c r="V2315" i="2"/>
  <c r="V2316" i="2"/>
  <c r="V2317" i="2"/>
  <c r="V2318" i="2"/>
  <c r="V2319" i="2"/>
  <c r="V2320" i="2"/>
  <c r="V2321" i="2"/>
  <c r="V2322" i="2"/>
  <c r="V2323" i="2"/>
  <c r="V2324" i="2"/>
  <c r="V2325" i="2"/>
  <c r="V2326" i="2"/>
  <c r="V2327" i="2"/>
  <c r="V2328" i="2"/>
  <c r="V2329" i="2"/>
  <c r="V2330" i="2"/>
  <c r="V2331" i="2"/>
  <c r="V2332" i="2"/>
  <c r="V2333" i="2"/>
  <c r="V2334" i="2"/>
  <c r="V2335" i="2"/>
  <c r="V2336" i="2"/>
  <c r="V2337" i="2"/>
  <c r="V2338" i="2"/>
  <c r="V2339" i="2"/>
  <c r="V2340" i="2"/>
  <c r="V2341" i="2"/>
  <c r="V2342" i="2"/>
  <c r="V2343" i="2"/>
  <c r="V2344" i="2"/>
  <c r="V2345" i="2"/>
  <c r="V2346" i="2"/>
  <c r="V2347" i="2"/>
  <c r="V2348" i="2"/>
  <c r="V2349" i="2"/>
  <c r="V2350" i="2"/>
  <c r="V2351" i="2"/>
  <c r="V2352" i="2"/>
  <c r="V2353" i="2"/>
  <c r="V2354" i="2"/>
  <c r="V2355" i="2"/>
  <c r="V2356" i="2"/>
  <c r="V2357" i="2"/>
  <c r="V2358" i="2"/>
  <c r="V2359" i="2"/>
  <c r="V2360" i="2"/>
  <c r="V2361" i="2"/>
  <c r="V2362" i="2"/>
  <c r="V2363" i="2"/>
  <c r="V2364" i="2"/>
  <c r="V2365" i="2"/>
  <c r="V2366" i="2"/>
  <c r="V2367" i="2"/>
  <c r="V2368" i="2"/>
  <c r="V2369" i="2"/>
  <c r="V2370" i="2"/>
  <c r="V2371" i="2"/>
  <c r="V2372" i="2"/>
  <c r="V2373" i="2"/>
  <c r="V2374" i="2"/>
  <c r="V2375" i="2"/>
  <c r="V2376" i="2"/>
  <c r="V2377" i="2"/>
  <c r="V2378" i="2"/>
  <c r="V2379" i="2"/>
  <c r="V2380" i="2"/>
  <c r="V2381" i="2"/>
  <c r="V2382" i="2"/>
  <c r="V2383" i="2"/>
  <c r="V2384" i="2"/>
  <c r="V2385" i="2"/>
  <c r="V2386" i="2"/>
  <c r="V2387" i="2"/>
  <c r="V2388" i="2"/>
  <c r="V2389" i="2"/>
  <c r="V2390" i="2"/>
  <c r="V2391" i="2"/>
  <c r="V2392" i="2"/>
  <c r="V2393" i="2"/>
  <c r="V2394" i="2"/>
  <c r="V2395" i="2"/>
  <c r="V2396" i="2"/>
  <c r="V2397" i="2"/>
  <c r="V2398" i="2"/>
  <c r="V2399" i="2"/>
  <c r="V2400" i="2"/>
  <c r="V2401" i="2"/>
  <c r="V2402" i="2"/>
  <c r="V2403" i="2"/>
  <c r="V2404" i="2"/>
  <c r="V2405" i="2"/>
  <c r="V2406" i="2"/>
  <c r="V2407" i="2"/>
  <c r="V2408" i="2"/>
  <c r="V2409" i="2"/>
  <c r="V2410" i="2"/>
  <c r="V2411" i="2"/>
  <c r="V2412" i="2"/>
  <c r="V2413" i="2"/>
  <c r="V2414" i="2"/>
  <c r="V2415" i="2"/>
  <c r="V2416" i="2"/>
  <c r="V2418" i="2"/>
  <c r="V2419" i="2"/>
  <c r="V2420" i="2"/>
  <c r="V2421" i="2"/>
  <c r="V2422" i="2"/>
  <c r="V2423" i="2"/>
  <c r="V2424" i="2"/>
  <c r="V2425" i="2"/>
  <c r="V2426" i="2"/>
  <c r="V2427" i="2"/>
  <c r="V2428" i="2"/>
  <c r="V2429" i="2"/>
  <c r="V2430" i="2"/>
  <c r="V2431" i="2"/>
  <c r="V2432" i="2"/>
  <c r="V2433" i="2"/>
  <c r="V2434" i="2"/>
  <c r="V2435" i="2"/>
  <c r="V2436" i="2"/>
  <c r="V2437" i="2"/>
  <c r="V2438" i="2"/>
  <c r="V2439" i="2"/>
  <c r="V2440" i="2"/>
  <c r="V2441" i="2"/>
  <c r="V2442" i="2"/>
  <c r="V2443" i="2"/>
  <c r="V2444" i="2"/>
  <c r="V2445" i="2"/>
  <c r="V2446" i="2"/>
  <c r="V2447" i="2"/>
  <c r="V2448" i="2"/>
  <c r="V2449" i="2"/>
  <c r="V2450" i="2"/>
  <c r="V2451" i="2"/>
  <c r="V2452" i="2"/>
  <c r="V2453" i="2"/>
  <c r="V2454" i="2"/>
  <c r="V2455" i="2"/>
  <c r="V2456" i="2"/>
  <c r="V2457" i="2"/>
  <c r="V2458" i="2"/>
  <c r="V2459" i="2"/>
  <c r="V2460" i="2"/>
  <c r="V2461" i="2"/>
  <c r="V2462" i="2"/>
  <c r="V2463" i="2"/>
  <c r="V2464" i="2"/>
  <c r="V2465" i="2"/>
  <c r="V2466" i="2"/>
  <c r="V2467" i="2"/>
  <c r="V2468" i="2"/>
  <c r="V2469" i="2"/>
  <c r="V2470" i="2"/>
  <c r="V2471" i="2"/>
  <c r="V2472" i="2"/>
  <c r="V2473" i="2"/>
  <c r="V2474" i="2"/>
  <c r="V2475" i="2"/>
  <c r="V2476" i="2"/>
  <c r="V2477" i="2"/>
  <c r="V2478" i="2"/>
  <c r="V2479" i="2"/>
  <c r="V2480" i="2"/>
  <c r="V2481" i="2"/>
  <c r="V2482" i="2"/>
  <c r="V2483" i="2"/>
  <c r="V2484" i="2"/>
  <c r="V2485" i="2"/>
  <c r="V2486" i="2"/>
  <c r="V2487" i="2"/>
  <c r="V2488" i="2"/>
  <c r="V2489" i="2"/>
  <c r="V2490" i="2"/>
  <c r="V2491" i="2"/>
  <c r="V2492" i="2"/>
  <c r="V2493" i="2"/>
  <c r="V2494" i="2"/>
  <c r="V2495" i="2"/>
  <c r="V2496" i="2"/>
  <c r="V2497" i="2"/>
  <c r="V2498" i="2"/>
  <c r="V2499" i="2"/>
  <c r="V2500" i="2"/>
  <c r="V2501" i="2"/>
  <c r="V2502" i="2"/>
  <c r="V2503" i="2"/>
  <c r="V2504" i="2"/>
  <c r="V2505" i="2"/>
  <c r="V2506" i="2"/>
  <c r="V2507" i="2"/>
  <c r="V2508" i="2"/>
  <c r="V2509" i="2"/>
  <c r="V2510" i="2"/>
  <c r="V2511" i="2"/>
  <c r="V2512" i="2"/>
  <c r="V2513" i="2"/>
  <c r="V2514" i="2"/>
  <c r="V2515" i="2"/>
  <c r="V2516" i="2"/>
  <c r="V2517" i="2"/>
  <c r="V2518" i="2"/>
  <c r="V2519" i="2"/>
  <c r="V2520" i="2"/>
  <c r="V2521" i="2"/>
  <c r="V2522" i="2"/>
  <c r="V2523" i="2"/>
  <c r="V2524" i="2"/>
  <c r="V2525" i="2"/>
  <c r="V2526" i="2"/>
  <c r="V2527" i="2"/>
  <c r="V2528" i="2"/>
  <c r="V2529" i="2"/>
  <c r="V2530" i="2"/>
  <c r="V2531" i="2"/>
  <c r="V2532" i="2"/>
  <c r="V2533" i="2"/>
  <c r="V2534" i="2"/>
  <c r="V2535" i="2"/>
  <c r="V2536" i="2"/>
  <c r="V2537" i="2"/>
  <c r="V2538" i="2"/>
  <c r="V2539" i="2"/>
  <c r="V2540" i="2"/>
  <c r="V2541" i="2"/>
  <c r="V2542" i="2"/>
  <c r="V2543" i="2"/>
  <c r="V2544" i="2"/>
  <c r="V2545" i="2"/>
  <c r="V2546" i="2"/>
  <c r="V2547" i="2"/>
  <c r="V2548" i="2"/>
  <c r="V2549" i="2"/>
  <c r="V2550" i="2"/>
  <c r="V2551" i="2"/>
  <c r="V2552" i="2"/>
  <c r="V2553" i="2"/>
  <c r="V2554" i="2"/>
  <c r="V2555" i="2"/>
  <c r="V2556" i="2"/>
  <c r="V2557" i="2"/>
  <c r="V2558" i="2"/>
  <c r="V2559" i="2"/>
  <c r="V2560" i="2"/>
  <c r="V2561" i="2"/>
  <c r="V2562" i="2"/>
  <c r="V2563" i="2"/>
  <c r="V2564" i="2"/>
  <c r="V2565" i="2"/>
  <c r="V2566" i="2"/>
  <c r="V2567" i="2"/>
  <c r="V2568" i="2"/>
  <c r="V2569" i="2"/>
  <c r="V2570" i="2"/>
  <c r="V2571" i="2"/>
  <c r="V2572" i="2"/>
  <c r="V2573" i="2"/>
  <c r="V2574" i="2"/>
  <c r="V2575" i="2"/>
  <c r="V2576" i="2"/>
  <c r="V2577" i="2"/>
  <c r="V2578" i="2"/>
  <c r="V2579" i="2"/>
  <c r="V2580" i="2"/>
  <c r="V2581" i="2"/>
  <c r="V2582" i="2"/>
  <c r="V2583" i="2"/>
  <c r="V2584" i="2"/>
  <c r="V2585" i="2"/>
  <c r="V2586" i="2"/>
  <c r="V2587" i="2"/>
  <c r="V2588" i="2"/>
  <c r="V2589" i="2"/>
  <c r="V2590" i="2"/>
  <c r="V2591" i="2"/>
  <c r="V2592" i="2"/>
  <c r="V2593" i="2"/>
  <c r="V2594" i="2"/>
  <c r="V2595" i="2"/>
  <c r="V2596" i="2"/>
  <c r="V2597" i="2"/>
  <c r="V2598" i="2"/>
  <c r="V2599" i="2"/>
  <c r="V2600" i="2"/>
  <c r="V2601" i="2"/>
  <c r="V2602" i="2"/>
  <c r="V2603" i="2"/>
  <c r="V2604" i="2"/>
  <c r="V2605" i="2"/>
  <c r="V2606" i="2"/>
  <c r="V2607" i="2"/>
  <c r="V2608" i="2"/>
  <c r="V2609" i="2"/>
  <c r="V2610" i="2"/>
  <c r="V2611" i="2"/>
  <c r="V2612" i="2"/>
  <c r="V2613" i="2"/>
  <c r="V2614" i="2"/>
  <c r="V2615" i="2"/>
  <c r="V2616" i="2"/>
  <c r="V2617" i="2"/>
  <c r="V2618" i="2"/>
  <c r="V2619" i="2"/>
  <c r="V2620" i="2"/>
  <c r="V2621" i="2"/>
  <c r="V2622" i="2"/>
  <c r="V2623" i="2"/>
  <c r="V2624" i="2"/>
  <c r="V2625" i="2"/>
  <c r="V2626" i="2"/>
  <c r="V2627" i="2"/>
  <c r="V2628" i="2"/>
  <c r="V2629" i="2"/>
  <c r="V2630" i="2"/>
  <c r="V2631" i="2"/>
  <c r="V2632" i="2"/>
  <c r="V2633" i="2"/>
  <c r="V2634" i="2"/>
  <c r="V2635" i="2"/>
  <c r="V2636" i="2"/>
  <c r="V2637" i="2"/>
  <c r="V2638" i="2"/>
  <c r="V2639" i="2"/>
  <c r="V2640" i="2"/>
  <c r="V2641" i="2"/>
  <c r="V2642" i="2"/>
  <c r="V2643" i="2"/>
  <c r="V2644" i="2"/>
  <c r="V2645" i="2"/>
  <c r="V2646" i="2"/>
  <c r="V2647" i="2"/>
  <c r="V2648" i="2"/>
  <c r="V2649" i="2"/>
  <c r="V2650" i="2"/>
  <c r="V2651" i="2"/>
  <c r="V2652" i="2"/>
  <c r="V2653" i="2"/>
  <c r="V2654" i="2"/>
  <c r="V2655" i="2"/>
  <c r="V2656" i="2"/>
  <c r="V2657" i="2"/>
  <c r="V2658" i="2"/>
  <c r="V2659" i="2"/>
  <c r="V2660" i="2"/>
  <c r="V2661" i="2"/>
  <c r="V2662" i="2"/>
  <c r="V2663" i="2"/>
  <c r="V2664" i="2"/>
  <c r="V2665" i="2"/>
  <c r="V2666" i="2"/>
  <c r="V2667" i="2"/>
  <c r="V2668" i="2"/>
  <c r="V2669" i="2"/>
  <c r="V2670" i="2"/>
  <c r="V2671" i="2"/>
  <c r="V2672" i="2"/>
  <c r="V2673" i="2"/>
  <c r="V2674" i="2"/>
  <c r="V2675" i="2"/>
  <c r="V2676" i="2"/>
  <c r="V2677" i="2"/>
  <c r="V2678" i="2"/>
  <c r="V2679" i="2"/>
  <c r="V2680" i="2"/>
  <c r="V2681" i="2"/>
  <c r="V2682" i="2"/>
  <c r="V2683" i="2"/>
  <c r="V2684" i="2"/>
  <c r="V2685" i="2"/>
  <c r="V2686" i="2"/>
  <c r="V2687" i="2"/>
  <c r="V2688" i="2"/>
  <c r="V2689" i="2"/>
  <c r="V2690" i="2"/>
  <c r="V2691" i="2"/>
  <c r="V2692" i="2"/>
  <c r="V2693" i="2"/>
  <c r="V2694" i="2"/>
  <c r="V2695" i="2"/>
  <c r="V2696" i="2"/>
  <c r="V2697" i="2"/>
  <c r="V2698" i="2"/>
  <c r="V2699" i="2"/>
  <c r="V2700" i="2"/>
  <c r="V2701" i="2"/>
  <c r="V2702" i="2"/>
  <c r="V2703" i="2"/>
  <c r="V2704" i="2"/>
  <c r="V2705" i="2"/>
  <c r="V2706" i="2"/>
  <c r="V2707" i="2"/>
  <c r="V2708" i="2"/>
  <c r="V2709" i="2"/>
  <c r="V2710" i="2"/>
  <c r="V2711" i="2"/>
  <c r="V2712" i="2"/>
  <c r="V2713" i="2"/>
  <c r="V2714" i="2"/>
  <c r="V2715" i="2"/>
  <c r="V2716" i="2"/>
  <c r="V2717" i="2"/>
  <c r="V2718" i="2"/>
  <c r="V2719" i="2"/>
  <c r="V2720" i="2"/>
  <c r="V2721" i="2"/>
  <c r="V2722" i="2"/>
  <c r="V2723" i="2"/>
  <c r="V2724" i="2"/>
  <c r="V2725" i="2"/>
  <c r="V2726" i="2"/>
  <c r="V2727" i="2"/>
  <c r="V2728" i="2"/>
  <c r="V2729" i="2"/>
  <c r="V2730" i="2"/>
  <c r="V2731" i="2"/>
  <c r="V2732" i="2"/>
  <c r="V2733" i="2"/>
  <c r="V2734" i="2"/>
  <c r="V2735" i="2"/>
  <c r="V2736" i="2"/>
  <c r="V2737" i="2"/>
  <c r="V2738" i="2"/>
  <c r="V2739" i="2"/>
  <c r="V2740" i="2"/>
  <c r="V2741" i="2"/>
  <c r="V2742" i="2"/>
  <c r="V2743" i="2"/>
  <c r="V2744" i="2"/>
  <c r="V2745" i="2"/>
  <c r="V2746" i="2"/>
  <c r="V2747" i="2"/>
  <c r="V2748" i="2"/>
  <c r="V2749" i="2"/>
  <c r="V2750" i="2"/>
  <c r="V2751" i="2"/>
  <c r="V2752" i="2"/>
  <c r="V2753" i="2"/>
  <c r="V2754" i="2"/>
  <c r="V2755" i="2"/>
  <c r="V2756" i="2"/>
  <c r="V2757" i="2"/>
  <c r="V2758" i="2"/>
  <c r="V2759" i="2"/>
  <c r="V2760" i="2"/>
  <c r="V2761" i="2"/>
  <c r="V2762" i="2"/>
  <c r="V2763" i="2"/>
  <c r="V2764" i="2"/>
  <c r="V2765" i="2"/>
  <c r="V2766" i="2"/>
  <c r="V2767" i="2"/>
  <c r="V2768" i="2"/>
  <c r="V2769" i="2"/>
  <c r="V2770" i="2"/>
  <c r="V2771" i="2"/>
  <c r="V2772" i="2"/>
  <c r="V2773" i="2"/>
  <c r="V2774" i="2"/>
  <c r="V2775" i="2"/>
  <c r="V2776" i="2"/>
  <c r="V2777" i="2"/>
  <c r="V2778" i="2"/>
  <c r="V2779" i="2"/>
  <c r="V2780" i="2"/>
  <c r="V2781" i="2"/>
  <c r="V2782" i="2"/>
  <c r="V2783" i="2"/>
  <c r="V2784" i="2"/>
  <c r="V2785" i="2"/>
  <c r="V2786" i="2"/>
  <c r="V2787" i="2"/>
  <c r="V2788" i="2"/>
  <c r="V2789" i="2"/>
  <c r="V2790" i="2"/>
  <c r="V2791" i="2"/>
  <c r="V2792" i="2"/>
  <c r="V2793" i="2"/>
  <c r="V2794" i="2"/>
  <c r="V2795" i="2"/>
  <c r="V2796" i="2"/>
  <c r="V2797" i="2"/>
  <c r="V2798" i="2"/>
  <c r="V2799" i="2"/>
  <c r="V2800" i="2"/>
  <c r="V2801" i="2"/>
  <c r="V2802" i="2"/>
  <c r="V2803" i="2"/>
  <c r="V2804" i="2"/>
  <c r="V2805" i="2"/>
  <c r="V2806" i="2"/>
  <c r="V2807" i="2"/>
  <c r="V2808" i="2"/>
  <c r="V2809" i="2"/>
  <c r="V2810" i="2"/>
  <c r="V2811" i="2"/>
  <c r="V2812" i="2"/>
  <c r="V2813" i="2"/>
  <c r="V2814" i="2"/>
  <c r="V2815" i="2"/>
  <c r="V2816" i="2"/>
  <c r="V2817" i="2"/>
  <c r="V2818" i="2"/>
  <c r="V2819" i="2"/>
  <c r="V2820" i="2"/>
  <c r="V2821" i="2"/>
  <c r="V2822" i="2"/>
  <c r="V2823" i="2"/>
  <c r="V2824" i="2"/>
  <c r="V2825" i="2"/>
  <c r="V2826" i="2"/>
  <c r="V2827" i="2"/>
  <c r="V2828" i="2"/>
  <c r="V2829" i="2"/>
  <c r="V2830" i="2"/>
  <c r="V2831" i="2"/>
  <c r="V2832" i="2"/>
  <c r="V2833" i="2"/>
  <c r="V2834" i="2"/>
  <c r="V2835" i="2"/>
  <c r="V2836" i="2"/>
  <c r="V2837" i="2"/>
  <c r="V2838" i="2"/>
  <c r="V2839" i="2"/>
  <c r="V2840" i="2"/>
  <c r="V2841" i="2"/>
  <c r="V2842" i="2"/>
  <c r="V2843" i="2"/>
  <c r="V2844" i="2"/>
  <c r="V2845" i="2"/>
  <c r="V2846" i="2"/>
  <c r="V2847" i="2"/>
  <c r="V2848" i="2"/>
  <c r="V2849" i="2"/>
  <c r="V2850" i="2"/>
  <c r="V2851" i="2"/>
  <c r="V2852" i="2"/>
  <c r="V2853" i="2"/>
  <c r="V2854" i="2"/>
  <c r="V2855" i="2"/>
  <c r="V2856" i="2"/>
  <c r="V2857" i="2"/>
  <c r="V2858" i="2"/>
  <c r="V2859" i="2"/>
  <c r="V2860" i="2"/>
  <c r="V2861" i="2"/>
  <c r="V2862" i="2"/>
  <c r="V2863" i="2"/>
  <c r="V2864" i="2"/>
  <c r="V2865" i="2"/>
  <c r="V2866" i="2"/>
  <c r="V2867" i="2"/>
  <c r="V2868" i="2"/>
  <c r="V2869" i="2"/>
  <c r="V2870" i="2"/>
  <c r="V2871" i="2"/>
  <c r="V2872" i="2"/>
  <c r="V2873" i="2"/>
  <c r="V2874" i="2"/>
  <c r="V2875" i="2"/>
  <c r="V2876" i="2"/>
  <c r="V2877" i="2"/>
  <c r="V2878" i="2"/>
  <c r="V2879" i="2"/>
  <c r="V2880" i="2"/>
  <c r="V2881" i="2"/>
  <c r="V2882" i="2"/>
  <c r="V2883" i="2"/>
  <c r="V2884" i="2"/>
  <c r="V2885" i="2"/>
  <c r="V2886" i="2"/>
  <c r="V2887" i="2"/>
  <c r="V2888" i="2"/>
  <c r="V2889" i="2"/>
  <c r="V2890" i="2"/>
  <c r="V2891" i="2"/>
  <c r="V2892" i="2"/>
  <c r="V2893" i="2"/>
  <c r="V2894" i="2"/>
  <c r="V2895" i="2"/>
  <c r="V2896" i="2"/>
  <c r="V2897" i="2"/>
  <c r="V2898" i="2"/>
  <c r="V2899" i="2"/>
  <c r="V2900" i="2"/>
  <c r="V2901" i="2"/>
  <c r="V2902" i="2"/>
  <c r="V2903" i="2"/>
  <c r="V2904" i="2"/>
  <c r="V2905" i="2"/>
  <c r="V2906" i="2"/>
  <c r="V2907" i="2"/>
  <c r="V2908" i="2"/>
  <c r="V2909" i="2"/>
  <c r="V2910" i="2"/>
  <c r="V2911" i="2"/>
  <c r="V2912" i="2"/>
  <c r="V2913" i="2"/>
  <c r="V2914" i="2"/>
  <c r="V2915" i="2"/>
  <c r="V2916" i="2"/>
  <c r="V2917" i="2"/>
  <c r="V2918" i="2"/>
  <c r="V2919" i="2"/>
  <c r="V2920" i="2"/>
  <c r="V2921" i="2"/>
  <c r="V2922" i="2"/>
  <c r="V2923" i="2"/>
  <c r="V2924" i="2"/>
  <c r="V2925" i="2"/>
  <c r="V2926" i="2"/>
  <c r="V2927" i="2"/>
  <c r="V2928" i="2"/>
  <c r="V2929" i="2"/>
  <c r="V2930" i="2"/>
  <c r="V2931" i="2"/>
  <c r="V2932" i="2"/>
  <c r="V2933" i="2"/>
  <c r="V2934" i="2"/>
  <c r="V2935" i="2"/>
  <c r="V2936" i="2"/>
  <c r="V2937" i="2"/>
  <c r="V2938" i="2"/>
  <c r="V2939" i="2"/>
  <c r="V2940" i="2"/>
  <c r="V2941" i="2"/>
  <c r="V2942" i="2"/>
  <c r="V2943" i="2"/>
  <c r="V2944" i="2"/>
  <c r="V2945" i="2"/>
  <c r="V2946" i="2"/>
  <c r="V2947" i="2"/>
  <c r="V2948" i="2"/>
  <c r="V2949" i="2"/>
  <c r="V2950" i="2"/>
  <c r="V2951" i="2"/>
  <c r="V2952" i="2"/>
  <c r="V2953" i="2"/>
  <c r="V2954" i="2"/>
  <c r="V2955" i="2"/>
  <c r="V2956" i="2"/>
  <c r="V2957" i="2"/>
  <c r="V2958" i="2"/>
  <c r="V2959" i="2"/>
  <c r="V2960" i="2"/>
  <c r="V2961" i="2"/>
  <c r="V2962" i="2"/>
  <c r="V2963" i="2"/>
  <c r="V2964" i="2"/>
  <c r="V2965" i="2"/>
  <c r="V2966" i="2"/>
  <c r="V2967" i="2"/>
  <c r="V2968" i="2"/>
  <c r="V2969" i="2"/>
  <c r="V2970" i="2"/>
  <c r="V2971" i="2"/>
  <c r="V2972" i="2"/>
  <c r="V2973" i="2"/>
  <c r="V2974" i="2"/>
  <c r="V2975" i="2"/>
  <c r="V2976" i="2"/>
  <c r="V2977" i="2"/>
  <c r="V2978" i="2"/>
  <c r="V2979" i="2"/>
  <c r="V2980" i="2"/>
  <c r="V2981" i="2"/>
  <c r="V2982" i="2"/>
  <c r="V2983" i="2"/>
  <c r="V2984" i="2"/>
  <c r="V2985" i="2"/>
  <c r="V2986" i="2"/>
  <c r="V2987" i="2"/>
  <c r="V2988" i="2"/>
  <c r="V2989" i="2"/>
  <c r="V2990" i="2"/>
  <c r="V2991" i="2"/>
  <c r="V2992" i="2"/>
  <c r="V2993" i="2"/>
  <c r="V2994" i="2"/>
  <c r="V2995" i="2"/>
  <c r="V2996" i="2"/>
  <c r="V2997" i="2"/>
  <c r="V2998" i="2"/>
  <c r="V2999" i="2"/>
  <c r="V3000" i="2"/>
  <c r="V3001" i="2"/>
  <c r="V3002" i="2"/>
  <c r="V3003" i="2"/>
  <c r="V3004" i="2"/>
  <c r="V3005" i="2"/>
  <c r="V3006" i="2"/>
  <c r="V3007" i="2"/>
  <c r="V3008" i="2"/>
  <c r="V3009" i="2"/>
  <c r="V3010" i="2"/>
  <c r="V3011" i="2"/>
  <c r="V3012" i="2"/>
  <c r="V3013" i="2"/>
  <c r="V3014" i="2"/>
  <c r="V3015" i="2"/>
  <c r="V3016" i="2"/>
  <c r="V3017" i="2"/>
  <c r="V3018" i="2"/>
  <c r="V3019" i="2"/>
  <c r="V3020" i="2"/>
  <c r="V3021" i="2"/>
  <c r="V3022" i="2"/>
  <c r="V3023" i="2"/>
  <c r="V3024" i="2"/>
  <c r="V3025" i="2"/>
  <c r="V3026" i="2"/>
  <c r="V3027" i="2"/>
  <c r="V3028" i="2"/>
  <c r="V3029" i="2"/>
  <c r="V3030" i="2"/>
  <c r="V3031" i="2"/>
  <c r="V3032" i="2"/>
  <c r="V3033" i="2"/>
  <c r="V3034" i="2"/>
  <c r="V3035" i="2"/>
  <c r="V3036" i="2"/>
  <c r="V3037" i="2"/>
  <c r="V3038" i="2"/>
  <c r="V3039" i="2"/>
  <c r="V3040" i="2"/>
  <c r="V3041" i="2"/>
  <c r="V3042" i="2"/>
  <c r="V3043" i="2"/>
  <c r="V3044" i="2"/>
  <c r="V3045" i="2"/>
  <c r="V3046" i="2"/>
  <c r="V3047" i="2"/>
  <c r="V3048" i="2"/>
  <c r="V3049" i="2"/>
  <c r="V3050" i="2"/>
  <c r="V3051" i="2"/>
  <c r="V3052" i="2"/>
  <c r="V3053" i="2"/>
  <c r="V3054" i="2"/>
  <c r="V3055" i="2"/>
  <c r="V3056" i="2"/>
  <c r="V3057" i="2"/>
  <c r="V3058" i="2"/>
  <c r="V3059" i="2"/>
  <c r="V3060" i="2"/>
  <c r="V3061" i="2"/>
  <c r="V3062" i="2"/>
  <c r="V3063" i="2"/>
  <c r="V3064" i="2"/>
  <c r="V3065" i="2"/>
  <c r="V3066" i="2"/>
  <c r="V3067" i="2"/>
  <c r="V3068" i="2"/>
  <c r="V3069" i="2"/>
  <c r="V3070" i="2"/>
  <c r="V3071" i="2"/>
  <c r="V3072" i="2"/>
  <c r="V3073" i="2"/>
  <c r="V3074" i="2"/>
  <c r="V3075" i="2"/>
  <c r="V3076" i="2"/>
  <c r="V3077" i="2"/>
  <c r="V3078" i="2"/>
  <c r="V3079" i="2"/>
  <c r="V3080" i="2"/>
  <c r="V3081" i="2"/>
  <c r="V3082" i="2"/>
  <c r="V3083" i="2"/>
  <c r="V3084" i="2"/>
  <c r="V3085" i="2"/>
  <c r="V3086" i="2"/>
  <c r="V3087" i="2"/>
  <c r="V3088" i="2"/>
  <c r="V3089" i="2"/>
  <c r="V3090" i="2"/>
  <c r="V3091" i="2"/>
  <c r="V3092" i="2"/>
  <c r="V3093" i="2"/>
  <c r="V3094" i="2"/>
  <c r="V3095" i="2"/>
  <c r="V3096" i="2"/>
  <c r="V3097" i="2"/>
  <c r="V3098" i="2"/>
  <c r="V3099" i="2"/>
  <c r="V3100" i="2"/>
  <c r="V3101" i="2"/>
  <c r="V3102" i="2"/>
  <c r="V3103" i="2"/>
  <c r="V3104" i="2"/>
  <c r="V3105" i="2"/>
  <c r="V3106" i="2"/>
  <c r="V3107" i="2"/>
  <c r="V3108" i="2"/>
  <c r="V3109" i="2"/>
  <c r="V3110" i="2"/>
  <c r="V3111" i="2"/>
  <c r="V3112" i="2"/>
  <c r="V3113" i="2"/>
  <c r="V3114" i="2"/>
  <c r="V3115" i="2"/>
  <c r="V3116" i="2"/>
  <c r="V3117" i="2"/>
  <c r="V3118" i="2"/>
  <c r="V3119" i="2"/>
  <c r="V3120" i="2"/>
  <c r="V3121" i="2"/>
  <c r="V3122" i="2"/>
  <c r="V3123" i="2"/>
  <c r="V3124" i="2"/>
  <c r="V3125" i="2"/>
  <c r="V3126" i="2"/>
  <c r="V3127" i="2"/>
  <c r="V3128" i="2"/>
  <c r="V3129" i="2"/>
  <c r="V3130" i="2"/>
  <c r="V3131" i="2"/>
  <c r="V3132" i="2"/>
  <c r="V3133" i="2"/>
  <c r="V3134" i="2"/>
  <c r="V3135" i="2"/>
  <c r="V3136" i="2"/>
  <c r="V3137" i="2"/>
  <c r="V3138" i="2"/>
  <c r="V3139" i="2"/>
  <c r="V3140" i="2"/>
  <c r="V3141" i="2"/>
  <c r="V3142" i="2"/>
  <c r="V3143" i="2"/>
  <c r="V3144" i="2"/>
  <c r="V3145" i="2"/>
  <c r="V3146" i="2"/>
  <c r="V3147" i="2"/>
  <c r="V3148" i="2"/>
  <c r="V3149" i="2"/>
  <c r="V3150" i="2"/>
  <c r="V3151" i="2"/>
  <c r="V3152" i="2"/>
  <c r="V3153" i="2"/>
  <c r="V3154" i="2"/>
  <c r="V3155" i="2"/>
  <c r="V3156" i="2"/>
  <c r="V3157" i="2"/>
  <c r="V3158" i="2"/>
  <c r="V3159" i="2"/>
  <c r="V3160" i="2"/>
  <c r="V3161" i="2"/>
  <c r="V3162" i="2"/>
  <c r="V3163" i="2"/>
  <c r="V3164" i="2"/>
  <c r="V3165" i="2"/>
  <c r="V3166" i="2"/>
  <c r="V3167" i="2"/>
  <c r="V3168" i="2"/>
  <c r="V3169" i="2"/>
  <c r="V3170" i="2"/>
  <c r="V3171" i="2"/>
  <c r="V3172" i="2"/>
  <c r="V3173" i="2"/>
  <c r="V3174" i="2"/>
  <c r="V3175" i="2"/>
  <c r="V3176" i="2"/>
  <c r="V3177" i="2"/>
  <c r="V3178" i="2"/>
  <c r="V3179" i="2"/>
  <c r="V3180" i="2"/>
  <c r="V3181" i="2"/>
  <c r="V3182" i="2"/>
  <c r="V3183" i="2"/>
  <c r="V3184" i="2"/>
  <c r="V3185" i="2"/>
  <c r="V3186" i="2"/>
  <c r="V3187" i="2"/>
  <c r="V3188" i="2"/>
  <c r="V3189" i="2"/>
  <c r="V3190" i="2"/>
  <c r="V3191" i="2"/>
  <c r="V3192" i="2"/>
  <c r="V3193" i="2"/>
  <c r="V3194" i="2"/>
  <c r="V3195" i="2"/>
  <c r="V3196" i="2"/>
  <c r="V3197" i="2"/>
  <c r="V3198" i="2"/>
  <c r="V3199" i="2"/>
  <c r="V3200" i="2"/>
  <c r="V3201" i="2"/>
  <c r="V3202" i="2"/>
  <c r="V3203" i="2"/>
  <c r="V3204" i="2"/>
  <c r="V3205" i="2"/>
  <c r="V3206" i="2"/>
  <c r="V3207" i="2"/>
  <c r="V3208" i="2"/>
  <c r="V3209" i="2"/>
  <c r="V3210" i="2"/>
  <c r="V3211" i="2"/>
  <c r="V3212" i="2"/>
  <c r="V3213" i="2"/>
  <c r="V3214" i="2"/>
  <c r="V3215" i="2"/>
  <c r="V3216" i="2"/>
  <c r="V3217" i="2"/>
  <c r="V3218" i="2"/>
  <c r="V3219" i="2"/>
  <c r="V3220" i="2"/>
  <c r="V3221" i="2"/>
  <c r="V3222" i="2"/>
  <c r="V3223" i="2"/>
  <c r="V3224" i="2"/>
  <c r="V3225" i="2"/>
  <c r="V3226" i="2"/>
  <c r="V3227" i="2"/>
  <c r="V3" i="2"/>
  <c r="C64" i="7" l="1"/>
  <c r="C65" i="7"/>
  <c r="C66" i="7"/>
  <c r="C67" i="7"/>
  <c r="C68" i="7"/>
  <c r="C69" i="7"/>
  <c r="C70" i="7"/>
  <c r="C71" i="7"/>
  <c r="C72" i="7"/>
  <c r="C73" i="7"/>
  <c r="C74" i="7"/>
  <c r="C75" i="7"/>
  <c r="C76" i="7"/>
  <c r="C77" i="7"/>
  <c r="C78" i="7"/>
  <c r="C79" i="7"/>
  <c r="C80" i="7"/>
  <c r="C81" i="7"/>
  <c r="C82" i="7"/>
  <c r="C83" i="7"/>
  <c r="C84" i="7"/>
  <c r="C85" i="7"/>
  <c r="C86" i="7"/>
  <c r="C87" i="7"/>
  <c r="C88" i="7"/>
  <c r="C89" i="7"/>
  <c r="C90" i="7"/>
  <c r="C91" i="7"/>
  <c r="C92" i="7"/>
  <c r="C93" i="7"/>
  <c r="C94" i="7"/>
  <c r="C95" i="7"/>
  <c r="C96" i="7"/>
  <c r="C97" i="7"/>
  <c r="C98" i="7"/>
  <c r="C99" i="7"/>
  <c r="C100" i="7"/>
  <c r="C101" i="7"/>
  <c r="C102" i="7"/>
  <c r="C103" i="7"/>
  <c r="C104" i="7"/>
  <c r="C105" i="7"/>
  <c r="C106" i="7"/>
  <c r="C107" i="7"/>
  <c r="C108" i="7"/>
  <c r="C109" i="7"/>
  <c r="C110" i="7"/>
  <c r="C111" i="7"/>
  <c r="C112" i="7"/>
  <c r="C113" i="7"/>
  <c r="C114" i="7"/>
  <c r="C115" i="7"/>
  <c r="C116" i="7"/>
  <c r="C117" i="7"/>
  <c r="C118" i="7"/>
  <c r="C119" i="7"/>
  <c r="C121" i="7"/>
  <c r="C122" i="7"/>
  <c r="C123" i="7"/>
  <c r="C124" i="7"/>
  <c r="C125" i="7"/>
  <c r="C126" i="7"/>
  <c r="C127" i="7"/>
  <c r="C128" i="7"/>
  <c r="C129" i="7"/>
  <c r="C130" i="7"/>
  <c r="C131" i="7"/>
  <c r="C132" i="7"/>
  <c r="C133" i="7"/>
  <c r="C134" i="7"/>
  <c r="C135" i="7"/>
  <c r="C136" i="7"/>
  <c r="C137" i="7"/>
  <c r="C138" i="7"/>
  <c r="C139" i="7"/>
  <c r="C140" i="7"/>
  <c r="C141" i="7"/>
  <c r="C142" i="7"/>
  <c r="C143" i="7"/>
  <c r="C144" i="7"/>
  <c r="C145" i="7"/>
  <c r="C146" i="7"/>
  <c r="C147" i="7"/>
  <c r="C148" i="7"/>
  <c r="C149" i="7"/>
  <c r="C150" i="7"/>
  <c r="C151" i="7"/>
  <c r="C152" i="7"/>
  <c r="C153" i="7"/>
  <c r="C154" i="7"/>
  <c r="C155" i="7"/>
  <c r="C156" i="7"/>
  <c r="C157" i="7"/>
  <c r="C158" i="7"/>
  <c r="C159" i="7"/>
  <c r="C160" i="7"/>
  <c r="C161" i="7"/>
  <c r="C162" i="7"/>
  <c r="C163" i="7"/>
  <c r="C164" i="7"/>
  <c r="C165" i="7"/>
  <c r="C166" i="7"/>
  <c r="C167" i="7"/>
  <c r="C168" i="7"/>
  <c r="C169" i="7"/>
  <c r="C170" i="7"/>
  <c r="C171" i="7"/>
  <c r="C172" i="7"/>
  <c r="C173" i="7"/>
  <c r="C174" i="7"/>
  <c r="C175" i="7"/>
  <c r="C176" i="7"/>
  <c r="C177" i="7"/>
  <c r="C178" i="7"/>
  <c r="C179" i="7"/>
  <c r="C180" i="7"/>
  <c r="C181" i="7"/>
  <c r="C182" i="7"/>
  <c r="C183" i="7"/>
  <c r="C184" i="7"/>
  <c r="C185" i="7"/>
  <c r="C186" i="7"/>
  <c r="C187" i="7"/>
  <c r="C188" i="7"/>
  <c r="C189" i="7"/>
  <c r="C190" i="7"/>
  <c r="C191" i="7"/>
  <c r="C192" i="7"/>
  <c r="C193" i="7"/>
  <c r="C194" i="7"/>
  <c r="C195" i="7"/>
  <c r="C196" i="7"/>
  <c r="C197" i="7"/>
  <c r="C198" i="7"/>
  <c r="C199" i="7"/>
  <c r="C200" i="7"/>
  <c r="C201" i="7"/>
  <c r="C202" i="7"/>
  <c r="C203" i="7"/>
  <c r="C204" i="7"/>
  <c r="C205" i="7"/>
  <c r="C206" i="7"/>
  <c r="C207" i="7"/>
  <c r="C208" i="7"/>
  <c r="C209" i="7"/>
  <c r="C210" i="7"/>
  <c r="C211" i="7"/>
  <c r="C212" i="7"/>
  <c r="C213" i="7"/>
  <c r="C214" i="7"/>
  <c r="C215" i="7"/>
  <c r="C216" i="7"/>
  <c r="C217" i="7"/>
  <c r="C218" i="7"/>
  <c r="C219" i="7"/>
  <c r="C220" i="7"/>
  <c r="C221" i="7"/>
  <c r="C222" i="7"/>
  <c r="C223" i="7"/>
  <c r="C224" i="7"/>
  <c r="C225" i="7"/>
  <c r="C226" i="7"/>
  <c r="C63" i="7"/>
  <c r="E15" i="30" a="1"/>
  <c r="G9" i="30" a="1"/>
  <c r="E17" i="30" a="1"/>
  <c r="H28" i="30" a="1"/>
  <c r="E16" i="30" a="1"/>
  <c r="F25" i="30" a="1"/>
  <c r="H16" i="30" a="1"/>
  <c r="E10" i="30" a="1"/>
  <c r="H17" i="30" a="1"/>
  <c r="E20" i="30" a="1"/>
  <c r="F17" i="30" a="1"/>
  <c r="E12" i="30" a="1"/>
  <c r="G21" i="30" a="1"/>
  <c r="F16" i="30" a="1"/>
  <c r="G18" i="30" a="1"/>
  <c r="G16" i="30" a="1"/>
  <c r="G22" i="30" a="1"/>
  <c r="G27" i="30" a="1"/>
  <c r="E21" i="30" a="1"/>
  <c r="G11" i="30" a="1"/>
  <c r="F12" i="30" a="1"/>
  <c r="G17" i="30" a="1"/>
  <c r="H18" i="30" a="1"/>
  <c r="F28" i="30" a="1"/>
  <c r="H14" i="30" a="1"/>
  <c r="E24" i="30" a="1"/>
  <c r="G26" i="30" a="1"/>
  <c r="F23" i="30" a="1"/>
  <c r="F19" i="30" a="1"/>
  <c r="G10" i="30" a="1"/>
  <c r="F9" i="30" a="1"/>
  <c r="F15" i="30" a="1"/>
  <c r="E28" i="30" a="1"/>
  <c r="F27" i="30" a="1"/>
  <c r="H23" i="30" a="1"/>
  <c r="E22" i="30" a="1"/>
  <c r="E19" i="30" a="1"/>
  <c r="G12" i="30" a="1"/>
  <c r="H19" i="30" a="1"/>
  <c r="H27" i="30" a="1"/>
  <c r="H10" i="30" a="1"/>
  <c r="G24" i="30" a="1"/>
  <c r="H21" i="30" a="1"/>
  <c r="F26" i="30" a="1"/>
  <c r="G15" i="30" a="1"/>
  <c r="F10" i="30" a="1"/>
  <c r="G20" i="30" a="1"/>
  <c r="F13" i="30" a="1"/>
  <c r="E9" i="30" a="1"/>
  <c r="G25" i="30" a="1"/>
  <c r="H15" i="30" a="1"/>
  <c r="E13" i="30" a="1"/>
  <c r="F18" i="30" a="1"/>
  <c r="H20" i="30" a="1"/>
  <c r="G23" i="30" a="1"/>
  <c r="F14" i="30" a="1"/>
  <c r="H9" i="30" a="1"/>
  <c r="G8" i="30" a="1"/>
  <c r="G19" i="30" a="1"/>
  <c r="E25" i="30" a="1"/>
  <c r="E14" i="30" a="1"/>
  <c r="E8" i="30" a="1"/>
  <c r="H24" i="30" a="1"/>
  <c r="H11" i="30" a="1"/>
  <c r="H22" i="30" a="1"/>
  <c r="F20" i="30" a="1"/>
  <c r="E27" i="30" a="1"/>
  <c r="E23" i="30" a="1"/>
  <c r="H25" i="30" a="1"/>
  <c r="H12" i="30" a="1"/>
  <c r="G28" i="30" a="1"/>
  <c r="F24" i="30" a="1"/>
  <c r="E26" i="30" a="1"/>
  <c r="F8" i="30" a="1"/>
  <c r="G13" i="30" a="1"/>
  <c r="F22" i="30" a="1"/>
  <c r="H26" i="30" a="1"/>
  <c r="F21" i="30" a="1"/>
  <c r="E18" i="30" a="1"/>
  <c r="E11" i="30" a="1"/>
  <c r="G14" i="30" a="1"/>
  <c r="F11" i="30" a="1"/>
  <c r="H13" i="30" a="1"/>
  <c r="H8" i="30" a="1"/>
  <c r="G9" i="30" l="1"/>
  <c r="H15" i="30"/>
  <c r="H14" i="30"/>
  <c r="G8" i="30"/>
  <c r="E21" i="30"/>
  <c r="G22" i="30"/>
  <c r="E9" i="30"/>
  <c r="F8" i="30"/>
  <c r="F26" i="30"/>
  <c r="H18" i="30"/>
  <c r="E14" i="30"/>
  <c r="H21" i="30"/>
  <c r="F17" i="30"/>
  <c r="E12" i="30"/>
  <c r="E19" i="30"/>
  <c r="E26" i="30"/>
  <c r="F22" i="30"/>
  <c r="F20" i="30"/>
  <c r="H8" i="30"/>
  <c r="G27" i="30"/>
  <c r="E11" i="30"/>
  <c r="H12" i="30"/>
  <c r="F13" i="30"/>
  <c r="H10" i="30"/>
  <c r="H27" i="30"/>
  <c r="F23" i="30"/>
  <c r="E8" i="30"/>
  <c r="F14" i="30"/>
  <c r="F15" i="30"/>
  <c r="F25" i="30"/>
  <c r="E18" i="30"/>
  <c r="E24" i="30"/>
  <c r="H25" i="30"/>
  <c r="E28" i="30"/>
  <c r="H17" i="30"/>
  <c r="H23" i="30"/>
  <c r="H11" i="30"/>
  <c r="G28" i="30"/>
  <c r="E23" i="30"/>
  <c r="G24" i="30"/>
  <c r="G20" i="30"/>
  <c r="G19" i="30"/>
  <c r="F18" i="30"/>
  <c r="H19" i="30"/>
  <c r="H16" i="30"/>
  <c r="G23" i="30"/>
  <c r="G16" i="30"/>
  <c r="E25" i="30"/>
  <c r="G13" i="30"/>
  <c r="E27" i="30"/>
  <c r="G12" i="30"/>
  <c r="F21" i="30"/>
  <c r="H9" i="30"/>
  <c r="F28" i="30"/>
  <c r="E10" i="30"/>
  <c r="F24" i="30"/>
  <c r="E15" i="30"/>
  <c r="H28" i="30"/>
  <c r="G11" i="30"/>
  <c r="G17" i="30"/>
  <c r="H24" i="30"/>
  <c r="F9" i="30"/>
  <c r="E17" i="30"/>
  <c r="F11" i="30"/>
  <c r="G10" i="30"/>
  <c r="G26" i="30"/>
  <c r="H13" i="30"/>
  <c r="G18" i="30"/>
  <c r="F10" i="30"/>
  <c r="H26" i="30"/>
  <c r="G15" i="30"/>
  <c r="H20" i="30"/>
  <c r="G14" i="30"/>
  <c r="F19" i="30"/>
  <c r="H22" i="30"/>
  <c r="E13" i="30"/>
  <c r="F27" i="30"/>
  <c r="E16" i="30"/>
  <c r="E20" i="30"/>
  <c r="G21" i="30"/>
  <c r="F12" i="30"/>
  <c r="E22" i="30"/>
  <c r="F16" i="30"/>
  <c r="G25" i="30"/>
  <c r="K2265" i="29"/>
  <c r="G2235" i="29"/>
  <c r="F1566" i="29"/>
  <c r="M2541" i="29"/>
  <c r="F1896" i="29"/>
  <c r="L1587" i="29"/>
  <c r="L1865" i="29"/>
  <c r="G2109" i="29"/>
  <c r="L1668" i="29"/>
  <c r="G2304" i="29"/>
  <c r="L1735" i="29"/>
  <c r="J2391" i="29"/>
  <c r="M2526" i="29"/>
  <c r="J2368" i="29"/>
  <c r="F2385" i="29"/>
  <c r="H2379" i="29"/>
  <c r="M2587" i="29"/>
  <c r="K2543" i="29"/>
  <c r="K2447" i="29"/>
  <c r="L2547" i="29"/>
  <c r="I1678" i="29"/>
  <c r="J2428" i="29"/>
  <c r="L2356" i="29"/>
  <c r="G2276" i="29"/>
  <c r="F2172" i="29"/>
  <c r="F2060" i="29"/>
  <c r="F1948" i="29"/>
  <c r="K1748" i="29"/>
  <c r="J2508" i="29"/>
  <c r="J1872" i="29"/>
  <c r="J2371" i="29"/>
  <c r="H2307" i="29"/>
  <c r="K2549" i="29"/>
  <c r="L2446" i="29"/>
  <c r="H2310" i="29"/>
  <c r="F2349" i="29"/>
  <c r="G2053" i="29"/>
  <c r="J2542" i="29"/>
  <c r="J2439" i="29"/>
  <c r="L2541" i="29"/>
  <c r="K2443" i="29"/>
  <c r="L2568" i="29"/>
  <c r="K2470" i="29"/>
  <c r="H2326" i="29"/>
  <c r="F2365" i="29"/>
  <c r="G1957" i="29"/>
  <c r="H2376" i="29"/>
  <c r="M2423" i="29"/>
  <c r="H2343" i="29"/>
  <c r="H2175" i="29"/>
  <c r="H2031" i="29"/>
  <c r="H1847" i="29"/>
  <c r="J2558" i="29"/>
  <c r="J2460" i="29"/>
  <c r="H2562" i="29"/>
  <c r="H2474" i="29"/>
  <c r="K2378" i="29"/>
  <c r="K2290" i="29"/>
  <c r="M2194" i="29"/>
  <c r="L2098" i="29"/>
  <c r="H2034" i="29"/>
  <c r="L1946" i="29"/>
  <c r="F1914" i="29"/>
  <c r="J1882" i="29"/>
  <c r="G1858" i="29"/>
  <c r="H1810" i="29"/>
  <c r="J1786" i="29"/>
  <c r="H1754" i="29"/>
  <c r="K1730" i="29"/>
  <c r="L1698" i="29"/>
  <c r="I1674" i="29"/>
  <c r="G1642" i="29"/>
  <c r="M1618" i="29"/>
  <c r="I1586" i="29"/>
  <c r="M1562" i="29"/>
  <c r="M1530" i="29"/>
  <c r="K1506" i="29"/>
  <c r="M1474" i="29"/>
  <c r="K1450" i="29"/>
  <c r="F1418" i="29"/>
  <c r="L1394" i="29"/>
  <c r="F1362" i="29"/>
  <c r="M1338" i="29"/>
  <c r="I1306" i="29"/>
  <c r="L1282" i="29"/>
  <c r="M2572" i="29"/>
  <c r="G2179" i="29"/>
  <c r="M2573" i="29"/>
  <c r="M2513" i="29"/>
  <c r="K1756" i="29"/>
  <c r="K1307" i="29"/>
  <c r="L1753" i="29"/>
  <c r="H2025" i="29"/>
  <c r="L1472" i="29"/>
  <c r="F2248" i="29"/>
  <c r="M2574" i="29"/>
  <c r="G2139" i="29"/>
  <c r="L2498" i="29"/>
  <c r="F2200" i="29"/>
  <c r="F2329" i="29"/>
  <c r="G2211" i="29"/>
  <c r="M2475" i="29"/>
  <c r="L2528" i="29"/>
  <c r="H2304" i="29"/>
  <c r="L2529" i="29"/>
  <c r="L2585" i="29"/>
  <c r="K2428" i="29"/>
  <c r="F2348" i="29"/>
  <c r="H2276" i="29"/>
  <c r="H2172" i="29"/>
  <c r="H2060" i="29"/>
  <c r="H1948" i="29"/>
  <c r="L1748" i="29"/>
  <c r="K2503" i="29"/>
  <c r="J1699" i="29"/>
  <c r="K2371" i="29"/>
  <c r="J2307" i="29"/>
  <c r="K2542" i="29"/>
  <c r="J2444" i="29"/>
  <c r="F2310" i="29"/>
  <c r="H2341" i="29"/>
  <c r="F1997" i="29"/>
  <c r="K2539" i="29"/>
  <c r="K2436" i="29"/>
  <c r="J2539" i="29"/>
  <c r="L2438" i="29"/>
  <c r="L2565" i="29"/>
  <c r="L2467" i="29"/>
  <c r="F2302" i="29"/>
  <c r="H2317" i="29"/>
  <c r="F1941" i="29"/>
  <c r="L2376" i="29"/>
  <c r="J2423" i="29"/>
  <c r="J2343" i="29"/>
  <c r="G2167" i="29"/>
  <c r="G2015" i="29"/>
  <c r="J1847" i="29"/>
  <c r="K2555" i="29"/>
  <c r="K2455" i="29"/>
  <c r="I2562" i="29"/>
  <c r="J2474" i="29"/>
  <c r="L2378" i="29"/>
  <c r="F2290" i="29"/>
  <c r="G2194" i="29"/>
  <c r="M2098" i="29"/>
  <c r="I2010" i="29"/>
  <c r="M1946" i="29"/>
  <c r="I1906" i="29"/>
  <c r="K1882" i="29"/>
  <c r="M1850" i="29"/>
  <c r="I1810" i="29"/>
  <c r="M1778" i="29"/>
  <c r="I1754" i="29"/>
  <c r="M1722" i="29"/>
  <c r="M1698" i="29"/>
  <c r="K1666" i="29"/>
  <c r="H1642" i="29"/>
  <c r="K1610" i="29"/>
  <c r="J1586" i="29"/>
  <c r="G1554" i="29"/>
  <c r="I1530" i="29"/>
  <c r="G1498" i="29"/>
  <c r="I1474" i="29"/>
  <c r="G1442" i="29"/>
  <c r="I1418" i="29"/>
  <c r="G1386" i="29"/>
  <c r="I1362" i="29"/>
  <c r="F1330" i="29"/>
  <c r="J1306" i="29"/>
  <c r="H1274" i="29"/>
  <c r="M2544" i="29"/>
  <c r="H2151" i="29"/>
  <c r="M2545" i="29"/>
  <c r="M2485" i="29"/>
  <c r="M1644" i="29"/>
  <c r="M2566" i="29"/>
  <c r="J1725" i="29"/>
  <c r="F1969" i="29"/>
  <c r="M2563" i="29"/>
  <c r="F2192" i="29"/>
  <c r="L2434" i="29"/>
  <c r="G2027" i="29"/>
  <c r="M2470" i="29"/>
  <c r="M1556" i="29"/>
  <c r="F2301" i="29"/>
  <c r="H1959" i="29"/>
  <c r="G2251" i="29"/>
  <c r="L2503" i="29"/>
  <c r="J2575" i="29"/>
  <c r="K2504" i="29"/>
  <c r="J2582" i="29"/>
  <c r="L2428" i="29"/>
  <c r="K2348" i="29"/>
  <c r="F2268" i="29"/>
  <c r="F2164" i="29"/>
  <c r="F2052" i="29"/>
  <c r="F1940" i="29"/>
  <c r="I1636" i="29"/>
  <c r="L2500" i="29"/>
  <c r="M2427" i="29"/>
  <c r="F2363" i="29"/>
  <c r="K2307" i="29"/>
  <c r="L2539" i="29"/>
  <c r="K2439" i="29"/>
  <c r="F2286" i="29"/>
  <c r="F2341" i="29"/>
  <c r="G1997" i="29"/>
  <c r="L2534" i="29"/>
  <c r="L2396" i="29"/>
  <c r="K2534" i="29"/>
  <c r="J2436" i="29"/>
  <c r="J2563" i="29"/>
  <c r="J2463" i="29"/>
  <c r="G2302" i="29"/>
  <c r="F2317" i="29"/>
  <c r="G1941" i="29"/>
  <c r="G2360" i="29"/>
  <c r="K2423" i="29"/>
  <c r="K2343" i="29"/>
  <c r="H2167" i="29"/>
  <c r="H2015" i="29"/>
  <c r="J1807" i="29"/>
  <c r="L2550" i="29"/>
  <c r="L2452" i="29"/>
  <c r="J2562" i="29"/>
  <c r="I2474" i="29"/>
  <c r="F2378" i="29"/>
  <c r="G2290" i="29"/>
  <c r="F2194" i="29"/>
  <c r="H2098" i="29"/>
  <c r="J2010" i="29"/>
  <c r="F1946" i="29"/>
  <c r="J1906" i="29"/>
  <c r="L1882" i="29"/>
  <c r="I1850" i="29"/>
  <c r="L1810" i="29"/>
  <c r="F1778" i="29"/>
  <c r="L1754" i="29"/>
  <c r="F1722" i="29"/>
  <c r="G1698" i="29"/>
  <c r="F1666" i="29"/>
  <c r="I1642" i="29"/>
  <c r="L1610" i="29"/>
  <c r="L1586" i="29"/>
  <c r="F1554" i="29"/>
  <c r="K1530" i="29"/>
  <c r="H1498" i="29"/>
  <c r="F1474" i="29"/>
  <c r="H1442" i="29"/>
  <c r="K1418" i="29"/>
  <c r="H1386" i="29"/>
  <c r="K1362" i="29"/>
  <c r="M2516" i="29"/>
  <c r="G2123" i="29"/>
  <c r="M2517" i="29"/>
  <c r="M2457" i="29"/>
  <c r="F1588" i="29"/>
  <c r="L2538" i="29"/>
  <c r="H1641" i="29"/>
  <c r="F1913" i="29"/>
  <c r="M2479" i="29"/>
  <c r="F2136" i="29"/>
  <c r="G1846" i="29"/>
  <c r="H1859" i="29"/>
  <c r="H2386" i="29"/>
  <c r="M2507" i="29"/>
  <c r="G2273" i="29"/>
  <c r="M1539" i="29"/>
  <c r="H2055" i="29"/>
  <c r="J2477" i="29"/>
  <c r="K2560" i="29"/>
  <c r="K2479" i="29"/>
  <c r="K2579" i="29"/>
  <c r="M2420" i="29"/>
  <c r="L2348" i="29"/>
  <c r="G2268" i="29"/>
  <c r="H2164" i="29"/>
  <c r="H2052" i="29"/>
  <c r="H1940" i="29"/>
  <c r="M1636" i="29"/>
  <c r="K2496" i="29"/>
  <c r="J2427" i="29"/>
  <c r="H2363" i="29"/>
  <c r="I1891" i="29"/>
  <c r="J2535" i="29"/>
  <c r="L2436" i="29"/>
  <c r="G2286" i="29"/>
  <c r="K2325" i="29"/>
  <c r="F1989" i="29"/>
  <c r="J2532" i="29"/>
  <c r="K2324" i="29"/>
  <c r="L2531" i="29"/>
  <c r="L2425" i="29"/>
  <c r="K2558" i="29"/>
  <c r="K2460" i="29"/>
  <c r="H2302" i="29"/>
  <c r="J2309" i="29"/>
  <c r="F1901" i="29"/>
  <c r="L2360" i="29"/>
  <c r="L2423" i="29"/>
  <c r="H2335" i="29"/>
  <c r="G2159" i="29"/>
  <c r="G2007" i="29"/>
  <c r="K1807" i="29"/>
  <c r="J2548" i="29"/>
  <c r="K2448" i="29"/>
  <c r="M2538" i="29"/>
  <c r="M2450" i="29"/>
  <c r="I2354" i="29"/>
  <c r="I2266" i="29"/>
  <c r="I2170" i="29"/>
  <c r="G2098" i="29"/>
  <c r="K2010" i="29"/>
  <c r="G1946" i="29"/>
  <c r="K1906" i="29"/>
  <c r="G1882" i="29"/>
  <c r="H1850" i="29"/>
  <c r="J1810" i="29"/>
  <c r="G1778" i="29"/>
  <c r="J1754" i="29"/>
  <c r="G1722" i="29"/>
  <c r="H1698" i="29"/>
  <c r="J1666" i="29"/>
  <c r="J1642" i="29"/>
  <c r="F1610" i="29"/>
  <c r="K1586" i="29"/>
  <c r="H1554" i="29"/>
  <c r="J1530" i="29"/>
  <c r="L1498" i="29"/>
  <c r="J1474" i="29"/>
  <c r="L1442" i="29"/>
  <c r="M1418" i="29"/>
  <c r="J1386" i="29"/>
  <c r="M1362" i="29"/>
  <c r="H1330" i="29"/>
  <c r="M2488" i="29"/>
  <c r="G2067" i="29"/>
  <c r="M2489" i="29"/>
  <c r="K2429" i="29"/>
  <c r="I1420" i="29"/>
  <c r="M2510" i="29"/>
  <c r="H1557" i="29"/>
  <c r="L1857" i="29"/>
  <c r="G2115" i="29"/>
  <c r="F2080" i="29"/>
  <c r="M2508" i="29"/>
  <c r="M2583" i="29"/>
  <c r="H2218" i="29"/>
  <c r="F2283" i="29"/>
  <c r="G2077" i="29"/>
  <c r="L2546" i="29"/>
  <c r="G1915" i="29"/>
  <c r="K2452" i="29"/>
  <c r="K2536" i="29"/>
  <c r="J2455" i="29"/>
  <c r="L2574" i="29"/>
  <c r="J2420" i="29"/>
  <c r="F2340" i="29"/>
  <c r="H2268" i="29"/>
  <c r="F2156" i="29"/>
  <c r="F2044" i="29"/>
  <c r="F1932" i="29"/>
  <c r="I1628" i="29"/>
  <c r="K2493" i="29"/>
  <c r="K2427" i="29"/>
  <c r="J2363" i="29"/>
  <c r="K1891" i="29"/>
  <c r="K2532" i="29"/>
  <c r="K2432" i="29"/>
  <c r="H2286" i="29"/>
  <c r="F2325" i="29"/>
  <c r="G1989" i="29"/>
  <c r="K2527" i="29"/>
  <c r="F2109" i="29"/>
  <c r="J2527" i="29"/>
  <c r="K2355" i="29"/>
  <c r="L2555" i="29"/>
  <c r="L2455" i="29"/>
  <c r="F2278" i="29"/>
  <c r="F2309" i="29"/>
  <c r="G1901" i="29"/>
  <c r="F2344" i="29"/>
  <c r="H2415" i="29"/>
  <c r="J2335" i="29"/>
  <c r="H2159" i="29"/>
  <c r="H2007" i="29"/>
  <c r="K1799" i="29"/>
  <c r="L2543" i="29"/>
  <c r="K2445" i="29"/>
  <c r="F2538" i="29"/>
  <c r="F2450" i="29"/>
  <c r="M2354" i="29"/>
  <c r="J2266" i="29"/>
  <c r="J2170" i="29"/>
  <c r="F2098" i="29"/>
  <c r="L2010" i="29"/>
  <c r="H1946" i="29"/>
  <c r="L1906" i="29"/>
  <c r="F1882" i="29"/>
  <c r="J1850" i="29"/>
  <c r="K1810" i="29"/>
  <c r="H1778" i="29"/>
  <c r="K1754" i="29"/>
  <c r="H1722" i="29"/>
  <c r="I1698" i="29"/>
  <c r="L1666" i="29"/>
  <c r="M1642" i="29"/>
  <c r="G1610" i="29"/>
  <c r="M1586" i="29"/>
  <c r="I1554" i="29"/>
  <c r="F1530" i="29"/>
  <c r="M1498" i="29"/>
  <c r="K1474" i="29"/>
  <c r="M1442" i="29"/>
  <c r="L1418" i="29"/>
  <c r="F1386" i="29"/>
  <c r="L1362" i="29"/>
  <c r="I1330" i="29"/>
  <c r="M2460" i="29"/>
  <c r="G2011" i="29"/>
  <c r="M2461" i="29"/>
  <c r="F2401" i="29"/>
  <c r="M1364" i="29"/>
  <c r="L2482" i="29"/>
  <c r="M2531" i="29"/>
  <c r="G1661" i="29"/>
  <c r="G2059" i="29"/>
  <c r="F2024" i="29"/>
  <c r="F2256" i="29"/>
  <c r="M2555" i="29"/>
  <c r="H2162" i="29"/>
  <c r="G2003" i="29"/>
  <c r="F2049" i="29"/>
  <c r="H2378" i="29"/>
  <c r="L1719" i="29"/>
  <c r="L2437" i="29"/>
  <c r="J2511" i="29"/>
  <c r="K2440" i="29"/>
  <c r="K2557" i="29"/>
  <c r="K2420" i="29"/>
  <c r="K2340" i="29"/>
  <c r="F2260" i="29"/>
  <c r="H2156" i="29"/>
  <c r="H2044" i="29"/>
  <c r="H1932" i="29"/>
  <c r="J1628" i="29"/>
  <c r="L2489" i="29"/>
  <c r="L2427" i="29"/>
  <c r="K2363" i="29"/>
  <c r="G1875" i="29"/>
  <c r="L2527" i="29"/>
  <c r="L2400" i="29"/>
  <c r="F2262" i="29"/>
  <c r="F2221" i="29"/>
  <c r="F1973" i="29"/>
  <c r="L2524" i="29"/>
  <c r="G2023" i="29"/>
  <c r="K2524" i="29"/>
  <c r="G2183" i="29"/>
  <c r="J2551" i="29"/>
  <c r="J2453" i="29"/>
  <c r="G2278" i="29"/>
  <c r="F2253" i="29"/>
  <c r="H2417" i="29"/>
  <c r="L2344" i="29"/>
  <c r="J2415" i="29"/>
  <c r="K2335" i="29"/>
  <c r="G2143" i="29"/>
  <c r="G1999" i="29"/>
  <c r="L1799" i="29"/>
  <c r="J2541" i="29"/>
  <c r="L2441" i="29"/>
  <c r="G2538" i="29"/>
  <c r="K2450" i="29"/>
  <c r="J2354" i="29"/>
  <c r="L2266" i="29"/>
  <c r="K2170" i="29"/>
  <c r="I2082" i="29"/>
  <c r="M2010" i="29"/>
  <c r="I1930" i="29"/>
  <c r="M1906" i="29"/>
  <c r="M1874" i="29"/>
  <c r="K1850" i="29"/>
  <c r="M1802" i="29"/>
  <c r="I1778" i="29"/>
  <c r="M1746" i="29"/>
  <c r="I1722" i="29"/>
  <c r="K1690" i="29"/>
  <c r="M1666" i="29"/>
  <c r="K1634" i="29"/>
  <c r="H1610" i="29"/>
  <c r="G1578" i="29"/>
  <c r="J1554" i="29"/>
  <c r="G1522" i="29"/>
  <c r="I1498" i="29"/>
  <c r="G1466" i="29"/>
  <c r="I1442" i="29"/>
  <c r="G1410" i="29"/>
  <c r="I1386" i="29"/>
  <c r="M2432" i="29"/>
  <c r="G1955" i="29"/>
  <c r="M2433" i="29"/>
  <c r="H2261" i="29"/>
  <c r="M1336" i="29"/>
  <c r="M2454" i="29"/>
  <c r="L2586" i="29"/>
  <c r="M2579" i="29"/>
  <c r="M1443" i="29"/>
  <c r="F1968" i="29"/>
  <c r="F2088" i="29"/>
  <c r="M2527" i="29"/>
  <c r="H1686" i="29"/>
  <c r="J1667" i="29"/>
  <c r="F1937" i="29"/>
  <c r="H2210" i="29"/>
  <c r="M2580" i="29"/>
  <c r="J2565" i="29"/>
  <c r="K2491" i="29"/>
  <c r="G2151" i="29"/>
  <c r="L2553" i="29"/>
  <c r="L2420" i="29"/>
  <c r="L2340" i="29"/>
  <c r="G2260" i="29"/>
  <c r="F2148" i="29"/>
  <c r="F2036" i="29"/>
  <c r="F2208" i="29"/>
  <c r="G1899" i="29"/>
  <c r="G2237" i="29"/>
  <c r="G2205" i="29"/>
  <c r="G1987" i="29"/>
  <c r="H2314" i="29"/>
  <c r="M2502" i="29"/>
  <c r="G2243" i="29"/>
  <c r="F2337" i="29"/>
  <c r="J1828" i="29"/>
  <c r="L1724" i="29"/>
  <c r="M2471" i="29"/>
  <c r="M2467" i="29"/>
  <c r="H2394" i="29"/>
  <c r="J1797" i="29"/>
  <c r="M2452" i="29"/>
  <c r="M2524" i="29"/>
  <c r="K2523" i="29"/>
  <c r="J2445" i="29"/>
  <c r="K2422" i="29"/>
  <c r="K2547" i="29"/>
  <c r="K2412" i="29"/>
  <c r="K2332" i="29"/>
  <c r="F2252" i="29"/>
  <c r="F2140" i="29"/>
  <c r="F2028" i="29"/>
  <c r="F1916" i="29"/>
  <c r="J2579" i="29"/>
  <c r="J2479" i="29"/>
  <c r="H2419" i="29"/>
  <c r="J2355" i="29"/>
  <c r="G1851" i="29"/>
  <c r="L2517" i="29"/>
  <c r="F2205" i="29"/>
  <c r="F1854" i="29"/>
  <c r="G2213" i="29"/>
  <c r="G1933" i="29"/>
  <c r="L2513" i="29"/>
  <c r="I1606" i="29"/>
  <c r="L2512" i="29"/>
  <c r="J1836" i="29"/>
  <c r="K2541" i="29"/>
  <c r="J2443" i="29"/>
  <c r="L1886" i="29"/>
  <c r="G2245" i="29"/>
  <c r="F2409" i="29"/>
  <c r="J2320" i="29"/>
  <c r="J2407" i="29"/>
  <c r="J2319" i="29"/>
  <c r="H2135" i="29"/>
  <c r="H1983" i="29"/>
  <c r="J1743" i="29"/>
  <c r="J2531" i="29"/>
  <c r="J2419" i="29"/>
  <c r="J2538" i="29"/>
  <c r="J2450" i="29"/>
  <c r="L2354" i="29"/>
  <c r="G2266" i="29"/>
  <c r="G2170" i="29"/>
  <c r="L2082" i="29"/>
  <c r="H2010" i="29"/>
  <c r="L1930" i="29"/>
  <c r="H1906" i="29"/>
  <c r="J1874" i="29"/>
  <c r="F1850" i="29"/>
  <c r="H1802" i="29"/>
  <c r="K1778" i="29"/>
  <c r="H1746" i="29"/>
  <c r="J1722" i="29"/>
  <c r="L1690" i="29"/>
  <c r="I1666" i="29"/>
  <c r="G1634" i="29"/>
  <c r="M1610" i="29"/>
  <c r="I1578" i="29"/>
  <c r="K1554" i="29"/>
  <c r="M1522" i="29"/>
  <c r="J1498" i="29"/>
  <c r="M1466" i="29"/>
  <c r="K1442" i="29"/>
  <c r="F1410" i="29"/>
  <c r="F2040" i="29"/>
  <c r="I1675" i="29"/>
  <c r="F2097" i="29"/>
  <c r="G1981" i="29"/>
  <c r="M2511" i="29"/>
  <c r="H2146" i="29"/>
  <c r="H2418" i="29"/>
  <c r="M2465" i="29"/>
  <c r="I1889" i="29"/>
  <c r="M1660" i="29"/>
  <c r="G2227" i="29"/>
  <c r="F2275" i="29"/>
  <c r="G1907" i="29"/>
  <c r="F2169" i="29"/>
  <c r="G1657" i="29"/>
  <c r="M2451" i="29"/>
  <c r="M2440" i="29"/>
  <c r="J2452" i="29"/>
  <c r="L2557" i="29"/>
  <c r="G2398" i="29"/>
  <c r="J2523" i="29"/>
  <c r="K2404" i="29"/>
  <c r="L2324" i="29"/>
  <c r="H2244" i="29"/>
  <c r="H2132" i="29"/>
  <c r="H2020" i="29"/>
  <c r="H1908" i="29"/>
  <c r="J2567" i="29"/>
  <c r="J2469" i="29"/>
  <c r="K2411" i="29"/>
  <c r="H2347" i="29"/>
  <c r="H1843" i="29"/>
  <c r="L1788" i="29"/>
  <c r="G2019" i="29"/>
  <c r="J1733" i="29"/>
  <c r="H1113" i="29"/>
  <c r="G2147" i="29"/>
  <c r="M2509" i="29"/>
  <c r="H2411" i="29"/>
  <c r="M2575" i="29"/>
  <c r="J1860" i="29"/>
  <c r="H1627" i="29"/>
  <c r="M2533" i="29"/>
  <c r="G2051" i="29"/>
  <c r="M1373" i="29"/>
  <c r="G2280" i="29"/>
  <c r="H1991" i="29"/>
  <c r="H2282" i="29"/>
  <c r="F2104" i="29"/>
  <c r="L2540" i="29"/>
  <c r="L2444" i="29"/>
  <c r="H2342" i="29"/>
  <c r="J2491" i="29"/>
  <c r="K2388" i="29"/>
  <c r="K2308" i="29"/>
  <c r="F2220" i="29"/>
  <c r="F2108" i="29"/>
  <c r="F1996" i="29"/>
  <c r="J1868" i="29"/>
  <c r="K1732" i="29"/>
  <c r="L2578" i="29"/>
  <c r="L1705" i="29"/>
  <c r="M2568" i="29"/>
  <c r="H2119" i="29"/>
  <c r="M2481" i="29"/>
  <c r="M2585" i="29"/>
  <c r="M2491" i="29"/>
  <c r="M2559" i="29"/>
  <c r="M2438" i="29"/>
  <c r="M2449" i="29"/>
  <c r="H2023" i="29"/>
  <c r="M2520" i="29"/>
  <c r="F2000" i="29"/>
  <c r="M2550" i="29"/>
  <c r="F1862" i="29"/>
  <c r="F2048" i="29"/>
  <c r="J2516" i="29"/>
  <c r="F2237" i="29"/>
  <c r="F2342" i="29"/>
  <c r="K2486" i="29"/>
  <c r="L2388" i="29"/>
  <c r="L1508" i="29"/>
  <c r="L2466" i="29"/>
  <c r="F1537" i="29"/>
  <c r="M2540" i="29"/>
  <c r="G2091" i="29"/>
  <c r="M2453" i="29"/>
  <c r="M2557" i="29"/>
  <c r="F2267" i="29"/>
  <c r="M2447" i="29"/>
  <c r="G1878" i="29"/>
  <c r="H2113" i="29"/>
  <c r="G1995" i="29"/>
  <c r="L2352" i="29"/>
  <c r="K1804" i="29"/>
  <c r="H2354" i="29"/>
  <c r="M2561" i="29"/>
  <c r="F1992" i="29"/>
  <c r="L2497" i="29"/>
  <c r="G1883" i="29"/>
  <c r="F2318" i="29"/>
  <c r="L2483" i="29"/>
  <c r="F2380" i="29"/>
  <c r="F2300" i="29"/>
  <c r="F2212" i="29"/>
  <c r="M2571" i="29"/>
  <c r="L1793" i="29"/>
  <c r="L2514" i="29"/>
  <c r="M2456" i="29"/>
  <c r="G1923" i="29"/>
  <c r="F2285" i="29"/>
  <c r="M2473" i="29"/>
  <c r="J1483" i="29"/>
  <c r="H2264" i="29"/>
  <c r="L2490" i="29"/>
  <c r="F2232" i="29"/>
  <c r="G2173" i="29"/>
  <c r="G2099" i="29"/>
  <c r="M2523" i="29"/>
  <c r="M2499" i="29"/>
  <c r="I1679" i="29"/>
  <c r="H2269" i="29"/>
  <c r="L2328" i="29"/>
  <c r="L2469" i="29"/>
  <c r="F2270" i="29"/>
  <c r="L2380" i="29"/>
  <c r="F2236" i="29"/>
  <c r="F2076" i="29"/>
  <c r="J1892" i="29"/>
  <c r="K2525" i="29"/>
  <c r="J2411" i="29"/>
  <c r="K2331" i="29"/>
  <c r="K2552" i="29"/>
  <c r="M2430" i="29"/>
  <c r="F2405" i="29"/>
  <c r="F2053" i="29"/>
  <c r="K2495" i="29"/>
  <c r="L2569" i="29"/>
  <c r="J2446" i="29"/>
  <c r="J2524" i="29"/>
  <c r="H2406" i="29"/>
  <c r="H2365" i="29"/>
  <c r="H2361" i="29"/>
  <c r="H2216" i="29"/>
  <c r="K2351" i="29"/>
  <c r="G2103" i="29"/>
  <c r="H1919" i="29"/>
  <c r="L2561" i="29"/>
  <c r="F2077" i="29"/>
  <c r="G2498" i="29"/>
  <c r="G2378" i="29"/>
  <c r="L2242" i="29"/>
  <c r="L2122" i="29"/>
  <c r="F2034" i="29"/>
  <c r="I1922" i="29"/>
  <c r="F1890" i="29"/>
  <c r="F1858" i="29"/>
  <c r="M1794" i="29"/>
  <c r="H1762" i="29"/>
  <c r="J1730" i="29"/>
  <c r="K1682" i="29"/>
  <c r="G1650" i="29"/>
  <c r="J1618" i="29"/>
  <c r="G1570" i="29"/>
  <c r="M1538" i="29"/>
  <c r="J1506" i="29"/>
  <c r="G1458" i="29"/>
  <c r="F1426" i="29"/>
  <c r="M1394" i="29"/>
  <c r="K1354" i="29"/>
  <c r="K1322" i="29"/>
  <c r="K1290" i="29"/>
  <c r="I1258" i="29"/>
  <c r="L1234" i="29"/>
  <c r="I1202" i="29"/>
  <c r="L1178" i="29"/>
  <c r="L1146" i="29"/>
  <c r="H1122" i="29"/>
  <c r="J1090" i="29"/>
  <c r="H1066" i="29"/>
  <c r="J1034" i="29"/>
  <c r="H1010" i="29"/>
  <c r="J978" i="29"/>
  <c r="F954" i="29"/>
  <c r="J922" i="29"/>
  <c r="H898" i="29"/>
  <c r="K866" i="29"/>
  <c r="G842" i="29"/>
  <c r="J810" i="29"/>
  <c r="J786" i="29"/>
  <c r="L754" i="29"/>
  <c r="J730" i="29"/>
  <c r="G698" i="29"/>
  <c r="J674" i="29"/>
  <c r="F642" i="29"/>
  <c r="M618" i="29"/>
  <c r="K586" i="29"/>
  <c r="J562" i="29"/>
  <c r="J530" i="29"/>
  <c r="F2152" i="29"/>
  <c r="H2322" i="29"/>
  <c r="F2176" i="29"/>
  <c r="H2145" i="29"/>
  <c r="G1931" i="29"/>
  <c r="K2327" i="29"/>
  <c r="M2443" i="29"/>
  <c r="M2518" i="29"/>
  <c r="G2045" i="29"/>
  <c r="H2272" i="29"/>
  <c r="F1895" i="29"/>
  <c r="G2270" i="29"/>
  <c r="F2372" i="29"/>
  <c r="H2236" i="29"/>
  <c r="H2076" i="29"/>
  <c r="K1892" i="29"/>
  <c r="L2521" i="29"/>
  <c r="F2403" i="29"/>
  <c r="F2323" i="29"/>
  <c r="J2525" i="29"/>
  <c r="J2430" i="29"/>
  <c r="H2389" i="29"/>
  <c r="G1973" i="29"/>
  <c r="L2492" i="29"/>
  <c r="J2566" i="29"/>
  <c r="F2013" i="29"/>
  <c r="K2519" i="29"/>
  <c r="F2382" i="29"/>
  <c r="G2253" i="29"/>
  <c r="F2361" i="29"/>
  <c r="F2216" i="29"/>
  <c r="H2327" i="29"/>
  <c r="H2103" i="29"/>
  <c r="G1911" i="29"/>
  <c r="L2536" i="29"/>
  <c r="G1991" i="29"/>
  <c r="H2498" i="29"/>
  <c r="K2354" i="29"/>
  <c r="M2242" i="29"/>
  <c r="M2122" i="29"/>
  <c r="G2010" i="29"/>
  <c r="J1922" i="29"/>
  <c r="G1890" i="29"/>
  <c r="L1850" i="29"/>
  <c r="F1794" i="29"/>
  <c r="I1762" i="29"/>
  <c r="L1722" i="29"/>
  <c r="F1682" i="29"/>
  <c r="H1650" i="29"/>
  <c r="I1610" i="29"/>
  <c r="F1570" i="29"/>
  <c r="I1538" i="29"/>
  <c r="K1498" i="29"/>
  <c r="H1458" i="29"/>
  <c r="I1426" i="29"/>
  <c r="K1386" i="29"/>
  <c r="M1354" i="29"/>
  <c r="M1322" i="29"/>
  <c r="F1290" i="29"/>
  <c r="J1258" i="29"/>
  <c r="F1234" i="29"/>
  <c r="J1202" i="29"/>
  <c r="F1178" i="29"/>
  <c r="F1146" i="29"/>
  <c r="M1122" i="29"/>
  <c r="K1090" i="29"/>
  <c r="M1066" i="29"/>
  <c r="K1034" i="29"/>
  <c r="M1010" i="29"/>
  <c r="K978" i="29"/>
  <c r="G954" i="29"/>
  <c r="K922" i="29"/>
  <c r="I898" i="29"/>
  <c r="M866" i="29"/>
  <c r="H842" i="29"/>
  <c r="L810" i="29"/>
  <c r="M786" i="29"/>
  <c r="F754" i="29"/>
  <c r="L730" i="29"/>
  <c r="H698" i="29"/>
  <c r="L674" i="29"/>
  <c r="G642" i="29"/>
  <c r="K618" i="29"/>
  <c r="L586" i="29"/>
  <c r="F562" i="29"/>
  <c r="K530" i="29"/>
  <c r="F2096" i="29"/>
  <c r="H2293" i="29"/>
  <c r="F2120" i="29"/>
  <c r="F2089" i="29"/>
  <c r="M2462" i="29"/>
  <c r="G2131" i="29"/>
  <c r="J2359" i="29"/>
  <c r="F2406" i="29"/>
  <c r="M2464" i="29"/>
  <c r="F2160" i="29"/>
  <c r="K2572" i="29"/>
  <c r="H2270" i="29"/>
  <c r="K2372" i="29"/>
  <c r="F2228" i="29"/>
  <c r="F2068" i="29"/>
  <c r="K1868" i="29"/>
  <c r="J2518" i="29"/>
  <c r="H2403" i="29"/>
  <c r="H2323" i="29"/>
  <c r="L2520" i="29"/>
  <c r="K2430" i="29"/>
  <c r="F2389" i="29"/>
  <c r="F1933" i="29"/>
  <c r="K2488" i="29"/>
  <c r="K2563" i="29"/>
  <c r="G1927" i="29"/>
  <c r="L2516" i="29"/>
  <c r="G2382" i="29"/>
  <c r="F2245" i="29"/>
  <c r="J2353" i="29"/>
  <c r="H2168" i="29"/>
  <c r="J2327" i="29"/>
  <c r="G2095" i="29"/>
  <c r="H1911" i="29"/>
  <c r="L2533" i="29"/>
  <c r="J1799" i="29"/>
  <c r="J2498" i="29"/>
  <c r="G2354" i="29"/>
  <c r="F2242" i="29"/>
  <c r="G2122" i="29"/>
  <c r="F2010" i="29"/>
  <c r="K1922" i="29"/>
  <c r="H1890" i="29"/>
  <c r="G1850" i="29"/>
  <c r="G1794" i="29"/>
  <c r="L1762" i="29"/>
  <c r="K1722" i="29"/>
  <c r="J1682" i="29"/>
  <c r="I1650" i="29"/>
  <c r="J1610" i="29"/>
  <c r="H1570" i="29"/>
  <c r="F1538" i="29"/>
  <c r="F1498" i="29"/>
  <c r="L1458" i="29"/>
  <c r="K1426" i="29"/>
  <c r="M1386" i="29"/>
  <c r="L1354" i="29"/>
  <c r="L1322" i="29"/>
  <c r="G1290" i="29"/>
  <c r="K1258" i="29"/>
  <c r="G1234" i="29"/>
  <c r="K1202" i="29"/>
  <c r="G1178" i="29"/>
  <c r="G1146" i="29"/>
  <c r="K1122" i="29"/>
  <c r="L1090" i="29"/>
  <c r="F1066" i="29"/>
  <c r="L1034" i="29"/>
  <c r="F1010" i="29"/>
  <c r="L978" i="29"/>
  <c r="H954" i="29"/>
  <c r="L922" i="29"/>
  <c r="L898" i="29"/>
  <c r="F866" i="29"/>
  <c r="L842" i="29"/>
  <c r="F810" i="29"/>
  <c r="H786" i="29"/>
  <c r="G754" i="29"/>
  <c r="K730" i="29"/>
  <c r="M698" i="29"/>
  <c r="K674" i="29"/>
  <c r="M642" i="29"/>
  <c r="F1984" i="29"/>
  <c r="F2209" i="29"/>
  <c r="F2064" i="29"/>
  <c r="F1977" i="29"/>
  <c r="H2154" i="29"/>
  <c r="M2521" i="29"/>
  <c r="H2247" i="29"/>
  <c r="M2536" i="29"/>
  <c r="H2296" i="29"/>
  <c r="F1936" i="29"/>
  <c r="L2535" i="29"/>
  <c r="H1678" i="29"/>
  <c r="L2372" i="29"/>
  <c r="H2228" i="29"/>
  <c r="H2068" i="29"/>
  <c r="L1868" i="29"/>
  <c r="K2515" i="29"/>
  <c r="J2403" i="29"/>
  <c r="J2323" i="29"/>
  <c r="J2515" i="29"/>
  <c r="L2430" i="29"/>
  <c r="K2373" i="29"/>
  <c r="F1925" i="29"/>
  <c r="K2485" i="29"/>
  <c r="L2558" i="29"/>
  <c r="J2313" i="29"/>
  <c r="K2512" i="29"/>
  <c r="F2350" i="29"/>
  <c r="F2229" i="29"/>
  <c r="F2353" i="29"/>
  <c r="F2168" i="29"/>
  <c r="K2319" i="29"/>
  <c r="H2095" i="29"/>
  <c r="G1903" i="29"/>
  <c r="K2526" i="29"/>
  <c r="F1411" i="29"/>
  <c r="I2498" i="29"/>
  <c r="F2354" i="29"/>
  <c r="G2242" i="29"/>
  <c r="H2122" i="29"/>
  <c r="I1986" i="29"/>
  <c r="L1922" i="29"/>
  <c r="I1890" i="29"/>
  <c r="M1842" i="29"/>
  <c r="H1794" i="29"/>
  <c r="K1762" i="29"/>
  <c r="M1714" i="29"/>
  <c r="L1682" i="29"/>
  <c r="J1650" i="29"/>
  <c r="K1602" i="29"/>
  <c r="I1570" i="29"/>
  <c r="J1538" i="29"/>
  <c r="G1490" i="29"/>
  <c r="M1458" i="29"/>
  <c r="M1426" i="29"/>
  <c r="L1386" i="29"/>
  <c r="G1346" i="29"/>
  <c r="F1314" i="29"/>
  <c r="L1290" i="29"/>
  <c r="F1258" i="29"/>
  <c r="H1226" i="29"/>
  <c r="M1202" i="29"/>
  <c r="H1170" i="29"/>
  <c r="H1146" i="29"/>
  <c r="I1114" i="29"/>
  <c r="G1090" i="29"/>
  <c r="I1058" i="29"/>
  <c r="G1034" i="29"/>
  <c r="I1002" i="29"/>
  <c r="M978" i="29"/>
  <c r="I946" i="29"/>
  <c r="M922" i="29"/>
  <c r="J890" i="29"/>
  <c r="I866" i="29"/>
  <c r="J834" i="29"/>
  <c r="I810" i="29"/>
  <c r="K778" i="29"/>
  <c r="H754" i="29"/>
  <c r="F722" i="29"/>
  <c r="I698" i="29"/>
  <c r="F666" i="29"/>
  <c r="H642" i="29"/>
  <c r="I610" i="29"/>
  <c r="H586" i="29"/>
  <c r="I554" i="29"/>
  <c r="F1928" i="29"/>
  <c r="F2153" i="29"/>
  <c r="K1112" i="29"/>
  <c r="G1949" i="29"/>
  <c r="F1342" i="29"/>
  <c r="F2129" i="29"/>
  <c r="G2219" i="29"/>
  <c r="M2534" i="29"/>
  <c r="F2184" i="29"/>
  <c r="K1852" i="29"/>
  <c r="L2508" i="29"/>
  <c r="J2550" i="29"/>
  <c r="F2364" i="29"/>
  <c r="H2220" i="29"/>
  <c r="H2036" i="29"/>
  <c r="K1836" i="29"/>
  <c r="L2510" i="29"/>
  <c r="K2403" i="29"/>
  <c r="K2323" i="29"/>
  <c r="K2510" i="29"/>
  <c r="F2390" i="29"/>
  <c r="F2373" i="29"/>
  <c r="G1925" i="29"/>
  <c r="K2478" i="29"/>
  <c r="J2556" i="29"/>
  <c r="F2313" i="29"/>
  <c r="K2509" i="29"/>
  <c r="G2350" i="29"/>
  <c r="G2229" i="29"/>
  <c r="L2345" i="29"/>
  <c r="M2431" i="29"/>
  <c r="H2311" i="29"/>
  <c r="G2079" i="29"/>
  <c r="H1903" i="29"/>
  <c r="L2523" i="29"/>
  <c r="M2586" i="29"/>
  <c r="M2474" i="29"/>
  <c r="I2330" i="29"/>
  <c r="I2218" i="29"/>
  <c r="F2122" i="29"/>
  <c r="J1986" i="29"/>
  <c r="M1922" i="29"/>
  <c r="J1890" i="29"/>
  <c r="I1842" i="29"/>
  <c r="I1794" i="29"/>
  <c r="J1762" i="29"/>
  <c r="F1714" i="29"/>
  <c r="M1682" i="29"/>
  <c r="M1650" i="29"/>
  <c r="L1602" i="29"/>
  <c r="J1570" i="29"/>
  <c r="K1538" i="29"/>
  <c r="H1490" i="29"/>
  <c r="I1458" i="29"/>
  <c r="L1426" i="29"/>
  <c r="G1378" i="29"/>
  <c r="H1346" i="29"/>
  <c r="G1314" i="29"/>
  <c r="M1290" i="29"/>
  <c r="G1258" i="29"/>
  <c r="I1226" i="29"/>
  <c r="L1202" i="29"/>
  <c r="I1170" i="29"/>
  <c r="I1146" i="29"/>
  <c r="J1114" i="29"/>
  <c r="F1090" i="29"/>
  <c r="J1058" i="29"/>
  <c r="H1034" i="29"/>
  <c r="J1002" i="29"/>
  <c r="F978" i="29"/>
  <c r="J946" i="29"/>
  <c r="F922" i="29"/>
  <c r="K890" i="29"/>
  <c r="G866" i="29"/>
  <c r="K834" i="29"/>
  <c r="G810" i="29"/>
  <c r="L778" i="29"/>
  <c r="J754" i="29"/>
  <c r="G722" i="29"/>
  <c r="L698" i="29"/>
  <c r="G666" i="29"/>
  <c r="J642" i="29"/>
  <c r="L610" i="29"/>
  <c r="J586" i="29"/>
  <c r="J554" i="29"/>
  <c r="K1872" i="29"/>
  <c r="G2013" i="29"/>
  <c r="M2567" i="29"/>
  <c r="H1921" i="29"/>
  <c r="M2480" i="29"/>
  <c r="M2492" i="29"/>
  <c r="G2163" i="29"/>
  <c r="M2505" i="29"/>
  <c r="F2016" i="29"/>
  <c r="J1824" i="29"/>
  <c r="J2484" i="29"/>
  <c r="J2533" i="29"/>
  <c r="K2364" i="29"/>
  <c r="H2212" i="29"/>
  <c r="H2028" i="29"/>
  <c r="G1836" i="29"/>
  <c r="J2486" i="29"/>
  <c r="F2395" i="29"/>
  <c r="F2315" i="29"/>
  <c r="L2507" i="29"/>
  <c r="G2390" i="29"/>
  <c r="J2357" i="29"/>
  <c r="F1909" i="29"/>
  <c r="L2475" i="29"/>
  <c r="K2551" i="29"/>
  <c r="H2072" i="29"/>
  <c r="L2505" i="29"/>
  <c r="H2350" i="29"/>
  <c r="F2189" i="29"/>
  <c r="F2345" i="29"/>
  <c r="J2431" i="29"/>
  <c r="J2311" i="29"/>
  <c r="H2079" i="29"/>
  <c r="G1879" i="29"/>
  <c r="J2519" i="29"/>
  <c r="K2586" i="29"/>
  <c r="K2474" i="29"/>
  <c r="M2330" i="29"/>
  <c r="J2218" i="29"/>
  <c r="I2098" i="29"/>
  <c r="K1986" i="29"/>
  <c r="G1922" i="29"/>
  <c r="M1882" i="29"/>
  <c r="H1842" i="29"/>
  <c r="L1794" i="29"/>
  <c r="M1754" i="29"/>
  <c r="G1714" i="29"/>
  <c r="H1682" i="29"/>
  <c r="K1642" i="29"/>
  <c r="M1602" i="29"/>
  <c r="L1570" i="29"/>
  <c r="G1530" i="29"/>
  <c r="L1490" i="29"/>
  <c r="F1458" i="29"/>
  <c r="G1418" i="29"/>
  <c r="H1378" i="29"/>
  <c r="I1346" i="29"/>
  <c r="H1314" i="29"/>
  <c r="H1282" i="29"/>
  <c r="L1258" i="29"/>
  <c r="J1226" i="29"/>
  <c r="F1202" i="29"/>
  <c r="J1170" i="29"/>
  <c r="M1146" i="29"/>
  <c r="L1114" i="29"/>
  <c r="H1090" i="29"/>
  <c r="K1058" i="29"/>
  <c r="M1034" i="29"/>
  <c r="K1002" i="29"/>
  <c r="G978" i="29"/>
  <c r="K946" i="29"/>
  <c r="G922" i="29"/>
  <c r="M890" i="29"/>
  <c r="H866" i="29"/>
  <c r="M834" i="29"/>
  <c r="H810" i="29"/>
  <c r="F778" i="29"/>
  <c r="M754" i="29"/>
  <c r="J722" i="29"/>
  <c r="J698" i="29"/>
  <c r="H666" i="29"/>
  <c r="L642" i="29"/>
  <c r="J1844" i="29"/>
  <c r="L1873" i="29"/>
  <c r="M2539" i="29"/>
  <c r="M2558" i="29"/>
  <c r="F2144" i="29"/>
  <c r="K1708" i="29"/>
  <c r="G2107" i="29"/>
  <c r="F2281" i="29"/>
  <c r="F1960" i="29"/>
  <c r="K1796" i="29"/>
  <c r="J2467" i="29"/>
  <c r="L2525" i="29"/>
  <c r="F2356" i="29"/>
  <c r="F2204" i="29"/>
  <c r="F2020" i="29"/>
  <c r="G1820" i="29"/>
  <c r="K2483" i="29"/>
  <c r="H2395" i="29"/>
  <c r="K2315" i="29"/>
  <c r="J2503" i="29"/>
  <c r="G1172" i="29"/>
  <c r="J1789" i="29"/>
  <c r="M2455" i="29"/>
  <c r="M2446" i="29"/>
  <c r="F1470" i="29"/>
  <c r="M2435" i="29"/>
  <c r="H1883" i="29"/>
  <c r="J1749" i="29"/>
  <c r="M2564" i="29"/>
  <c r="M1656" i="29"/>
  <c r="J2555" i="29"/>
  <c r="L2515" i="29"/>
  <c r="F2332" i="29"/>
  <c r="F2196" i="29"/>
  <c r="H2012" i="29"/>
  <c r="K1820" i="29"/>
  <c r="L2471" i="29"/>
  <c r="K2395" i="29"/>
  <c r="F2307" i="29"/>
  <c r="L2495" i="29"/>
  <c r="H2374" i="29"/>
  <c r="G2221" i="29"/>
  <c r="M1301" i="29"/>
  <c r="L2463" i="29"/>
  <c r="L2519" i="29"/>
  <c r="F2008" i="29"/>
  <c r="L2494" i="29"/>
  <c r="H2278" i="29"/>
  <c r="G2181" i="29"/>
  <c r="M2424" i="29"/>
  <c r="K2415" i="29"/>
  <c r="H2255" i="29"/>
  <c r="G2063" i="29"/>
  <c r="K1791" i="29"/>
  <c r="J2509" i="29"/>
  <c r="H2586" i="29"/>
  <c r="G2450" i="29"/>
  <c r="L2330" i="29"/>
  <c r="M2218" i="29"/>
  <c r="J2082" i="29"/>
  <c r="G1986" i="29"/>
  <c r="I1914" i="29"/>
  <c r="I1874" i="29"/>
  <c r="L1842" i="29"/>
  <c r="M1786" i="29"/>
  <c r="F1746" i="29"/>
  <c r="L1714" i="29"/>
  <c r="K1674" i="29"/>
  <c r="L1634" i="29"/>
  <c r="H1602" i="29"/>
  <c r="G1562" i="29"/>
  <c r="H1522" i="29"/>
  <c r="F1490" i="29"/>
  <c r="G1450" i="29"/>
  <c r="H1410" i="29"/>
  <c r="I1378" i="29"/>
  <c r="F1346" i="29"/>
  <c r="K1314" i="29"/>
  <c r="K1282" i="29"/>
  <c r="I1250" i="29"/>
  <c r="L1226" i="29"/>
  <c r="I1194" i="29"/>
  <c r="L1170" i="29"/>
  <c r="J1138" i="29"/>
  <c r="G1114" i="29"/>
  <c r="J1082" i="29"/>
  <c r="H1058" i="29"/>
  <c r="J1026" i="29"/>
  <c r="H1002" i="29"/>
  <c r="J970" i="29"/>
  <c r="F946" i="29"/>
  <c r="J914" i="29"/>
  <c r="H890" i="29"/>
  <c r="K858" i="29"/>
  <c r="G834" i="29"/>
  <c r="J802" i="29"/>
  <c r="J778" i="29"/>
  <c r="L746" i="29"/>
  <c r="L722" i="29"/>
  <c r="G690" i="29"/>
  <c r="L666" i="29"/>
  <c r="F634" i="29"/>
  <c r="M2459" i="29"/>
  <c r="L2458" i="29"/>
  <c r="G1979" i="29"/>
  <c r="H2138" i="29"/>
  <c r="M2588" i="29"/>
  <c r="F1920" i="29"/>
  <c r="M1351" i="29"/>
  <c r="G2195" i="29"/>
  <c r="H2087" i="29"/>
  <c r="J2543" i="29"/>
  <c r="L2459" i="29"/>
  <c r="L2465" i="29"/>
  <c r="K2316" i="29"/>
  <c r="F2180" i="29"/>
  <c r="F1988" i="29"/>
  <c r="L1764" i="29"/>
  <c r="K2454" i="29"/>
  <c r="F2379" i="29"/>
  <c r="G1843" i="29"/>
  <c r="J2483" i="29"/>
  <c r="F2334" i="29"/>
  <c r="F2157" i="29"/>
  <c r="L2576" i="29"/>
  <c r="J2451" i="29"/>
  <c r="K2502" i="29"/>
  <c r="F1912" i="29"/>
  <c r="L2480" i="29"/>
  <c r="K1830" i="29"/>
  <c r="G2093" i="29"/>
  <c r="L2416" i="29"/>
  <c r="J2399" i="29"/>
  <c r="H2231" i="29"/>
  <c r="G2039" i="29"/>
  <c r="K1735" i="29"/>
  <c r="K2494" i="29"/>
  <c r="K2562" i="29"/>
  <c r="K2426" i="29"/>
  <c r="H1927" i="29"/>
  <c r="I1590" i="29"/>
  <c r="J1839" i="29"/>
  <c r="M2445" i="29"/>
  <c r="G2083" i="29"/>
  <c r="G1947" i="29"/>
  <c r="L2554" i="29"/>
  <c r="M2553" i="29"/>
  <c r="M2477" i="29"/>
  <c r="J2435" i="29"/>
  <c r="L2567" i="29"/>
  <c r="L2454" i="29"/>
  <c r="L2308" i="29"/>
  <c r="H2140" i="29"/>
  <c r="H1980" i="29"/>
  <c r="K2574" i="29"/>
  <c r="K2444" i="29"/>
  <c r="F2371" i="29"/>
  <c r="L1563" i="29"/>
  <c r="K2471" i="29"/>
  <c r="G2262" i="29"/>
  <c r="G2149" i="29"/>
  <c r="K2566" i="29"/>
  <c r="M1615" i="29"/>
  <c r="K2492" i="29"/>
  <c r="J1840" i="29"/>
  <c r="L2448" i="29"/>
  <c r="K2550" i="29"/>
  <c r="F2021" i="29"/>
  <c r="H2336" i="29"/>
  <c r="H2391" i="29"/>
  <c r="G2207" i="29"/>
  <c r="J1871" i="29"/>
  <c r="M2569" i="29"/>
  <c r="L1783" i="29"/>
  <c r="J2333" i="29"/>
  <c r="G1971" i="29"/>
  <c r="G1611" i="29"/>
  <c r="K1518" i="29"/>
  <c r="M2525" i="29"/>
  <c r="H2225" i="29"/>
  <c r="G2055" i="29"/>
  <c r="M2422" i="29"/>
  <c r="K2437" i="29"/>
  <c r="G2300" i="29"/>
  <c r="F2132" i="29"/>
  <c r="F1972" i="29"/>
  <c r="L2571" i="29"/>
  <c r="L2439" i="29"/>
  <c r="H2371" i="29"/>
  <c r="J1547" i="29"/>
  <c r="L2468" i="29"/>
  <c r="H2262" i="29"/>
  <c r="F2133" i="29"/>
  <c r="L2563" i="29"/>
  <c r="H1606" i="29"/>
  <c r="L2487" i="29"/>
  <c r="K1840" i="29"/>
  <c r="L2445" i="29"/>
  <c r="L2518" i="29"/>
  <c r="G2021" i="29"/>
  <c r="L2336" i="29"/>
  <c r="H2383" i="29"/>
  <c r="H2207" i="29"/>
  <c r="G1983" i="29"/>
  <c r="J1671" i="29"/>
  <c r="K2480" i="29"/>
  <c r="I2538" i="29"/>
  <c r="I2426" i="29"/>
  <c r="L2306" i="29"/>
  <c r="M2170" i="29"/>
  <c r="K2058" i="29"/>
  <c r="H1970" i="29"/>
  <c r="F1906" i="29"/>
  <c r="H1866" i="29"/>
  <c r="L1818" i="29"/>
  <c r="J1778" i="29"/>
  <c r="G1738" i="29"/>
  <c r="L1706" i="29"/>
  <c r="H1666" i="29"/>
  <c r="F1626" i="29"/>
  <c r="L1594" i="29"/>
  <c r="M1554" i="29"/>
  <c r="L1514" i="29"/>
  <c r="M1451" i="29"/>
  <c r="F2009" i="29"/>
  <c r="H2370" i="29"/>
  <c r="F2249" i="29"/>
  <c r="M2556" i="29"/>
  <c r="F1945" i="29"/>
  <c r="L2522" i="29"/>
  <c r="M2441" i="29"/>
  <c r="L1721" i="29"/>
  <c r="L2472" i="29"/>
  <c r="H2398" i="29"/>
  <c r="M2428" i="29"/>
  <c r="G2292" i="29"/>
  <c r="F2116" i="29"/>
  <c r="H1964" i="29"/>
  <c r="J2557" i="29"/>
  <c r="L2368" i="29"/>
  <c r="F2347" i="29"/>
  <c r="K2584" i="29"/>
  <c r="L2457" i="29"/>
  <c r="J2526" i="29"/>
  <c r="G2125" i="29"/>
  <c r="L2551" i="29"/>
  <c r="F2029" i="29"/>
  <c r="J2478" i="29"/>
  <c r="K2580" i="29"/>
  <c r="J2422" i="29"/>
  <c r="M2429" i="29"/>
  <c r="F1965" i="29"/>
  <c r="L2312" i="29"/>
  <c r="H2375" i="29"/>
  <c r="G2191" i="29"/>
  <c r="G1967" i="29"/>
  <c r="G1223" i="29"/>
  <c r="J2470" i="29"/>
  <c r="J2522" i="29"/>
  <c r="F2017" i="29"/>
  <c r="L1729" i="29"/>
  <c r="I1614" i="29"/>
  <c r="M2494" i="29"/>
  <c r="M2444" i="29"/>
  <c r="M2448" i="29"/>
  <c r="H2128" i="29"/>
  <c r="H1601" i="29"/>
  <c r="F1888" i="29"/>
  <c r="L2560" i="29"/>
  <c r="G2318" i="29"/>
  <c r="L2404" i="29"/>
  <c r="H2284" i="29"/>
  <c r="H2100" i="29"/>
  <c r="H1924" i="29"/>
  <c r="L2542" i="29"/>
  <c r="F2045" i="29"/>
  <c r="J2339" i="29"/>
  <c r="K2571" i="29"/>
  <c r="H2280" i="29"/>
  <c r="M2421" i="29"/>
  <c r="G2101" i="29"/>
  <c r="K2517" i="29"/>
  <c r="J2588" i="29"/>
  <c r="K2463" i="29"/>
  <c r="K2544" i="29"/>
  <c r="G2087" i="29"/>
  <c r="F2413" i="29"/>
  <c r="L2409" i="29"/>
  <c r="M1340" i="29"/>
  <c r="G2400" i="29"/>
  <c r="H2185" i="29"/>
  <c r="H1581" i="29"/>
  <c r="M2469" i="29"/>
  <c r="L2476" i="29"/>
  <c r="K2469" i="29"/>
  <c r="H2196" i="29"/>
  <c r="H1900" i="29"/>
  <c r="F2419" i="29"/>
  <c r="J2574" i="29"/>
  <c r="K2582" i="29"/>
  <c r="J2581" i="29"/>
  <c r="L2548" i="29"/>
  <c r="L2537" i="29"/>
  <c r="H2414" i="29"/>
  <c r="F2416" i="29"/>
  <c r="H2359" i="29"/>
  <c r="H1975" i="29"/>
  <c r="L2511" i="29"/>
  <c r="K2522" i="29"/>
  <c r="G2330" i="29"/>
  <c r="I2146" i="29"/>
  <c r="M2034" i="29"/>
  <c r="G1914" i="29"/>
  <c r="M1858" i="29"/>
  <c r="F1786" i="29"/>
  <c r="I1738" i="29"/>
  <c r="I1690" i="29"/>
  <c r="M1634" i="29"/>
  <c r="F1578" i="29"/>
  <c r="L1522" i="29"/>
  <c r="J1482" i="29"/>
  <c r="L1434" i="29"/>
  <c r="M1378" i="29"/>
  <c r="L1338" i="29"/>
  <c r="L1298" i="29"/>
  <c r="K1250" i="29"/>
  <c r="F1218" i="29"/>
  <c r="I1178" i="29"/>
  <c r="F1138" i="29"/>
  <c r="H1106" i="29"/>
  <c r="J1066" i="29"/>
  <c r="L1026" i="29"/>
  <c r="G994" i="29"/>
  <c r="J954" i="29"/>
  <c r="L914" i="29"/>
  <c r="I882" i="29"/>
  <c r="K842" i="29"/>
  <c r="F802" i="29"/>
  <c r="M770" i="29"/>
  <c r="M730" i="29"/>
  <c r="M690" i="29"/>
  <c r="L658" i="29"/>
  <c r="F618" i="29"/>
  <c r="M586" i="29"/>
  <c r="F554" i="29"/>
  <c r="F522" i="29"/>
  <c r="K498" i="29"/>
  <c r="L466" i="29"/>
  <c r="M442" i="29"/>
  <c r="I410" i="29"/>
  <c r="H386" i="29"/>
  <c r="I354" i="29"/>
  <c r="H330" i="29"/>
  <c r="H298" i="29"/>
  <c r="K274" i="29"/>
  <c r="I242" i="29"/>
  <c r="J218" i="29"/>
  <c r="G186" i="29"/>
  <c r="K162" i="29"/>
  <c r="J130" i="29"/>
  <c r="L106" i="29"/>
  <c r="I74" i="29"/>
  <c r="G2554" i="29"/>
  <c r="G2458" i="29"/>
  <c r="K2362" i="29"/>
  <c r="M2274" i="29"/>
  <c r="L2178" i="29"/>
  <c r="J2090" i="29"/>
  <c r="F2018" i="29"/>
  <c r="F1834" i="29"/>
  <c r="J2514" i="29"/>
  <c r="M2418" i="29"/>
  <c r="M2314" i="29"/>
  <c r="J2210" i="29"/>
  <c r="M2543" i="29"/>
  <c r="H2288" i="29"/>
  <c r="H1961" i="29"/>
  <c r="M2532" i="29"/>
  <c r="L1853" i="29"/>
  <c r="J2587" i="29"/>
  <c r="J2462" i="29"/>
  <c r="F2188" i="29"/>
  <c r="J1820" i="29"/>
  <c r="K2419" i="29"/>
  <c r="L2566" i="29"/>
  <c r="L2486" i="29"/>
  <c r="L2573" i="29"/>
  <c r="L2544" i="29"/>
  <c r="J2534" i="29"/>
  <c r="L2429" i="29"/>
  <c r="H2408" i="29"/>
  <c r="J2351" i="29"/>
  <c r="H1967" i="29"/>
  <c r="L2504" i="29"/>
  <c r="G2522" i="29"/>
  <c r="F2330" i="29"/>
  <c r="J2146" i="29"/>
  <c r="G2034" i="29"/>
  <c r="H1914" i="29"/>
  <c r="I1858" i="29"/>
  <c r="G1786" i="29"/>
  <c r="L1738" i="29"/>
  <c r="G1690" i="29"/>
  <c r="K1626" i="29"/>
  <c r="H1578" i="29"/>
  <c r="I1522" i="29"/>
  <c r="K1482" i="29"/>
  <c r="G1426" i="29"/>
  <c r="L1378" i="29"/>
  <c r="G1330" i="29"/>
  <c r="H1290" i="29"/>
  <c r="F1250" i="29"/>
  <c r="G1218" i="29"/>
  <c r="J1178" i="29"/>
  <c r="G1138" i="29"/>
  <c r="M1106" i="29"/>
  <c r="K1066" i="29"/>
  <c r="G1026" i="29"/>
  <c r="H994" i="29"/>
  <c r="K954" i="29"/>
  <c r="M914" i="29"/>
  <c r="L882" i="29"/>
  <c r="M842" i="29"/>
  <c r="I802" i="29"/>
  <c r="I770" i="29"/>
  <c r="H730" i="29"/>
  <c r="I690" i="29"/>
  <c r="K658" i="29"/>
  <c r="G618" i="29"/>
  <c r="F586" i="29"/>
  <c r="G554" i="29"/>
  <c r="G522" i="29"/>
  <c r="I490" i="29"/>
  <c r="M466" i="29"/>
  <c r="L434" i="29"/>
  <c r="K410" i="29"/>
  <c r="L378" i="29"/>
  <c r="K354" i="29"/>
  <c r="M322" i="29"/>
  <c r="I298" i="29"/>
  <c r="M266" i="29"/>
  <c r="F242" i="29"/>
  <c r="J210" i="29"/>
  <c r="I186" i="29"/>
  <c r="M154" i="29"/>
  <c r="K130" i="29"/>
  <c r="F98" i="29"/>
  <c r="J74" i="29"/>
  <c r="H2554" i="29"/>
  <c r="H2458" i="29"/>
  <c r="G2362" i="29"/>
  <c r="K2274" i="29"/>
  <c r="M2178" i="29"/>
  <c r="K2090" i="29"/>
  <c r="G2018" i="29"/>
  <c r="H1834" i="29"/>
  <c r="F2514" i="29"/>
  <c r="J2418" i="29"/>
  <c r="J2314" i="29"/>
  <c r="K2210" i="29"/>
  <c r="M2515" i="29"/>
  <c r="M2483" i="29"/>
  <c r="M2548" i="29"/>
  <c r="F2224" i="29"/>
  <c r="L1769" i="29"/>
  <c r="L2564" i="29"/>
  <c r="K2459" i="29"/>
  <c r="H2188" i="29"/>
  <c r="K1812" i="29"/>
  <c r="F2411" i="29"/>
  <c r="J2564" i="29"/>
  <c r="K2462" i="29"/>
  <c r="J2571" i="29"/>
  <c r="J2517" i="29"/>
  <c r="K2531" i="29"/>
  <c r="J2429" i="29"/>
  <c r="L2408" i="29"/>
  <c r="K2311" i="29"/>
  <c r="G1951" i="29"/>
  <c r="L2501" i="29"/>
  <c r="H2522" i="29"/>
  <c r="I2306" i="29"/>
  <c r="K2146" i="29"/>
  <c r="L1986" i="29"/>
  <c r="G1906" i="29"/>
  <c r="H1858" i="29"/>
  <c r="H1786" i="29"/>
  <c r="J1738" i="29"/>
  <c r="I1682" i="29"/>
  <c r="L1626" i="29"/>
  <c r="J1578" i="29"/>
  <c r="F1522" i="29"/>
  <c r="G1474" i="29"/>
  <c r="H1426" i="29"/>
  <c r="G1370" i="29"/>
  <c r="J1330" i="29"/>
  <c r="I1290" i="29"/>
  <c r="M1250" i="29"/>
  <c r="H1210" i="29"/>
  <c r="K1178" i="29"/>
  <c r="H1138" i="29"/>
  <c r="I1098" i="29"/>
  <c r="L1066" i="29"/>
  <c r="H1026" i="29"/>
  <c r="I986" i="29"/>
  <c r="L954" i="29"/>
  <c r="F914" i="29"/>
  <c r="J874" i="29"/>
  <c r="F842" i="29"/>
  <c r="M802" i="29"/>
  <c r="K762" i="29"/>
  <c r="I730" i="29"/>
  <c r="J690" i="29"/>
  <c r="F650" i="29"/>
  <c r="H618" i="29"/>
  <c r="G586" i="29"/>
  <c r="H554" i="29"/>
  <c r="H522" i="29"/>
  <c r="L490" i="29"/>
  <c r="F466" i="29"/>
  <c r="J434" i="29"/>
  <c r="F410" i="29"/>
  <c r="M378" i="29"/>
  <c r="G354" i="29"/>
  <c r="H322" i="29"/>
  <c r="L298" i="29"/>
  <c r="F266" i="29"/>
  <c r="G242" i="29"/>
  <c r="K210" i="29"/>
  <c r="J186" i="29"/>
  <c r="F154" i="29"/>
  <c r="L130" i="29"/>
  <c r="G98" i="29"/>
  <c r="K74" i="29"/>
  <c r="I2554" i="29"/>
  <c r="I2458" i="29"/>
  <c r="L2362" i="29"/>
  <c r="G2274" i="29"/>
  <c r="G2178" i="29"/>
  <c r="L2090" i="29"/>
  <c r="H2018" i="29"/>
  <c r="I1834" i="29"/>
  <c r="G2514" i="29"/>
  <c r="K2418" i="29"/>
  <c r="K2314" i="29"/>
  <c r="M2487" i="29"/>
  <c r="F2259" i="29"/>
  <c r="F1904" i="29"/>
  <c r="F1944" i="29"/>
  <c r="J1741" i="29"/>
  <c r="L2447" i="29"/>
  <c r="L2433" i="29"/>
  <c r="H2180" i="29"/>
  <c r="L1812" i="29"/>
  <c r="J2395" i="29"/>
  <c r="K2559" i="29"/>
  <c r="G2342" i="29"/>
  <c r="J2559" i="29"/>
  <c r="L2509" i="29"/>
  <c r="L2526" i="29"/>
  <c r="H2413" i="29"/>
  <c r="L2320" i="29"/>
  <c r="G2255" i="29"/>
  <c r="H1951" i="29"/>
  <c r="J2499" i="29"/>
  <c r="I2522" i="29"/>
  <c r="M2306" i="29"/>
  <c r="L2146" i="29"/>
  <c r="M1986" i="29"/>
  <c r="I1898" i="29"/>
  <c r="J1858" i="29"/>
  <c r="I1786" i="29"/>
  <c r="K1738" i="29"/>
  <c r="G1682" i="29"/>
  <c r="G1626" i="29"/>
  <c r="L1578" i="29"/>
  <c r="J1522" i="29"/>
  <c r="H1474" i="29"/>
  <c r="J1426" i="29"/>
  <c r="H1370" i="29"/>
  <c r="K1330" i="29"/>
  <c r="J1290" i="29"/>
  <c r="G1250" i="29"/>
  <c r="I1210" i="29"/>
  <c r="M1178" i="29"/>
  <c r="M1138" i="29"/>
  <c r="J1098" i="29"/>
  <c r="G1066" i="29"/>
  <c r="M1026" i="29"/>
  <c r="J986" i="29"/>
  <c r="M954" i="29"/>
  <c r="G914" i="29"/>
  <c r="K874" i="29"/>
  <c r="I842" i="29"/>
  <c r="G802" i="29"/>
  <c r="L762" i="29"/>
  <c r="G730" i="29"/>
  <c r="L690" i="29"/>
  <c r="G650" i="29"/>
  <c r="J618" i="29"/>
  <c r="I578" i="29"/>
  <c r="I546" i="29"/>
  <c r="J522" i="29"/>
  <c r="M490" i="29"/>
  <c r="G466" i="29"/>
  <c r="F434" i="29"/>
  <c r="G410" i="29"/>
  <c r="J378" i="29"/>
  <c r="H354" i="29"/>
  <c r="F322" i="29"/>
  <c r="J298" i="29"/>
  <c r="G266" i="29"/>
  <c r="H242" i="29"/>
  <c r="L210" i="29"/>
  <c r="K186" i="29"/>
  <c r="G154" i="29"/>
  <c r="M130" i="29"/>
  <c r="H98" i="29"/>
  <c r="M74" i="29"/>
  <c r="J2554" i="29"/>
  <c r="J2458" i="29"/>
  <c r="F2362" i="29"/>
  <c r="F2274" i="29"/>
  <c r="F2178" i="29"/>
  <c r="M2090" i="29"/>
  <c r="I1994" i="29"/>
  <c r="L1834" i="29"/>
  <c r="H2514" i="29"/>
  <c r="G2418" i="29"/>
  <c r="L2314" i="29"/>
  <c r="M2210" i="29"/>
  <c r="H2319" i="29"/>
  <c r="G2203" i="29"/>
  <c r="F2032" i="29"/>
  <c r="G1832" i="29"/>
  <c r="F1433" i="29"/>
  <c r="F1981" i="29"/>
  <c r="F2141" i="29"/>
  <c r="H2148" i="29"/>
  <c r="K1764" i="29"/>
  <c r="F2387" i="29"/>
  <c r="L2556" i="29"/>
  <c r="J2421" i="29"/>
  <c r="K2556" i="29"/>
  <c r="J2507" i="29"/>
  <c r="J2502" i="29"/>
  <c r="K2397" i="29"/>
  <c r="F2312" i="29"/>
  <c r="G2239" i="29"/>
  <c r="G1943" i="29"/>
  <c r="L2491" i="29"/>
  <c r="M2498" i="29"/>
  <c r="J2306" i="29"/>
  <c r="M2146" i="29"/>
  <c r="F1986" i="29"/>
  <c r="J1898" i="29"/>
  <c r="K1858" i="29"/>
  <c r="L1786" i="29"/>
  <c r="M1730" i="29"/>
  <c r="F1674" i="29"/>
  <c r="H1626" i="29"/>
  <c r="K1578" i="29"/>
  <c r="K1522" i="29"/>
  <c r="L1474" i="29"/>
  <c r="H1418" i="29"/>
  <c r="J1370" i="29"/>
  <c r="M1330" i="29"/>
  <c r="I1282" i="29"/>
  <c r="L1250" i="29"/>
  <c r="J1210" i="29"/>
  <c r="K1170" i="29"/>
  <c r="K1138" i="29"/>
  <c r="K1098" i="29"/>
  <c r="L1058" i="29"/>
  <c r="F1026" i="29"/>
  <c r="K986" i="29"/>
  <c r="L946" i="29"/>
  <c r="H914" i="29"/>
  <c r="M874" i="29"/>
  <c r="F834" i="29"/>
  <c r="H802" i="29"/>
  <c r="F762" i="29"/>
  <c r="K722" i="29"/>
  <c r="K690" i="29"/>
  <c r="H650" i="29"/>
  <c r="L618" i="29"/>
  <c r="K578" i="29"/>
  <c r="J546" i="29"/>
  <c r="K522" i="29"/>
  <c r="F490" i="29"/>
  <c r="H466" i="29"/>
  <c r="G434" i="29"/>
  <c r="H410" i="29"/>
  <c r="I378" i="29"/>
  <c r="F354" i="29"/>
  <c r="G322" i="29"/>
  <c r="K298" i="29"/>
  <c r="H266" i="29"/>
  <c r="J242" i="29"/>
  <c r="M210" i="29"/>
  <c r="L186" i="29"/>
  <c r="H154" i="29"/>
  <c r="F130" i="29"/>
  <c r="I98" i="29"/>
  <c r="L74" i="29"/>
  <c r="M2530" i="29"/>
  <c r="M2434" i="29"/>
  <c r="I2338" i="29"/>
  <c r="I2250" i="29"/>
  <c r="I2154" i="29"/>
  <c r="G2090" i="29"/>
  <c r="J1994" i="29"/>
  <c r="G1834" i="29"/>
  <c r="I2514" i="29"/>
  <c r="L2418" i="29"/>
  <c r="G2314" i="29"/>
  <c r="G2210" i="29"/>
  <c r="F2291" i="29"/>
  <c r="G2035" i="29"/>
  <c r="G2141" i="29"/>
  <c r="M2503" i="29"/>
  <c r="M2495" i="29"/>
  <c r="L2579" i="29"/>
  <c r="G2412" i="29"/>
  <c r="F2124" i="29"/>
  <c r="L2584" i="29"/>
  <c r="H2387" i="29"/>
  <c r="K2500" i="29"/>
  <c r="K2421" i="29"/>
  <c r="J2549" i="29"/>
  <c r="L2499" i="29"/>
  <c r="K2499" i="29"/>
  <c r="F2397" i="29"/>
  <c r="F2296" i="29"/>
  <c r="H2239" i="29"/>
  <c r="H1943" i="29"/>
  <c r="J2487" i="29"/>
  <c r="K2498" i="29"/>
  <c r="G2306" i="29"/>
  <c r="G2146" i="29"/>
  <c r="H1986" i="29"/>
  <c r="K1898" i="29"/>
  <c r="L1858" i="29"/>
  <c r="K1786" i="29"/>
  <c r="F1730" i="29"/>
  <c r="J1674" i="29"/>
  <c r="I1626" i="29"/>
  <c r="M1578" i="29"/>
  <c r="G1514" i="29"/>
  <c r="H1466" i="29"/>
  <c r="J1418" i="29"/>
  <c r="F1370" i="29"/>
  <c r="L1330" i="29"/>
  <c r="J1282" i="29"/>
  <c r="H1242" i="29"/>
  <c r="K1210" i="29"/>
  <c r="M1170" i="29"/>
  <c r="I1130" i="29"/>
  <c r="L1098" i="29"/>
  <c r="G1058" i="29"/>
  <c r="I1018" i="29"/>
  <c r="L986" i="29"/>
  <c r="M946" i="29"/>
  <c r="K906" i="29"/>
  <c r="F874" i="29"/>
  <c r="I834" i="29"/>
  <c r="K794" i="29"/>
  <c r="G762" i="29"/>
  <c r="M722" i="29"/>
  <c r="F682" i="29"/>
  <c r="M650" i="29"/>
  <c r="F610" i="29"/>
  <c r="L578" i="29"/>
  <c r="K546" i="29"/>
  <c r="I514" i="29"/>
  <c r="G490" i="29"/>
  <c r="L458" i="29"/>
  <c r="H434" i="29"/>
  <c r="L402" i="29"/>
  <c r="K378" i="29"/>
  <c r="L346" i="29"/>
  <c r="L322" i="29"/>
  <c r="M290" i="29"/>
  <c r="I266" i="29"/>
  <c r="K234" i="29"/>
  <c r="F210" i="29"/>
  <c r="M178" i="29"/>
  <c r="I154" i="29"/>
  <c r="H122" i="29"/>
  <c r="J98" i="29"/>
  <c r="F66" i="29"/>
  <c r="J2530" i="29"/>
  <c r="F2434" i="29"/>
  <c r="M2338" i="29"/>
  <c r="J2250" i="29"/>
  <c r="J2154" i="29"/>
  <c r="H2090" i="29"/>
  <c r="K1994" i="29"/>
  <c r="J1834" i="29"/>
  <c r="K2514" i="29"/>
  <c r="F2418" i="29"/>
  <c r="F2314" i="29"/>
  <c r="M2551" i="29"/>
  <c r="L1699" i="29"/>
  <c r="L2392" i="29"/>
  <c r="G1603" i="29"/>
  <c r="M2547" i="29"/>
  <c r="L2496" i="29"/>
  <c r="F2396" i="29"/>
  <c r="H2108" i="29"/>
  <c r="L2559" i="29"/>
  <c r="K2379" i="29"/>
  <c r="L2485" i="29"/>
  <c r="F2357" i="29"/>
  <c r="J2510" i="29"/>
  <c r="L2481" i="29"/>
  <c r="L2484" i="29"/>
  <c r="G2189" i="29"/>
  <c r="G2288" i="29"/>
  <c r="H2223" i="29"/>
  <c r="G1919" i="29"/>
  <c r="L2473" i="29"/>
  <c r="G2474" i="29"/>
  <c r="I2290" i="29"/>
  <c r="J2122" i="29"/>
  <c r="K1970" i="29"/>
  <c r="F1898" i="29"/>
  <c r="F1842" i="29"/>
  <c r="F1770" i="29"/>
  <c r="I1730" i="29"/>
  <c r="G1674" i="29"/>
  <c r="K1618" i="29"/>
  <c r="F1562" i="29"/>
  <c r="I1514" i="29"/>
  <c r="K1466" i="29"/>
  <c r="K1410" i="29"/>
  <c r="M1370" i="29"/>
  <c r="H1322" i="29"/>
  <c r="G1282" i="29"/>
  <c r="K1242" i="29"/>
  <c r="G1210" i="29"/>
  <c r="J1162" i="29"/>
  <c r="F1130" i="29"/>
  <c r="H1098" i="29"/>
  <c r="I1050" i="29"/>
  <c r="L1018" i="29"/>
  <c r="G986" i="29"/>
  <c r="I938" i="29"/>
  <c r="G906" i="29"/>
  <c r="H874" i="29"/>
  <c r="J826" i="29"/>
  <c r="G794" i="29"/>
  <c r="M762" i="29"/>
  <c r="F714" i="29"/>
  <c r="M682" i="29"/>
  <c r="J650" i="29"/>
  <c r="K610" i="29"/>
  <c r="J578" i="29"/>
  <c r="F546" i="29"/>
  <c r="F514" i="29"/>
  <c r="H490" i="29"/>
  <c r="H458" i="29"/>
  <c r="M434" i="29"/>
  <c r="I402" i="29"/>
  <c r="H378" i="29"/>
  <c r="I346" i="29"/>
  <c r="K322" i="29"/>
  <c r="H290" i="29"/>
  <c r="K266" i="29"/>
  <c r="I234" i="29"/>
  <c r="H210" i="29"/>
  <c r="G178" i="29"/>
  <c r="K154" i="29"/>
  <c r="J122" i="29"/>
  <c r="L98" i="29"/>
  <c r="I66" i="29"/>
  <c r="H2530" i="29"/>
  <c r="H2434" i="29"/>
  <c r="L2338" i="29"/>
  <c r="M2250" i="29"/>
  <c r="M2154" i="29"/>
  <c r="J2066" i="29"/>
  <c r="F1994" i="29"/>
  <c r="H2402" i="29"/>
  <c r="G2490" i="29"/>
  <c r="J2394" i="29"/>
  <c r="L2282" i="29"/>
  <c r="M2436" i="29"/>
  <c r="L1894" i="29"/>
  <c r="M2528" i="29"/>
  <c r="H2215" i="29"/>
  <c r="J1751" i="29"/>
  <c r="K2508" i="29"/>
  <c r="K2356" i="29"/>
  <c r="F2084" i="29"/>
  <c r="J2540" i="29"/>
  <c r="F2339" i="29"/>
  <c r="K2461" i="29"/>
  <c r="G2197" i="29"/>
  <c r="J2471" i="29"/>
  <c r="L2460" i="29"/>
  <c r="L2435" i="29"/>
  <c r="F2093" i="29"/>
  <c r="G2264" i="29"/>
  <c r="G2175" i="29"/>
  <c r="K1743" i="29"/>
  <c r="K2435" i="29"/>
  <c r="F2426" i="29"/>
  <c r="M2266" i="29"/>
  <c r="K2082" i="29"/>
  <c r="G1970" i="29"/>
  <c r="K1890" i="29"/>
  <c r="G1818" i="29"/>
  <c r="L1770" i="29"/>
  <c r="J1714" i="29"/>
  <c r="F1658" i="29"/>
  <c r="H1618" i="29"/>
  <c r="L1562" i="29"/>
  <c r="G1506" i="29"/>
  <c r="K1458" i="29"/>
  <c r="H1402" i="29"/>
  <c r="J1362" i="29"/>
  <c r="J1314" i="29"/>
  <c r="F1274" i="29"/>
  <c r="G1242" i="29"/>
  <c r="H1194" i="29"/>
  <c r="H1162" i="29"/>
  <c r="K1130" i="29"/>
  <c r="I1082" i="29"/>
  <c r="G1050" i="29"/>
  <c r="F1018" i="29"/>
  <c r="I970" i="29"/>
  <c r="L1817" i="29"/>
  <c r="M2425" i="29"/>
  <c r="K1884" i="29"/>
  <c r="M2549" i="29"/>
  <c r="L1861" i="29"/>
  <c r="L1756" i="29"/>
  <c r="F2316" i="29"/>
  <c r="F2004" i="29"/>
  <c r="K2528" i="29"/>
  <c r="F2331" i="29"/>
  <c r="L2364" i="29"/>
  <c r="G2133" i="29"/>
  <c r="L2456" i="29"/>
  <c r="L2449" i="29"/>
  <c r="F2173" i="29"/>
  <c r="F2005" i="29"/>
  <c r="H2407" i="29"/>
  <c r="G2127" i="29"/>
  <c r="L1727" i="29"/>
  <c r="G2310" i="29"/>
  <c r="J2426" i="29"/>
  <c r="I2242" i="29"/>
  <c r="G2082" i="29"/>
  <c r="K1946" i="29"/>
  <c r="H1882" i="29"/>
  <c r="J1818" i="29"/>
  <c r="M1762" i="29"/>
  <c r="F1706" i="29"/>
  <c r="M1658" i="29"/>
  <c r="G1602" i="29"/>
  <c r="G1546" i="29"/>
  <c r="M1506" i="29"/>
  <c r="M1450" i="29"/>
  <c r="I1402" i="29"/>
  <c r="J1354" i="29"/>
  <c r="F1306" i="29"/>
  <c r="M1274" i="29"/>
  <c r="J1234" i="29"/>
  <c r="M1194" i="29"/>
  <c r="K1162" i="29"/>
  <c r="L1122" i="29"/>
  <c r="F1509" i="29"/>
  <c r="F2369" i="29"/>
  <c r="K1772" i="29"/>
  <c r="M2437" i="29"/>
  <c r="M2504" i="29"/>
  <c r="L2422" i="29"/>
  <c r="L2316" i="29"/>
  <c r="H2004" i="29"/>
  <c r="K2476" i="29"/>
  <c r="H2331" i="29"/>
  <c r="G2119" i="29"/>
  <c r="F2125" i="29"/>
  <c r="L2453" i="29"/>
  <c r="F2072" i="29"/>
  <c r="F1917" i="29"/>
  <c r="G2005" i="29"/>
  <c r="K2407" i="29"/>
  <c r="H2127" i="29"/>
  <c r="I1671" i="29"/>
  <c r="G2247" i="29"/>
  <c r="I2402" i="29"/>
  <c r="J2242" i="29"/>
  <c r="F2082" i="29"/>
  <c r="J1930" i="29"/>
  <c r="H1874" i="29"/>
  <c r="K1818" i="29"/>
  <c r="F1762" i="29"/>
  <c r="G1706" i="29"/>
  <c r="H1658" i="29"/>
  <c r="I1602" i="29"/>
  <c r="H1546" i="29"/>
  <c r="I1506" i="29"/>
  <c r="I1450" i="29"/>
  <c r="K1402" i="29"/>
  <c r="F1354" i="29"/>
  <c r="G1306" i="29"/>
  <c r="H1266" i="29"/>
  <c r="K1234" i="29"/>
  <c r="L1194" i="29"/>
  <c r="J1154" i="29"/>
  <c r="F1122" i="29"/>
  <c r="H1082" i="29"/>
  <c r="I1042" i="29"/>
  <c r="L1010" i="29"/>
  <c r="F970" i="29"/>
  <c r="I930" i="29"/>
  <c r="F898" i="29"/>
  <c r="G858" i="29"/>
  <c r="J818" i="29"/>
  <c r="G786" i="29"/>
  <c r="J746" i="29"/>
  <c r="F706" i="29"/>
  <c r="M674" i="29"/>
  <c r="L634" i="29"/>
  <c r="H602" i="29"/>
  <c r="J570" i="29"/>
  <c r="F538" i="29"/>
  <c r="F506" i="29"/>
  <c r="K482" i="29"/>
  <c r="M2486" i="29"/>
  <c r="H2362" i="29"/>
  <c r="F1352" i="29"/>
  <c r="F2374" i="29"/>
  <c r="H2306" i="29"/>
  <c r="M2519" i="29"/>
  <c r="H2183" i="29"/>
  <c r="M2552" i="29"/>
  <c r="G2366" i="29"/>
  <c r="F2292" i="29"/>
  <c r="F1980" i="29"/>
  <c r="J2459" i="29"/>
  <c r="H1875" i="29"/>
  <c r="L1660" i="29"/>
  <c r="F2101" i="29"/>
  <c r="F2061" i="29"/>
  <c r="F1952" i="29"/>
  <c r="G2406" i="29"/>
  <c r="F2417" i="29"/>
  <c r="K2391" i="29"/>
  <c r="G2071" i="29"/>
  <c r="L1223" i="29"/>
  <c r="J2586" i="29"/>
  <c r="G2402" i="29"/>
  <c r="L2218" i="29"/>
  <c r="L2058" i="29"/>
  <c r="G1930" i="29"/>
  <c r="F1874" i="29"/>
  <c r="G1810" i="29"/>
  <c r="G1754" i="29"/>
  <c r="K1706" i="29"/>
  <c r="K1650" i="29"/>
  <c r="F1594" i="29"/>
  <c r="I1546" i="29"/>
  <c r="I1490" i="29"/>
  <c r="F1442" i="29"/>
  <c r="G1394" i="29"/>
  <c r="K1346" i="29"/>
  <c r="M1306" i="29"/>
  <c r="J1813" i="29"/>
  <c r="G2277" i="29"/>
  <c r="M2535" i="29"/>
  <c r="G1272" i="29"/>
  <c r="F1572" i="29"/>
  <c r="H2294" i="29"/>
  <c r="H2260" i="29"/>
  <c r="F1924" i="29"/>
  <c r="F2333" i="29"/>
  <c r="L1547" i="29"/>
  <c r="H2358" i="29"/>
  <c r="G1909" i="29"/>
  <c r="K2583" i="29"/>
  <c r="J2583" i="29"/>
  <c r="J1830" i="29"/>
  <c r="H2321" i="29"/>
  <c r="H2367" i="29"/>
  <c r="H2039" i="29"/>
  <c r="L2572" i="29"/>
  <c r="H2538" i="29"/>
  <c r="M2378" i="29"/>
  <c r="K2194" i="29"/>
  <c r="I2034" i="29"/>
  <c r="J1914" i="29"/>
  <c r="K1866" i="29"/>
  <c r="J1802" i="29"/>
  <c r="K1746" i="29"/>
  <c r="F1690" i="29"/>
  <c r="F1634" i="29"/>
  <c r="M1594" i="29"/>
  <c r="H1538" i="29"/>
  <c r="L1482" i="29"/>
  <c r="F1434" i="29"/>
  <c r="J1815" i="29"/>
  <c r="M2439" i="29"/>
  <c r="I1441" i="29"/>
  <c r="F2398" i="29"/>
  <c r="F2092" i="29"/>
  <c r="G1959" i="29"/>
  <c r="F2358" i="29"/>
  <c r="K2446" i="29"/>
  <c r="J2475" i="29"/>
  <c r="L2424" i="29"/>
  <c r="G2047" i="29"/>
  <c r="F2586" i="29"/>
  <c r="L2290" i="29"/>
  <c r="L2034" i="29"/>
  <c r="I1866" i="29"/>
  <c r="G1762" i="29"/>
  <c r="G1666" i="29"/>
  <c r="H1586" i="29"/>
  <c r="G1482" i="29"/>
  <c r="M1402" i="29"/>
  <c r="G1322" i="29"/>
  <c r="G1266" i="29"/>
  <c r="G1202" i="29"/>
  <c r="J1146" i="29"/>
  <c r="L1082" i="29"/>
  <c r="I1034" i="29"/>
  <c r="K970" i="29"/>
  <c r="G930" i="29"/>
  <c r="L874" i="29"/>
  <c r="M818" i="29"/>
  <c r="H770" i="29"/>
  <c r="L714" i="29"/>
  <c r="F658" i="29"/>
  <c r="M610" i="29"/>
  <c r="G570" i="29"/>
  <c r="L522" i="29"/>
  <c r="G482" i="29"/>
  <c r="L442" i="29"/>
  <c r="M402" i="29"/>
  <c r="F370" i="29"/>
  <c r="L330" i="29"/>
  <c r="F290" i="29"/>
  <c r="L258" i="29"/>
  <c r="K218" i="29"/>
  <c r="F178" i="29"/>
  <c r="L146" i="29"/>
  <c r="F106" i="29"/>
  <c r="G66" i="29"/>
  <c r="G2506" i="29"/>
  <c r="K2386" i="29"/>
  <c r="K2250" i="29"/>
  <c r="L2130" i="29"/>
  <c r="H2042" i="29"/>
  <c r="K1834" i="29"/>
  <c r="F2466" i="29"/>
  <c r="M2346" i="29"/>
  <c r="L2210" i="29"/>
  <c r="H2106" i="29"/>
  <c r="J2002" i="29"/>
  <c r="K1826" i="29"/>
  <c r="M2201" i="29"/>
  <c r="K1929" i="29"/>
  <c r="K1737" i="29"/>
  <c r="J2280" i="29"/>
  <c r="I1992" i="29"/>
  <c r="M1760" i="29"/>
  <c r="M1624" i="29"/>
  <c r="I1440" i="29"/>
  <c r="L1280" i="29"/>
  <c r="G1120" i="29"/>
  <c r="F984" i="29"/>
  <c r="F880" i="29"/>
  <c r="L832" i="29"/>
  <c r="G768" i="29"/>
  <c r="I2329" i="29"/>
  <c r="K2105" i="29"/>
  <c r="M1865" i="29"/>
  <c r="K1761" i="29"/>
  <c r="J1609" i="29"/>
  <c r="K1481" i="29"/>
  <c r="L1393" i="29"/>
  <c r="K1257" i="29"/>
  <c r="L1169" i="29"/>
  <c r="F1041" i="29"/>
  <c r="K905" i="29"/>
  <c r="H809" i="29"/>
  <c r="F673" i="29"/>
  <c r="F577" i="29"/>
  <c r="L457" i="29"/>
  <c r="G345" i="29"/>
  <c r="K233" i="29"/>
  <c r="I145" i="29"/>
  <c r="K2553" i="29"/>
  <c r="M2152" i="29"/>
  <c r="F1856" i="29"/>
  <c r="H1648" i="29"/>
  <c r="L1504" i="29"/>
  <c r="I1320" i="29"/>
  <c r="I1128" i="29"/>
  <c r="G1016" i="29"/>
  <c r="J872" i="29"/>
  <c r="H640" i="29"/>
  <c r="I560" i="29"/>
  <c r="M496" i="29"/>
  <c r="L416" i="29"/>
  <c r="G360" i="29"/>
  <c r="M288" i="29"/>
  <c r="F240" i="29"/>
  <c r="M168" i="29"/>
  <c r="G120" i="29"/>
  <c r="F64" i="29"/>
  <c r="K2376" i="29"/>
  <c r="I2343" i="29"/>
  <c r="L2271" i="29"/>
  <c r="G1619" i="29"/>
  <c r="G1963" i="29"/>
  <c r="M2560" i="29"/>
  <c r="F2366" i="29"/>
  <c r="H2092" i="29"/>
  <c r="J2387" i="29"/>
  <c r="G2358" i="29"/>
  <c r="L2443" i="29"/>
  <c r="K2438" i="29"/>
  <c r="G2296" i="29"/>
  <c r="H2047" i="29"/>
  <c r="G2586" i="29"/>
  <c r="M2290" i="29"/>
  <c r="I1970" i="29"/>
  <c r="J1866" i="29"/>
  <c r="F1754" i="29"/>
  <c r="K1658" i="29"/>
  <c r="K1570" i="29"/>
  <c r="H1482" i="29"/>
  <c r="L1402" i="29"/>
  <c r="I1322" i="29"/>
  <c r="L1266" i="29"/>
  <c r="J1194" i="29"/>
  <c r="K1146" i="29"/>
  <c r="G1082" i="29"/>
  <c r="F1034" i="29"/>
  <c r="L970" i="29"/>
  <c r="H930" i="29"/>
  <c r="J866" i="29"/>
  <c r="F818" i="29"/>
  <c r="J770" i="29"/>
  <c r="I714" i="29"/>
  <c r="G658" i="29"/>
  <c r="J610" i="29"/>
  <c r="I562" i="29"/>
  <c r="M522" i="29"/>
  <c r="H482" i="29"/>
  <c r="J442" i="29"/>
  <c r="J402" i="29"/>
  <c r="G370" i="29"/>
  <c r="M330" i="29"/>
  <c r="G290" i="29"/>
  <c r="J258" i="29"/>
  <c r="L218" i="29"/>
  <c r="H178" i="29"/>
  <c r="J146" i="29"/>
  <c r="H106" i="29"/>
  <c r="H66" i="29"/>
  <c r="H2506" i="29"/>
  <c r="G2386" i="29"/>
  <c r="L2250" i="29"/>
  <c r="M2130" i="29"/>
  <c r="F2042" i="29"/>
  <c r="L2530" i="29"/>
  <c r="G2466" i="29"/>
  <c r="J2346" i="29"/>
  <c r="F2210" i="29"/>
  <c r="G2106" i="29"/>
  <c r="K2002" i="29"/>
  <c r="G1826" i="29"/>
  <c r="I2161" i="29"/>
  <c r="L1929" i="29"/>
  <c r="K1689" i="29"/>
  <c r="L2280" i="29"/>
  <c r="J1992" i="29"/>
  <c r="F1760" i="29"/>
  <c r="G1576" i="29"/>
  <c r="J1440" i="29"/>
  <c r="H1240" i="29"/>
  <c r="H1120" i="29"/>
  <c r="I960" i="29"/>
  <c r="G880" i="29"/>
  <c r="K816" i="29"/>
  <c r="H768" i="29"/>
  <c r="M2329" i="29"/>
  <c r="L2105" i="29"/>
  <c r="I1865" i="29"/>
  <c r="M1713" i="29"/>
  <c r="G1577" i="29"/>
  <c r="L1481" i="29"/>
  <c r="G1353" i="29"/>
  <c r="F1257" i="29"/>
  <c r="I1137" i="29"/>
  <c r="H1041" i="29"/>
  <c r="M905" i="29"/>
  <c r="F809" i="29"/>
  <c r="G673" i="29"/>
  <c r="G577" i="29"/>
  <c r="F457" i="29"/>
  <c r="H345" i="29"/>
  <c r="L233" i="29"/>
  <c r="L145" i="29"/>
  <c r="K2545" i="29"/>
  <c r="I2104" i="29"/>
  <c r="G1856" i="29"/>
  <c r="I1648" i="29"/>
  <c r="G1456" i="29"/>
  <c r="J1320" i="29"/>
  <c r="J1128" i="29"/>
  <c r="H1016" i="29"/>
  <c r="K872" i="29"/>
  <c r="F640" i="29"/>
  <c r="K560" i="29"/>
  <c r="H496" i="29"/>
  <c r="M416" i="29"/>
  <c r="H360" i="29"/>
  <c r="F288" i="29"/>
  <c r="G240" i="29"/>
  <c r="F168" i="29"/>
  <c r="L120" i="29"/>
  <c r="G64" i="29"/>
  <c r="K2360" i="29"/>
  <c r="M2343" i="29"/>
  <c r="F2299" i="29"/>
  <c r="H2001" i="29"/>
  <c r="I1411" i="29"/>
  <c r="H2366" i="29"/>
  <c r="H2084" i="29"/>
  <c r="J2379" i="29"/>
  <c r="G2334" i="29"/>
  <c r="G2061" i="29"/>
  <c r="K2387" i="29"/>
  <c r="F2288" i="29"/>
  <c r="G2031" i="29"/>
  <c r="I2586" i="29"/>
  <c r="K2266" i="29"/>
  <c r="J1970" i="29"/>
  <c r="L1866" i="29"/>
  <c r="G1746" i="29"/>
  <c r="J1658" i="29"/>
  <c r="M1570" i="29"/>
  <c r="M1482" i="29"/>
  <c r="H1394" i="29"/>
  <c r="J1322" i="29"/>
  <c r="H1258" i="29"/>
  <c r="K1194" i="29"/>
  <c r="I1138" i="29"/>
  <c r="F1082" i="29"/>
  <c r="I1026" i="29"/>
  <c r="M970" i="29"/>
  <c r="I922" i="29"/>
  <c r="L866" i="29"/>
  <c r="I818" i="29"/>
  <c r="H762" i="29"/>
  <c r="H714" i="29"/>
  <c r="H658" i="29"/>
  <c r="I602" i="29"/>
  <c r="K562" i="29"/>
  <c r="L514" i="29"/>
  <c r="J482" i="29"/>
  <c r="F442" i="29"/>
  <c r="K402" i="29"/>
  <c r="H370" i="29"/>
  <c r="J330" i="29"/>
  <c r="I290" i="29"/>
  <c r="K258" i="29"/>
  <c r="M218" i="29"/>
  <c r="I178" i="29"/>
  <c r="K146" i="29"/>
  <c r="I106" i="29"/>
  <c r="J66" i="29"/>
  <c r="K2506" i="29"/>
  <c r="L2386" i="29"/>
  <c r="F2250" i="29"/>
  <c r="G2130" i="29"/>
  <c r="I2018" i="29"/>
  <c r="H2338" i="29"/>
  <c r="H2466" i="29"/>
  <c r="K2346" i="29"/>
  <c r="I2186" i="29"/>
  <c r="F2106" i="29"/>
  <c r="L2002" i="29"/>
  <c r="J1826" i="29"/>
  <c r="J2161" i="29"/>
  <c r="M1929" i="29"/>
  <c r="F1689" i="29"/>
  <c r="M2280" i="29"/>
  <c r="K1992" i="29"/>
  <c r="G1760" i="29"/>
  <c r="M1576" i="29"/>
  <c r="K1440" i="29"/>
  <c r="I1240" i="29"/>
  <c r="K1120" i="29"/>
  <c r="J960" i="29"/>
  <c r="H880" i="29"/>
  <c r="H816" i="29"/>
  <c r="J768" i="29"/>
  <c r="I2297" i="29"/>
  <c r="M2105" i="29"/>
  <c r="F1865" i="29"/>
  <c r="F1713" i="29"/>
  <c r="F1577" i="29"/>
  <c r="M1481" i="29"/>
  <c r="H1353" i="29"/>
  <c r="G1257" i="29"/>
  <c r="J1137" i="29"/>
  <c r="M1041" i="29"/>
  <c r="L905" i="29"/>
  <c r="G809" i="29"/>
  <c r="H673" i="29"/>
  <c r="J577" i="29"/>
  <c r="G457" i="29"/>
  <c r="I345" i="29"/>
  <c r="M233" i="29"/>
  <c r="K145" i="29"/>
  <c r="K2513" i="29"/>
  <c r="J2104" i="29"/>
  <c r="H1856" i="29"/>
  <c r="J1648" i="29"/>
  <c r="H1456" i="29"/>
  <c r="K1320" i="29"/>
  <c r="L1128" i="29"/>
  <c r="M1016" i="29"/>
  <c r="M872" i="29"/>
  <c r="J640" i="29"/>
  <c r="L560" i="29"/>
  <c r="G496" i="29"/>
  <c r="J416" i="29"/>
  <c r="I360" i="29"/>
  <c r="G288" i="29"/>
  <c r="H240" i="29"/>
  <c r="G168" i="29"/>
  <c r="J120" i="29"/>
  <c r="H64" i="29"/>
  <c r="K2352" i="29"/>
  <c r="M2493" i="29"/>
  <c r="L1385" i="29"/>
  <c r="M2581" i="29"/>
  <c r="H2318" i="29"/>
  <c r="F2012" i="29"/>
  <c r="F2355" i="29"/>
  <c r="H2334" i="29"/>
  <c r="G2029" i="29"/>
  <c r="J2315" i="29"/>
  <c r="F2272" i="29"/>
  <c r="H1999" i="29"/>
  <c r="M2562" i="29"/>
  <c r="F2266" i="29"/>
  <c r="L1970" i="29"/>
  <c r="F1866" i="29"/>
  <c r="I1746" i="29"/>
  <c r="L1658" i="29"/>
  <c r="H1562" i="29"/>
  <c r="I1482" i="29"/>
  <c r="J1394" i="29"/>
  <c r="I1314" i="29"/>
  <c r="M1258" i="29"/>
  <c r="F1194" i="29"/>
  <c r="L1138" i="29"/>
  <c r="M1082" i="29"/>
  <c r="K1026" i="29"/>
  <c r="G970" i="29"/>
  <c r="H922" i="29"/>
  <c r="J858" i="29"/>
  <c r="G818" i="29"/>
  <c r="J762" i="29"/>
  <c r="G706" i="29"/>
  <c r="M658" i="29"/>
  <c r="L602" i="29"/>
  <c r="L562" i="29"/>
  <c r="M514" i="29"/>
  <c r="I474" i="29"/>
  <c r="G442" i="29"/>
  <c r="F402" i="29"/>
  <c r="L362" i="29"/>
  <c r="I330" i="29"/>
  <c r="L290" i="29"/>
  <c r="M250" i="29"/>
  <c r="I218" i="29"/>
  <c r="J178" i="29"/>
  <c r="H138" i="29"/>
  <c r="J106" i="29"/>
  <c r="K66" i="29"/>
  <c r="I2506" i="29"/>
  <c r="F2386" i="29"/>
  <c r="G2250" i="29"/>
  <c r="H2130" i="29"/>
  <c r="J2018" i="29"/>
  <c r="H2274" i="29"/>
  <c r="J2466" i="29"/>
  <c r="L2346" i="29"/>
  <c r="J2186" i="29"/>
  <c r="I2074" i="29"/>
  <c r="M2002" i="29"/>
  <c r="L2570" i="29"/>
  <c r="K2161" i="29"/>
  <c r="M1889" i="29"/>
  <c r="H1689" i="29"/>
  <c r="I2240" i="29"/>
  <c r="L1992" i="29"/>
  <c r="H1760" i="29"/>
  <c r="F1576" i="29"/>
  <c r="M1440" i="29"/>
  <c r="J1240" i="29"/>
  <c r="M1120" i="29"/>
  <c r="K960" i="29"/>
  <c r="I880" i="29"/>
  <c r="I816" i="29"/>
  <c r="M768" i="29"/>
  <c r="J2297" i="29"/>
  <c r="I2073" i="29"/>
  <c r="G1865" i="29"/>
  <c r="G1713" i="29"/>
  <c r="H1577" i="29"/>
  <c r="F1481" i="29"/>
  <c r="J1353" i="29"/>
  <c r="L1257" i="29"/>
  <c r="L1137" i="29"/>
  <c r="G1041" i="29"/>
  <c r="F905" i="29"/>
  <c r="L809" i="29"/>
  <c r="J673" i="29"/>
  <c r="H577" i="29"/>
  <c r="H457" i="29"/>
  <c r="K345" i="29"/>
  <c r="I233" i="29"/>
  <c r="J145" i="29"/>
  <c r="K2489" i="29"/>
  <c r="K2104" i="29"/>
  <c r="M1800" i="29"/>
  <c r="M1648" i="29"/>
  <c r="F1456" i="29"/>
  <c r="L1320" i="29"/>
  <c r="G1128" i="29"/>
  <c r="F1016" i="29"/>
  <c r="F872" i="29"/>
  <c r="K640" i="29"/>
  <c r="M560" i="29"/>
  <c r="F496" i="29"/>
  <c r="F416" i="29"/>
  <c r="K360" i="29"/>
  <c r="H288" i="29"/>
  <c r="J240" i="29"/>
  <c r="H168" i="29"/>
  <c r="K120" i="29"/>
  <c r="I64" i="29"/>
  <c r="K2344" i="29"/>
  <c r="M2335" i="29"/>
  <c r="J2263" i="29"/>
  <c r="M2576" i="29"/>
  <c r="F2112" i="29"/>
  <c r="M2497" i="29"/>
  <c r="F2294" i="29"/>
  <c r="H1996" i="29"/>
  <c r="H2355" i="29"/>
  <c r="G1854" i="29"/>
  <c r="K1885" i="29"/>
  <c r="F2414" i="29"/>
  <c r="G2272" i="29"/>
  <c r="G1975" i="29"/>
  <c r="F2562" i="29"/>
  <c r="K2242" i="29"/>
  <c r="M1970" i="29"/>
  <c r="G1866" i="29"/>
  <c r="L1746" i="29"/>
  <c r="I1658" i="29"/>
  <c r="I1562" i="29"/>
  <c r="F1482" i="29"/>
  <c r="F1394" i="29"/>
  <c r="M1314" i="29"/>
  <c r="H1250" i="29"/>
  <c r="G1194" i="29"/>
  <c r="J1130" i="29"/>
  <c r="I1074" i="29"/>
  <c r="J1018" i="29"/>
  <c r="H970" i="29"/>
  <c r="I914" i="29"/>
  <c r="M858" i="29"/>
  <c r="H818" i="29"/>
  <c r="I762" i="29"/>
  <c r="H706" i="29"/>
  <c r="I658" i="29"/>
  <c r="M602" i="29"/>
  <c r="M562" i="29"/>
  <c r="G514" i="29"/>
  <c r="J474" i="29"/>
  <c r="H442" i="29"/>
  <c r="G402" i="29"/>
  <c r="M362" i="29"/>
  <c r="K330" i="29"/>
  <c r="J290" i="29"/>
  <c r="J250" i="29"/>
  <c r="F218" i="29"/>
  <c r="K178" i="29"/>
  <c r="I138" i="29"/>
  <c r="K106" i="29"/>
  <c r="M66" i="29"/>
  <c r="M2482" i="29"/>
  <c r="I2362" i="29"/>
  <c r="I2226" i="29"/>
  <c r="F2130" i="29"/>
  <c r="K2018" i="29"/>
  <c r="H2242" i="29"/>
  <c r="K2466" i="29"/>
  <c r="F2346" i="29"/>
  <c r="K2186" i="29"/>
  <c r="J2074" i="29"/>
  <c r="F2002" i="29"/>
  <c r="L2506" i="29"/>
  <c r="L2161" i="29"/>
  <c r="J1889" i="29"/>
  <c r="I1689" i="29"/>
  <c r="J2240" i="29"/>
  <c r="M1992" i="29"/>
  <c r="I1760" i="29"/>
  <c r="H1576" i="29"/>
  <c r="L1440" i="29"/>
  <c r="K1240" i="29"/>
  <c r="F1120" i="29"/>
  <c r="L960" i="29"/>
  <c r="L880" i="29"/>
  <c r="L816" i="29"/>
  <c r="I768" i="29"/>
  <c r="L2297" i="29"/>
  <c r="J2073" i="29"/>
  <c r="H1865" i="29"/>
  <c r="H1713" i="29"/>
  <c r="I1577" i="29"/>
  <c r="I1481" i="29"/>
  <c r="M1353" i="29"/>
  <c r="M1257" i="29"/>
  <c r="M1137" i="29"/>
  <c r="I1017" i="29"/>
  <c r="G905" i="29"/>
  <c r="K769" i="29"/>
  <c r="K673" i="29"/>
  <c r="I545" i="29"/>
  <c r="I457" i="29"/>
  <c r="M321" i="29"/>
  <c r="H233" i="29"/>
  <c r="H121" i="29"/>
  <c r="K2457" i="29"/>
  <c r="L2104" i="29"/>
  <c r="F1800" i="29"/>
  <c r="G1648" i="29"/>
  <c r="I1456" i="29"/>
  <c r="H1256" i="29"/>
  <c r="H1128" i="29"/>
  <c r="I992" i="29"/>
  <c r="I872" i="29"/>
  <c r="I624" i="29"/>
  <c r="H560" i="29"/>
  <c r="I480" i="29"/>
  <c r="G416" i="29"/>
  <c r="L344" i="29"/>
  <c r="I288" i="29"/>
  <c r="K224" i="29"/>
  <c r="L168" i="29"/>
  <c r="F104" i="29"/>
  <c r="J64" i="29"/>
  <c r="K2336" i="29"/>
  <c r="I2327" i="29"/>
  <c r="F2240" i="29"/>
  <c r="I1355" i="29"/>
  <c r="G2187" i="29"/>
  <c r="G2294" i="29"/>
  <c r="H1988" i="29"/>
  <c r="K2347" i="29"/>
  <c r="L2421" i="29"/>
  <c r="L1885" i="29"/>
  <c r="G2414" i="29"/>
  <c r="F2264" i="29"/>
  <c r="G1935" i="29"/>
  <c r="G2562" i="29"/>
  <c r="K2218" i="29"/>
  <c r="F1970" i="29"/>
  <c r="J1842" i="29"/>
  <c r="J1746" i="29"/>
  <c r="G1658" i="29"/>
  <c r="J1562" i="29"/>
  <c r="L1466" i="29"/>
  <c r="I1394" i="29"/>
  <c r="L1314" i="29"/>
  <c r="J1250" i="29"/>
  <c r="H1186" i="29"/>
  <c r="L1130" i="29"/>
  <c r="J1074" i="29"/>
  <c r="K1018" i="29"/>
  <c r="I962" i="29"/>
  <c r="K914" i="29"/>
  <c r="F858" i="29"/>
  <c r="L818" i="29"/>
  <c r="K754" i="29"/>
  <c r="M706" i="29"/>
  <c r="J658" i="29"/>
  <c r="F602" i="29"/>
  <c r="H562" i="29"/>
  <c r="K514" i="29"/>
  <c r="K474" i="29"/>
  <c r="I442" i="29"/>
  <c r="H402" i="29"/>
  <c r="J362" i="29"/>
  <c r="F330" i="29"/>
  <c r="K290" i="29"/>
  <c r="K250" i="29"/>
  <c r="G218" i="29"/>
  <c r="L178" i="29"/>
  <c r="G138" i="29"/>
  <c r="M106" i="29"/>
  <c r="L66" i="29"/>
  <c r="F2482" i="29"/>
  <c r="M2362" i="29"/>
  <c r="J2226" i="29"/>
  <c r="I2114" i="29"/>
  <c r="L2018" i="29"/>
  <c r="H2178" i="29"/>
  <c r="I2466" i="29"/>
  <c r="G2346" i="29"/>
  <c r="L2186" i="29"/>
  <c r="K2074" i="29"/>
  <c r="H2002" i="29"/>
  <c r="L2442" i="29"/>
  <c r="M2161" i="29"/>
  <c r="K1889" i="29"/>
  <c r="J1689" i="29"/>
  <c r="K2240" i="29"/>
  <c r="I1944" i="29"/>
  <c r="J1760" i="29"/>
  <c r="J1576" i="29"/>
  <c r="G1368" i="29"/>
  <c r="M1240" i="29"/>
  <c r="I1064" i="29"/>
  <c r="M960" i="29"/>
  <c r="J856" i="29"/>
  <c r="M816" i="29"/>
  <c r="K752" i="29"/>
  <c r="M2297" i="29"/>
  <c r="K2073" i="29"/>
  <c r="J1865" i="29"/>
  <c r="I1713" i="29"/>
  <c r="K1577" i="29"/>
  <c r="G1449" i="29"/>
  <c r="I1353" i="29"/>
  <c r="H1225" i="29"/>
  <c r="G1137" i="29"/>
  <c r="J1017" i="29"/>
  <c r="H905" i="29"/>
  <c r="L769" i="29"/>
  <c r="M673" i="29"/>
  <c r="J545" i="29"/>
  <c r="J457" i="29"/>
  <c r="H321" i="29"/>
  <c r="J233" i="29"/>
  <c r="I121" i="29"/>
  <c r="K2425" i="29"/>
  <c r="M2104" i="29"/>
  <c r="G1800" i="29"/>
  <c r="K1600" i="29"/>
  <c r="J1456" i="29"/>
  <c r="I1256" i="29"/>
  <c r="K1128" i="29"/>
  <c r="J992" i="29"/>
  <c r="G872" i="29"/>
  <c r="L624" i="29"/>
  <c r="J560" i="29"/>
  <c r="J480" i="29"/>
  <c r="H416" i="29"/>
  <c r="M344" i="29"/>
  <c r="L288" i="29"/>
  <c r="L224" i="29"/>
  <c r="I168" i="29"/>
  <c r="H104" i="29"/>
  <c r="K64" i="29"/>
  <c r="K2328" i="29"/>
  <c r="M2327" i="29"/>
  <c r="H2234" i="29"/>
  <c r="M2472" i="29"/>
  <c r="L1444" i="29"/>
  <c r="L2493" i="29"/>
  <c r="F1956" i="29"/>
  <c r="J2331" i="29"/>
  <c r="F2213" i="29"/>
  <c r="K2573" i="29"/>
  <c r="F1886" i="29"/>
  <c r="H2399" i="29"/>
  <c r="J1879" i="29"/>
  <c r="F2522" i="29"/>
  <c r="I2194" i="29"/>
  <c r="K1930" i="29"/>
  <c r="M1818" i="29"/>
  <c r="H1738" i="29"/>
  <c r="L1642" i="29"/>
  <c r="L1546" i="29"/>
  <c r="J1466" i="29"/>
  <c r="F1378" i="29"/>
  <c r="L1306" i="29"/>
  <c r="M1242" i="29"/>
  <c r="K1186" i="29"/>
  <c r="M1130" i="29"/>
  <c r="G1074" i="29"/>
  <c r="M1018" i="29"/>
  <c r="L962" i="29"/>
  <c r="H906" i="29"/>
  <c r="L858" i="29"/>
  <c r="K802" i="29"/>
  <c r="F746" i="29"/>
  <c r="L706" i="29"/>
  <c r="K650" i="29"/>
  <c r="J602" i="29"/>
  <c r="L554" i="29"/>
  <c r="I506" i="29"/>
  <c r="F474" i="29"/>
  <c r="K434" i="29"/>
  <c r="J394" i="29"/>
  <c r="H362" i="29"/>
  <c r="J322" i="29"/>
  <c r="G282" i="29"/>
  <c r="I250" i="29"/>
  <c r="G210" i="29"/>
  <c r="H170" i="29"/>
  <c r="L138" i="29"/>
  <c r="M98" i="29"/>
  <c r="L2426" i="29"/>
  <c r="J2482" i="29"/>
  <c r="K2338" i="29"/>
  <c r="M2226" i="29"/>
  <c r="L2114" i="29"/>
  <c r="M1994" i="29"/>
  <c r="F2570" i="29"/>
  <c r="F2442" i="29"/>
  <c r="J2282" i="29"/>
  <c r="F2186" i="29"/>
  <c r="F2074" i="29"/>
  <c r="J1978" i="29"/>
  <c r="H2266" i="29"/>
  <c r="K2121" i="29"/>
  <c r="M1841" i="29"/>
  <c r="K1617" i="29"/>
  <c r="I2192" i="29"/>
  <c r="L1944" i="29"/>
  <c r="M1712" i="29"/>
  <c r="L1576" i="29"/>
  <c r="I1368" i="29"/>
  <c r="L1240" i="29"/>
  <c r="L1064" i="29"/>
  <c r="F960" i="29"/>
  <c r="F856" i="29"/>
  <c r="J816" i="29"/>
  <c r="G752" i="29"/>
  <c r="K2257" i="29"/>
  <c r="I2033" i="29"/>
  <c r="F1833" i="29"/>
  <c r="K1681" i="29"/>
  <c r="M1577" i="29"/>
  <c r="K1449" i="29"/>
  <c r="L1353" i="29"/>
  <c r="K1225" i="29"/>
  <c r="K1137" i="29"/>
  <c r="F1017" i="29"/>
  <c r="J873" i="29"/>
  <c r="M769" i="29"/>
  <c r="F649" i="29"/>
  <c r="M545" i="29"/>
  <c r="L417" i="29"/>
  <c r="J321" i="29"/>
  <c r="J201" i="29"/>
  <c r="J121" i="29"/>
  <c r="I2352" i="29"/>
  <c r="K2056" i="29"/>
  <c r="J1800" i="29"/>
  <c r="F1600" i="29"/>
  <c r="L1456" i="29"/>
  <c r="F1256" i="29"/>
  <c r="I1080" i="29"/>
  <c r="M992" i="29"/>
  <c r="F680" i="29"/>
  <c r="F624" i="29"/>
  <c r="I544" i="29"/>
  <c r="M480" i="29"/>
  <c r="L392" i="29"/>
  <c r="G344" i="29"/>
  <c r="M272" i="29"/>
  <c r="F224" i="29"/>
  <c r="M152" i="29"/>
  <c r="K104" i="29"/>
  <c r="J2577" i="29"/>
  <c r="F2304" i="29"/>
  <c r="I2311" i="29"/>
  <c r="M2512" i="29"/>
  <c r="G1640" i="29"/>
  <c r="F2056" i="29"/>
  <c r="K2380" i="29"/>
  <c r="L2581" i="29"/>
  <c r="F1563" i="29"/>
  <c r="G2117" i="29"/>
  <c r="J2468" i="29"/>
  <c r="J2381" i="29"/>
  <c r="K2375" i="29"/>
  <c r="L1519" i="29"/>
  <c r="M2426" i="29"/>
  <c r="F2146" i="29"/>
  <c r="H1922" i="29"/>
  <c r="F1810" i="29"/>
  <c r="I1714" i="29"/>
  <c r="J1626" i="29"/>
  <c r="G1538" i="29"/>
  <c r="J1450" i="29"/>
  <c r="G1362" i="29"/>
  <c r="F1298" i="29"/>
  <c r="M1234" i="29"/>
  <c r="H1178" i="29"/>
  <c r="F1114" i="29"/>
  <c r="M1058" i="29"/>
  <c r="L1002" i="29"/>
  <c r="I954" i="29"/>
  <c r="K898" i="29"/>
  <c r="I850" i="29"/>
  <c r="J794" i="29"/>
  <c r="F738" i="29"/>
  <c r="H690" i="29"/>
  <c r="H634" i="29"/>
  <c r="G594" i="29"/>
  <c r="H546" i="29"/>
  <c r="J506" i="29"/>
  <c r="K466" i="29"/>
  <c r="H426" i="29"/>
  <c r="H394" i="29"/>
  <c r="J354" i="29"/>
  <c r="L314" i="29"/>
  <c r="K282" i="29"/>
  <c r="M242" i="29"/>
  <c r="F202" i="29"/>
  <c r="L170" i="29"/>
  <c r="G130" i="29"/>
  <c r="J90" i="29"/>
  <c r="F2578" i="29"/>
  <c r="F2458" i="29"/>
  <c r="J2322" i="29"/>
  <c r="K2202" i="29"/>
  <c r="I2090" i="29"/>
  <c r="K1962" i="29"/>
  <c r="M2546" i="29"/>
  <c r="I2418" i="29"/>
  <c r="G1867" i="29"/>
  <c r="J1805" i="29"/>
  <c r="L2384" i="29"/>
  <c r="F2308" i="29"/>
  <c r="L2549" i="29"/>
  <c r="L2577" i="29"/>
  <c r="F2069" i="29"/>
  <c r="H2008" i="29"/>
  <c r="F2165" i="29"/>
  <c r="K2359" i="29"/>
  <c r="J2580" i="29"/>
  <c r="M2402" i="29"/>
  <c r="J2098" i="29"/>
  <c r="M1914" i="29"/>
  <c r="I1802" i="29"/>
  <c r="H1706" i="29"/>
  <c r="F1618" i="29"/>
  <c r="L1530" i="29"/>
  <c r="H1434" i="29"/>
  <c r="H1354" i="29"/>
  <c r="F1282" i="29"/>
  <c r="F1226" i="29"/>
  <c r="L1162" i="29"/>
  <c r="I1106" i="29"/>
  <c r="K1050" i="29"/>
  <c r="F1002" i="29"/>
  <c r="J938" i="29"/>
  <c r="F890" i="29"/>
  <c r="L850" i="29"/>
  <c r="K786" i="29"/>
  <c r="I738" i="29"/>
  <c r="I682" i="29"/>
  <c r="M634" i="29"/>
  <c r="J594" i="29"/>
  <c r="K538" i="29"/>
  <c r="L498" i="29"/>
  <c r="I458" i="29"/>
  <c r="M426" i="29"/>
  <c r="J386" i="29"/>
  <c r="K346" i="29"/>
  <c r="I314" i="29"/>
  <c r="G274" i="29"/>
  <c r="F234" i="29"/>
  <c r="H202" i="29"/>
  <c r="G162" i="29"/>
  <c r="K122" i="29"/>
  <c r="L90" i="29"/>
  <c r="I2578" i="29"/>
  <c r="J2434" i="29"/>
  <c r="G2322" i="29"/>
  <c r="G2202" i="29"/>
  <c r="K2066" i="29"/>
  <c r="G1962" i="29"/>
  <c r="H2546" i="29"/>
  <c r="J1615" i="29"/>
  <c r="G1939" i="29"/>
  <c r="K1740" i="29"/>
  <c r="H2300" i="29"/>
  <c r="J2547" i="29"/>
  <c r="J2493" i="29"/>
  <c r="G2069" i="29"/>
  <c r="H1952" i="29"/>
  <c r="G2165" i="29"/>
  <c r="G2231" i="29"/>
  <c r="K2575" i="29"/>
  <c r="J2402" i="29"/>
  <c r="K2098" i="29"/>
  <c r="L1898" i="29"/>
  <c r="L1802" i="29"/>
  <c r="I1706" i="29"/>
  <c r="G1618" i="29"/>
  <c r="H1514" i="29"/>
  <c r="J1434" i="29"/>
  <c r="I1354" i="29"/>
  <c r="M1282" i="29"/>
  <c r="G1226" i="29"/>
  <c r="F1162" i="29"/>
  <c r="J1106" i="29"/>
  <c r="L1050" i="29"/>
  <c r="I994" i="29"/>
  <c r="K938" i="29"/>
  <c r="G890" i="29"/>
  <c r="J842" i="29"/>
  <c r="L786" i="29"/>
  <c r="G738" i="29"/>
  <c r="L682" i="29"/>
  <c r="I626" i="29"/>
  <c r="I586" i="29"/>
  <c r="L538" i="29"/>
  <c r="M498" i="29"/>
  <c r="J458" i="29"/>
  <c r="L418" i="29"/>
  <c r="I386" i="29"/>
  <c r="F346" i="29"/>
  <c r="M306" i="29"/>
  <c r="H274" i="29"/>
  <c r="G234" i="29"/>
  <c r="M194" i="29"/>
  <c r="H162" i="29"/>
  <c r="L122" i="29"/>
  <c r="F82" i="29"/>
  <c r="J2578" i="29"/>
  <c r="I2434" i="29"/>
  <c r="F2322" i="29"/>
  <c r="F2202" i="29"/>
  <c r="L2066" i="29"/>
  <c r="F1962" i="29"/>
  <c r="K2546" i="29"/>
  <c r="L2394" i="29"/>
  <c r="K2258" i="29"/>
  <c r="J2138" i="29"/>
  <c r="H2050" i="29"/>
  <c r="K1954" i="29"/>
  <c r="L2289" i="29"/>
  <c r="J2041" i="29"/>
  <c r="G1785" i="29"/>
  <c r="H1377" i="29"/>
  <c r="M2144" i="29"/>
  <c r="F1848" i="29"/>
  <c r="F1664" i="29"/>
  <c r="G1488" i="29"/>
  <c r="J1328" i="29"/>
  <c r="J1144" i="29"/>
  <c r="G1024" i="29"/>
  <c r="J904" i="29"/>
  <c r="I848" i="29"/>
  <c r="K784" i="29"/>
  <c r="H728" i="29"/>
  <c r="J2177" i="29"/>
  <c r="M1993" i="29"/>
  <c r="G1801" i="29"/>
  <c r="L1649" i="29"/>
  <c r="G1513" i="29"/>
  <c r="I1425" i="29"/>
  <c r="H1289" i="29"/>
  <c r="M1201" i="29"/>
  <c r="I1073" i="29"/>
  <c r="F977" i="29"/>
  <c r="K841" i="29"/>
  <c r="H2202" i="29"/>
  <c r="J1491" i="29"/>
  <c r="K2567" i="29"/>
  <c r="F2284" i="29"/>
  <c r="L2532" i="29"/>
  <c r="L2478" i="29"/>
  <c r="K2588" i="29"/>
  <c r="J1864" i="29"/>
  <c r="G2037" i="29"/>
  <c r="G2199" i="29"/>
  <c r="K2565" i="29"/>
  <c r="L2402" i="29"/>
  <c r="H2082" i="29"/>
  <c r="G1898" i="29"/>
  <c r="J1794" i="29"/>
  <c r="K1698" i="29"/>
  <c r="F1602" i="29"/>
  <c r="F1514" i="29"/>
  <c r="K1434" i="29"/>
  <c r="L1346" i="29"/>
  <c r="J1274" i="29"/>
  <c r="I1218" i="29"/>
  <c r="I1162" i="29"/>
  <c r="L1106" i="29"/>
  <c r="M1050" i="29"/>
  <c r="K994" i="29"/>
  <c r="M938" i="29"/>
  <c r="L890" i="29"/>
  <c r="L834" i="29"/>
  <c r="I786" i="29"/>
  <c r="J738" i="29"/>
  <c r="K682" i="29"/>
  <c r="G626" i="29"/>
  <c r="H578" i="29"/>
  <c r="G538" i="29"/>
  <c r="G498" i="29"/>
  <c r="M2565" i="29"/>
  <c r="K1323" i="29"/>
  <c r="K2501" i="29"/>
  <c r="G2284" i="29"/>
  <c r="L2464" i="29"/>
  <c r="J2476" i="29"/>
  <c r="L2583" i="29"/>
  <c r="L1864" i="29"/>
  <c r="G1965" i="29"/>
  <c r="H2199" i="29"/>
  <c r="K2516" i="29"/>
  <c r="F2402" i="29"/>
  <c r="I2058" i="29"/>
  <c r="H1898" i="29"/>
  <c r="K1794" i="29"/>
  <c r="F1698" i="29"/>
  <c r="J1602" i="29"/>
  <c r="J1514" i="29"/>
  <c r="M1434" i="29"/>
  <c r="M1346" i="29"/>
  <c r="K1274" i="29"/>
  <c r="J1218" i="29"/>
  <c r="M1162" i="29"/>
  <c r="G1106" i="29"/>
  <c r="F1050" i="29"/>
  <c r="L994" i="29"/>
  <c r="F938" i="29"/>
  <c r="J882" i="29"/>
  <c r="K826" i="29"/>
  <c r="G778" i="29"/>
  <c r="K738" i="29"/>
  <c r="F674" i="29"/>
  <c r="K626" i="29"/>
  <c r="F578" i="29"/>
  <c r="H538" i="29"/>
  <c r="H498" i="29"/>
  <c r="L450" i="29"/>
  <c r="I418" i="29"/>
  <c r="G386" i="29"/>
  <c r="L338" i="29"/>
  <c r="H306" i="29"/>
  <c r="J274" i="29"/>
  <c r="K226" i="29"/>
  <c r="L194" i="29"/>
  <c r="J162" i="29"/>
  <c r="H114" i="29"/>
  <c r="I82" i="29"/>
  <c r="K2554" i="29"/>
  <c r="J2410" i="29"/>
  <c r="L2298" i="29"/>
  <c r="K2178" i="29"/>
  <c r="G2066" i="29"/>
  <c r="J1938" i="29"/>
  <c r="M2514" i="29"/>
  <c r="I2370" i="29"/>
  <c r="M1652" i="29"/>
  <c r="J1876" i="29"/>
  <c r="H2292" i="29"/>
  <c r="H1851" i="29"/>
  <c r="L2580" i="29"/>
  <c r="L2377" i="29"/>
  <c r="K2568" i="29"/>
  <c r="L2170" i="29"/>
  <c r="K1842" i="29"/>
  <c r="H1690" i="29"/>
  <c r="M1514" i="29"/>
  <c r="K1370" i="29"/>
  <c r="I1242" i="29"/>
  <c r="H1154" i="29"/>
  <c r="H1050" i="29"/>
  <c r="H962" i="29"/>
  <c r="I858" i="29"/>
  <c r="K770" i="29"/>
  <c r="J682" i="29"/>
  <c r="M594" i="29"/>
  <c r="J514" i="29"/>
  <c r="H450" i="29"/>
  <c r="L386" i="29"/>
  <c r="G330" i="29"/>
  <c r="J266" i="29"/>
  <c r="M202" i="29"/>
  <c r="I146" i="29"/>
  <c r="J82" i="29"/>
  <c r="M2458" i="29"/>
  <c r="J2274" i="29"/>
  <c r="H2066" i="29"/>
  <c r="H2570" i="29"/>
  <c r="K2370" i="29"/>
  <c r="K2162" i="29"/>
  <c r="J2026" i="29"/>
  <c r="H2410" i="29"/>
  <c r="M2081" i="29"/>
  <c r="G1737" i="29"/>
  <c r="L2192" i="29"/>
  <c r="M1808" i="29"/>
  <c r="I1576" i="29"/>
  <c r="H1328" i="29"/>
  <c r="I1144" i="29"/>
  <c r="K936" i="29"/>
  <c r="L848" i="29"/>
  <c r="L752" i="29"/>
  <c r="M2217" i="29"/>
  <c r="J1905" i="29"/>
  <c r="I1681" i="29"/>
  <c r="K1513" i="29"/>
  <c r="F1353" i="29"/>
  <c r="J1201" i="29"/>
  <c r="I1041" i="29"/>
  <c r="F873" i="29"/>
  <c r="J737" i="29"/>
  <c r="L577" i="29"/>
  <c r="G417" i="29"/>
  <c r="L297" i="29"/>
  <c r="G145" i="29"/>
  <c r="L2304" i="29"/>
  <c r="L1968" i="29"/>
  <c r="L1648" i="29"/>
  <c r="I1400" i="29"/>
  <c r="L1208" i="29"/>
  <c r="K1016" i="29"/>
  <c r="K680" i="29"/>
  <c r="G600" i="29"/>
  <c r="K496" i="29"/>
  <c r="G392" i="29"/>
  <c r="F320" i="29"/>
  <c r="M240" i="29"/>
  <c r="I152" i="29"/>
  <c r="L96" i="29"/>
  <c r="K2392" i="29"/>
  <c r="J2303" i="29"/>
  <c r="K2247" i="29"/>
  <c r="I2199" i="29"/>
  <c r="L2159" i="29"/>
  <c r="J2111" i="29"/>
  <c r="M2071" i="29"/>
  <c r="K2023" i="29"/>
  <c r="I1975" i="29"/>
  <c r="L1935" i="29"/>
  <c r="M1887" i="29"/>
  <c r="K1847" i="29"/>
  <c r="I1815" i="29"/>
  <c r="G1767" i="29"/>
  <c r="M1719" i="29"/>
  <c r="J1687" i="29"/>
  <c r="L1655" i="29"/>
  <c r="H1623" i="29"/>
  <c r="J1591" i="29"/>
  <c r="L1559" i="29"/>
  <c r="J1535" i="29"/>
  <c r="K1503" i="29"/>
  <c r="H1471" i="29"/>
  <c r="J1447" i="29"/>
  <c r="J1415" i="29"/>
  <c r="G1383" i="29"/>
  <c r="I1359" i="29"/>
  <c r="G1327" i="29"/>
  <c r="K1303" i="29"/>
  <c r="I1271" i="29"/>
  <c r="G1247" i="29"/>
  <c r="K1215" i="29"/>
  <c r="L1191" i="29"/>
  <c r="K1159" i="29"/>
  <c r="I1127" i="29"/>
  <c r="H1103" i="29"/>
  <c r="I1071" i="29"/>
  <c r="F1047" i="29"/>
  <c r="I1015" i="29"/>
  <c r="M991" i="29"/>
  <c r="I959" i="29"/>
  <c r="M935" i="29"/>
  <c r="J903" i="29"/>
  <c r="H879" i="29"/>
  <c r="J847" i="29"/>
  <c r="I823" i="29"/>
  <c r="K791" i="29"/>
  <c r="M767" i="29"/>
  <c r="F735" i="29"/>
  <c r="M711" i="29"/>
  <c r="F679" i="29"/>
  <c r="M655" i="29"/>
  <c r="I623" i="29"/>
  <c r="G599" i="29"/>
  <c r="I567" i="29"/>
  <c r="M543" i="29"/>
  <c r="I511" i="29"/>
  <c r="L487" i="29"/>
  <c r="L455" i="29"/>
  <c r="K431" i="29"/>
  <c r="L399" i="29"/>
  <c r="I375" i="29"/>
  <c r="L343" i="29"/>
  <c r="I319" i="29"/>
  <c r="M287" i="29"/>
  <c r="I263" i="29"/>
  <c r="K231" i="29"/>
  <c r="F207" i="29"/>
  <c r="M175" i="29"/>
  <c r="I151" i="29"/>
  <c r="H119" i="29"/>
  <c r="J95" i="29"/>
  <c r="F63" i="29"/>
  <c r="I2565" i="29"/>
  <c r="I2533" i="29"/>
  <c r="I2501" i="29"/>
  <c r="I2469" i="29"/>
  <c r="I2437" i="29"/>
  <c r="M2542" i="29"/>
  <c r="M2463" i="29"/>
  <c r="F2276" i="29"/>
  <c r="J1843" i="29"/>
  <c r="K2576" i="29"/>
  <c r="F2377" i="29"/>
  <c r="K2484" i="29"/>
  <c r="F2170" i="29"/>
  <c r="G1842" i="29"/>
  <c r="L1674" i="29"/>
  <c r="K1514" i="29"/>
  <c r="L1370" i="29"/>
  <c r="J1242" i="29"/>
  <c r="I1154" i="29"/>
  <c r="J1042" i="29"/>
  <c r="G962" i="29"/>
  <c r="H858" i="29"/>
  <c r="L770" i="29"/>
  <c r="G674" i="29"/>
  <c r="F594" i="29"/>
  <c r="H514" i="29"/>
  <c r="I450" i="29"/>
  <c r="M386" i="29"/>
  <c r="I322" i="29"/>
  <c r="M258" i="29"/>
  <c r="I202" i="29"/>
  <c r="J138" i="29"/>
  <c r="K82" i="29"/>
  <c r="K2458" i="29"/>
  <c r="L2274" i="29"/>
  <c r="F2066" i="29"/>
  <c r="I2570" i="29"/>
  <c r="L2370" i="29"/>
  <c r="L2162" i="29"/>
  <c r="K2026" i="29"/>
  <c r="H2346" i="29"/>
  <c r="I2041" i="29"/>
  <c r="H1737" i="29"/>
  <c r="M2192" i="29"/>
  <c r="F1808" i="29"/>
  <c r="K1576" i="29"/>
  <c r="I1328" i="29"/>
  <c r="I1120" i="29"/>
  <c r="L936" i="29"/>
  <c r="J832" i="29"/>
  <c r="F752" i="29"/>
  <c r="I2177" i="29"/>
  <c r="K1905" i="29"/>
  <c r="J1681" i="29"/>
  <c r="L1513" i="29"/>
  <c r="K1353" i="29"/>
  <c r="K1201" i="29"/>
  <c r="J1041" i="29"/>
  <c r="I873" i="29"/>
  <c r="F705" i="29"/>
  <c r="M577" i="29"/>
  <c r="H417" i="29"/>
  <c r="M265" i="29"/>
  <c r="H145" i="29"/>
  <c r="M2304" i="29"/>
  <c r="M1968" i="29"/>
  <c r="F1648" i="29"/>
  <c r="K1400" i="29"/>
  <c r="J1160" i="29"/>
  <c r="L1016" i="29"/>
  <c r="I680" i="29"/>
  <c r="I576" i="29"/>
  <c r="L496" i="29"/>
  <c r="I392" i="29"/>
  <c r="M304" i="29"/>
  <c r="I240" i="29"/>
  <c r="L152" i="29"/>
  <c r="F80" i="29"/>
  <c r="K2384" i="29"/>
  <c r="L2303" i="29"/>
  <c r="L2247" i="29"/>
  <c r="J2199" i="29"/>
  <c r="M2159" i="29"/>
  <c r="K2111" i="29"/>
  <c r="I2063" i="29"/>
  <c r="L2023" i="29"/>
  <c r="J1975" i="29"/>
  <c r="M1935" i="29"/>
  <c r="H1887" i="29"/>
  <c r="L1847" i="29"/>
  <c r="M1807" i="29"/>
  <c r="H1767" i="29"/>
  <c r="F1719" i="29"/>
  <c r="L1687" i="29"/>
  <c r="K1647" i="29"/>
  <c r="I1623" i="29"/>
  <c r="K1591" i="29"/>
  <c r="M1559" i="29"/>
  <c r="L1535" i="29"/>
  <c r="J1503" i="29"/>
  <c r="F1471" i="29"/>
  <c r="L1447" i="29"/>
  <c r="F1415" i="29"/>
  <c r="H1383" i="29"/>
  <c r="L1359" i="29"/>
  <c r="H1327" i="29"/>
  <c r="L1303" i="29"/>
  <c r="J1271" i="29"/>
  <c r="L1247" i="29"/>
  <c r="M1215" i="29"/>
  <c r="H1183" i="29"/>
  <c r="M1159" i="29"/>
  <c r="J1127" i="29"/>
  <c r="M1103" i="29"/>
  <c r="J1071" i="29"/>
  <c r="G1047" i="29"/>
  <c r="J1015" i="29"/>
  <c r="G991" i="29"/>
  <c r="J959" i="29"/>
  <c r="G935" i="29"/>
  <c r="K903" i="29"/>
  <c r="I879" i="29"/>
  <c r="K847" i="29"/>
  <c r="H823" i="29"/>
  <c r="L791" i="29"/>
  <c r="J767" i="29"/>
  <c r="J735" i="29"/>
  <c r="K711" i="29"/>
  <c r="G679" i="29"/>
  <c r="I655" i="29"/>
  <c r="K623" i="29"/>
  <c r="H599" i="29"/>
  <c r="K567" i="29"/>
  <c r="G543" i="29"/>
  <c r="H511" i="29"/>
  <c r="M487" i="29"/>
  <c r="K455" i="29"/>
  <c r="M431" i="29"/>
  <c r="M399" i="29"/>
  <c r="K375" i="29"/>
  <c r="M343" i="29"/>
  <c r="J319" i="29"/>
  <c r="F287" i="29"/>
  <c r="L263" i="29"/>
  <c r="L231" i="29"/>
  <c r="I207" i="29"/>
  <c r="F175" i="29"/>
  <c r="L151" i="29"/>
  <c r="I119" i="29"/>
  <c r="K95" i="29"/>
  <c r="G63" i="29"/>
  <c r="I2564" i="29"/>
  <c r="I2532" i="29"/>
  <c r="I2500" i="29"/>
  <c r="I2468" i="29"/>
  <c r="I2436" i="29"/>
  <c r="F2233" i="29"/>
  <c r="G2043" i="29"/>
  <c r="H2252" i="29"/>
  <c r="L2588" i="29"/>
  <c r="J2495" i="29"/>
  <c r="F2321" i="29"/>
  <c r="K2477" i="29"/>
  <c r="I2122" i="29"/>
  <c r="F1818" i="29"/>
  <c r="M1674" i="29"/>
  <c r="H1506" i="29"/>
  <c r="H1362" i="29"/>
  <c r="L1242" i="29"/>
  <c r="M1154" i="29"/>
  <c r="K1042" i="29"/>
  <c r="G946" i="29"/>
  <c r="J850" i="29"/>
  <c r="F770" i="29"/>
  <c r="H674" i="29"/>
  <c r="H594" i="29"/>
  <c r="L506" i="29"/>
  <c r="J450" i="29"/>
  <c r="K386" i="29"/>
  <c r="M314" i="29"/>
  <c r="F258" i="29"/>
  <c r="G202" i="29"/>
  <c r="K138" i="29"/>
  <c r="M82" i="29"/>
  <c r="K2434" i="29"/>
  <c r="K2226" i="29"/>
  <c r="I2042" i="29"/>
  <c r="J2570" i="29"/>
  <c r="F2370" i="29"/>
  <c r="M2162" i="29"/>
  <c r="L2026" i="29"/>
  <c r="H2250" i="29"/>
  <c r="K2041" i="29"/>
  <c r="I1737" i="29"/>
  <c r="I2144" i="29"/>
  <c r="G1808" i="29"/>
  <c r="G1528" i="29"/>
  <c r="K1328" i="29"/>
  <c r="J1120" i="29"/>
  <c r="M936" i="29"/>
  <c r="K832" i="29"/>
  <c r="H752" i="29"/>
  <c r="K2177" i="29"/>
  <c r="L1905" i="29"/>
  <c r="L1681" i="29"/>
  <c r="M1513" i="29"/>
  <c r="F1321" i="29"/>
  <c r="F1201" i="29"/>
  <c r="K1041" i="29"/>
  <c r="H873" i="29"/>
  <c r="G705" i="29"/>
  <c r="K545" i="29"/>
  <c r="I417" i="29"/>
  <c r="F265" i="29"/>
  <c r="F121" i="29"/>
  <c r="I2256" i="29"/>
  <c r="I1904" i="29"/>
  <c r="L1600" i="29"/>
  <c r="L1400" i="29"/>
  <c r="L1160" i="29"/>
  <c r="K992" i="29"/>
  <c r="L680" i="29"/>
  <c r="K576" i="29"/>
  <c r="K480" i="29"/>
  <c r="K392" i="29"/>
  <c r="F304" i="29"/>
  <c r="M224" i="29"/>
  <c r="J152" i="29"/>
  <c r="G80" i="29"/>
  <c r="K2320" i="29"/>
  <c r="M2303" i="29"/>
  <c r="M2247" i="29"/>
  <c r="K2199" i="29"/>
  <c r="I2151" i="29"/>
  <c r="L2111" i="29"/>
  <c r="J2063" i="29"/>
  <c r="M2023" i="29"/>
  <c r="K1975" i="29"/>
  <c r="I1927" i="29"/>
  <c r="I1887" i="29"/>
  <c r="F1847" i="29"/>
  <c r="F1807" i="29"/>
  <c r="I1767" i="29"/>
  <c r="G1719" i="29"/>
  <c r="K1679" i="29"/>
  <c r="L1647" i="29"/>
  <c r="K1615" i="29"/>
  <c r="H1591" i="29"/>
  <c r="F1559" i="29"/>
  <c r="M1535" i="29"/>
  <c r="L1503" i="29"/>
  <c r="I1471" i="29"/>
  <c r="M1447" i="29"/>
  <c r="I1415" i="29"/>
  <c r="J1383" i="29"/>
  <c r="K1359" i="29"/>
  <c r="I1327" i="29"/>
  <c r="M1303" i="29"/>
  <c r="K1271" i="29"/>
  <c r="M1247" i="29"/>
  <c r="G1215" i="29"/>
  <c r="I1183" i="29"/>
  <c r="F1159" i="29"/>
  <c r="L1127" i="29"/>
  <c r="G1103" i="29"/>
  <c r="K1071" i="29"/>
  <c r="M1047" i="29"/>
  <c r="K1015" i="29"/>
  <c r="H991" i="29"/>
  <c r="K959" i="29"/>
  <c r="F935" i="29"/>
  <c r="M903" i="29"/>
  <c r="L879" i="29"/>
  <c r="M847" i="29"/>
  <c r="L823" i="29"/>
  <c r="F791" i="29"/>
  <c r="H767" i="29"/>
  <c r="K735" i="29"/>
  <c r="J711" i="29"/>
  <c r="H679" i="29"/>
  <c r="K655" i="29"/>
  <c r="L623" i="29"/>
  <c r="K599" i="29"/>
  <c r="L567" i="29"/>
  <c r="H543" i="29"/>
  <c r="J511" i="29"/>
  <c r="G487" i="29"/>
  <c r="M455" i="29"/>
  <c r="F431" i="29"/>
  <c r="J399" i="29"/>
  <c r="G375" i="29"/>
  <c r="J343" i="29"/>
  <c r="K319" i="29"/>
  <c r="G287" i="29"/>
  <c r="J263" i="29"/>
  <c r="M231" i="29"/>
  <c r="G207" i="29"/>
  <c r="H175" i="29"/>
  <c r="J151" i="29"/>
  <c r="K119" i="29"/>
  <c r="M95" i="29"/>
  <c r="H63" i="29"/>
  <c r="I2563" i="29"/>
  <c r="I2531" i="29"/>
  <c r="I2499" i="29"/>
  <c r="H2065" i="29"/>
  <c r="G1917" i="29"/>
  <c r="F2244" i="29"/>
  <c r="K2581" i="29"/>
  <c r="J2485" i="29"/>
  <c r="K2424" i="29"/>
  <c r="K2467" i="29"/>
  <c r="K2122" i="29"/>
  <c r="H1818" i="29"/>
  <c r="H1674" i="29"/>
  <c r="L1506" i="29"/>
  <c r="G1354" i="29"/>
  <c r="F1242" i="29"/>
  <c r="K1154" i="29"/>
  <c r="L1042" i="29"/>
  <c r="H946" i="29"/>
  <c r="K850" i="29"/>
  <c r="G770" i="29"/>
  <c r="I674" i="29"/>
  <c r="K594" i="29"/>
  <c r="M506" i="29"/>
  <c r="M450" i="29"/>
  <c r="F386" i="29"/>
  <c r="F314" i="29"/>
  <c r="G258" i="29"/>
  <c r="H194" i="29"/>
  <c r="M138" i="29"/>
  <c r="L82" i="29"/>
  <c r="G2434" i="29"/>
  <c r="L2226" i="29"/>
  <c r="J2042" i="29"/>
  <c r="F2546" i="29"/>
  <c r="I2346" i="29"/>
  <c r="G2162" i="29"/>
  <c r="M2026" i="29"/>
  <c r="H2186" i="29"/>
  <c r="L2041" i="29"/>
  <c r="J1737" i="29"/>
  <c r="J2144" i="29"/>
  <c r="H1808" i="29"/>
  <c r="H1528" i="29"/>
  <c r="L1328" i="29"/>
  <c r="L1120" i="29"/>
  <c r="G936" i="29"/>
  <c r="M832" i="29"/>
  <c r="J752" i="29"/>
  <c r="L2177" i="29"/>
  <c r="M1905" i="29"/>
  <c r="M1681" i="29"/>
  <c r="F1513" i="29"/>
  <c r="G1321" i="29"/>
  <c r="G1201" i="29"/>
  <c r="L1041" i="29"/>
  <c r="L873" i="29"/>
  <c r="H705" i="29"/>
  <c r="L545" i="29"/>
  <c r="K417" i="29"/>
  <c r="G265" i="29"/>
  <c r="G121" i="29"/>
  <c r="J2256" i="29"/>
  <c r="J1904" i="29"/>
  <c r="M1600" i="29"/>
  <c r="M1400" i="29"/>
  <c r="K1160" i="29"/>
  <c r="L992" i="29"/>
  <c r="M680" i="29"/>
  <c r="L576" i="29"/>
  <c r="L480" i="29"/>
  <c r="H392" i="29"/>
  <c r="G304" i="29"/>
  <c r="I224" i="29"/>
  <c r="K152" i="29"/>
  <c r="H80" i="29"/>
  <c r="K2312" i="29"/>
  <c r="I2295" i="29"/>
  <c r="I2239" i="29"/>
  <c r="L2199" i="29"/>
  <c r="J2151" i="29"/>
  <c r="M2111" i="29"/>
  <c r="K2063" i="29"/>
  <c r="I2015" i="29"/>
  <c r="L1975" i="29"/>
  <c r="J1927" i="29"/>
  <c r="J1887" i="29"/>
  <c r="M1839" i="29"/>
  <c r="G1807" i="29"/>
  <c r="M1759" i="29"/>
  <c r="H1719" i="29"/>
  <c r="F1679" i="29"/>
  <c r="F1647" i="29"/>
  <c r="L1615" i="29"/>
  <c r="G1583" i="29"/>
  <c r="I1559" i="29"/>
  <c r="G1527" i="29"/>
  <c r="M1503" i="29"/>
  <c r="K1471" i="29"/>
  <c r="G1439" i="29"/>
  <c r="L1415" i="29"/>
  <c r="F1383" i="29"/>
  <c r="M1359" i="29"/>
  <c r="J1327" i="29"/>
  <c r="H1295" i="29"/>
  <c r="F1271" i="29"/>
  <c r="H1239" i="29"/>
  <c r="F1215" i="29"/>
  <c r="J1183" i="29"/>
  <c r="G1159" i="29"/>
  <c r="F1127" i="29"/>
  <c r="F1103" i="29"/>
  <c r="L1071" i="29"/>
  <c r="H1047" i="29"/>
  <c r="L1015" i="29"/>
  <c r="F991" i="29"/>
  <c r="L959" i="29"/>
  <c r="H935" i="29"/>
  <c r="F903" i="29"/>
  <c r="G879" i="29"/>
  <c r="F847" i="29"/>
  <c r="G823" i="29"/>
  <c r="H791" i="29"/>
  <c r="I767" i="29"/>
  <c r="M735" i="29"/>
  <c r="I711" i="29"/>
  <c r="L679" i="29"/>
  <c r="J655" i="29"/>
  <c r="M623" i="29"/>
  <c r="J599" i="29"/>
  <c r="M567" i="29"/>
  <c r="F543" i="29"/>
  <c r="K511" i="29"/>
  <c r="F487" i="29"/>
  <c r="F455" i="29"/>
  <c r="G431" i="29"/>
  <c r="H399" i="29"/>
  <c r="F375" i="29"/>
  <c r="H343" i="29"/>
  <c r="L319" i="29"/>
  <c r="H287" i="29"/>
  <c r="K263" i="29"/>
  <c r="I231" i="29"/>
  <c r="H207" i="29"/>
  <c r="G175" i="29"/>
  <c r="K151" i="29"/>
  <c r="L119" i="29"/>
  <c r="L95" i="29"/>
  <c r="I63" i="29"/>
  <c r="I2561" i="29"/>
  <c r="I2529" i="29"/>
  <c r="I2497" i="29"/>
  <c r="I2465" i="29"/>
  <c r="I2433" i="29"/>
  <c r="L2397" i="29"/>
  <c r="F1897" i="29"/>
  <c r="M2577" i="29"/>
  <c r="H2204" i="29"/>
  <c r="L2488" i="29"/>
  <c r="K2475" i="29"/>
  <c r="K2431" i="29"/>
  <c r="L2462" i="29"/>
  <c r="M2082" i="29"/>
  <c r="I1818" i="29"/>
  <c r="L1650" i="29"/>
  <c r="F1506" i="29"/>
  <c r="J1346" i="29"/>
  <c r="H1234" i="29"/>
  <c r="G1130" i="29"/>
  <c r="G1042" i="29"/>
  <c r="L938" i="29"/>
  <c r="M850" i="29"/>
  <c r="I754" i="29"/>
  <c r="M666" i="29"/>
  <c r="M578" i="29"/>
  <c r="G506" i="29"/>
  <c r="K450" i="29"/>
  <c r="F378" i="29"/>
  <c r="G314" i="29"/>
  <c r="H258" i="29"/>
  <c r="K194" i="29"/>
  <c r="F138" i="29"/>
  <c r="F74" i="29"/>
  <c r="I2410" i="29"/>
  <c r="G2226" i="29"/>
  <c r="K2042" i="29"/>
  <c r="G2546" i="29"/>
  <c r="I2314" i="29"/>
  <c r="F2162" i="29"/>
  <c r="G2026" i="29"/>
  <c r="I2385" i="29"/>
  <c r="M2041" i="29"/>
  <c r="L1689" i="29"/>
  <c r="K2144" i="29"/>
  <c r="I1808" i="29"/>
  <c r="F1528" i="29"/>
  <c r="M1328" i="29"/>
  <c r="J1064" i="29"/>
  <c r="H936" i="29"/>
  <c r="F832" i="29"/>
  <c r="M752" i="29"/>
  <c r="M2177" i="29"/>
  <c r="K1865" i="29"/>
  <c r="G1681" i="29"/>
  <c r="I1513" i="29"/>
  <c r="H1321" i="29"/>
  <c r="L1201" i="29"/>
  <c r="K1017" i="29"/>
  <c r="G873" i="29"/>
  <c r="J705" i="29"/>
  <c r="F545" i="29"/>
  <c r="L377" i="29"/>
  <c r="H265" i="29"/>
  <c r="K121" i="29"/>
  <c r="K2256" i="29"/>
  <c r="K1904" i="29"/>
  <c r="G1600" i="29"/>
  <c r="F1400" i="29"/>
  <c r="M1160" i="29"/>
  <c r="G992" i="29"/>
  <c r="F664" i="29"/>
  <c r="M576" i="29"/>
  <c r="F480" i="29"/>
  <c r="L376" i="29"/>
  <c r="H304" i="29"/>
  <c r="G224" i="29"/>
  <c r="H136" i="29"/>
  <c r="I80" i="29"/>
  <c r="K1864" i="29"/>
  <c r="J2295" i="29"/>
  <c r="J2239" i="29"/>
  <c r="M2199" i="29"/>
  <c r="K2151" i="29"/>
  <c r="I2103" i="29"/>
  <c r="L2063" i="29"/>
  <c r="J2015" i="29"/>
  <c r="M1975" i="29"/>
  <c r="K1927" i="29"/>
  <c r="K1887" i="29"/>
  <c r="I1839" i="29"/>
  <c r="H1807" i="29"/>
  <c r="F1759" i="29"/>
  <c r="I1719" i="29"/>
  <c r="M1679" i="29"/>
  <c r="G1647" i="29"/>
  <c r="F1615" i="29"/>
  <c r="L1583" i="29"/>
  <c r="H1559" i="29"/>
  <c r="H1527" i="29"/>
  <c r="G1495" i="29"/>
  <c r="J1471" i="29"/>
  <c r="H1439" i="29"/>
  <c r="K1415" i="29"/>
  <c r="I1383" i="29"/>
  <c r="G1351" i="29"/>
  <c r="K1327" i="29"/>
  <c r="I1295" i="29"/>
  <c r="G1271" i="29"/>
  <c r="I1239" i="29"/>
  <c r="L1215" i="29"/>
  <c r="K1183" i="29"/>
  <c r="J1151" i="29"/>
  <c r="G1127" i="29"/>
  <c r="I1095" i="29"/>
  <c r="F1071" i="29"/>
  <c r="I1039" i="29"/>
  <c r="F1015" i="29"/>
  <c r="I983" i="29"/>
  <c r="M959" i="29"/>
  <c r="I927" i="29"/>
  <c r="G903" i="29"/>
  <c r="J871" i="29"/>
  <c r="I847" i="29"/>
  <c r="K815" i="29"/>
  <c r="I791" i="29"/>
  <c r="K759" i="29"/>
  <c r="G735" i="29"/>
  <c r="F703" i="29"/>
  <c r="M679" i="29"/>
  <c r="F647" i="29"/>
  <c r="F623" i="29"/>
  <c r="I591" i="29"/>
  <c r="F567" i="29"/>
  <c r="I535" i="29"/>
  <c r="L511" i="29"/>
  <c r="I479" i="29"/>
  <c r="G455" i="29"/>
  <c r="L423" i="29"/>
  <c r="I399" i="29"/>
  <c r="L367" i="29"/>
  <c r="I343" i="29"/>
  <c r="M311" i="29"/>
  <c r="I287" i="29"/>
  <c r="M255" i="29"/>
  <c r="H231" i="29"/>
  <c r="J199" i="29"/>
  <c r="I175" i="29"/>
  <c r="H143" i="29"/>
  <c r="M119" i="29"/>
  <c r="F87" i="29"/>
  <c r="J63" i="29"/>
  <c r="I2560" i="29"/>
  <c r="I2528" i="29"/>
  <c r="I2496" i="29"/>
  <c r="I2464" i="29"/>
  <c r="I2432" i="29"/>
  <c r="J1757" i="29"/>
  <c r="F1976" i="29"/>
  <c r="H2124" i="29"/>
  <c r="K2464" i="29"/>
  <c r="L2470" i="29"/>
  <c r="L2431" i="29"/>
  <c r="J2438" i="29"/>
  <c r="J2058" i="29"/>
  <c r="M1810" i="29"/>
  <c r="F1650" i="29"/>
  <c r="M1490" i="29"/>
  <c r="G1338" i="29"/>
  <c r="I1234" i="29"/>
  <c r="H1130" i="29"/>
  <c r="H1042" i="29"/>
  <c r="H938" i="29"/>
  <c r="F850" i="29"/>
  <c r="K746" i="29"/>
  <c r="I666" i="29"/>
  <c r="G578" i="29"/>
  <c r="H506" i="29"/>
  <c r="K442" i="29"/>
  <c r="G378" i="29"/>
  <c r="H314" i="29"/>
  <c r="I258" i="29"/>
  <c r="F194" i="29"/>
  <c r="H130" i="29"/>
  <c r="G74" i="29"/>
  <c r="M2410" i="29"/>
  <c r="F2226" i="29"/>
  <c r="L2042" i="29"/>
  <c r="I2546" i="29"/>
  <c r="I2282" i="29"/>
  <c r="I2138" i="29"/>
  <c r="F2026" i="29"/>
  <c r="M2385" i="29"/>
  <c r="I1985" i="29"/>
  <c r="M1689" i="29"/>
  <c r="L2144" i="29"/>
  <c r="J1808" i="29"/>
  <c r="I1528" i="29"/>
  <c r="H1280" i="29"/>
  <c r="K1064" i="29"/>
  <c r="F936" i="29"/>
  <c r="I832" i="29"/>
  <c r="I752" i="29"/>
  <c r="I2137" i="29"/>
  <c r="M1833" i="29"/>
  <c r="K1649" i="29"/>
  <c r="G1481" i="29"/>
  <c r="I1321" i="29"/>
  <c r="H1169" i="29"/>
  <c r="L1017" i="29"/>
  <c r="J841" i="29"/>
  <c r="K705" i="29"/>
  <c r="G545" i="29"/>
  <c r="M377" i="29"/>
  <c r="I265" i="29"/>
  <c r="L121" i="29"/>
  <c r="L2256" i="29"/>
  <c r="L1904" i="29"/>
  <c r="H1600" i="29"/>
  <c r="G1360" i="29"/>
  <c r="G1160" i="29"/>
  <c r="H992" i="29"/>
  <c r="G664" i="29"/>
  <c r="H576" i="29"/>
  <c r="G480" i="29"/>
  <c r="M376" i="29"/>
  <c r="I304" i="29"/>
  <c r="H224" i="29"/>
  <c r="I136" i="29"/>
  <c r="J80" i="29"/>
  <c r="I2415" i="29"/>
  <c r="L2295" i="29"/>
  <c r="K2239" i="29"/>
  <c r="I2191" i="29"/>
  <c r="L2151" i="29"/>
  <c r="J2103" i="29"/>
  <c r="M2063" i="29"/>
  <c r="K2015" i="29"/>
  <c r="I1967" i="29"/>
  <c r="L1927" i="29"/>
  <c r="L1887" i="29"/>
  <c r="K1839" i="29"/>
  <c r="I1807" i="29"/>
  <c r="G1759" i="29"/>
  <c r="M1711" i="29"/>
  <c r="G1679" i="29"/>
  <c r="H1647" i="29"/>
  <c r="G1615" i="29"/>
  <c r="M1583" i="29"/>
  <c r="J1559" i="29"/>
  <c r="F1527" i="29"/>
  <c r="H1495" i="29"/>
  <c r="L1471" i="29"/>
  <c r="F1439" i="29"/>
  <c r="M1415" i="29"/>
  <c r="L1383" i="29"/>
  <c r="H1351" i="29"/>
  <c r="L1327" i="29"/>
  <c r="J1295" i="29"/>
  <c r="L1271" i="29"/>
  <c r="J1239" i="29"/>
  <c r="H1207" i="29"/>
  <c r="M1183" i="29"/>
  <c r="L1151" i="29"/>
  <c r="K1127" i="29"/>
  <c r="J1095" i="29"/>
  <c r="G1071" i="29"/>
  <c r="J1039" i="29"/>
  <c r="H1015" i="29"/>
  <c r="J983" i="29"/>
  <c r="G959" i="29"/>
  <c r="J927" i="29"/>
  <c r="H903" i="29"/>
  <c r="K871" i="29"/>
  <c r="H847" i="29"/>
  <c r="G815" i="29"/>
  <c r="G791" i="29"/>
  <c r="L759" i="29"/>
  <c r="I735" i="29"/>
  <c r="G703" i="29"/>
  <c r="K679" i="29"/>
  <c r="G647" i="29"/>
  <c r="G623" i="29"/>
  <c r="K591" i="29"/>
  <c r="G567" i="29"/>
  <c r="J535" i="29"/>
  <c r="M511" i="29"/>
  <c r="J479" i="29"/>
  <c r="H455" i="29"/>
  <c r="J423" i="29"/>
  <c r="K399" i="29"/>
  <c r="M367" i="29"/>
  <c r="K343" i="29"/>
  <c r="F311" i="29"/>
  <c r="L287" i="29"/>
  <c r="F255" i="29"/>
  <c r="J231" i="29"/>
  <c r="K199" i="29"/>
  <c r="J175" i="29"/>
  <c r="I143" i="29"/>
  <c r="J119" i="29"/>
  <c r="G87" i="29"/>
  <c r="K63" i="29"/>
  <c r="I2559" i="29"/>
  <c r="I2527" i="29"/>
  <c r="H2258" i="29"/>
  <c r="F2057" i="29"/>
  <c r="H1972" i="29"/>
  <c r="F1949" i="29"/>
  <c r="H1912" i="29"/>
  <c r="K2383" i="29"/>
  <c r="K2538" i="29"/>
  <c r="F2058" i="29"/>
  <c r="K1802" i="29"/>
  <c r="I1634" i="29"/>
  <c r="I1466" i="29"/>
  <c r="J1338" i="29"/>
  <c r="H1218" i="29"/>
  <c r="G1122" i="29"/>
  <c r="G1018" i="29"/>
  <c r="K930" i="29"/>
  <c r="H834" i="29"/>
  <c r="M746" i="29"/>
  <c r="I650" i="29"/>
  <c r="L570" i="29"/>
  <c r="F498" i="29"/>
  <c r="J426" i="29"/>
  <c r="J370" i="29"/>
  <c r="F306" i="29"/>
  <c r="G250" i="29"/>
  <c r="I194" i="29"/>
  <c r="G122" i="29"/>
  <c r="H2290" i="29"/>
  <c r="L2410" i="29"/>
  <c r="L2202" i="29"/>
  <c r="M2018" i="29"/>
  <c r="F2490" i="29"/>
  <c r="G2282" i="29"/>
  <c r="M2138" i="29"/>
  <c r="G2002" i="29"/>
  <c r="I2289" i="29"/>
  <c r="L1985" i="29"/>
  <c r="M1617" i="29"/>
  <c r="K2096" i="29"/>
  <c r="K1760" i="29"/>
  <c r="M1528" i="29"/>
  <c r="K1280" i="29"/>
  <c r="M1064" i="29"/>
  <c r="H904" i="29"/>
  <c r="G816" i="29"/>
  <c r="L728" i="29"/>
  <c r="L2137" i="29"/>
  <c r="G1833" i="29"/>
  <c r="G1649" i="29"/>
  <c r="H1449" i="29"/>
  <c r="L1321" i="29"/>
  <c r="K1169" i="29"/>
  <c r="M1017" i="29"/>
  <c r="I841" i="29"/>
  <c r="I705" i="29"/>
  <c r="K521" i="29"/>
  <c r="G377" i="29"/>
  <c r="K265" i="29"/>
  <c r="G97" i="29"/>
  <c r="J2200" i="29"/>
  <c r="I1856" i="29"/>
  <c r="G1552" i="29"/>
  <c r="I1360" i="29"/>
  <c r="I1160" i="29"/>
  <c r="J952" i="29"/>
  <c r="K664" i="29"/>
  <c r="F576" i="29"/>
  <c r="M456" i="29"/>
  <c r="G376" i="29"/>
  <c r="J304" i="29"/>
  <c r="K200" i="29"/>
  <c r="G136" i="29"/>
  <c r="L80" i="29"/>
  <c r="M2407" i="29"/>
  <c r="J2287" i="29"/>
  <c r="I2231" i="29"/>
  <c r="L2191" i="29"/>
  <c r="J2143" i="29"/>
  <c r="M2103" i="29"/>
  <c r="K2055" i="29"/>
  <c r="I2007" i="29"/>
  <c r="L1967" i="29"/>
  <c r="J1919" i="29"/>
  <c r="K1879" i="29"/>
  <c r="M1831" i="29"/>
  <c r="G1799" i="29"/>
  <c r="M1751" i="29"/>
  <c r="H1711" i="29"/>
  <c r="L1679" i="29"/>
  <c r="M1647" i="29"/>
  <c r="K1607" i="29"/>
  <c r="H1583" i="29"/>
  <c r="L1551" i="29"/>
  <c r="J1527" i="29"/>
  <c r="K1495" i="29"/>
  <c r="H1463" i="29"/>
  <c r="J1439" i="29"/>
  <c r="J1407" i="29"/>
  <c r="G1375" i="29"/>
  <c r="I1351" i="29"/>
  <c r="G1319" i="29"/>
  <c r="G1295" i="29"/>
  <c r="I1263" i="29"/>
  <c r="G1239" i="29"/>
  <c r="K1207" i="29"/>
  <c r="L1183" i="29"/>
  <c r="K1151" i="29"/>
  <c r="I1119" i="29"/>
  <c r="F1095" i="29"/>
  <c r="I1063" i="29"/>
  <c r="F1039" i="29"/>
  <c r="I1007" i="29"/>
  <c r="M983" i="29"/>
  <c r="I951" i="29"/>
  <c r="M927" i="29"/>
  <c r="J895" i="29"/>
  <c r="I871" i="29"/>
  <c r="J839" i="29"/>
  <c r="L815" i="29"/>
  <c r="K783" i="29"/>
  <c r="M759" i="29"/>
  <c r="F727" i="29"/>
  <c r="M703" i="29"/>
  <c r="F671" i="29"/>
  <c r="M647" i="29"/>
  <c r="I615" i="29"/>
  <c r="F591" i="29"/>
  <c r="I559" i="29"/>
  <c r="M535" i="29"/>
  <c r="I503" i="29"/>
  <c r="M479" i="29"/>
  <c r="L447" i="29"/>
  <c r="K423" i="29"/>
  <c r="L391" i="29"/>
  <c r="I367" i="29"/>
  <c r="L335" i="29"/>
  <c r="I311" i="29"/>
  <c r="M279" i="29"/>
  <c r="I255" i="29"/>
  <c r="K223" i="29"/>
  <c r="F199" i="29"/>
  <c r="M167" i="29"/>
  <c r="M143" i="29"/>
  <c r="F111" i="29"/>
  <c r="J87" i="29"/>
  <c r="M2501" i="29"/>
  <c r="K2540" i="29"/>
  <c r="F1900" i="29"/>
  <c r="K2349" i="29"/>
  <c r="J2492" i="29"/>
  <c r="H2191" i="29"/>
  <c r="I2450" i="29"/>
  <c r="J1946" i="29"/>
  <c r="I1770" i="29"/>
  <c r="G1594" i="29"/>
  <c r="F1450" i="29"/>
  <c r="K1306" i="29"/>
  <c r="L1210" i="29"/>
  <c r="F1106" i="29"/>
  <c r="G1010" i="29"/>
  <c r="F906" i="29"/>
  <c r="H826" i="29"/>
  <c r="F730" i="29"/>
  <c r="G634" i="29"/>
  <c r="K554" i="29"/>
  <c r="L482" i="29"/>
  <c r="M418" i="29"/>
  <c r="F362" i="29"/>
  <c r="J306" i="29"/>
  <c r="M234" i="29"/>
  <c r="F170" i="29"/>
  <c r="F114" i="29"/>
  <c r="G2578" i="29"/>
  <c r="J2362" i="29"/>
  <c r="L2154" i="29"/>
  <c r="J1962" i="29"/>
  <c r="M2466" i="29"/>
  <c r="M2258" i="29"/>
  <c r="K2106" i="29"/>
  <c r="G1978" i="29"/>
  <c r="K2241" i="29"/>
  <c r="F1889" i="29"/>
  <c r="G1377" i="29"/>
  <c r="K2040" i="29"/>
  <c r="I1712" i="29"/>
  <c r="J1488" i="29"/>
  <c r="G1240" i="29"/>
  <c r="L1024" i="29"/>
  <c r="J880" i="29"/>
  <c r="G800" i="29"/>
  <c r="J2584" i="29"/>
  <c r="M2073" i="29"/>
  <c r="F1801" i="29"/>
  <c r="G1609" i="29"/>
  <c r="I1449" i="29"/>
  <c r="F1289" i="29"/>
  <c r="H1137" i="29"/>
  <c r="M977" i="29"/>
  <c r="I809" i="29"/>
  <c r="J649" i="29"/>
  <c r="H521" i="29"/>
  <c r="M345" i="29"/>
  <c r="M201" i="29"/>
  <c r="M97" i="29"/>
  <c r="J2152" i="29"/>
  <c r="M1752" i="29"/>
  <c r="I1552" i="29"/>
  <c r="F1320" i="29"/>
  <c r="L1080" i="29"/>
  <c r="H952" i="29"/>
  <c r="L640" i="29"/>
  <c r="L544" i="29"/>
  <c r="I456" i="29"/>
  <c r="M360" i="29"/>
  <c r="H272" i="29"/>
  <c r="H200" i="29"/>
  <c r="I120" i="29"/>
  <c r="J2568" i="29"/>
  <c r="I2383" i="29"/>
  <c r="L2279" i="29"/>
  <c r="I2223" i="29"/>
  <c r="L2183" i="29"/>
  <c r="J2135" i="29"/>
  <c r="M2095" i="29"/>
  <c r="K2047" i="29"/>
  <c r="I1999" i="29"/>
  <c r="L1959" i="29"/>
  <c r="J1911" i="29"/>
  <c r="K1871" i="29"/>
  <c r="J1831" i="29"/>
  <c r="M2584" i="29"/>
  <c r="J2572" i="29"/>
  <c r="K2535" i="29"/>
  <c r="F2149" i="29"/>
  <c r="F2326" i="29"/>
  <c r="G2111" i="29"/>
  <c r="K2402" i="29"/>
  <c r="H1930" i="29"/>
  <c r="M1738" i="29"/>
  <c r="J1594" i="29"/>
  <c r="I1434" i="29"/>
  <c r="J1298" i="29"/>
  <c r="I1186" i="29"/>
  <c r="M1098" i="29"/>
  <c r="J994" i="29"/>
  <c r="L906" i="29"/>
  <c r="K810" i="29"/>
  <c r="G714" i="29"/>
  <c r="F626" i="29"/>
  <c r="M546" i="29"/>
  <c r="L474" i="29"/>
  <c r="G418" i="29"/>
  <c r="M354" i="29"/>
  <c r="G298" i="29"/>
  <c r="L226" i="29"/>
  <c r="J170" i="29"/>
  <c r="L114" i="29"/>
  <c r="F2554" i="29"/>
  <c r="G2338" i="29"/>
  <c r="I2130" i="29"/>
  <c r="H1962" i="29"/>
  <c r="G2442" i="29"/>
  <c r="I2234" i="29"/>
  <c r="L2074" i="29"/>
  <c r="I1954" i="29"/>
  <c r="I2201" i="29"/>
  <c r="G1841" i="29"/>
  <c r="I1377" i="29"/>
  <c r="J1944" i="29"/>
  <c r="L1712" i="29"/>
  <c r="L1488" i="29"/>
  <c r="J1192" i="29"/>
  <c r="F1024" i="29"/>
  <c r="K856" i="29"/>
  <c r="H800" i="29"/>
  <c r="I2401" i="29"/>
  <c r="L2033" i="29"/>
  <c r="J1801" i="29"/>
  <c r="J1577" i="29"/>
  <c r="J1425" i="29"/>
  <c r="M1289" i="29"/>
  <c r="K1105" i="29"/>
  <c r="I945" i="29"/>
  <c r="F769" i="29"/>
  <c r="I649" i="29"/>
  <c r="K489" i="29"/>
  <c r="K321" i="29"/>
  <c r="G201" i="29"/>
  <c r="G73" i="29"/>
  <c r="I2056" i="29"/>
  <c r="H1752" i="29"/>
  <c r="G1504" i="29"/>
  <c r="J1256" i="29"/>
  <c r="M1080" i="29"/>
  <c r="J912" i="29"/>
  <c r="M624" i="29"/>
  <c r="H544" i="29"/>
  <c r="J432" i="29"/>
  <c r="J344" i="29"/>
  <c r="K272" i="29"/>
  <c r="F184" i="29"/>
  <c r="I104" i="29"/>
  <c r="J2553" i="29"/>
  <c r="M2375" i="29"/>
  <c r="J2271" i="29"/>
  <c r="L2223" i="29"/>
  <c r="J2175" i="29"/>
  <c r="M2135" i="29"/>
  <c r="K2087" i="29"/>
  <c r="I2039" i="29"/>
  <c r="L1999" i="29"/>
  <c r="J1951" i="29"/>
  <c r="M1911" i="29"/>
  <c r="M2500" i="29"/>
  <c r="K2533" i="29"/>
  <c r="L2461" i="29"/>
  <c r="F2117" i="29"/>
  <c r="G2326" i="29"/>
  <c r="H2111" i="29"/>
  <c r="I2378" i="29"/>
  <c r="F1922" i="29"/>
  <c r="F1738" i="29"/>
  <c r="K1594" i="29"/>
  <c r="J1410" i="29"/>
  <c r="K1298" i="29"/>
  <c r="J1186" i="29"/>
  <c r="I1090" i="29"/>
  <c r="M994" i="29"/>
  <c r="J898" i="29"/>
  <c r="M810" i="29"/>
  <c r="J714" i="29"/>
  <c r="L626" i="29"/>
  <c r="G546" i="29"/>
  <c r="M474" i="29"/>
  <c r="H418" i="29"/>
  <c r="M346" i="29"/>
  <c r="M282" i="29"/>
  <c r="M226" i="29"/>
  <c r="K170" i="29"/>
  <c r="M114" i="29"/>
  <c r="F2530" i="29"/>
  <c r="I2322" i="29"/>
  <c r="J2130" i="29"/>
  <c r="I1938" i="29"/>
  <c r="H2442" i="29"/>
  <c r="J2234" i="29"/>
  <c r="M2074" i="29"/>
  <c r="J1954" i="29"/>
  <c r="J2201" i="29"/>
  <c r="H1841" i="29"/>
  <c r="L1377" i="29"/>
  <c r="K1944" i="29"/>
  <c r="K1664" i="29"/>
  <c r="G1440" i="29"/>
  <c r="K1192" i="29"/>
  <c r="I984" i="29"/>
  <c r="M856" i="29"/>
  <c r="M800" i="29"/>
  <c r="M2401" i="29"/>
  <c r="M2033" i="29"/>
  <c r="K1801" i="29"/>
  <c r="L1577" i="29"/>
  <c r="M1425" i="29"/>
  <c r="H1257" i="29"/>
  <c r="L1105" i="29"/>
  <c r="J945" i="29"/>
  <c r="G769" i="29"/>
  <c r="L649" i="29"/>
  <c r="L489" i="29"/>
  <c r="L321" i="29"/>
  <c r="H201" i="29"/>
  <c r="H73" i="29"/>
  <c r="J2056" i="29"/>
  <c r="I1752" i="29"/>
  <c r="H1504" i="29"/>
  <c r="K1256" i="29"/>
  <c r="F1080" i="29"/>
  <c r="K912" i="29"/>
  <c r="K624" i="29"/>
  <c r="G544" i="29"/>
  <c r="K432" i="29"/>
  <c r="F344" i="29"/>
  <c r="J272" i="29"/>
  <c r="H184" i="29"/>
  <c r="J104" i="29"/>
  <c r="J2552" i="29"/>
  <c r="I2367" i="29"/>
  <c r="M2271" i="29"/>
  <c r="M2223" i="29"/>
  <c r="K2175" i="29"/>
  <c r="I2127" i="29"/>
  <c r="L2087" i="29"/>
  <c r="J2039" i="29"/>
  <c r="M1999" i="29"/>
  <c r="K1951" i="29"/>
  <c r="I1903" i="29"/>
  <c r="I1863" i="29"/>
  <c r="F1823" i="29"/>
  <c r="F1783" i="29"/>
  <c r="I1743" i="29"/>
  <c r="M1695" i="29"/>
  <c r="G1663" i="29"/>
  <c r="K1631" i="29"/>
  <c r="M1599" i="29"/>
  <c r="J1575" i="29"/>
  <c r="F1543" i="29"/>
  <c r="G1511" i="29"/>
  <c r="M1487" i="29"/>
  <c r="F1455" i="29"/>
  <c r="K1431" i="29"/>
  <c r="I1399" i="29"/>
  <c r="H1367" i="29"/>
  <c r="L1343" i="29"/>
  <c r="H1311" i="29"/>
  <c r="L1287" i="29"/>
  <c r="J1255" i="29"/>
  <c r="F1231" i="29"/>
  <c r="M1199" i="29"/>
  <c r="H1167" i="29"/>
  <c r="M1143" i="29"/>
  <c r="J1111" i="29"/>
  <c r="H1087" i="29"/>
  <c r="J1055" i="29"/>
  <c r="H1031" i="29"/>
  <c r="J999" i="29"/>
  <c r="G975" i="29"/>
  <c r="J943" i="29"/>
  <c r="G919" i="29"/>
  <c r="K887" i="29"/>
  <c r="H863" i="29"/>
  <c r="K831" i="29"/>
  <c r="F807" i="29"/>
  <c r="L775" i="29"/>
  <c r="J751" i="29"/>
  <c r="G719" i="29"/>
  <c r="K695" i="29"/>
  <c r="G663" i="29"/>
  <c r="J639" i="29"/>
  <c r="L607" i="29"/>
  <c r="G583" i="29"/>
  <c r="J551" i="29"/>
  <c r="H2351" i="29"/>
  <c r="L2440" i="29"/>
  <c r="J2447" i="29"/>
  <c r="G2085" i="29"/>
  <c r="J1462" i="29"/>
  <c r="H2063" i="29"/>
  <c r="J2330" i="29"/>
  <c r="L1914" i="29"/>
  <c r="H1730" i="29"/>
  <c r="F1586" i="29"/>
  <c r="M1410" i="29"/>
  <c r="G1298" i="29"/>
  <c r="L1186" i="29"/>
  <c r="K1082" i="29"/>
  <c r="M986" i="29"/>
  <c r="G898" i="29"/>
  <c r="L794" i="29"/>
  <c r="M714" i="29"/>
  <c r="J626" i="29"/>
  <c r="J538" i="29"/>
  <c r="H474" i="29"/>
  <c r="L410" i="29"/>
  <c r="G346" i="29"/>
  <c r="H282" i="29"/>
  <c r="F226" i="29"/>
  <c r="F162" i="29"/>
  <c r="K98" i="29"/>
  <c r="K2530" i="29"/>
  <c r="K2322" i="29"/>
  <c r="J2114" i="29"/>
  <c r="L1938" i="29"/>
  <c r="J2442" i="29"/>
  <c r="L2234" i="29"/>
  <c r="H2074" i="29"/>
  <c r="M1954" i="29"/>
  <c r="L2201" i="29"/>
  <c r="K1841" i="29"/>
  <c r="I2384" i="29"/>
  <c r="I1896" i="29"/>
  <c r="H1664" i="29"/>
  <c r="F1440" i="29"/>
  <c r="F1192" i="29"/>
  <c r="K984" i="29"/>
  <c r="G856" i="29"/>
  <c r="F784" i="29"/>
  <c r="M2369" i="29"/>
  <c r="J1993" i="29"/>
  <c r="F1761" i="29"/>
  <c r="H1545" i="29"/>
  <c r="L1425" i="29"/>
  <c r="J1257" i="29"/>
  <c r="F1105" i="29"/>
  <c r="L945" i="29"/>
  <c r="I769" i="29"/>
  <c r="M617" i="29"/>
  <c r="F489" i="29"/>
  <c r="G321" i="29"/>
  <c r="F169" i="29"/>
  <c r="J73" i="29"/>
  <c r="M2056" i="29"/>
  <c r="K1752" i="29"/>
  <c r="I1504" i="29"/>
  <c r="M1256" i="29"/>
  <c r="J1048" i="29"/>
  <c r="M912" i="29"/>
  <c r="G2155" i="29"/>
  <c r="K2518" i="29"/>
  <c r="J2437" i="29"/>
  <c r="K1301" i="29"/>
  <c r="K1462" i="29"/>
  <c r="H1935" i="29"/>
  <c r="K2330" i="29"/>
  <c r="M1898" i="29"/>
  <c r="L1730" i="29"/>
  <c r="K1562" i="29"/>
  <c r="L1410" i="29"/>
  <c r="I1274" i="29"/>
  <c r="G1186" i="29"/>
  <c r="K1074" i="29"/>
  <c r="F986" i="29"/>
  <c r="I890" i="29"/>
  <c r="F794" i="29"/>
  <c r="I706" i="29"/>
  <c r="H626" i="29"/>
  <c r="M538" i="29"/>
  <c r="I466" i="29"/>
  <c r="M410" i="29"/>
  <c r="H346" i="29"/>
  <c r="I282" i="29"/>
  <c r="G226" i="29"/>
  <c r="I162" i="29"/>
  <c r="F90" i="29"/>
  <c r="I2530" i="29"/>
  <c r="L2322" i="29"/>
  <c r="K2114" i="29"/>
  <c r="M1938" i="29"/>
  <c r="I2394" i="29"/>
  <c r="M2234" i="29"/>
  <c r="I2050" i="29"/>
  <c r="H1954" i="29"/>
  <c r="I2121" i="29"/>
  <c r="M1785" i="29"/>
  <c r="M2384" i="29"/>
  <c r="J1896" i="29"/>
  <c r="I1664" i="29"/>
  <c r="H1368" i="29"/>
  <c r="G1192" i="29"/>
  <c r="L984" i="29"/>
  <c r="H856" i="29"/>
  <c r="G784" i="29"/>
  <c r="I2257" i="29"/>
  <c r="K1993" i="29"/>
  <c r="G1761" i="29"/>
  <c r="J1545" i="29"/>
  <c r="F1425" i="29"/>
  <c r="I1225" i="29"/>
  <c r="G1105" i="29"/>
  <c r="M945" i="29"/>
  <c r="H769" i="29"/>
  <c r="F617" i="29"/>
  <c r="G489" i="29"/>
  <c r="I321" i="29"/>
  <c r="H169" i="29"/>
  <c r="K73" i="29"/>
  <c r="I2016" i="29"/>
  <c r="L1752" i="29"/>
  <c r="J1504" i="29"/>
  <c r="G1256" i="29"/>
  <c r="K1048" i="29"/>
  <c r="G912" i="29"/>
  <c r="H624" i="29"/>
  <c r="K528" i="29"/>
  <c r="H432" i="29"/>
  <c r="K344" i="29"/>
  <c r="G256" i="29"/>
  <c r="K184" i="29"/>
  <c r="L104" i="29"/>
  <c r="J2537" i="29"/>
  <c r="M2359" i="29"/>
  <c r="M2263" i="29"/>
  <c r="K2215" i="29"/>
  <c r="I2167" i="29"/>
  <c r="L2127" i="29"/>
  <c r="J2079" i="29"/>
  <c r="M2484" i="29"/>
  <c r="K2396" i="29"/>
  <c r="F2085" i="29"/>
  <c r="K2367" i="29"/>
  <c r="M2058" i="29"/>
  <c r="J1706" i="29"/>
  <c r="I1410" i="29"/>
  <c r="L1218" i="29"/>
  <c r="M1042" i="29"/>
  <c r="G882" i="29"/>
  <c r="K714" i="29"/>
  <c r="F570" i="29"/>
  <c r="I434" i="29"/>
  <c r="K338" i="29"/>
  <c r="I226" i="29"/>
  <c r="I114" i="29"/>
  <c r="G2410" i="29"/>
  <c r="F2114" i="29"/>
  <c r="I2442" i="29"/>
  <c r="I2106" i="29"/>
  <c r="I2337" i="29"/>
  <c r="J1785" i="29"/>
  <c r="M1944" i="29"/>
  <c r="F1488" i="29"/>
  <c r="G1064" i="29"/>
  <c r="M848" i="29"/>
  <c r="I2369" i="29"/>
  <c r="L1833" i="29"/>
  <c r="H1481" i="29"/>
  <c r="G1225" i="29"/>
  <c r="K945" i="29"/>
  <c r="G649" i="29"/>
  <c r="J377" i="29"/>
  <c r="I169" i="29"/>
  <c r="L2056" i="29"/>
  <c r="H1552" i="29"/>
  <c r="F1160" i="29"/>
  <c r="L872" i="29"/>
  <c r="F544" i="29"/>
  <c r="F376" i="29"/>
  <c r="L256" i="29"/>
  <c r="M120" i="29"/>
  <c r="M2415" i="29"/>
  <c r="J2255" i="29"/>
  <c r="K2183" i="29"/>
  <c r="I2111" i="29"/>
  <c r="M2039" i="29"/>
  <c r="M1967" i="29"/>
  <c r="M1895" i="29"/>
  <c r="H1831" i="29"/>
  <c r="I1783" i="29"/>
  <c r="F1711" i="29"/>
  <c r="F1663" i="29"/>
  <c r="K1623" i="29"/>
  <c r="G1575" i="29"/>
  <c r="J1543" i="29"/>
  <c r="F1495" i="29"/>
  <c r="G1455" i="29"/>
  <c r="L1423" i="29"/>
  <c r="F1375" i="29"/>
  <c r="G1335" i="29"/>
  <c r="K1295" i="29"/>
  <c r="H1255" i="29"/>
  <c r="F1223" i="29"/>
  <c r="J1175" i="29"/>
  <c r="I1135" i="29"/>
  <c r="K1095" i="29"/>
  <c r="H1063" i="29"/>
  <c r="F1023" i="29"/>
  <c r="H983" i="29"/>
  <c r="M943" i="29"/>
  <c r="I903" i="29"/>
  <c r="F863" i="29"/>
  <c r="J823" i="29"/>
  <c r="G783" i="29"/>
  <c r="F743" i="29"/>
  <c r="H703" i="29"/>
  <c r="J671" i="29"/>
  <c r="F631" i="29"/>
  <c r="J591" i="29"/>
  <c r="M551" i="29"/>
  <c r="G519" i="29"/>
  <c r="J471" i="29"/>
  <c r="K439" i="29"/>
  <c r="G407" i="29"/>
  <c r="M359" i="29"/>
  <c r="I327" i="29"/>
  <c r="K295" i="29"/>
  <c r="L247" i="29"/>
  <c r="F215" i="29"/>
  <c r="K183" i="29"/>
  <c r="I135" i="29"/>
  <c r="J103" i="29"/>
  <c r="L71" i="29"/>
  <c r="I2552" i="29"/>
  <c r="I2513" i="29"/>
  <c r="I2476" i="29"/>
  <c r="I2439" i="29"/>
  <c r="G2399" i="29"/>
  <c r="L2357" i="29"/>
  <c r="L2317" i="29"/>
  <c r="K2263" i="29"/>
  <c r="G2188" i="29"/>
  <c r="H2105" i="29"/>
  <c r="G1895" i="29"/>
  <c r="F2388" i="29"/>
  <c r="L2545" i="29"/>
  <c r="G2223" i="29"/>
  <c r="G2058" i="29"/>
  <c r="J1698" i="29"/>
  <c r="G1402" i="29"/>
  <c r="M1210" i="29"/>
  <c r="F1042" i="29"/>
  <c r="H882" i="29"/>
  <c r="J706" i="29"/>
  <c r="G562" i="29"/>
  <c r="L426" i="29"/>
  <c r="F338" i="29"/>
  <c r="H226" i="29"/>
  <c r="J114" i="29"/>
  <c r="K2410" i="29"/>
  <c r="F2090" i="29"/>
  <c r="M2394" i="29"/>
  <c r="J2106" i="29"/>
  <c r="M2337" i="29"/>
  <c r="K1785" i="29"/>
  <c r="K1896" i="29"/>
  <c r="I1488" i="29"/>
  <c r="H1064" i="29"/>
  <c r="F848" i="29"/>
  <c r="J2257" i="29"/>
  <c r="M1801" i="29"/>
  <c r="J1481" i="29"/>
  <c r="L1225" i="29"/>
  <c r="F945" i="29"/>
  <c r="H649" i="29"/>
  <c r="F377" i="29"/>
  <c r="J169" i="29"/>
  <c r="J2016" i="29"/>
  <c r="J1552" i="29"/>
  <c r="H1160" i="29"/>
  <c r="G680" i="29"/>
  <c r="I528" i="29"/>
  <c r="H376" i="29"/>
  <c r="K256" i="29"/>
  <c r="F120" i="29"/>
  <c r="I2407" i="29"/>
  <c r="K2255" i="29"/>
  <c r="M2183" i="29"/>
  <c r="K2103" i="29"/>
  <c r="I2031" i="29"/>
  <c r="I1959" i="29"/>
  <c r="H1895" i="29"/>
  <c r="I1831" i="29"/>
  <c r="M1775" i="29"/>
  <c r="G1711" i="29"/>
  <c r="M1663" i="29"/>
  <c r="L1623" i="29"/>
  <c r="L1575" i="29"/>
  <c r="L1543" i="29"/>
  <c r="I1495" i="29"/>
  <c r="H1455" i="29"/>
  <c r="K1423" i="29"/>
  <c r="I1375" i="29"/>
  <c r="H1335" i="29"/>
  <c r="F1295" i="29"/>
  <c r="I1255" i="29"/>
  <c r="H1215" i="29"/>
  <c r="K1175" i="29"/>
  <c r="J1135" i="29"/>
  <c r="L1095" i="29"/>
  <c r="I1055" i="29"/>
  <c r="H1023" i="29"/>
  <c r="I975" i="29"/>
  <c r="G943" i="29"/>
  <c r="L903" i="29"/>
  <c r="I863" i="29"/>
  <c r="K823" i="29"/>
  <c r="M783" i="29"/>
  <c r="J743" i="29"/>
  <c r="L703" i="29"/>
  <c r="F663" i="29"/>
  <c r="G631" i="29"/>
  <c r="I583" i="29"/>
  <c r="G551" i="29"/>
  <c r="G511" i="29"/>
  <c r="K471" i="29"/>
  <c r="M439" i="29"/>
  <c r="F399" i="29"/>
  <c r="J359" i="29"/>
  <c r="J327" i="29"/>
  <c r="J287" i="29"/>
  <c r="M247" i="29"/>
  <c r="I215" i="29"/>
  <c r="K175" i="29"/>
  <c r="K135" i="29"/>
  <c r="K103" i="29"/>
  <c r="M63" i="29"/>
  <c r="I2551" i="29"/>
  <c r="I2512" i="29"/>
  <c r="I2475" i="29"/>
  <c r="I2438" i="29"/>
  <c r="J2396" i="29"/>
  <c r="J2356" i="29"/>
  <c r="J2316" i="29"/>
  <c r="K2261" i="29"/>
  <c r="F2183" i="29"/>
  <c r="F2103" i="29"/>
  <c r="M2537" i="29"/>
  <c r="L2332" i="29"/>
  <c r="K2520" i="29"/>
  <c r="H2143" i="29"/>
  <c r="H2058" i="29"/>
  <c r="J1690" i="29"/>
  <c r="J1402" i="29"/>
  <c r="F1210" i="29"/>
  <c r="H1018" i="29"/>
  <c r="I874" i="29"/>
  <c r="K706" i="29"/>
  <c r="M554" i="29"/>
  <c r="F426" i="29"/>
  <c r="G338" i="29"/>
  <c r="J226" i="29"/>
  <c r="G114" i="29"/>
  <c r="F2410" i="29"/>
  <c r="I2066" i="29"/>
  <c r="K2394" i="29"/>
  <c r="L2106" i="29"/>
  <c r="J2289" i="29"/>
  <c r="M1737" i="29"/>
  <c r="L1896" i="29"/>
  <c r="K1488" i="29"/>
  <c r="F1064" i="29"/>
  <c r="G848" i="29"/>
  <c r="L2257" i="29"/>
  <c r="H1801" i="29"/>
  <c r="J1449" i="29"/>
  <c r="H1201" i="29"/>
  <c r="G945" i="29"/>
  <c r="K649" i="29"/>
  <c r="H377" i="29"/>
  <c r="M145" i="29"/>
  <c r="K2016" i="29"/>
  <c r="K1552" i="29"/>
  <c r="M1128" i="29"/>
  <c r="H680" i="29"/>
  <c r="J528" i="29"/>
  <c r="I376" i="29"/>
  <c r="J256" i="29"/>
  <c r="M104" i="29"/>
  <c r="I2399" i="29"/>
  <c r="L2255" i="29"/>
  <c r="I2175" i="29"/>
  <c r="L2103" i="29"/>
  <c r="J2031" i="29"/>
  <c r="J1959" i="29"/>
  <c r="I1895" i="29"/>
  <c r="G1831" i="29"/>
  <c r="F1775" i="29"/>
  <c r="I1711" i="29"/>
  <c r="H1663" i="29"/>
  <c r="F1623" i="29"/>
  <c r="M1575" i="29"/>
  <c r="M1543" i="29"/>
  <c r="J1495" i="29"/>
  <c r="I1455" i="29"/>
  <c r="G1415" i="29"/>
  <c r="L1375" i="29"/>
  <c r="I1335" i="29"/>
  <c r="L1295" i="29"/>
  <c r="K1255" i="29"/>
  <c r="I1215" i="29"/>
  <c r="M1175" i="29"/>
  <c r="L1135" i="29"/>
  <c r="G1095" i="29"/>
  <c r="K1055" i="29"/>
  <c r="M1023" i="29"/>
  <c r="J975" i="29"/>
  <c r="F943" i="29"/>
  <c r="K895" i="29"/>
  <c r="L863" i="29"/>
  <c r="M823" i="29"/>
  <c r="J783" i="29"/>
  <c r="K743" i="29"/>
  <c r="I703" i="29"/>
  <c r="H663" i="29"/>
  <c r="H631" i="29"/>
  <c r="K583" i="29"/>
  <c r="H551" i="29"/>
  <c r="F511" i="29"/>
  <c r="L471" i="29"/>
  <c r="G439" i="29"/>
  <c r="G399" i="29"/>
  <c r="H359" i="29"/>
  <c r="K327" i="29"/>
  <c r="K287" i="29"/>
  <c r="I247" i="29"/>
  <c r="G215" i="29"/>
  <c r="L175" i="29"/>
  <c r="L135" i="29"/>
  <c r="M103" i="29"/>
  <c r="L63" i="29"/>
  <c r="I2550" i="29"/>
  <c r="I2511" i="29"/>
  <c r="I2473" i="29"/>
  <c r="I2435" i="29"/>
  <c r="G2395" i="29"/>
  <c r="G2355" i="29"/>
  <c r="G2315" i="29"/>
  <c r="L2474" i="29"/>
  <c r="F2324" i="29"/>
  <c r="K2507" i="29"/>
  <c r="G2135" i="29"/>
  <c r="J2034" i="29"/>
  <c r="M1690" i="29"/>
  <c r="F1402" i="29"/>
  <c r="H1202" i="29"/>
  <c r="I1010" i="29"/>
  <c r="G874" i="29"/>
  <c r="F698" i="29"/>
  <c r="L546" i="29"/>
  <c r="G426" i="29"/>
  <c r="H338" i="29"/>
  <c r="H218" i="29"/>
  <c r="K114" i="29"/>
  <c r="I2386" i="29"/>
  <c r="M2066" i="29"/>
  <c r="G2394" i="29"/>
  <c r="M2106" i="29"/>
  <c r="M2289" i="29"/>
  <c r="F1737" i="29"/>
  <c r="M1896" i="29"/>
  <c r="M1488" i="29"/>
  <c r="I1024" i="29"/>
  <c r="H848" i="29"/>
  <c r="M2257" i="29"/>
  <c r="I1801" i="29"/>
  <c r="L1449" i="29"/>
  <c r="I1201" i="29"/>
  <c r="H945" i="29"/>
  <c r="M649" i="29"/>
  <c r="I377" i="29"/>
  <c r="F145" i="29"/>
  <c r="L2016" i="29"/>
  <c r="L1552" i="29"/>
  <c r="F1128" i="29"/>
  <c r="J680" i="29"/>
  <c r="L528" i="29"/>
  <c r="K376" i="29"/>
  <c r="K240" i="29"/>
  <c r="G104" i="29"/>
  <c r="M2399" i="29"/>
  <c r="M2255" i="29"/>
  <c r="L2175" i="29"/>
  <c r="I2095" i="29"/>
  <c r="K2031" i="29"/>
  <c r="K1959" i="29"/>
  <c r="J1895" i="29"/>
  <c r="K1831" i="29"/>
  <c r="G1775" i="29"/>
  <c r="F1703" i="29"/>
  <c r="I1663" i="29"/>
  <c r="G1623" i="29"/>
  <c r="F1575" i="29"/>
  <c r="G1535" i="29"/>
  <c r="L1495" i="29"/>
  <c r="K1455" i="29"/>
  <c r="H1415" i="29"/>
  <c r="K1375" i="29"/>
  <c r="J1335" i="29"/>
  <c r="M1295" i="29"/>
  <c r="F1255" i="29"/>
  <c r="J1215" i="29"/>
  <c r="G1175" i="29"/>
  <c r="F1135" i="29"/>
  <c r="M1095" i="29"/>
  <c r="L1055" i="29"/>
  <c r="G1023" i="29"/>
  <c r="K975" i="29"/>
  <c r="H943" i="29"/>
  <c r="M895" i="29"/>
  <c r="G863" i="29"/>
  <c r="F823" i="29"/>
  <c r="H783" i="29"/>
  <c r="M743" i="29"/>
  <c r="K703" i="29"/>
  <c r="L663" i="29"/>
  <c r="J631" i="29"/>
  <c r="L583" i="29"/>
  <c r="F551" i="29"/>
  <c r="H503" i="29"/>
  <c r="M471" i="29"/>
  <c r="F439" i="29"/>
  <c r="M391" i="29"/>
  <c r="I359" i="29"/>
  <c r="L327" i="29"/>
  <c r="F279" i="29"/>
  <c r="H247" i="29"/>
  <c r="H215" i="29"/>
  <c r="F167" i="29"/>
  <c r="M135" i="29"/>
  <c r="L103" i="29"/>
  <c r="I2588" i="29"/>
  <c r="I2549" i="29"/>
  <c r="I2510" i="29"/>
  <c r="I2472" i="29"/>
  <c r="I2431" i="29"/>
  <c r="L2393" i="29"/>
  <c r="L2353" i="29"/>
  <c r="L2313" i="29"/>
  <c r="H2257" i="29"/>
  <c r="H2177" i="29"/>
  <c r="H2097" i="29"/>
  <c r="H2194" i="29"/>
  <c r="H2116" i="29"/>
  <c r="L2502" i="29"/>
  <c r="H2071" i="29"/>
  <c r="K2034" i="29"/>
  <c r="F1642" i="29"/>
  <c r="K1394" i="29"/>
  <c r="M1186" i="29"/>
  <c r="J1010" i="29"/>
  <c r="G850" i="29"/>
  <c r="K698" i="29"/>
  <c r="I538" i="29"/>
  <c r="I426" i="29"/>
  <c r="K314" i="29"/>
  <c r="I210" i="29"/>
  <c r="G106" i="29"/>
  <c r="M2386" i="29"/>
  <c r="M2042" i="29"/>
  <c r="F2394" i="29"/>
  <c r="G2074" i="29"/>
  <c r="I2241" i="29"/>
  <c r="L1617" i="29"/>
  <c r="M1848" i="29"/>
  <c r="H1440" i="29"/>
  <c r="J1024" i="29"/>
  <c r="G832" i="29"/>
  <c r="I2217" i="29"/>
  <c r="M1761" i="29"/>
  <c r="M1449" i="29"/>
  <c r="I1169" i="29"/>
  <c r="I905" i="29"/>
  <c r="I617" i="29"/>
  <c r="K377" i="29"/>
  <c r="M121" i="29"/>
  <c r="M2016" i="29"/>
  <c r="F1504" i="29"/>
  <c r="J1080" i="29"/>
  <c r="H664" i="29"/>
  <c r="M528" i="29"/>
  <c r="L360" i="29"/>
  <c r="L240" i="29"/>
  <c r="F96" i="29"/>
  <c r="I2391" i="29"/>
  <c r="I2247" i="29"/>
  <c r="M2175" i="29"/>
  <c r="J2095" i="29"/>
  <c r="L2031" i="29"/>
  <c r="M1959" i="29"/>
  <c r="K1895" i="29"/>
  <c r="L1831" i="29"/>
  <c r="H1775" i="29"/>
  <c r="L1703" i="29"/>
  <c r="J1663" i="29"/>
  <c r="H1615" i="29"/>
  <c r="I1575" i="29"/>
  <c r="H1535" i="29"/>
  <c r="M1495" i="29"/>
  <c r="M1455" i="29"/>
  <c r="G1407" i="29"/>
  <c r="M1375" i="29"/>
  <c r="K1335" i="29"/>
  <c r="H1287" i="29"/>
  <c r="G1255" i="29"/>
  <c r="I1207" i="29"/>
  <c r="L1175" i="29"/>
  <c r="G1135" i="29"/>
  <c r="H1095" i="29"/>
  <c r="F1055" i="29"/>
  <c r="G1015" i="29"/>
  <c r="L975" i="29"/>
  <c r="I935" i="29"/>
  <c r="F895" i="29"/>
  <c r="J855" i="29"/>
  <c r="H815" i="29"/>
  <c r="I783" i="29"/>
  <c r="L743" i="29"/>
  <c r="J703" i="29"/>
  <c r="M663" i="29"/>
  <c r="J623" i="29"/>
  <c r="M583" i="29"/>
  <c r="I543" i="29"/>
  <c r="J503" i="29"/>
  <c r="F471" i="29"/>
  <c r="L431" i="29"/>
  <c r="J391" i="29"/>
  <c r="K359" i="29"/>
  <c r="M319" i="29"/>
  <c r="G279" i="29"/>
  <c r="J247" i="29"/>
  <c r="J207" i="29"/>
  <c r="G167" i="29"/>
  <c r="J135" i="29"/>
  <c r="F95" i="29"/>
  <c r="I2587" i="29"/>
  <c r="I2548" i="29"/>
  <c r="I2509" i="29"/>
  <c r="I2471" i="29"/>
  <c r="I2430" i="29"/>
  <c r="J2392" i="29"/>
  <c r="J2352" i="29"/>
  <c r="J2312" i="29"/>
  <c r="F2255" i="29"/>
  <c r="F2175" i="29"/>
  <c r="M2529" i="29"/>
  <c r="F2100" i="29"/>
  <c r="J2500" i="29"/>
  <c r="H1879" i="29"/>
  <c r="I1946" i="29"/>
  <c r="H1634" i="29"/>
  <c r="J1378" i="29"/>
  <c r="F1186" i="29"/>
  <c r="K1010" i="29"/>
  <c r="H850" i="29"/>
  <c r="F690" i="29"/>
  <c r="I530" i="29"/>
  <c r="K426" i="29"/>
  <c r="J314" i="29"/>
  <c r="J202" i="29"/>
  <c r="G90" i="29"/>
  <c r="J2386" i="29"/>
  <c r="G2042" i="29"/>
  <c r="M2370" i="29"/>
  <c r="J2050" i="29"/>
  <c r="J2241" i="29"/>
  <c r="F1617" i="29"/>
  <c r="I1848" i="29"/>
  <c r="J1368" i="29"/>
  <c r="K1024" i="29"/>
  <c r="H832" i="29"/>
  <c r="J2217" i="29"/>
  <c r="H1761" i="29"/>
  <c r="F1449" i="29"/>
  <c r="J1169" i="29"/>
  <c r="J905" i="29"/>
  <c r="J617" i="29"/>
  <c r="L345" i="29"/>
  <c r="F97" i="29"/>
  <c r="I1968" i="29"/>
  <c r="K1504" i="29"/>
  <c r="K1080" i="29"/>
  <c r="J664" i="29"/>
  <c r="F528" i="29"/>
  <c r="J360" i="29"/>
  <c r="J224" i="29"/>
  <c r="G96" i="29"/>
  <c r="M2391" i="29"/>
  <c r="J2247" i="29"/>
  <c r="J2167" i="29"/>
  <c r="K2095" i="29"/>
  <c r="M2031" i="29"/>
  <c r="I1951" i="29"/>
  <c r="L1895" i="29"/>
  <c r="M1823" i="29"/>
  <c r="I1775" i="29"/>
  <c r="M1703" i="29"/>
  <c r="K1655" i="29"/>
  <c r="I1615" i="29"/>
  <c r="H1575" i="29"/>
  <c r="F1535" i="29"/>
  <c r="G1487" i="29"/>
  <c r="J1455" i="29"/>
  <c r="H1407" i="29"/>
  <c r="G1367" i="29"/>
  <c r="L1335" i="29"/>
  <c r="I1287" i="29"/>
  <c r="L1255" i="29"/>
  <c r="J1207" i="29"/>
  <c r="F1175" i="29"/>
  <c r="K1135" i="29"/>
  <c r="I1087" i="29"/>
  <c r="G1055" i="29"/>
  <c r="M1015" i="29"/>
  <c r="M975" i="29"/>
  <c r="J935" i="29"/>
  <c r="G895" i="29"/>
  <c r="K855" i="29"/>
  <c r="J815" i="29"/>
  <c r="K775" i="29"/>
  <c r="I743" i="29"/>
  <c r="F695" i="29"/>
  <c r="K663" i="29"/>
  <c r="H623" i="29"/>
  <c r="F583" i="29"/>
  <c r="J543" i="29"/>
  <c r="K503" i="29"/>
  <c r="G471" i="29"/>
  <c r="J431" i="29"/>
  <c r="H391" i="29"/>
  <c r="F359" i="29"/>
  <c r="H319" i="29"/>
  <c r="H279" i="29"/>
  <c r="G247" i="29"/>
  <c r="K207" i="29"/>
  <c r="H167" i="29"/>
  <c r="G135" i="29"/>
  <c r="G95" i="29"/>
  <c r="I2585" i="29"/>
  <c r="I2547" i="29"/>
  <c r="I2508" i="29"/>
  <c r="I2470" i="29"/>
  <c r="M1688" i="29"/>
  <c r="H1916" i="29"/>
  <c r="K2456" i="29"/>
  <c r="K1727" i="29"/>
  <c r="K1914" i="29"/>
  <c r="L1618" i="29"/>
  <c r="H1338" i="29"/>
  <c r="G1162" i="29"/>
  <c r="F994" i="29"/>
  <c r="I826" i="29"/>
  <c r="K666" i="29"/>
  <c r="F530" i="29"/>
  <c r="F418" i="29"/>
  <c r="K306" i="29"/>
  <c r="J194" i="29"/>
  <c r="K90" i="29"/>
  <c r="M2322" i="29"/>
  <c r="G1994" i="29"/>
  <c r="M2282" i="29"/>
  <c r="M2050" i="29"/>
  <c r="K2201" i="29"/>
  <c r="I1617" i="29"/>
  <c r="K1808" i="29"/>
  <c r="M1368" i="29"/>
  <c r="J984" i="29"/>
  <c r="L800" i="29"/>
  <c r="J2137" i="29"/>
  <c r="J1713" i="29"/>
  <c r="K1425" i="29"/>
  <c r="G1169" i="29"/>
  <c r="M841" i="29"/>
  <c r="L617" i="29"/>
  <c r="F321" i="29"/>
  <c r="J97" i="29"/>
  <c r="M1904" i="29"/>
  <c r="M1456" i="29"/>
  <c r="I1048" i="29"/>
  <c r="M664" i="29"/>
  <c r="I496" i="29"/>
  <c r="I344" i="29"/>
  <c r="M200" i="29"/>
  <c r="J96" i="29"/>
  <c r="M2367" i="29"/>
  <c r="J2231" i="29"/>
  <c r="M2167" i="29"/>
  <c r="J2087" i="29"/>
  <c r="L2015" i="29"/>
  <c r="I1943" i="29"/>
  <c r="L1879" i="29"/>
  <c r="G1823" i="29"/>
  <c r="H1759" i="29"/>
  <c r="K1695" i="29"/>
  <c r="G1655" i="29"/>
  <c r="G1607" i="29"/>
  <c r="L1567" i="29"/>
  <c r="I1527" i="29"/>
  <c r="I1487" i="29"/>
  <c r="H1447" i="29"/>
  <c r="L1407" i="29"/>
  <c r="I1367" i="29"/>
  <c r="M1327" i="29"/>
  <c r="F1287" i="29"/>
  <c r="I1247" i="29"/>
  <c r="L1207" i="29"/>
  <c r="K1167" i="29"/>
  <c r="H1127" i="29"/>
  <c r="L1087" i="29"/>
  <c r="I1047" i="29"/>
  <c r="L1007" i="29"/>
  <c r="I967" i="29"/>
  <c r="K927" i="29"/>
  <c r="L895" i="29"/>
  <c r="I855" i="29"/>
  <c r="M815" i="29"/>
  <c r="M775" i="29"/>
  <c r="L735" i="29"/>
  <c r="L695" i="29"/>
  <c r="F655" i="29"/>
  <c r="M615" i="29"/>
  <c r="I575" i="29"/>
  <c r="K535" i="29"/>
  <c r="F503" i="29"/>
  <c r="J463" i="29"/>
  <c r="H423" i="29"/>
  <c r="F391" i="29"/>
  <c r="M351" i="29"/>
  <c r="G311" i="29"/>
  <c r="J279" i="29"/>
  <c r="L239" i="29"/>
  <c r="L199" i="29"/>
  <c r="J167" i="29"/>
  <c r="I127" i="29"/>
  <c r="H87" i="29"/>
  <c r="I2582" i="29"/>
  <c r="I2543" i="29"/>
  <c r="I2504" i="29"/>
  <c r="I2462" i="29"/>
  <c r="I2425" i="29"/>
  <c r="G2387" i="29"/>
  <c r="G2347" i="29"/>
  <c r="G2307" i="29"/>
  <c r="M2582" i="29"/>
  <c r="L2432" i="29"/>
  <c r="K2548" i="29"/>
  <c r="J2347" i="29"/>
  <c r="L1874" i="29"/>
  <c r="L1554" i="29"/>
  <c r="H1306" i="29"/>
  <c r="J1122" i="29"/>
  <c r="K962" i="29"/>
  <c r="I794" i="29"/>
  <c r="I634" i="29"/>
  <c r="I498" i="29"/>
  <c r="K394" i="29"/>
  <c r="L282" i="29"/>
  <c r="M170" i="29"/>
  <c r="L2450" i="29"/>
  <c r="G2298" i="29"/>
  <c r="G1938" i="29"/>
  <c r="L2258" i="29"/>
  <c r="I2002" i="29"/>
  <c r="J2081" i="29"/>
  <c r="I2328" i="29"/>
  <c r="H1712" i="29"/>
  <c r="J1280" i="29"/>
  <c r="H960" i="29"/>
  <c r="H784" i="29"/>
  <c r="L2073" i="29"/>
  <c r="M1649" i="29"/>
  <c r="I1393" i="29"/>
  <c r="H1105" i="29"/>
  <c r="K809" i="29"/>
  <c r="I521" i="29"/>
  <c r="I297" i="29"/>
  <c r="M73" i="29"/>
  <c r="L1800" i="29"/>
  <c r="J1360" i="29"/>
  <c r="F1048" i="29"/>
  <c r="J624" i="29"/>
  <c r="G456" i="29"/>
  <c r="K320" i="29"/>
  <c r="I184" i="29"/>
  <c r="M64" i="29"/>
  <c r="I2319" i="29"/>
  <c r="K2223" i="29"/>
  <c r="I2143" i="29"/>
  <c r="M2079" i="29"/>
  <c r="M2007" i="29"/>
  <c r="I1935" i="29"/>
  <c r="F1871" i="29"/>
  <c r="G2171" i="29"/>
  <c r="H2339" i="29"/>
  <c r="G1830" i="29"/>
  <c r="F2474" i="29"/>
  <c r="F1802" i="29"/>
  <c r="J1546" i="29"/>
  <c r="M1298" i="29"/>
  <c r="H1114" i="29"/>
  <c r="G938" i="29"/>
  <c r="F786" i="29"/>
  <c r="M626" i="29"/>
  <c r="K490" i="29"/>
  <c r="L370" i="29"/>
  <c r="F274" i="29"/>
  <c r="M162" i="29"/>
  <c r="M2578" i="29"/>
  <c r="I2202" i="29"/>
  <c r="M1834" i="29"/>
  <c r="K2234" i="29"/>
  <c r="L1978" i="29"/>
  <c r="J1985" i="29"/>
  <c r="L2240" i="29"/>
  <c r="G1664" i="29"/>
  <c r="M1280" i="29"/>
  <c r="K904" i="29"/>
  <c r="I784" i="29"/>
  <c r="I1993" i="29"/>
  <c r="F1609" i="29"/>
  <c r="J1321" i="29"/>
  <c r="L1073" i="29"/>
  <c r="J769" i="29"/>
  <c r="F521" i="29"/>
  <c r="L265" i="29"/>
  <c r="M2392" i="29"/>
  <c r="J1752" i="29"/>
  <c r="M1360" i="29"/>
  <c r="F992" i="29"/>
  <c r="M600" i="29"/>
  <c r="J456" i="29"/>
  <c r="K304" i="29"/>
  <c r="G184" i="29"/>
  <c r="J2569" i="29"/>
  <c r="I2303" i="29"/>
  <c r="L2215" i="29"/>
  <c r="M2143" i="29"/>
  <c r="K2071" i="29"/>
  <c r="I1991" i="29"/>
  <c r="M1927" i="29"/>
  <c r="L1863" i="29"/>
  <c r="M1799" i="29"/>
  <c r="G1743" i="29"/>
  <c r="M1687" i="29"/>
  <c r="F1639" i="29"/>
  <c r="J1599" i="29"/>
  <c r="K1559" i="29"/>
  <c r="K1519" i="29"/>
  <c r="K1479" i="29"/>
  <c r="G1431" i="29"/>
  <c r="G1391" i="29"/>
  <c r="J1351" i="29"/>
  <c r="F1311" i="29"/>
  <c r="G1279" i="29"/>
  <c r="H1231" i="29"/>
  <c r="L1199" i="29"/>
  <c r="H1151" i="29"/>
  <c r="M1119" i="29"/>
  <c r="F1079" i="29"/>
  <c r="G1039" i="29"/>
  <c r="M999" i="29"/>
  <c r="F959" i="29"/>
  <c r="L919" i="29"/>
  <c r="J879" i="29"/>
  <c r="F839" i="29"/>
  <c r="K799" i="29"/>
  <c r="F759" i="29"/>
  <c r="H727" i="29"/>
  <c r="M687" i="29"/>
  <c r="J647" i="29"/>
  <c r="G607" i="29"/>
  <c r="H567" i="29"/>
  <c r="K527" i="29"/>
  <c r="F495" i="29"/>
  <c r="J455" i="29"/>
  <c r="H415" i="29"/>
  <c r="F383" i="29"/>
  <c r="M2476" i="29"/>
  <c r="H2315" i="29"/>
  <c r="F2381" i="29"/>
  <c r="G2426" i="29"/>
  <c r="L1778" i="29"/>
  <c r="L1538" i="29"/>
  <c r="L1274" i="29"/>
  <c r="G1098" i="29"/>
  <c r="L930" i="29"/>
  <c r="M778" i="29"/>
  <c r="G610" i="29"/>
  <c r="M482" i="29"/>
  <c r="I370" i="29"/>
  <c r="L274" i="29"/>
  <c r="L154" i="29"/>
  <c r="H2578" i="29"/>
  <c r="M2202" i="29"/>
  <c r="K2570" i="29"/>
  <c r="G2234" i="29"/>
  <c r="H1978" i="29"/>
  <c r="M1985" i="29"/>
  <c r="J2192" i="29"/>
  <c r="K1624" i="29"/>
  <c r="H1192" i="29"/>
  <c r="I904" i="29"/>
  <c r="L768" i="29"/>
  <c r="I1953" i="29"/>
  <c r="H1609" i="29"/>
  <c r="M1321" i="29"/>
  <c r="H1073" i="29"/>
  <c r="L737" i="29"/>
  <c r="J521" i="29"/>
  <c r="G233" i="29"/>
  <c r="I2304" i="29"/>
  <c r="F1696" i="29"/>
  <c r="G1320" i="29"/>
  <c r="K952" i="29"/>
  <c r="J600" i="29"/>
  <c r="M432" i="29"/>
  <c r="K288" i="29"/>
  <c r="K168" i="29"/>
  <c r="J2560" i="29"/>
  <c r="I2287" i="29"/>
  <c r="M2496" i="29"/>
  <c r="J1875" i="29"/>
  <c r="F2181" i="29"/>
  <c r="H2426" i="29"/>
  <c r="M1770" i="29"/>
  <c r="H1530" i="29"/>
  <c r="I1266" i="29"/>
  <c r="F1098" i="29"/>
  <c r="M930" i="29"/>
  <c r="I778" i="29"/>
  <c r="H610" i="29"/>
  <c r="F482" i="29"/>
  <c r="K370" i="29"/>
  <c r="L266" i="29"/>
  <c r="J154" i="29"/>
  <c r="M2554" i="29"/>
  <c r="I2178" i="29"/>
  <c r="G2570" i="29"/>
  <c r="I2210" i="29"/>
  <c r="F1978" i="29"/>
  <c r="I1929" i="29"/>
  <c r="K2192" i="29"/>
  <c r="L1624" i="29"/>
  <c r="I1192" i="29"/>
  <c r="L904" i="29"/>
  <c r="F768" i="29"/>
  <c r="J1953" i="29"/>
  <c r="I1609" i="29"/>
  <c r="I1289" i="29"/>
  <c r="M1073" i="29"/>
  <c r="M737" i="29"/>
  <c r="I489" i="29"/>
  <c r="F233" i="29"/>
  <c r="J2304" i="29"/>
  <c r="G1696" i="29"/>
  <c r="H1320" i="29"/>
  <c r="L952" i="29"/>
  <c r="K600" i="29"/>
  <c r="F432" i="29"/>
  <c r="J288" i="29"/>
  <c r="F152" i="29"/>
  <c r="J2545" i="29"/>
  <c r="L2287" i="29"/>
  <c r="M2468" i="29"/>
  <c r="J2454" i="29"/>
  <c r="F2037" i="29"/>
  <c r="J2378" i="29"/>
  <c r="G1770" i="29"/>
  <c r="J1490" i="29"/>
  <c r="J1266" i="29"/>
  <c r="M1090" i="29"/>
  <c r="F930" i="29"/>
  <c r="G746" i="29"/>
  <c r="G602" i="29"/>
  <c r="G474" i="29"/>
  <c r="I362" i="29"/>
  <c r="L250" i="29"/>
  <c r="M146" i="29"/>
  <c r="G2530" i="29"/>
  <c r="J2178" i="29"/>
  <c r="J2546" i="29"/>
  <c r="M2186" i="29"/>
  <c r="L1954" i="29"/>
  <c r="J1929" i="29"/>
  <c r="I2096" i="29"/>
  <c r="F1624" i="29"/>
  <c r="M1192" i="29"/>
  <c r="F904" i="29"/>
  <c r="F728" i="29"/>
  <c r="K1953" i="29"/>
  <c r="G1545" i="29"/>
  <c r="J1289" i="29"/>
  <c r="H1017" i="29"/>
  <c r="G737" i="29"/>
  <c r="M489" i="29"/>
  <c r="K201" i="29"/>
  <c r="M2256" i="29"/>
  <c r="H1696" i="29"/>
  <c r="L1256" i="29"/>
  <c r="M952" i="29"/>
  <c r="F600" i="29"/>
  <c r="I432" i="29"/>
  <c r="F272" i="29"/>
  <c r="G152" i="29"/>
  <c r="J2544" i="29"/>
  <c r="M2287" i="29"/>
  <c r="K2207" i="29"/>
  <c r="J2127" i="29"/>
  <c r="L2055" i="29"/>
  <c r="M1991" i="29"/>
  <c r="M1919" i="29"/>
  <c r="K1855" i="29"/>
  <c r="K2305" i="29"/>
  <c r="G2374" i="29"/>
  <c r="H2450" i="29"/>
  <c r="I1594" i="29"/>
  <c r="F1170" i="29"/>
  <c r="M898" i="29"/>
  <c r="I618" i="29"/>
  <c r="M394" i="29"/>
  <c r="K202" i="29"/>
  <c r="G2482" i="29"/>
  <c r="M2570" i="29"/>
  <c r="I2026" i="29"/>
  <c r="G1617" i="29"/>
  <c r="J1528" i="29"/>
  <c r="M904" i="29"/>
  <c r="I2105" i="29"/>
  <c r="G1425" i="29"/>
  <c r="K977" i="29"/>
  <c r="G521" i="29"/>
  <c r="F73" i="29"/>
  <c r="M1504" i="29"/>
  <c r="L912" i="29"/>
  <c r="L432" i="29"/>
  <c r="G200" i="29"/>
  <c r="M2383" i="29"/>
  <c r="M2207" i="29"/>
  <c r="K2079" i="29"/>
  <c r="L1983" i="29"/>
  <c r="M1863" i="29"/>
  <c r="I1791" i="29"/>
  <c r="H1695" i="29"/>
  <c r="J1639" i="29"/>
  <c r="K1575" i="29"/>
  <c r="I1519" i="29"/>
  <c r="K1463" i="29"/>
  <c r="H1399" i="29"/>
  <c r="G1343" i="29"/>
  <c r="J1287" i="29"/>
  <c r="F1239" i="29"/>
  <c r="F1183" i="29"/>
  <c r="L1119" i="29"/>
  <c r="M1071" i="29"/>
  <c r="J1007" i="29"/>
  <c r="F967" i="29"/>
  <c r="M911" i="29"/>
  <c r="G855" i="29"/>
  <c r="M799" i="29"/>
  <c r="G743" i="29"/>
  <c r="L687" i="29"/>
  <c r="I631" i="29"/>
  <c r="M575" i="29"/>
  <c r="G527" i="29"/>
  <c r="H471" i="29"/>
  <c r="J415" i="29"/>
  <c r="K367" i="29"/>
  <c r="J311" i="29"/>
  <c r="K271" i="29"/>
  <c r="J215" i="29"/>
  <c r="M159" i="29"/>
  <c r="H111" i="29"/>
  <c r="I71" i="29"/>
  <c r="I2541" i="29"/>
  <c r="I2488" i="29"/>
  <c r="I2444" i="29"/>
  <c r="J2388" i="29"/>
  <c r="L2337" i="29"/>
  <c r="K2281" i="29"/>
  <c r="F2199" i="29"/>
  <c r="G2100" i="29"/>
  <c r="H2017" i="29"/>
  <c r="H1937" i="29"/>
  <c r="K1719" i="29"/>
  <c r="J2225" i="29"/>
  <c r="M2025" i="29"/>
  <c r="J1849" i="29"/>
  <c r="L1697" i="29"/>
  <c r="H1553" i="29"/>
  <c r="F1457" i="29"/>
  <c r="H1305" i="29"/>
  <c r="G1209" i="29"/>
  <c r="K1097" i="29"/>
  <c r="G993" i="29"/>
  <c r="M865" i="29"/>
  <c r="H785" i="29"/>
  <c r="H665" i="29"/>
  <c r="J561" i="29"/>
  <c r="F433" i="29"/>
  <c r="I337" i="29"/>
  <c r="F2193" i="29"/>
  <c r="J2405" i="29"/>
  <c r="K2306" i="29"/>
  <c r="G1586" i="29"/>
  <c r="G1170" i="29"/>
  <c r="K882" i="29"/>
  <c r="K602" i="29"/>
  <c r="I394" i="29"/>
  <c r="L202" i="29"/>
  <c r="H2482" i="29"/>
  <c r="M2490" i="29"/>
  <c r="H2026" i="29"/>
  <c r="H1617" i="29"/>
  <c r="K1528" i="29"/>
  <c r="G904" i="29"/>
  <c r="J2105" i="29"/>
  <c r="H1425" i="29"/>
  <c r="L977" i="29"/>
  <c r="H489" i="29"/>
  <c r="I73" i="29"/>
  <c r="K1456" i="29"/>
  <c r="H912" i="29"/>
  <c r="G432" i="29"/>
  <c r="M184" i="29"/>
  <c r="I2375" i="29"/>
  <c r="J2191" i="29"/>
  <c r="L2079" i="29"/>
  <c r="M1983" i="29"/>
  <c r="K1863" i="29"/>
  <c r="M1783" i="29"/>
  <c r="I1695" i="29"/>
  <c r="M1639" i="29"/>
  <c r="G1567" i="29"/>
  <c r="M1519" i="29"/>
  <c r="J1463" i="29"/>
  <c r="J1399" i="29"/>
  <c r="H1343" i="29"/>
  <c r="K1287" i="29"/>
  <c r="I1231" i="29"/>
  <c r="G1183" i="29"/>
  <c r="F1119" i="29"/>
  <c r="H1071" i="29"/>
  <c r="K1007" i="29"/>
  <c r="H959" i="29"/>
  <c r="G911" i="29"/>
  <c r="L847" i="29"/>
  <c r="I799" i="29"/>
  <c r="H743" i="29"/>
  <c r="I687" i="29"/>
  <c r="K631" i="29"/>
  <c r="F575" i="29"/>
  <c r="I519" i="29"/>
  <c r="I463" i="29"/>
  <c r="I415" i="29"/>
  <c r="F367" i="29"/>
  <c r="K311" i="29"/>
  <c r="M263" i="29"/>
  <c r="K215" i="29"/>
  <c r="F159" i="29"/>
  <c r="I111" i="29"/>
  <c r="J71" i="29"/>
  <c r="I2540" i="29"/>
  <c r="I2487" i="29"/>
  <c r="I2443" i="29"/>
  <c r="L2385" i="29"/>
  <c r="J2336" i="29"/>
  <c r="K2279" i="29"/>
  <c r="G2196" i="29"/>
  <c r="F2095" i="29"/>
  <c r="F2015" i="29"/>
  <c r="F1935" i="29"/>
  <c r="L1711" i="29"/>
  <c r="K2225" i="29"/>
  <c r="I2001" i="29"/>
  <c r="K1849" i="29"/>
  <c r="M1697" i="29"/>
  <c r="I1553" i="29"/>
  <c r="I1457" i="29"/>
  <c r="I1305" i="29"/>
  <c r="L1209" i="29"/>
  <c r="L1097" i="29"/>
  <c r="H993" i="29"/>
  <c r="F865" i="29"/>
  <c r="G1847" i="29"/>
  <c r="F2197" i="29"/>
  <c r="F2306" i="29"/>
  <c r="M1546" i="29"/>
  <c r="L1154" i="29"/>
  <c r="M882" i="29"/>
  <c r="I594" i="29"/>
  <c r="F394" i="29"/>
  <c r="G194" i="29"/>
  <c r="K2482" i="29"/>
  <c r="H2490" i="29"/>
  <c r="I1978" i="29"/>
  <c r="J1617" i="29"/>
  <c r="L1528" i="29"/>
  <c r="K880" i="29"/>
  <c r="J2033" i="29"/>
  <c r="G1393" i="29"/>
  <c r="G977" i="29"/>
  <c r="J489" i="29"/>
  <c r="L73" i="29"/>
  <c r="G1400" i="29"/>
  <c r="F912" i="29"/>
  <c r="I416" i="29"/>
  <c r="J184" i="29"/>
  <c r="I2359" i="29"/>
  <c r="K2191" i="29"/>
  <c r="I2071" i="29"/>
  <c r="J1967" i="29"/>
  <c r="F1863" i="29"/>
  <c r="G1783" i="29"/>
  <c r="J1695" i="29"/>
  <c r="L1631" i="29"/>
  <c r="M1567" i="29"/>
  <c r="H1511" i="29"/>
  <c r="L1463" i="29"/>
  <c r="F1399" i="29"/>
  <c r="I1343" i="29"/>
  <c r="G1287" i="29"/>
  <c r="J1231" i="29"/>
  <c r="H1175" i="29"/>
  <c r="G1119" i="29"/>
  <c r="J1063" i="29"/>
  <c r="F1007" i="29"/>
  <c r="J951" i="29"/>
  <c r="F911" i="29"/>
  <c r="G847" i="29"/>
  <c r="J799" i="29"/>
  <c r="H735" i="29"/>
  <c r="K687" i="29"/>
  <c r="L631" i="29"/>
  <c r="G575" i="29"/>
  <c r="H519" i="29"/>
  <c r="K463" i="29"/>
  <c r="K415" i="29"/>
  <c r="G367" i="29"/>
  <c r="L311" i="29"/>
  <c r="F263" i="29"/>
  <c r="L215" i="29"/>
  <c r="G159" i="29"/>
  <c r="J111" i="29"/>
  <c r="K71" i="29"/>
  <c r="I2539" i="29"/>
  <c r="I2486" i="29"/>
  <c r="I2441" i="29"/>
  <c r="J2384" i="29"/>
  <c r="G2335" i="29"/>
  <c r="K2277" i="29"/>
  <c r="H2193" i="29"/>
  <c r="G2092" i="29"/>
  <c r="G2012" i="29"/>
  <c r="G1932" i="29"/>
  <c r="L1696" i="29"/>
  <c r="L2225" i="29"/>
  <c r="J2001" i="29"/>
  <c r="M1809" i="29"/>
  <c r="G1697" i="29"/>
  <c r="K1553" i="29"/>
  <c r="G1417" i="29"/>
  <c r="J1305" i="29"/>
  <c r="H1185" i="29"/>
  <c r="F1097" i="29"/>
  <c r="I961" i="29"/>
  <c r="L2562" i="29"/>
  <c r="G2157" i="29"/>
  <c r="J2290" i="29"/>
  <c r="F1546" i="29"/>
  <c r="F1154" i="29"/>
  <c r="F882" i="29"/>
  <c r="L594" i="29"/>
  <c r="G394" i="29"/>
  <c r="M186" i="29"/>
  <c r="I2482" i="29"/>
  <c r="J2490" i="29"/>
  <c r="K1978" i="29"/>
  <c r="J1377" i="29"/>
  <c r="H1488" i="29"/>
  <c r="M880" i="29"/>
  <c r="K2033" i="29"/>
  <c r="H1393" i="29"/>
  <c r="H977" i="29"/>
  <c r="K457" i="29"/>
  <c r="I2392" i="29"/>
  <c r="H1400" i="29"/>
  <c r="H872" i="29"/>
  <c r="K416" i="29"/>
  <c r="L184" i="29"/>
  <c r="I2351" i="29"/>
  <c r="M2191" i="29"/>
  <c r="J2071" i="29"/>
  <c r="K1967" i="29"/>
  <c r="M1855" i="29"/>
  <c r="H1783" i="29"/>
  <c r="K1687" i="29"/>
  <c r="F1631" i="29"/>
  <c r="F1567" i="29"/>
  <c r="F1511" i="29"/>
  <c r="M1463" i="29"/>
  <c r="L1399" i="29"/>
  <c r="J1343" i="29"/>
  <c r="M1287" i="29"/>
  <c r="K1231" i="29"/>
  <c r="I1175" i="29"/>
  <c r="K1119" i="29"/>
  <c r="K1063" i="29"/>
  <c r="H1007" i="29"/>
  <c r="K951" i="29"/>
  <c r="H911" i="29"/>
  <c r="K839" i="29"/>
  <c r="F799" i="29"/>
  <c r="J727" i="29"/>
  <c r="J687" i="29"/>
  <c r="M631" i="29"/>
  <c r="H575" i="29"/>
  <c r="J519" i="29"/>
  <c r="L463" i="29"/>
  <c r="F415" i="29"/>
  <c r="L359" i="29"/>
  <c r="M303" i="29"/>
  <c r="G263" i="29"/>
  <c r="M215" i="29"/>
  <c r="H159" i="29"/>
  <c r="K111" i="29"/>
  <c r="M71" i="29"/>
  <c r="I2537" i="29"/>
  <c r="I2485" i="29"/>
  <c r="I2440" i="29"/>
  <c r="G2383" i="29"/>
  <c r="L2333" i="29"/>
  <c r="K2275" i="29"/>
  <c r="F2191" i="29"/>
  <c r="H2089" i="29"/>
  <c r="H2009" i="29"/>
  <c r="H1929" i="29"/>
  <c r="L1667" i="29"/>
  <c r="M2225" i="29"/>
  <c r="K2001" i="29"/>
  <c r="F1809" i="29"/>
  <c r="K1665" i="29"/>
  <c r="J1553" i="29"/>
  <c r="H1417" i="29"/>
  <c r="K1305" i="29"/>
  <c r="I1185" i="29"/>
  <c r="G1097" i="29"/>
  <c r="J961" i="29"/>
  <c r="L865" i="29"/>
  <c r="L753" i="29"/>
  <c r="M665" i="29"/>
  <c r="J529" i="29"/>
  <c r="I433" i="29"/>
  <c r="F305" i="29"/>
  <c r="H2226" i="29"/>
  <c r="K2468" i="29"/>
  <c r="G2218" i="29"/>
  <c r="K1546" i="29"/>
  <c r="G1154" i="29"/>
  <c r="M826" i="29"/>
  <c r="I570" i="29"/>
  <c r="M370" i="29"/>
  <c r="F186" i="29"/>
  <c r="J2338" i="29"/>
  <c r="I2490" i="29"/>
  <c r="M1978" i="29"/>
  <c r="M1377" i="29"/>
  <c r="K1368" i="29"/>
  <c r="I856" i="29"/>
  <c r="L1993" i="29"/>
  <c r="J1393" i="29"/>
  <c r="K873" i="29"/>
  <c r="M457" i="29"/>
  <c r="M2352" i="29"/>
  <c r="J1400" i="29"/>
  <c r="I664" i="29"/>
  <c r="M392" i="29"/>
  <c r="J168" i="29"/>
  <c r="M2351" i="29"/>
  <c r="I2183" i="29"/>
  <c r="L2071" i="29"/>
  <c r="L1951" i="29"/>
  <c r="I1855" i="29"/>
  <c r="M1767" i="29"/>
  <c r="F1687" i="29"/>
  <c r="G1631" i="29"/>
  <c r="I1567" i="29"/>
  <c r="I1511" i="29"/>
  <c r="L1455" i="29"/>
  <c r="M1399" i="29"/>
  <c r="F1343" i="29"/>
  <c r="H1279" i="29"/>
  <c r="M1231" i="29"/>
  <c r="I1167" i="29"/>
  <c r="H1119" i="29"/>
  <c r="L1063" i="29"/>
  <c r="M1007" i="29"/>
  <c r="L951" i="29"/>
  <c r="H895" i="29"/>
  <c r="M839" i="29"/>
  <c r="J791" i="29"/>
  <c r="K727" i="29"/>
  <c r="I679" i="29"/>
  <c r="K615" i="29"/>
  <c r="J575" i="29"/>
  <c r="K519" i="29"/>
  <c r="M463" i="29"/>
  <c r="G415" i="29"/>
  <c r="G359" i="29"/>
  <c r="F303" i="29"/>
  <c r="H263" i="29"/>
  <c r="L207" i="29"/>
  <c r="I159" i="29"/>
  <c r="M111" i="29"/>
  <c r="I2584" i="29"/>
  <c r="I2536" i="29"/>
  <c r="I2484" i="29"/>
  <c r="I2429" i="29"/>
  <c r="L2381" i="29"/>
  <c r="J2332" i="29"/>
  <c r="K2273" i="29"/>
  <c r="G2180" i="29"/>
  <c r="F2087" i="29"/>
  <c r="F2007" i="29"/>
  <c r="F1927" i="29"/>
  <c r="H1649" i="29"/>
  <c r="I2185" i="29"/>
  <c r="L2001" i="29"/>
  <c r="G1809" i="29"/>
  <c r="F1665" i="29"/>
  <c r="L1553" i="29"/>
  <c r="J1417" i="29"/>
  <c r="L1305" i="29"/>
  <c r="J1185" i="29"/>
  <c r="H1097" i="29"/>
  <c r="K961" i="29"/>
  <c r="G865" i="29"/>
  <c r="F753" i="29"/>
  <c r="I665" i="29"/>
  <c r="K529" i="29"/>
  <c r="K433" i="29"/>
  <c r="G305" i="29"/>
  <c r="G1855" i="29"/>
  <c r="J2461" i="29"/>
  <c r="F2218" i="29"/>
  <c r="K1490" i="29"/>
  <c r="I1122" i="29"/>
  <c r="F826" i="29"/>
  <c r="K570" i="29"/>
  <c r="K362" i="29"/>
  <c r="H186" i="29"/>
  <c r="F2338" i="29"/>
  <c r="K2490" i="29"/>
  <c r="F1954" i="29"/>
  <c r="K2537" i="29"/>
  <c r="L1368" i="29"/>
  <c r="L856" i="29"/>
  <c r="L1953" i="29"/>
  <c r="M1393" i="29"/>
  <c r="M873" i="29"/>
  <c r="M417" i="29"/>
  <c r="I2200" i="29"/>
  <c r="H1360" i="29"/>
  <c r="L664" i="29"/>
  <c r="J392" i="29"/>
  <c r="H152" i="29"/>
  <c r="I2335" i="29"/>
  <c r="J2183" i="29"/>
  <c r="I2055" i="29"/>
  <c r="M1951" i="29"/>
  <c r="L1855" i="29"/>
  <c r="F1767" i="29"/>
  <c r="G1687" i="29"/>
  <c r="H1631" i="29"/>
  <c r="H1567" i="29"/>
  <c r="K1511" i="29"/>
  <c r="G1447" i="29"/>
  <c r="H1391" i="29"/>
  <c r="K1343" i="29"/>
  <c r="I1279" i="29"/>
  <c r="L1231" i="29"/>
  <c r="J1167" i="29"/>
  <c r="I1111" i="29"/>
  <c r="F1063" i="29"/>
  <c r="G1007" i="29"/>
  <c r="M951" i="29"/>
  <c r="I895" i="29"/>
  <c r="I839" i="29"/>
  <c r="M791" i="29"/>
  <c r="M727" i="29"/>
  <c r="J679" i="29"/>
  <c r="L615" i="29"/>
  <c r="J567" i="29"/>
  <c r="L519" i="29"/>
  <c r="F463" i="29"/>
  <c r="L407" i="29"/>
  <c r="L351" i="29"/>
  <c r="G303" i="29"/>
  <c r="G255" i="29"/>
  <c r="M207" i="29"/>
  <c r="L159" i="29"/>
  <c r="G111" i="29"/>
  <c r="I2583" i="29"/>
  <c r="I2535" i="29"/>
  <c r="I2483" i="29"/>
  <c r="I2428" i="29"/>
  <c r="J2380" i="29"/>
  <c r="G2331" i="29"/>
  <c r="K2271" i="29"/>
  <c r="G2172" i="29"/>
  <c r="G2084" i="29"/>
  <c r="G2004" i="29"/>
  <c r="G1924" i="29"/>
  <c r="J1636" i="29"/>
  <c r="J2185" i="29"/>
  <c r="M2001" i="29"/>
  <c r="H1809" i="29"/>
  <c r="H1665" i="29"/>
  <c r="M1553" i="29"/>
  <c r="M1417" i="29"/>
  <c r="M1305" i="29"/>
  <c r="K1185" i="29"/>
  <c r="M1097" i="29"/>
  <c r="L961" i="29"/>
  <c r="H865" i="29"/>
  <c r="G753" i="29"/>
  <c r="M1320" i="29"/>
  <c r="J2573" i="29"/>
  <c r="F1930" i="29"/>
  <c r="L1450" i="29"/>
  <c r="L1074" i="29"/>
  <c r="L802" i="29"/>
  <c r="M530" i="29"/>
  <c r="M338" i="29"/>
  <c r="F146" i="29"/>
  <c r="K2298" i="29"/>
  <c r="G2370" i="29"/>
  <c r="H1826" i="29"/>
  <c r="J2096" i="29"/>
  <c r="I1280" i="29"/>
  <c r="K800" i="29"/>
  <c r="I1833" i="29"/>
  <c r="K1289" i="29"/>
  <c r="H841" i="29"/>
  <c r="F345" i="29"/>
  <c r="I2152" i="29"/>
  <c r="H1208" i="29"/>
  <c r="G624" i="29"/>
  <c r="H344" i="29"/>
  <c r="J136" i="29"/>
  <c r="I2279" i="29"/>
  <c r="J2159" i="29"/>
  <c r="J2047" i="29"/>
  <c r="M1943" i="29"/>
  <c r="L1839" i="29"/>
  <c r="H1751" i="29"/>
  <c r="J1679" i="29"/>
  <c r="F1607" i="29"/>
  <c r="G1551" i="29"/>
  <c r="H1503" i="29"/>
  <c r="I1439" i="29"/>
  <c r="L1391" i="29"/>
  <c r="F1327" i="29"/>
  <c r="L1279" i="29"/>
  <c r="J1223" i="29"/>
  <c r="J1159" i="29"/>
  <c r="F1111" i="29"/>
  <c r="H1055" i="29"/>
  <c r="G999" i="29"/>
  <c r="I943" i="29"/>
  <c r="G887" i="29"/>
  <c r="J831" i="29"/>
  <c r="G775" i="29"/>
  <c r="F719" i="29"/>
  <c r="M671" i="29"/>
  <c r="G615" i="29"/>
  <c r="F559" i="29"/>
  <c r="M503" i="29"/>
  <c r="J447" i="29"/>
  <c r="I407" i="29"/>
  <c r="K351" i="29"/>
  <c r="L303" i="29"/>
  <c r="K255" i="29"/>
  <c r="H199" i="29"/>
  <c r="F151" i="29"/>
  <c r="H103" i="29"/>
  <c r="I2577" i="29"/>
  <c r="I2524" i="29"/>
  <c r="I2478" i="29"/>
  <c r="I2422" i="29"/>
  <c r="L2373" i="29"/>
  <c r="L2325" i="29"/>
  <c r="G2252" i="29"/>
  <c r="H2161" i="29"/>
  <c r="H2073" i="29"/>
  <c r="F1991" i="29"/>
  <c r="F1911" i="29"/>
  <c r="L1511" i="29"/>
  <c r="I2145" i="29"/>
  <c r="L1961" i="29"/>
  <c r="M1769" i="29"/>
  <c r="M1665" i="29"/>
  <c r="K1521" i="29"/>
  <c r="L1417" i="29"/>
  <c r="K1273" i="29"/>
  <c r="L1185" i="29"/>
  <c r="L1057" i="29"/>
  <c r="H961" i="29"/>
  <c r="F833" i="29"/>
  <c r="I753" i="29"/>
  <c r="L633" i="29"/>
  <c r="L2412" i="29"/>
  <c r="J2393" i="29"/>
  <c r="G1874" i="29"/>
  <c r="I1338" i="29"/>
  <c r="F1058" i="29"/>
  <c r="I746" i="29"/>
  <c r="J498" i="29"/>
  <c r="I306" i="29"/>
  <c r="M122" i="29"/>
  <c r="F2154" i="29"/>
  <c r="F2258" i="29"/>
  <c r="J2121" i="29"/>
  <c r="L2040" i="29"/>
  <c r="L1144" i="29"/>
  <c r="J784" i="29"/>
  <c r="K1713" i="29"/>
  <c r="M1225" i="29"/>
  <c r="I737" i="29"/>
  <c r="J297" i="29"/>
  <c r="M1856" i="29"/>
  <c r="F1208" i="29"/>
  <c r="G576" i="29"/>
  <c r="L320" i="29"/>
  <c r="K96" i="29"/>
  <c r="L2263" i="29"/>
  <c r="I2135" i="29"/>
  <c r="I2023" i="29"/>
  <c r="L1919" i="29"/>
  <c r="J1823" i="29"/>
  <c r="M1735" i="29"/>
  <c r="H1671" i="29"/>
  <c r="L1599" i="29"/>
  <c r="H1551" i="29"/>
  <c r="K1487" i="29"/>
  <c r="J1431" i="29"/>
  <c r="H1375" i="29"/>
  <c r="F1964" i="29"/>
  <c r="K2399" i="29"/>
  <c r="G1802" i="29"/>
  <c r="F1338" i="29"/>
  <c r="G1002" i="29"/>
  <c r="H738" i="29"/>
  <c r="I482" i="29"/>
  <c r="F298" i="29"/>
  <c r="H90" i="29"/>
  <c r="K2130" i="29"/>
  <c r="F2234" i="29"/>
  <c r="M2121" i="29"/>
  <c r="G1848" i="29"/>
  <c r="M1144" i="29"/>
  <c r="K768" i="29"/>
  <c r="H1681" i="29"/>
  <c r="M1169" i="29"/>
  <c r="M705" i="29"/>
  <c r="J265" i="29"/>
  <c r="I1800" i="29"/>
  <c r="G1080" i="29"/>
  <c r="F560" i="29"/>
  <c r="L304" i="29"/>
  <c r="K80" i="29"/>
  <c r="L2239" i="29"/>
  <c r="L2135" i="29"/>
  <c r="M2015" i="29"/>
  <c r="K1911" i="29"/>
  <c r="L1823" i="29"/>
  <c r="G1735" i="29"/>
  <c r="F1655" i="29"/>
  <c r="I1599" i="29"/>
  <c r="G1543" i="29"/>
  <c r="L1487" i="29"/>
  <c r="I1431" i="29"/>
  <c r="J1367" i="29"/>
  <c r="M1319" i="29"/>
  <c r="F1263" i="29"/>
  <c r="I1199" i="29"/>
  <c r="G1151" i="29"/>
  <c r="J1087" i="29"/>
  <c r="M1039" i="29"/>
  <c r="K983" i="29"/>
  <c r="H927" i="29"/>
  <c r="M871" i="29"/>
  <c r="F815" i="29"/>
  <c r="G767" i="29"/>
  <c r="F711" i="29"/>
  <c r="L655" i="29"/>
  <c r="I599" i="29"/>
  <c r="K543" i="29"/>
  <c r="M495" i="29"/>
  <c r="L439" i="29"/>
  <c r="M383" i="29"/>
  <c r="H335" i="29"/>
  <c r="L295" i="29"/>
  <c r="J239" i="29"/>
  <c r="J191" i="29"/>
  <c r="G143" i="29"/>
  <c r="L87" i="29"/>
  <c r="I2569" i="29"/>
  <c r="I2516" i="29"/>
  <c r="I2457" i="29"/>
  <c r="L2413" i="29"/>
  <c r="G2363" i="29"/>
  <c r="F1908" i="29"/>
  <c r="J2375" i="29"/>
  <c r="J1770" i="29"/>
  <c r="H1298" i="29"/>
  <c r="H986" i="29"/>
  <c r="I722" i="29"/>
  <c r="F458" i="29"/>
  <c r="J282" i="29"/>
  <c r="M90" i="29"/>
  <c r="G2114" i="29"/>
  <c r="I2162" i="29"/>
  <c r="K2081" i="29"/>
  <c r="L1808" i="29"/>
  <c r="F1144" i="29"/>
  <c r="G728" i="29"/>
  <c r="K1609" i="29"/>
  <c r="F1137" i="29"/>
  <c r="L673" i="29"/>
  <c r="F201" i="29"/>
  <c r="F1752" i="29"/>
  <c r="L1048" i="29"/>
  <c r="K544" i="29"/>
  <c r="I272" i="29"/>
  <c r="L64" i="29"/>
  <c r="K2231" i="29"/>
  <c r="M2127" i="29"/>
  <c r="K2007" i="29"/>
  <c r="J1903" i="29"/>
  <c r="F1815" i="29"/>
  <c r="I1735" i="29"/>
  <c r="H1655" i="29"/>
  <c r="H1599" i="29"/>
  <c r="I1543" i="29"/>
  <c r="K2564" i="29"/>
  <c r="J2367" i="29"/>
  <c r="K1770" i="29"/>
  <c r="I1298" i="29"/>
  <c r="I978" i="29"/>
  <c r="H722" i="29"/>
  <c r="G458" i="29"/>
  <c r="M274" i="29"/>
  <c r="G82" i="29"/>
  <c r="H2114" i="29"/>
  <c r="J2162" i="29"/>
  <c r="L2081" i="29"/>
  <c r="L1760" i="29"/>
  <c r="H1144" i="29"/>
  <c r="J728" i="29"/>
  <c r="L1609" i="29"/>
  <c r="I1105" i="29"/>
  <c r="I673" i="29"/>
  <c r="I201" i="29"/>
  <c r="G1752" i="29"/>
  <c r="G1048" i="29"/>
  <c r="M544" i="29"/>
  <c r="L272" i="29"/>
  <c r="J2576" i="29"/>
  <c r="L2231" i="29"/>
  <c r="I2119" i="29"/>
  <c r="L2007" i="29"/>
  <c r="K1903" i="29"/>
  <c r="L2552" i="29"/>
  <c r="L1791" i="29"/>
  <c r="G1730" i="29"/>
  <c r="G1274" i="29"/>
  <c r="H978" i="29"/>
  <c r="G682" i="29"/>
  <c r="K458" i="29"/>
  <c r="I274" i="29"/>
  <c r="H82" i="29"/>
  <c r="L1994" i="29"/>
  <c r="K2138" i="29"/>
  <c r="K1985" i="29"/>
  <c r="F1712" i="29"/>
  <c r="H1024" i="29"/>
  <c r="M728" i="29"/>
  <c r="M1609" i="29"/>
  <c r="J1105" i="29"/>
  <c r="K617" i="29"/>
  <c r="M169" i="29"/>
  <c r="K1696" i="29"/>
  <c r="H1048" i="29"/>
  <c r="G528" i="29"/>
  <c r="M256" i="29"/>
  <c r="J2561" i="29"/>
  <c r="M2231" i="29"/>
  <c r="J2119" i="29"/>
  <c r="J1999" i="29"/>
  <c r="L1903" i="29"/>
  <c r="H1815" i="29"/>
  <c r="F1727" i="29"/>
  <c r="J1655" i="29"/>
  <c r="L1591" i="29"/>
  <c r="I1535" i="29"/>
  <c r="I1479" i="29"/>
  <c r="H1423" i="29"/>
  <c r="M1367" i="29"/>
  <c r="G2075" i="29"/>
  <c r="L2582" i="29"/>
  <c r="F1322" i="29"/>
  <c r="H794" i="29"/>
  <c r="G362" i="29"/>
  <c r="K2578" i="29"/>
  <c r="G2186" i="29"/>
  <c r="M2096" i="29"/>
  <c r="J848" i="29"/>
  <c r="F1545" i="29"/>
  <c r="L705" i="29"/>
  <c r="L2152" i="29"/>
  <c r="I640" i="29"/>
  <c r="J200" i="29"/>
  <c r="M2239" i="29"/>
  <c r="M2047" i="29"/>
  <c r="F1855" i="29"/>
  <c r="H1727" i="29"/>
  <c r="M1607" i="29"/>
  <c r="F1519" i="29"/>
  <c r="M1431" i="29"/>
  <c r="F1335" i="29"/>
  <c r="G1263" i="29"/>
  <c r="M1191" i="29"/>
  <c r="I1103" i="29"/>
  <c r="F1031" i="29"/>
  <c r="F951" i="29"/>
  <c r="F871" i="29"/>
  <c r="L799" i="29"/>
  <c r="H719" i="29"/>
  <c r="I639" i="29"/>
  <c r="L559" i="29"/>
  <c r="G495" i="29"/>
  <c r="G423" i="29"/>
  <c r="F343" i="29"/>
  <c r="M271" i="29"/>
  <c r="I199" i="29"/>
  <c r="H135" i="29"/>
  <c r="F71" i="29"/>
  <c r="I2520" i="29"/>
  <c r="I2452" i="29"/>
  <c r="J2376" i="29"/>
  <c r="J2308" i="29"/>
  <c r="G2212" i="29"/>
  <c r="G2076" i="29"/>
  <c r="G1972" i="29"/>
  <c r="J1791" i="29"/>
  <c r="M2185" i="29"/>
  <c r="M1881" i="29"/>
  <c r="K1697" i="29"/>
  <c r="J1521" i="29"/>
  <c r="F1369" i="29"/>
  <c r="I1209" i="29"/>
  <c r="K1057" i="29"/>
  <c r="G929" i="29"/>
  <c r="K785" i="29"/>
  <c r="G665" i="29"/>
  <c r="M529" i="29"/>
  <c r="F401" i="29"/>
  <c r="G273" i="29"/>
  <c r="J177" i="29"/>
  <c r="M2320" i="29"/>
  <c r="L2032" i="29"/>
  <c r="K1776" i="29"/>
  <c r="H1592" i="29"/>
  <c r="H1392" i="29"/>
  <c r="F1232" i="29"/>
  <c r="G696" i="29"/>
  <c r="K632" i="29"/>
  <c r="J536" i="29"/>
  <c r="F488" i="29"/>
  <c r="M400" i="29"/>
  <c r="K336" i="29"/>
  <c r="F264" i="29"/>
  <c r="I208" i="29"/>
  <c r="I144" i="29"/>
  <c r="K88" i="29"/>
  <c r="M2414" i="29"/>
  <c r="J2302" i="29"/>
  <c r="I2246" i="29"/>
  <c r="L2206" i="29"/>
  <c r="J2158" i="29"/>
  <c r="M2118" i="29"/>
  <c r="K2070" i="29"/>
  <c r="I2022" i="29"/>
  <c r="L1982" i="29"/>
  <c r="J1934" i="29"/>
  <c r="J1894" i="29"/>
  <c r="H1854" i="29"/>
  <c r="G1814" i="29"/>
  <c r="K1790" i="29"/>
  <c r="G1758" i="29"/>
  <c r="K1734" i="29"/>
  <c r="J1702" i="29"/>
  <c r="J1670" i="29"/>
  <c r="L1638" i="29"/>
  <c r="G1614" i="29"/>
  <c r="I1582" i="29"/>
  <c r="L1550" i="29"/>
  <c r="J1526" i="29"/>
  <c r="I1494" i="29"/>
  <c r="H1462" i="29"/>
  <c r="H1430" i="29"/>
  <c r="F1406" i="29"/>
  <c r="L1374" i="29"/>
  <c r="K1350" i="29"/>
  <c r="J1318" i="29"/>
  <c r="H1286" i="29"/>
  <c r="G1262" i="29"/>
  <c r="I1230" i="29"/>
  <c r="F1206" i="29"/>
  <c r="I1174" i="29"/>
  <c r="I1150" i="29"/>
  <c r="J1118" i="29"/>
  <c r="H1094" i="29"/>
  <c r="J1062" i="29"/>
  <c r="H1038" i="29"/>
  <c r="J1006" i="29"/>
  <c r="F982" i="29"/>
  <c r="J950" i="29"/>
  <c r="F926" i="29"/>
  <c r="K894" i="29"/>
  <c r="G870" i="29"/>
  <c r="K838" i="29"/>
  <c r="M814" i="29"/>
  <c r="L782" i="29"/>
  <c r="J758" i="29"/>
  <c r="I726" i="29"/>
  <c r="L702" i="29"/>
  <c r="G670" i="29"/>
  <c r="L646" i="29"/>
  <c r="J614" i="29"/>
  <c r="J590" i="29"/>
  <c r="K558" i="29"/>
  <c r="F534" i="29"/>
  <c r="G502" i="29"/>
  <c r="F478" i="29"/>
  <c r="J446" i="29"/>
  <c r="H422" i="29"/>
  <c r="M390" i="29"/>
  <c r="H366" i="29"/>
  <c r="M334" i="29"/>
  <c r="K310" i="29"/>
  <c r="F278" i="29"/>
  <c r="L254" i="29"/>
  <c r="L222" i="29"/>
  <c r="I198" i="29"/>
  <c r="F166" i="29"/>
  <c r="L142" i="29"/>
  <c r="H110" i="29"/>
  <c r="K86" i="29"/>
  <c r="H2587" i="29"/>
  <c r="H2555" i="29"/>
  <c r="H2523" i="29"/>
  <c r="H2491" i="29"/>
  <c r="H2459" i="29"/>
  <c r="H2427" i="29"/>
  <c r="K2381" i="29"/>
  <c r="K2329" i="29"/>
  <c r="H2275" i="29"/>
  <c r="H2174" i="29"/>
  <c r="H2062" i="29"/>
  <c r="H1950" i="29"/>
  <c r="G1824" i="29"/>
  <c r="M2296" i="29"/>
  <c r="K2024" i="29"/>
  <c r="J1784" i="29"/>
  <c r="H1584" i="29"/>
  <c r="L1448" i="29"/>
  <c r="F1272" i="29"/>
  <c r="H2298" i="29"/>
  <c r="H2382" i="29"/>
  <c r="K1266" i="29"/>
  <c r="H778" i="29"/>
  <c r="L354" i="29"/>
  <c r="M2506" i="29"/>
  <c r="L2138" i="29"/>
  <c r="I2040" i="29"/>
  <c r="K848" i="29"/>
  <c r="I1545" i="29"/>
  <c r="H617" i="29"/>
  <c r="J1968" i="29"/>
  <c r="M640" i="29"/>
  <c r="L200" i="29"/>
  <c r="J2223" i="29"/>
  <c r="K2039" i="29"/>
  <c r="M1847" i="29"/>
  <c r="I1727" i="29"/>
  <c r="K1599" i="29"/>
  <c r="J1511" i="29"/>
  <c r="G1423" i="29"/>
  <c r="M1335" i="29"/>
  <c r="L1263" i="29"/>
  <c r="F1191" i="29"/>
  <c r="J1103" i="29"/>
  <c r="G1031" i="29"/>
  <c r="H951" i="29"/>
  <c r="H871" i="29"/>
  <c r="G799" i="29"/>
  <c r="K719" i="29"/>
  <c r="K639" i="29"/>
  <c r="M559" i="29"/>
  <c r="I487" i="29"/>
  <c r="L415" i="29"/>
  <c r="G343" i="29"/>
  <c r="F271" i="29"/>
  <c r="G199" i="29"/>
  <c r="F135" i="29"/>
  <c r="G71" i="29"/>
  <c r="I2519" i="29"/>
  <c r="I2451" i="29"/>
  <c r="G2375" i="29"/>
  <c r="K2303" i="29"/>
  <c r="H2209" i="29"/>
  <c r="F2071" i="29"/>
  <c r="H1969" i="29"/>
  <c r="K1783" i="29"/>
  <c r="J2145" i="29"/>
  <c r="I1881" i="29"/>
  <c r="F1697" i="29"/>
  <c r="L1521" i="29"/>
  <c r="K1369" i="29"/>
  <c r="J1209" i="29"/>
  <c r="F1057" i="29"/>
  <c r="H929" i="29"/>
  <c r="L785" i="29"/>
  <c r="J665" i="29"/>
  <c r="G529" i="29"/>
  <c r="G401" i="29"/>
  <c r="H273" i="29"/>
  <c r="I177" i="29"/>
  <c r="I2272" i="29"/>
  <c r="M2032" i="29"/>
  <c r="L1776" i="29"/>
  <c r="J1592" i="29"/>
  <c r="J1392" i="29"/>
  <c r="G1232" i="29"/>
  <c r="H696" i="29"/>
  <c r="F632" i="29"/>
  <c r="K536" i="29"/>
  <c r="G488" i="29"/>
  <c r="J400" i="29"/>
  <c r="H336" i="29"/>
  <c r="G264" i="29"/>
  <c r="H208" i="29"/>
  <c r="M144" i="29"/>
  <c r="M88" i="29"/>
  <c r="I2406" i="29"/>
  <c r="L2302" i="29"/>
  <c r="J2246" i="29"/>
  <c r="M2206" i="29"/>
  <c r="K2158" i="29"/>
  <c r="I2110" i="29"/>
  <c r="L2070" i="29"/>
  <c r="J2022" i="29"/>
  <c r="M1982" i="29"/>
  <c r="K1934" i="29"/>
  <c r="K1894" i="29"/>
  <c r="J1854" i="29"/>
  <c r="H1814" i="29"/>
  <c r="L1790" i="29"/>
  <c r="H1758" i="29"/>
  <c r="L1734" i="29"/>
  <c r="L1702" i="29"/>
  <c r="L1670" i="29"/>
  <c r="F1638" i="29"/>
  <c r="H1614" i="29"/>
  <c r="J1582" i="29"/>
  <c r="M1550" i="29"/>
  <c r="G1518" i="29"/>
  <c r="F1494" i="29"/>
  <c r="L1462" i="29"/>
  <c r="J1430" i="29"/>
  <c r="I1406" i="29"/>
  <c r="M1374" i="29"/>
  <c r="G1342" i="29"/>
  <c r="L1318" i="29"/>
  <c r="I1286" i="29"/>
  <c r="L1262" i="29"/>
  <c r="J1230" i="29"/>
  <c r="G1206" i="29"/>
  <c r="J1174" i="29"/>
  <c r="M1150" i="29"/>
  <c r="L1118" i="29"/>
  <c r="M1094" i="29"/>
  <c r="K1062" i="29"/>
  <c r="M1038" i="29"/>
  <c r="K1006" i="29"/>
  <c r="G982" i="29"/>
  <c r="K950" i="29"/>
  <c r="G926" i="29"/>
  <c r="M894" i="29"/>
  <c r="L870" i="29"/>
  <c r="M838" i="29"/>
  <c r="H814" i="29"/>
  <c r="F782" i="29"/>
  <c r="M758" i="29"/>
  <c r="J726" i="29"/>
  <c r="M702" i="29"/>
  <c r="H670" i="29"/>
  <c r="M646" i="29"/>
  <c r="K614" i="29"/>
  <c r="G590" i="29"/>
  <c r="L558" i="29"/>
  <c r="G534" i="29"/>
  <c r="H502" i="29"/>
  <c r="G478" i="29"/>
  <c r="F446" i="29"/>
  <c r="I422" i="29"/>
  <c r="J390" i="29"/>
  <c r="I366" i="29"/>
  <c r="J334" i="29"/>
  <c r="I310" i="29"/>
  <c r="G278" i="29"/>
  <c r="J254" i="29"/>
  <c r="M222" i="29"/>
  <c r="G198" i="29"/>
  <c r="G166" i="29"/>
  <c r="M142" i="29"/>
  <c r="I110" i="29"/>
  <c r="M86" i="29"/>
  <c r="H2585" i="29"/>
  <c r="H2553" i="29"/>
  <c r="H2521" i="29"/>
  <c r="H2489" i="29"/>
  <c r="H2457" i="29"/>
  <c r="H2425" i="29"/>
  <c r="M2478" i="29"/>
  <c r="M2522" i="29"/>
  <c r="F1266" i="29"/>
  <c r="H746" i="29"/>
  <c r="J346" i="29"/>
  <c r="J2506" i="29"/>
  <c r="G2138" i="29"/>
  <c r="J2040" i="29"/>
  <c r="F816" i="29"/>
  <c r="H1513" i="29"/>
  <c r="G617" i="29"/>
  <c r="K1968" i="29"/>
  <c r="G640" i="29"/>
  <c r="F200" i="29"/>
  <c r="I2215" i="29"/>
  <c r="L2039" i="29"/>
  <c r="I1847" i="29"/>
  <c r="G1703" i="29"/>
  <c r="F1599" i="29"/>
  <c r="M1511" i="29"/>
  <c r="J1423" i="29"/>
  <c r="F1319" i="29"/>
  <c r="M1263" i="29"/>
  <c r="G1191" i="29"/>
  <c r="K1103" i="29"/>
  <c r="M1031" i="29"/>
  <c r="K943" i="29"/>
  <c r="L871" i="29"/>
  <c r="H799" i="29"/>
  <c r="I719" i="29"/>
  <c r="L639" i="29"/>
  <c r="G559" i="29"/>
  <c r="H487" i="29"/>
  <c r="M415" i="29"/>
  <c r="M335" i="29"/>
  <c r="G271" i="29"/>
  <c r="M191" i="29"/>
  <c r="H127" i="29"/>
  <c r="H71" i="29"/>
  <c r="I2518" i="29"/>
  <c r="I2449" i="29"/>
  <c r="J2372" i="29"/>
  <c r="K2301" i="29"/>
  <c r="F2207" i="29"/>
  <c r="G2068" i="29"/>
  <c r="F1967" i="29"/>
  <c r="L1775" i="29"/>
  <c r="K2145" i="29"/>
  <c r="F1881" i="29"/>
  <c r="H1697" i="29"/>
  <c r="M1521" i="29"/>
  <c r="G1337" i="29"/>
  <c r="K1209" i="29"/>
  <c r="H1057" i="29"/>
  <c r="J897" i="29"/>
  <c r="F785" i="29"/>
  <c r="K665" i="29"/>
  <c r="H529" i="29"/>
  <c r="H401" i="29"/>
  <c r="I273" i="29"/>
  <c r="H129" i="29"/>
  <c r="J2272" i="29"/>
  <c r="I1984" i="29"/>
  <c r="M1728" i="29"/>
  <c r="I1592" i="29"/>
  <c r="I1392" i="29"/>
  <c r="L1232" i="29"/>
  <c r="J696" i="29"/>
  <c r="J632" i="29"/>
  <c r="L536" i="29"/>
  <c r="H488" i="29"/>
  <c r="F400" i="29"/>
  <c r="I336" i="29"/>
  <c r="H264" i="29"/>
  <c r="G208" i="29"/>
  <c r="F144" i="29"/>
  <c r="L88" i="29"/>
  <c r="M2406" i="29"/>
  <c r="M2302" i="29"/>
  <c r="K2246" i="29"/>
  <c r="I2198" i="29"/>
  <c r="L2158" i="29"/>
  <c r="J2110" i="29"/>
  <c r="M2070" i="29"/>
  <c r="K2022" i="29"/>
  <c r="I1974" i="29"/>
  <c r="L1934" i="29"/>
  <c r="M1886" i="29"/>
  <c r="K1854" i="29"/>
  <c r="I1814" i="29"/>
  <c r="M1782" i="29"/>
  <c r="I1758" i="29"/>
  <c r="M1726" i="29"/>
  <c r="M1702" i="29"/>
  <c r="M1670" i="29"/>
  <c r="J1638" i="29"/>
  <c r="K1606" i="29"/>
  <c r="F1582" i="29"/>
  <c r="H1550" i="29"/>
  <c r="H1518" i="29"/>
  <c r="J1494" i="29"/>
  <c r="M1462" i="29"/>
  <c r="L1430" i="29"/>
  <c r="K1406" i="29"/>
  <c r="F1374" i="29"/>
  <c r="H1342" i="29"/>
  <c r="M1318" i="29"/>
  <c r="J1286" i="29"/>
  <c r="M1262" i="29"/>
  <c r="K1230" i="29"/>
  <c r="L1206" i="29"/>
  <c r="K1174" i="29"/>
  <c r="K1150" i="29"/>
  <c r="K1118" i="29"/>
  <c r="F1094" i="29"/>
  <c r="L1062" i="29"/>
  <c r="F1038" i="29"/>
  <c r="L1006" i="29"/>
  <c r="H982" i="29"/>
  <c r="L950" i="29"/>
  <c r="H926" i="29"/>
  <c r="L894" i="29"/>
  <c r="H870" i="29"/>
  <c r="F838" i="29"/>
  <c r="L814" i="29"/>
  <c r="G782" i="29"/>
  <c r="I758" i="29"/>
  <c r="L726" i="29"/>
  <c r="K702" i="29"/>
  <c r="I670" i="29"/>
  <c r="K646" i="29"/>
  <c r="L614" i="29"/>
  <c r="F590" i="29"/>
  <c r="M558" i="29"/>
  <c r="H534" i="29"/>
  <c r="J502" i="29"/>
  <c r="H478" i="29"/>
  <c r="G446" i="29"/>
  <c r="K422" i="29"/>
  <c r="F390" i="29"/>
  <c r="K366" i="29"/>
  <c r="F334" i="29"/>
  <c r="J310" i="29"/>
  <c r="H278" i="29"/>
  <c r="K254" i="29"/>
  <c r="I222" i="29"/>
  <c r="H198" i="29"/>
  <c r="H166" i="29"/>
  <c r="F142" i="29"/>
  <c r="J110" i="29"/>
  <c r="L86" i="29"/>
  <c r="H2584" i="29"/>
  <c r="K2511" i="29"/>
  <c r="F2498" i="29"/>
  <c r="M1266" i="29"/>
  <c r="M738" i="29"/>
  <c r="J338" i="29"/>
  <c r="F2506" i="29"/>
  <c r="F2138" i="29"/>
  <c r="M2040" i="29"/>
  <c r="F800" i="29"/>
  <c r="J1513" i="29"/>
  <c r="I577" i="29"/>
  <c r="H1800" i="29"/>
  <c r="I600" i="29"/>
  <c r="I200" i="29"/>
  <c r="J2215" i="29"/>
  <c r="J2023" i="29"/>
  <c r="F1839" i="29"/>
  <c r="H1703" i="29"/>
  <c r="G1599" i="29"/>
  <c r="G1503" i="29"/>
  <c r="F1423" i="29"/>
  <c r="H1319" i="29"/>
  <c r="M1255" i="29"/>
  <c r="M1167" i="29"/>
  <c r="L1103" i="29"/>
  <c r="I1023" i="29"/>
  <c r="L943" i="29"/>
  <c r="G871" i="29"/>
  <c r="L783" i="29"/>
  <c r="J719" i="29"/>
  <c r="M639" i="29"/>
  <c r="H559" i="29"/>
  <c r="J487" i="29"/>
  <c r="M407" i="29"/>
  <c r="J335" i="29"/>
  <c r="H271" i="29"/>
  <c r="H191" i="29"/>
  <c r="K127" i="29"/>
  <c r="I2581" i="29"/>
  <c r="I2517" i="29"/>
  <c r="I2448" i="29"/>
  <c r="G2371" i="29"/>
  <c r="K2299" i="29"/>
  <c r="G2204" i="29"/>
  <c r="F2063" i="29"/>
  <c r="G1964" i="29"/>
  <c r="L1740" i="29"/>
  <c r="L2145" i="29"/>
  <c r="G1881" i="29"/>
  <c r="I1697" i="29"/>
  <c r="F1521" i="29"/>
  <c r="H1337" i="29"/>
  <c r="M1209" i="29"/>
  <c r="M1057" i="29"/>
  <c r="K897" i="29"/>
  <c r="G785" i="29"/>
  <c r="L665" i="29"/>
  <c r="F529" i="29"/>
  <c r="I401" i="29"/>
  <c r="L273" i="29"/>
  <c r="I129" i="29"/>
  <c r="L2272" i="29"/>
  <c r="J1984" i="29"/>
  <c r="F1728" i="29"/>
  <c r="K1592" i="29"/>
  <c r="K1392" i="29"/>
  <c r="H1184" i="29"/>
  <c r="K696" i="29"/>
  <c r="I608" i="29"/>
  <c r="M536" i="29"/>
  <c r="I464" i="29"/>
  <c r="G400" i="29"/>
  <c r="M312" i="29"/>
  <c r="I264" i="29"/>
  <c r="M192" i="29"/>
  <c r="G144" i="29"/>
  <c r="F72" i="29"/>
  <c r="I2398" i="29"/>
  <c r="I2294" i="29"/>
  <c r="L2246" i="29"/>
  <c r="J2198" i="29"/>
  <c r="M2158" i="29"/>
  <c r="K2110" i="29"/>
  <c r="I2062" i="29"/>
  <c r="L2022" i="29"/>
  <c r="J1974" i="29"/>
  <c r="M1934" i="29"/>
  <c r="G1886" i="29"/>
  <c r="L1854" i="29"/>
  <c r="J1814" i="29"/>
  <c r="F1782" i="29"/>
  <c r="J1758" i="29"/>
  <c r="F1726" i="29"/>
  <c r="G1702" i="29"/>
  <c r="G1670" i="29"/>
  <c r="M1638" i="29"/>
  <c r="L1606" i="29"/>
  <c r="G1574" i="29"/>
  <c r="F1550" i="29"/>
  <c r="L1518" i="29"/>
  <c r="K1494" i="29"/>
  <c r="I1462" i="29"/>
  <c r="M1430" i="29"/>
  <c r="G1398" i="29"/>
  <c r="I1374" i="29"/>
  <c r="I1342" i="29"/>
  <c r="K1318" i="29"/>
  <c r="K1286" i="29"/>
  <c r="H1254" i="29"/>
  <c r="M1230" i="29"/>
  <c r="H1198" i="29"/>
  <c r="M1174" i="29"/>
  <c r="J1142" i="29"/>
  <c r="M1118" i="29"/>
  <c r="I1086" i="29"/>
  <c r="G1062" i="29"/>
  <c r="I1030" i="29"/>
  <c r="G1006" i="29"/>
  <c r="I974" i="29"/>
  <c r="M950" i="29"/>
  <c r="I918" i="29"/>
  <c r="F894" i="29"/>
  <c r="J862" i="29"/>
  <c r="I838" i="29"/>
  <c r="K806" i="29"/>
  <c r="H782" i="29"/>
  <c r="K750" i="29"/>
  <c r="M726" i="29"/>
  <c r="F694" i="29"/>
  <c r="J670" i="29"/>
  <c r="I638" i="29"/>
  <c r="F614" i="29"/>
  <c r="I582" i="29"/>
  <c r="H558" i="29"/>
  <c r="I526" i="29"/>
  <c r="K502" i="29"/>
  <c r="I470" i="29"/>
  <c r="H446" i="29"/>
  <c r="L414" i="29"/>
  <c r="G390" i="29"/>
  <c r="L358" i="29"/>
  <c r="G334" i="29"/>
  <c r="M302" i="29"/>
  <c r="I278" i="29"/>
  <c r="K246" i="29"/>
  <c r="F222" i="29"/>
  <c r="M190" i="29"/>
  <c r="L166" i="29"/>
  <c r="H134" i="29"/>
  <c r="K110" i="29"/>
  <c r="F78" i="29"/>
  <c r="H2583" i="29"/>
  <c r="H2551" i="29"/>
  <c r="H2519" i="29"/>
  <c r="H2487" i="29"/>
  <c r="H2455" i="29"/>
  <c r="H2423" i="29"/>
  <c r="F2375" i="29"/>
  <c r="K2472" i="29"/>
  <c r="J2194" i="29"/>
  <c r="K1226" i="29"/>
  <c r="L738" i="29"/>
  <c r="I338" i="29"/>
  <c r="I2298" i="29"/>
  <c r="K2050" i="29"/>
  <c r="H1848" i="29"/>
  <c r="I800" i="29"/>
  <c r="F1393" i="29"/>
  <c r="K577" i="29"/>
  <c r="K1800" i="29"/>
  <c r="L600" i="29"/>
  <c r="M136" i="29"/>
  <c r="M2215" i="29"/>
  <c r="J2007" i="29"/>
  <c r="F1831" i="29"/>
  <c r="F1695" i="29"/>
  <c r="G1591" i="29"/>
  <c r="F1503" i="29"/>
  <c r="I1423" i="29"/>
  <c r="I1319" i="29"/>
  <c r="H1247" i="29"/>
  <c r="L1167" i="29"/>
  <c r="K1087" i="29"/>
  <c r="J1023" i="29"/>
  <c r="K935" i="29"/>
  <c r="J863" i="29"/>
  <c r="F783" i="29"/>
  <c r="G711" i="29"/>
  <c r="H639" i="29"/>
  <c r="J559" i="29"/>
  <c r="K487" i="29"/>
  <c r="J407" i="29"/>
  <c r="I335" i="29"/>
  <c r="I271" i="29"/>
  <c r="F191" i="29"/>
  <c r="L127" i="29"/>
  <c r="I2580" i="29"/>
  <c r="I2515" i="29"/>
  <c r="I2447" i="29"/>
  <c r="L2369" i="29"/>
  <c r="K2297" i="29"/>
  <c r="H2201" i="29"/>
  <c r="G2060" i="29"/>
  <c r="F1959" i="29"/>
  <c r="J1727" i="29"/>
  <c r="M2145" i="29"/>
  <c r="H1881" i="29"/>
  <c r="J1697" i="29"/>
  <c r="I1521" i="29"/>
  <c r="I1337" i="29"/>
  <c r="F1209" i="29"/>
  <c r="G1057" i="29"/>
  <c r="M897" i="29"/>
  <c r="M785" i="29"/>
  <c r="I633" i="29"/>
  <c r="I497" i="29"/>
  <c r="K401" i="29"/>
  <c r="J273" i="29"/>
  <c r="F129" i="29"/>
  <c r="M2272" i="29"/>
  <c r="K1984" i="29"/>
  <c r="G1728" i="29"/>
  <c r="L1592" i="29"/>
  <c r="L1392" i="29"/>
  <c r="I1184" i="29"/>
  <c r="I696" i="29"/>
  <c r="L608" i="29"/>
  <c r="F536" i="29"/>
  <c r="J464" i="29"/>
  <c r="K400" i="29"/>
  <c r="F312" i="29"/>
  <c r="L264" i="29"/>
  <c r="H192" i="29"/>
  <c r="L144" i="29"/>
  <c r="G72" i="29"/>
  <c r="M2398" i="29"/>
  <c r="J2294" i="29"/>
  <c r="M2246" i="29"/>
  <c r="K2198" i="29"/>
  <c r="I2150" i="29"/>
  <c r="L2110" i="29"/>
  <c r="J2062" i="29"/>
  <c r="M2022" i="29"/>
  <c r="K1974" i="29"/>
  <c r="I1926" i="29"/>
  <c r="H1886" i="29"/>
  <c r="M1846" i="29"/>
  <c r="K1814" i="29"/>
  <c r="G1782" i="29"/>
  <c r="K1758" i="29"/>
  <c r="G1726" i="29"/>
  <c r="H1702" i="29"/>
  <c r="H1670" i="29"/>
  <c r="G1638" i="29"/>
  <c r="F1606" i="29"/>
  <c r="K1574" i="29"/>
  <c r="I1550" i="29"/>
  <c r="M1518" i="29"/>
  <c r="G1486" i="29"/>
  <c r="G1454" i="29"/>
  <c r="F1430" i="29"/>
  <c r="H1398" i="29"/>
  <c r="K1374" i="29"/>
  <c r="J1342" i="29"/>
  <c r="F1310" i="29"/>
  <c r="F1286" i="29"/>
  <c r="I1254" i="29"/>
  <c r="F1230" i="29"/>
  <c r="I1198" i="29"/>
  <c r="F1174" i="29"/>
  <c r="L1142" i="29"/>
  <c r="F1118" i="29"/>
  <c r="J1086" i="29"/>
  <c r="H1062" i="29"/>
  <c r="J1030" i="29"/>
  <c r="H1006" i="29"/>
  <c r="J974" i="29"/>
  <c r="F950" i="29"/>
  <c r="J918" i="29"/>
  <c r="G894" i="29"/>
  <c r="K862" i="29"/>
  <c r="G838" i="29"/>
  <c r="F806" i="29"/>
  <c r="J782" i="29"/>
  <c r="L750" i="29"/>
  <c r="H726" i="29"/>
  <c r="G694" i="29"/>
  <c r="L670" i="29"/>
  <c r="J638" i="29"/>
  <c r="H614" i="29"/>
  <c r="K582" i="29"/>
  <c r="J558" i="29"/>
  <c r="G526" i="29"/>
  <c r="L502" i="29"/>
  <c r="J470" i="29"/>
  <c r="I446" i="29"/>
  <c r="M414" i="29"/>
  <c r="H390" i="29"/>
  <c r="M358" i="29"/>
  <c r="H334" i="29"/>
  <c r="F302" i="29"/>
  <c r="L278" i="29"/>
  <c r="L246" i="29"/>
  <c r="G222" i="29"/>
  <c r="F190" i="29"/>
  <c r="I166" i="29"/>
  <c r="I134" i="29"/>
  <c r="M110" i="29"/>
  <c r="G78" i="29"/>
  <c r="H2582" i="29"/>
  <c r="H2550" i="29"/>
  <c r="H2518" i="29"/>
  <c r="H2486" i="29"/>
  <c r="H2454" i="29"/>
  <c r="H2422" i="29"/>
  <c r="H2372" i="29"/>
  <c r="K2321" i="29"/>
  <c r="L2479" i="29"/>
  <c r="L2194" i="29"/>
  <c r="M1226" i="29"/>
  <c r="H682" i="29"/>
  <c r="G306" i="29"/>
  <c r="J2298" i="29"/>
  <c r="L2050" i="29"/>
  <c r="G1712" i="29"/>
  <c r="J800" i="29"/>
  <c r="K1393" i="29"/>
  <c r="H545" i="29"/>
  <c r="I1696" i="29"/>
  <c r="H600" i="29"/>
  <c r="F136" i="29"/>
  <c r="I2207" i="29"/>
  <c r="K1999" i="29"/>
  <c r="H1823" i="29"/>
  <c r="G1695" i="29"/>
  <c r="M1591" i="29"/>
  <c r="I1503" i="29"/>
  <c r="F1407" i="29"/>
  <c r="J1319" i="29"/>
  <c r="J1247" i="29"/>
  <c r="F1167" i="29"/>
  <c r="G1087" i="29"/>
  <c r="K1023" i="29"/>
  <c r="L935" i="29"/>
  <c r="K863" i="29"/>
  <c r="F775" i="29"/>
  <c r="H711" i="29"/>
  <c r="G639" i="29"/>
  <c r="I551" i="29"/>
  <c r="K479" i="29"/>
  <c r="H407" i="29"/>
  <c r="K335" i="29"/>
  <c r="L271" i="29"/>
  <c r="G191" i="29"/>
  <c r="M127" i="29"/>
  <c r="I2579" i="29"/>
  <c r="I2507" i="29"/>
  <c r="I2446" i="29"/>
  <c r="G2367" i="29"/>
  <c r="K2295" i="29"/>
  <c r="H2169" i="29"/>
  <c r="H2057" i="29"/>
  <c r="G1956" i="29"/>
  <c r="G1624" i="29"/>
  <c r="I2113" i="29"/>
  <c r="J1881" i="29"/>
  <c r="I1665" i="29"/>
  <c r="G1489" i="29"/>
  <c r="J1337" i="29"/>
  <c r="M1185" i="29"/>
  <c r="I1025" i="29"/>
  <c r="F897" i="29"/>
  <c r="J785" i="29"/>
  <c r="M633" i="29"/>
  <c r="K497" i="29"/>
  <c r="L369" i="29"/>
  <c r="K273" i="29"/>
  <c r="G129" i="29"/>
  <c r="I2224" i="29"/>
  <c r="L1984" i="29"/>
  <c r="H1728" i="29"/>
  <c r="G1536" i="29"/>
  <c r="M1392" i="29"/>
  <c r="J1184" i="29"/>
  <c r="L696" i="29"/>
  <c r="H608" i="29"/>
  <c r="H536" i="29"/>
  <c r="K464" i="29"/>
  <c r="H400" i="29"/>
  <c r="G312" i="29"/>
  <c r="K264" i="29"/>
  <c r="F192" i="29"/>
  <c r="J144" i="29"/>
  <c r="H72" i="29"/>
  <c r="I2390" i="29"/>
  <c r="L2294" i="29"/>
  <c r="I2238" i="29"/>
  <c r="L2198" i="29"/>
  <c r="J2150" i="29"/>
  <c r="M2110" i="29"/>
  <c r="K2062" i="29"/>
  <c r="I2014" i="29"/>
  <c r="L1974" i="29"/>
  <c r="J1926" i="29"/>
  <c r="I1886" i="29"/>
  <c r="I1846" i="29"/>
  <c r="L1814" i="29"/>
  <c r="H1782" i="29"/>
  <c r="L1758" i="29"/>
  <c r="H1726" i="29"/>
  <c r="I1702" i="29"/>
  <c r="I1670" i="29"/>
  <c r="H1638" i="29"/>
  <c r="J1606" i="29"/>
  <c r="L1574" i="29"/>
  <c r="J1550" i="29"/>
  <c r="I1518" i="29"/>
  <c r="H1486" i="29"/>
  <c r="H1454" i="29"/>
  <c r="I1430" i="29"/>
  <c r="J1398" i="29"/>
  <c r="G1366" i="29"/>
  <c r="K1342" i="29"/>
  <c r="G1310" i="29"/>
  <c r="L1286" i="29"/>
  <c r="J1254" i="29"/>
  <c r="G1230" i="29"/>
  <c r="J1198" i="29"/>
  <c r="G1174" i="29"/>
  <c r="F1142" i="29"/>
  <c r="H1118" i="29"/>
  <c r="K1086" i="29"/>
  <c r="M1062" i="29"/>
  <c r="K1030" i="29"/>
  <c r="M1006" i="29"/>
  <c r="K974" i="29"/>
  <c r="G950" i="29"/>
  <c r="K918" i="29"/>
  <c r="H894" i="29"/>
  <c r="M862" i="29"/>
  <c r="H838" i="29"/>
  <c r="G806" i="29"/>
  <c r="M782" i="29"/>
  <c r="F750" i="29"/>
  <c r="K726" i="29"/>
  <c r="H694" i="29"/>
  <c r="M670" i="29"/>
  <c r="K638" i="29"/>
  <c r="M614" i="29"/>
  <c r="L582" i="29"/>
  <c r="G558" i="29"/>
  <c r="H526" i="29"/>
  <c r="M502" i="29"/>
  <c r="K470" i="29"/>
  <c r="K446" i="29"/>
  <c r="J414" i="29"/>
  <c r="I390" i="29"/>
  <c r="J358" i="29"/>
  <c r="I334" i="29"/>
  <c r="G302" i="29"/>
  <c r="J278" i="29"/>
  <c r="M246" i="29"/>
  <c r="H222" i="29"/>
  <c r="H190" i="29"/>
  <c r="J166" i="29"/>
  <c r="G134" i="29"/>
  <c r="G110" i="29"/>
  <c r="H78" i="29"/>
  <c r="H2581" i="29"/>
  <c r="H2549" i="29"/>
  <c r="H2517" i="29"/>
  <c r="H2485" i="29"/>
  <c r="L2451" i="29"/>
  <c r="I1882" i="29"/>
  <c r="M1114" i="29"/>
  <c r="K642" i="29"/>
  <c r="F250" i="29"/>
  <c r="J2202" i="29"/>
  <c r="M1826" i="29"/>
  <c r="H1624" i="29"/>
  <c r="I728" i="29"/>
  <c r="I1257" i="29"/>
  <c r="F417" i="29"/>
  <c r="J1600" i="29"/>
  <c r="H528" i="29"/>
  <c r="H96" i="29"/>
  <c r="L2167" i="29"/>
  <c r="I1983" i="29"/>
  <c r="G1815" i="29"/>
  <c r="K1671" i="29"/>
  <c r="I1583" i="29"/>
  <c r="G1479" i="29"/>
  <c r="J1391" i="29"/>
  <c r="I1311" i="29"/>
  <c r="M1239" i="29"/>
  <c r="I1151" i="29"/>
  <c r="J1079" i="29"/>
  <c r="L999" i="29"/>
  <c r="I919" i="29"/>
  <c r="H855" i="29"/>
  <c r="K767" i="29"/>
  <c r="M695" i="29"/>
  <c r="F615" i="29"/>
  <c r="L535" i="29"/>
  <c r="H479" i="29"/>
  <c r="K391" i="29"/>
  <c r="H327" i="29"/>
  <c r="J255" i="29"/>
  <c r="M183" i="29"/>
  <c r="G119" i="29"/>
  <c r="I2573" i="29"/>
  <c r="I2495" i="29"/>
  <c r="I2423" i="29"/>
  <c r="J2360" i="29"/>
  <c r="K2287" i="29"/>
  <c r="G2156" i="29"/>
  <c r="F2047" i="29"/>
  <c r="H1945" i="29"/>
  <c r="M1407" i="29"/>
  <c r="M2113" i="29"/>
  <c r="F1849" i="29"/>
  <c r="K1633" i="29"/>
  <c r="L1489" i="29"/>
  <c r="M1337" i="29"/>
  <c r="L1153" i="29"/>
  <c r="F1025" i="29"/>
  <c r="I897" i="29"/>
  <c r="J753" i="29"/>
  <c r="J633" i="29"/>
  <c r="G497" i="29"/>
  <c r="G369" i="29"/>
  <c r="I241" i="29"/>
  <c r="L129" i="29"/>
  <c r="M2224" i="29"/>
  <c r="K1936" i="29"/>
  <c r="L1728" i="29"/>
  <c r="J1536" i="29"/>
  <c r="I1344" i="29"/>
  <c r="G1184" i="29"/>
  <c r="H672" i="29"/>
  <c r="M608" i="29"/>
  <c r="K520" i="29"/>
  <c r="G464" i="29"/>
  <c r="J384" i="29"/>
  <c r="I312" i="29"/>
  <c r="M248" i="29"/>
  <c r="K192" i="29"/>
  <c r="M128" i="29"/>
  <c r="M72" i="29"/>
  <c r="I2374" i="29"/>
  <c r="L2286" i="29"/>
  <c r="M2238" i="29"/>
  <c r="K2190" i="29"/>
  <c r="I2142" i="29"/>
  <c r="L2102" i="29"/>
  <c r="J2054" i="29"/>
  <c r="M2014" i="29"/>
  <c r="K1966" i="29"/>
  <c r="I1918" i="29"/>
  <c r="I1878" i="29"/>
  <c r="L1846" i="29"/>
  <c r="H1806" i="29"/>
  <c r="L1782" i="29"/>
  <c r="H1750" i="29"/>
  <c r="L1726" i="29"/>
  <c r="L1694" i="29"/>
  <c r="L1662" i="29"/>
  <c r="F1630" i="29"/>
  <c r="K1598" i="29"/>
  <c r="I1574" i="29"/>
  <c r="M1542" i="29"/>
  <c r="H1510" i="29"/>
  <c r="F1486" i="29"/>
  <c r="F1454" i="29"/>
  <c r="J1422" i="29"/>
  <c r="G1390" i="29"/>
  <c r="M1366" i="29"/>
  <c r="G1334" i="29"/>
  <c r="L1310" i="29"/>
  <c r="I1278" i="29"/>
  <c r="G1254" i="29"/>
  <c r="J1222" i="29"/>
  <c r="G1198" i="29"/>
  <c r="F1166" i="29"/>
  <c r="M1142" i="29"/>
  <c r="L1110" i="29"/>
  <c r="F1086" i="29"/>
  <c r="K1054" i="29"/>
  <c r="M1030" i="29"/>
  <c r="K998" i="29"/>
  <c r="G974" i="29"/>
  <c r="K942" i="29"/>
  <c r="G918" i="29"/>
  <c r="M886" i="29"/>
  <c r="H862" i="29"/>
  <c r="M830" i="29"/>
  <c r="L806" i="29"/>
  <c r="F774" i="29"/>
  <c r="M750" i="29"/>
  <c r="J718" i="29"/>
  <c r="M694" i="29"/>
  <c r="H662" i="29"/>
  <c r="F638" i="29"/>
  <c r="M606" i="29"/>
  <c r="G582" i="29"/>
  <c r="K550" i="29"/>
  <c r="M526" i="29"/>
  <c r="H494" i="29"/>
  <c r="G470" i="29"/>
  <c r="F438" i="29"/>
  <c r="I414" i="29"/>
  <c r="J382" i="29"/>
  <c r="I358" i="29"/>
  <c r="F326" i="29"/>
  <c r="K302" i="29"/>
  <c r="G270" i="29"/>
  <c r="H246" i="29"/>
  <c r="L214" i="29"/>
  <c r="I190" i="29"/>
  <c r="G158" i="29"/>
  <c r="M134" i="29"/>
  <c r="H102" i="29"/>
  <c r="M78" i="29"/>
  <c r="H2576" i="29"/>
  <c r="H2544" i="29"/>
  <c r="H2512" i="29"/>
  <c r="H2480" i="29"/>
  <c r="H2448" i="29"/>
  <c r="F2415" i="29"/>
  <c r="L1860" i="29"/>
  <c r="K1714" i="29"/>
  <c r="I1066" i="29"/>
  <c r="L530" i="29"/>
  <c r="H234" i="29"/>
  <c r="I1962" i="29"/>
  <c r="M2241" i="29"/>
  <c r="G1328" i="29"/>
  <c r="K2137" i="29"/>
  <c r="J1073" i="29"/>
  <c r="H297" i="29"/>
  <c r="F1360" i="29"/>
  <c r="H456" i="29"/>
  <c r="J2457" i="29"/>
  <c r="L2143" i="29"/>
  <c r="L1943" i="29"/>
  <c r="F1791" i="29"/>
  <c r="M1655" i="29"/>
  <c r="G1559" i="29"/>
  <c r="G1471" i="29"/>
  <c r="K1383" i="29"/>
  <c r="F1303" i="29"/>
  <c r="K1223" i="29"/>
  <c r="H1143" i="29"/>
  <c r="H1079" i="29"/>
  <c r="K991" i="29"/>
  <c r="F919" i="29"/>
  <c r="M831" i="29"/>
  <c r="I759" i="29"/>
  <c r="H687" i="29"/>
  <c r="J607" i="29"/>
  <c r="H527" i="29"/>
  <c r="H447" i="29"/>
  <c r="I383" i="29"/>
  <c r="H311" i="29"/>
  <c r="I239" i="29"/>
  <c r="J183" i="29"/>
  <c r="I103" i="29"/>
  <c r="I2566" i="29"/>
  <c r="I2489" i="29"/>
  <c r="J2416" i="29"/>
  <c r="J2344" i="29"/>
  <c r="K2259" i="29"/>
  <c r="G2140" i="29"/>
  <c r="H2033" i="29"/>
  <c r="H1913" i="29"/>
  <c r="M2377" i="29"/>
  <c r="M2065" i="29"/>
  <c r="K1809" i="29"/>
  <c r="I1633" i="29"/>
  <c r="H1457" i="29"/>
  <c r="J1273" i="29"/>
  <c r="H1153" i="29"/>
  <c r="J993" i="29"/>
  <c r="K833" i="29"/>
  <c r="I721" i="29"/>
  <c r="G601" i="29"/>
  <c r="K465" i="29"/>
  <c r="M337" i="29"/>
  <c r="J209" i="29"/>
  <c r="J89" i="29"/>
  <c r="M2176" i="29"/>
  <c r="F1872" i="29"/>
  <c r="I1680" i="29"/>
  <c r="H1480" i="29"/>
  <c r="M1344" i="29"/>
  <c r="L1096" i="29"/>
  <c r="M672" i="29"/>
  <c r="H592" i="29"/>
  <c r="G520" i="29"/>
  <c r="M448" i="29"/>
  <c r="K384" i="29"/>
  <c r="H296" i="29"/>
  <c r="J248" i="29"/>
  <c r="I176" i="29"/>
  <c r="K128" i="29"/>
  <c r="K2453" i="29"/>
  <c r="J1634" i="29"/>
  <c r="M1002" i="29"/>
  <c r="H530" i="29"/>
  <c r="G170" i="29"/>
  <c r="M1962" i="29"/>
  <c r="I2081" i="29"/>
  <c r="G1280" i="29"/>
  <c r="M1953" i="29"/>
  <c r="F1073" i="29"/>
  <c r="L201" i="29"/>
  <c r="J1208" i="29"/>
  <c r="F392" i="29"/>
  <c r="J2441" i="29"/>
  <c r="K2127" i="29"/>
  <c r="K1935" i="29"/>
  <c r="H1791" i="29"/>
  <c r="I1647" i="29"/>
  <c r="F1551" i="29"/>
  <c r="G1463" i="29"/>
  <c r="J1375" i="29"/>
  <c r="H1303" i="29"/>
  <c r="M1207" i="29"/>
  <c r="K1143" i="29"/>
  <c r="M1063" i="29"/>
  <c r="L983" i="29"/>
  <c r="J911" i="29"/>
  <c r="I831" i="29"/>
  <c r="K751" i="29"/>
  <c r="H671" i="29"/>
  <c r="L599" i="29"/>
  <c r="L527" i="29"/>
  <c r="K447" i="29"/>
  <c r="G383" i="29"/>
  <c r="I303" i="29"/>
  <c r="G239" i="29"/>
  <c r="L167" i="29"/>
  <c r="I95" i="29"/>
  <c r="I2557" i="29"/>
  <c r="I2480" i="29"/>
  <c r="J2412" i="29"/>
  <c r="L2341" i="29"/>
  <c r="F2247" i="29"/>
  <c r="F2135" i="29"/>
  <c r="G2028" i="29"/>
  <c r="H1905" i="29"/>
  <c r="M2345" i="29"/>
  <c r="J2025" i="29"/>
  <c r="G1769" i="29"/>
  <c r="G1593" i="29"/>
  <c r="K1457" i="29"/>
  <c r="G1273" i="29"/>
  <c r="I1121" i="29"/>
  <c r="L993" i="29"/>
  <c r="I833" i="29"/>
  <c r="L721" i="29"/>
  <c r="F601" i="29"/>
  <c r="M465" i="29"/>
  <c r="F337" i="29"/>
  <c r="L209" i="29"/>
  <c r="M89" i="29"/>
  <c r="J2120" i="29"/>
  <c r="H1872" i="29"/>
  <c r="L1680" i="29"/>
  <c r="I1480" i="29"/>
  <c r="I1296" i="29"/>
  <c r="M1096" i="29"/>
  <c r="G656" i="29"/>
  <c r="K592" i="29"/>
  <c r="J504" i="29"/>
  <c r="G448" i="29"/>
  <c r="M352" i="29"/>
  <c r="K296" i="29"/>
  <c r="L232" i="29"/>
  <c r="K176" i="29"/>
  <c r="H112" i="29"/>
  <c r="J2473" i="29"/>
  <c r="M2350" i="29"/>
  <c r="J2270" i="29"/>
  <c r="J2222" i="29"/>
  <c r="M2182" i="29"/>
  <c r="K2134" i="29"/>
  <c r="I2086" i="29"/>
  <c r="L2046" i="29"/>
  <c r="J1998" i="29"/>
  <c r="M1958" i="29"/>
  <c r="K1910" i="29"/>
  <c r="H1870" i="29"/>
  <c r="M1830" i="29"/>
  <c r="G1798" i="29"/>
  <c r="K1774" i="29"/>
  <c r="G1742" i="29"/>
  <c r="K1718" i="29"/>
  <c r="J1686" i="29"/>
  <c r="J1654" i="29"/>
  <c r="L1622" i="29"/>
  <c r="G1590" i="29"/>
  <c r="I1566" i="29"/>
  <c r="L1534" i="29"/>
  <c r="G1502" i="29"/>
  <c r="I1478" i="29"/>
  <c r="F1446" i="29"/>
  <c r="H1414" i="29"/>
  <c r="K1390" i="29"/>
  <c r="L1358" i="29"/>
  <c r="F1326" i="29"/>
  <c r="J1302" i="29"/>
  <c r="H1270" i="29"/>
  <c r="G1246" i="29"/>
  <c r="I1214" i="29"/>
  <c r="F1190" i="29"/>
  <c r="L1158" i="29"/>
  <c r="F1134" i="29"/>
  <c r="J1102" i="29"/>
  <c r="H1078" i="29"/>
  <c r="J1046" i="29"/>
  <c r="H1022" i="29"/>
  <c r="J990" i="29"/>
  <c r="F966" i="29"/>
  <c r="J934" i="29"/>
  <c r="F910" i="29"/>
  <c r="K878" i="29"/>
  <c r="G854" i="29"/>
  <c r="K822" i="29"/>
  <c r="I798" i="29"/>
  <c r="L766" i="29"/>
  <c r="H742" i="29"/>
  <c r="G710" i="29"/>
  <c r="L686" i="29"/>
  <c r="G654" i="29"/>
  <c r="H630" i="29"/>
  <c r="L598" i="29"/>
  <c r="J574" i="29"/>
  <c r="J542" i="29"/>
  <c r="L518" i="29"/>
  <c r="G486" i="29"/>
  <c r="F462" i="29"/>
  <c r="J430" i="29"/>
  <c r="H406" i="29"/>
  <c r="M374" i="29"/>
  <c r="H350" i="29"/>
  <c r="H318" i="29"/>
  <c r="L294" i="29"/>
  <c r="F262" i="29"/>
  <c r="G238" i="29"/>
  <c r="K206" i="29"/>
  <c r="L2575" i="29"/>
  <c r="I1618" i="29"/>
  <c r="M962" i="29"/>
  <c r="K506" i="29"/>
  <c r="L162" i="29"/>
  <c r="F1938" i="29"/>
  <c r="I1841" i="29"/>
  <c r="L1192" i="29"/>
  <c r="H1833" i="29"/>
  <c r="I977" i="29"/>
  <c r="G169" i="29"/>
  <c r="M1208" i="29"/>
  <c r="F360" i="29"/>
  <c r="K2408" i="29"/>
  <c r="L2119" i="29"/>
  <c r="K1919" i="29"/>
  <c r="F1751" i="29"/>
  <c r="K1639" i="29"/>
  <c r="K1551" i="29"/>
  <c r="I1463" i="29"/>
  <c r="L1367" i="29"/>
  <c r="J1303" i="29"/>
  <c r="G1207" i="29"/>
  <c r="F1143" i="29"/>
  <c r="J1047" i="29"/>
  <c r="F983" i="29"/>
  <c r="L911" i="29"/>
  <c r="L831" i="29"/>
  <c r="F751" i="29"/>
  <c r="I671" i="29"/>
  <c r="F599" i="29"/>
  <c r="F527" i="29"/>
  <c r="G447" i="29"/>
  <c r="M375" i="29"/>
  <c r="J303" i="29"/>
  <c r="G231" i="29"/>
  <c r="I167" i="29"/>
  <c r="K87" i="29"/>
  <c r="I2555" i="29"/>
  <c r="I2477" i="29"/>
  <c r="J2408" i="29"/>
  <c r="G2339" i="29"/>
  <c r="H2241" i="29"/>
  <c r="H2129" i="29"/>
  <c r="G2020" i="29"/>
  <c r="G1900" i="29"/>
  <c r="J2305" i="29"/>
  <c r="L2025" i="29"/>
  <c r="I1769" i="29"/>
  <c r="H1593" i="29"/>
  <c r="M1457" i="29"/>
  <c r="M1273" i="29"/>
  <c r="L1121" i="29"/>
  <c r="F993" i="29"/>
  <c r="H833" i="29"/>
  <c r="M721" i="29"/>
  <c r="J601" i="29"/>
  <c r="G465" i="29"/>
  <c r="H337" i="29"/>
  <c r="F209" i="29"/>
  <c r="K2529" i="29"/>
  <c r="L2120" i="29"/>
  <c r="F1824" i="29"/>
  <c r="K1632" i="29"/>
  <c r="K1480" i="29"/>
  <c r="K1296" i="29"/>
  <c r="F1096" i="29"/>
  <c r="J656" i="29"/>
  <c r="K2487" i="29"/>
  <c r="H1594" i="29"/>
  <c r="F962" i="29"/>
  <c r="J490" i="29"/>
  <c r="G146" i="29"/>
  <c r="H1938" i="29"/>
  <c r="F1841" i="29"/>
  <c r="K1144" i="29"/>
  <c r="J1833" i="29"/>
  <c r="J977" i="29"/>
  <c r="K169" i="29"/>
  <c r="G1208" i="29"/>
  <c r="M320" i="29"/>
  <c r="K2400" i="29"/>
  <c r="M2119" i="29"/>
  <c r="I1911" i="29"/>
  <c r="G1751" i="29"/>
  <c r="L1639" i="29"/>
  <c r="J1551" i="29"/>
  <c r="F1447" i="29"/>
  <c r="K1367" i="29"/>
  <c r="J1279" i="29"/>
  <c r="H1199" i="29"/>
  <c r="M1135" i="29"/>
  <c r="K1047" i="29"/>
  <c r="F975" i="29"/>
  <c r="J887" i="29"/>
  <c r="G831" i="29"/>
  <c r="G751" i="29"/>
  <c r="K671" i="29"/>
  <c r="L591" i="29"/>
  <c r="M519" i="29"/>
  <c r="F447" i="29"/>
  <c r="J375" i="29"/>
  <c r="M295" i="29"/>
  <c r="F231" i="29"/>
  <c r="J159" i="29"/>
  <c r="M87" i="29"/>
  <c r="I2553" i="29"/>
  <c r="I2467" i="29"/>
  <c r="G2407" i="29"/>
  <c r="L2329" i="29"/>
  <c r="F2239" i="29"/>
  <c r="F2127" i="29"/>
  <c r="F1999" i="29"/>
  <c r="H1897" i="29"/>
  <c r="L2305" i="29"/>
  <c r="I1961" i="29"/>
  <c r="J1769" i="29"/>
  <c r="I1593" i="29"/>
  <c r="I1417" i="29"/>
  <c r="H1241" i="29"/>
  <c r="M1121" i="29"/>
  <c r="M961" i="29"/>
  <c r="L833" i="29"/>
  <c r="F689" i="29"/>
  <c r="I561" i="29"/>
  <c r="F465" i="29"/>
  <c r="K337" i="29"/>
  <c r="I209" i="29"/>
  <c r="K2521" i="29"/>
  <c r="M2120" i="29"/>
  <c r="H1824" i="29"/>
  <c r="L1632" i="29"/>
  <c r="M1480" i="29"/>
  <c r="F1296" i="29"/>
  <c r="F704" i="29"/>
  <c r="K656" i="29"/>
  <c r="J2501" i="29"/>
  <c r="H1450" i="29"/>
  <c r="M570" i="29"/>
  <c r="H2170" i="29"/>
  <c r="F1785" i="29"/>
  <c r="J2424" i="29"/>
  <c r="H737" i="29"/>
  <c r="H1080" i="29"/>
  <c r="I96" i="29"/>
  <c r="M2055" i="29"/>
  <c r="I1759" i="29"/>
  <c r="F1583" i="29"/>
  <c r="M1439" i="29"/>
  <c r="G1303" i="29"/>
  <c r="H1159" i="29"/>
  <c r="H1039" i="29"/>
  <c r="H919" i="29"/>
  <c r="J775" i="29"/>
  <c r="G655" i="29"/>
  <c r="F535" i="29"/>
  <c r="F423" i="29"/>
  <c r="G295" i="29"/>
  <c r="H183" i="29"/>
  <c r="M79" i="29"/>
  <c r="I2463" i="29"/>
  <c r="G2359" i="29"/>
  <c r="G2220" i="29"/>
  <c r="F2023" i="29"/>
  <c r="K1433" i="29"/>
  <c r="J1921" i="29"/>
  <c r="J1633" i="29"/>
  <c r="K1337" i="29"/>
  <c r="K1121" i="29"/>
  <c r="J833" i="29"/>
  <c r="F633" i="29"/>
  <c r="G433" i="29"/>
  <c r="G241" i="29"/>
  <c r="I2320" i="29"/>
  <c r="L1824" i="29"/>
  <c r="M1536" i="29"/>
  <c r="K1232" i="29"/>
  <c r="I656" i="29"/>
  <c r="I520" i="29"/>
  <c r="L424" i="29"/>
  <c r="H312" i="29"/>
  <c r="F2404" i="29"/>
  <c r="J1442" i="29"/>
  <c r="H570" i="29"/>
  <c r="M2298" i="29"/>
  <c r="H1785" i="29"/>
  <c r="K2217" i="29"/>
  <c r="K737" i="29"/>
  <c r="M1048" i="29"/>
  <c r="M96" i="29"/>
  <c r="I2047" i="29"/>
  <c r="I1751" i="29"/>
  <c r="J1583" i="29"/>
  <c r="H1431" i="29"/>
  <c r="I1303" i="29"/>
  <c r="I1159" i="29"/>
  <c r="I1031" i="29"/>
  <c r="I911" i="29"/>
  <c r="H775" i="29"/>
  <c r="H655" i="29"/>
  <c r="I527" i="29"/>
  <c r="K407" i="29"/>
  <c r="H295" i="29"/>
  <c r="G183" i="29"/>
  <c r="L79" i="29"/>
  <c r="I2461" i="29"/>
  <c r="G2351" i="29"/>
  <c r="H2217" i="29"/>
  <c r="G1996" i="29"/>
  <c r="F1377" i="29"/>
  <c r="K1921" i="29"/>
  <c r="F1593" i="29"/>
  <c r="L1337" i="29"/>
  <c r="I1097" i="29"/>
  <c r="M833" i="29"/>
  <c r="G633" i="29"/>
  <c r="H433" i="29"/>
  <c r="F241" i="29"/>
  <c r="J2224" i="29"/>
  <c r="M1776" i="29"/>
  <c r="L1536" i="29"/>
  <c r="M1232" i="29"/>
  <c r="L656" i="29"/>
  <c r="J520" i="29"/>
  <c r="J424" i="29"/>
  <c r="L312" i="29"/>
  <c r="F232" i="29"/>
  <c r="K144" i="29"/>
  <c r="J2472" i="29"/>
  <c r="I2310" i="29"/>
  <c r="K2230" i="29"/>
  <c r="M2174" i="29"/>
  <c r="J2102" i="29"/>
  <c r="M2046" i="29"/>
  <c r="I1982" i="29"/>
  <c r="L1918" i="29"/>
  <c r="I1862" i="29"/>
  <c r="F1806" i="29"/>
  <c r="L1774" i="29"/>
  <c r="H1734" i="29"/>
  <c r="H1694" i="29"/>
  <c r="L1646" i="29"/>
  <c r="G1606" i="29"/>
  <c r="J1566" i="29"/>
  <c r="M1526" i="29"/>
  <c r="G1478" i="29"/>
  <c r="J1438" i="29"/>
  <c r="M1398" i="29"/>
  <c r="M1358" i="29"/>
  <c r="G1318" i="29"/>
  <c r="F1278" i="29"/>
  <c r="J1238" i="29"/>
  <c r="M1198" i="29"/>
  <c r="F1158" i="29"/>
  <c r="G1126" i="29"/>
  <c r="J1078" i="29"/>
  <c r="M1046" i="29"/>
  <c r="I998" i="29"/>
  <c r="G966" i="29"/>
  <c r="K926" i="29"/>
  <c r="G886" i="29"/>
  <c r="M846" i="29"/>
  <c r="J806" i="29"/>
  <c r="F766" i="29"/>
  <c r="H734" i="29"/>
  <c r="G686" i="29"/>
  <c r="M654" i="29"/>
  <c r="I606" i="29"/>
  <c r="G574" i="29"/>
  <c r="K534" i="29"/>
  <c r="L494" i="29"/>
  <c r="K454" i="29"/>
  <c r="G414" i="29"/>
  <c r="J374" i="29"/>
  <c r="I342" i="29"/>
  <c r="F294" i="29"/>
  <c r="J262" i="29"/>
  <c r="J214" i="29"/>
  <c r="J182" i="29"/>
  <c r="H142" i="29"/>
  <c r="G102" i="29"/>
  <c r="K70" i="29"/>
  <c r="H2560" i="29"/>
  <c r="H2516" i="29"/>
  <c r="H2476" i="29"/>
  <c r="H2438" i="29"/>
  <c r="K2389" i="29"/>
  <c r="K2333" i="29"/>
  <c r="H2273" i="29"/>
  <c r="H2166" i="29"/>
  <c r="G2049" i="29"/>
  <c r="H1934" i="29"/>
  <c r="L1761" i="29"/>
  <c r="I2208" i="29"/>
  <c r="M1976" i="29"/>
  <c r="J1736" i="29"/>
  <c r="J1544" i="29"/>
  <c r="H1352" i="29"/>
  <c r="H1176" i="29"/>
  <c r="M2373" i="29"/>
  <c r="J2237" i="29"/>
  <c r="M2181" i="29"/>
  <c r="K2133" i="29"/>
  <c r="I2085" i="29"/>
  <c r="L2045" i="29"/>
  <c r="J1997" i="29"/>
  <c r="M1957" i="29"/>
  <c r="K1909" i="29"/>
  <c r="I1869" i="29"/>
  <c r="F1837" i="29"/>
  <c r="L1813" i="29"/>
  <c r="L1781" i="29"/>
  <c r="L1749" i="29"/>
  <c r="L1717" i="29"/>
  <c r="L1685" i="29"/>
  <c r="G1653" i="29"/>
  <c r="M1629" i="29"/>
  <c r="L1597" i="29"/>
  <c r="K1565" i="29"/>
  <c r="F1541" i="29"/>
  <c r="K1509" i="29"/>
  <c r="J1477" i="29"/>
  <c r="F1453" i="29"/>
  <c r="J1421" i="29"/>
  <c r="L1397" i="29"/>
  <c r="I1365" i="29"/>
  <c r="F1333" i="29"/>
  <c r="J1309" i="29"/>
  <c r="J1277" i="29"/>
  <c r="L1253" i="29"/>
  <c r="J1221" i="29"/>
  <c r="L1197" i="29"/>
  <c r="F1165" i="29"/>
  <c r="K1141" i="29"/>
  <c r="L1109" i="29"/>
  <c r="H1085" i="29"/>
  <c r="K1053" i="29"/>
  <c r="G1029" i="29"/>
  <c r="K997" i="29"/>
  <c r="H1956" i="29"/>
  <c r="G1434" i="29"/>
  <c r="G530" i="29"/>
  <c r="F2298" i="29"/>
  <c r="I1785" i="29"/>
  <c r="L2217" i="29"/>
  <c r="L521" i="29"/>
  <c r="I1016" i="29"/>
  <c r="M80" i="29"/>
  <c r="L2047" i="29"/>
  <c r="M1743" i="29"/>
  <c r="K1583" i="29"/>
  <c r="F1431" i="29"/>
  <c r="K1279" i="29"/>
  <c r="M1151" i="29"/>
  <c r="J1031" i="29"/>
  <c r="K911" i="29"/>
  <c r="I775" i="29"/>
  <c r="H647" i="29"/>
  <c r="J527" i="29"/>
  <c r="F407" i="29"/>
  <c r="I295" i="29"/>
  <c r="I183" i="29"/>
  <c r="I2576" i="29"/>
  <c r="I2460" i="29"/>
  <c r="L2349" i="29"/>
  <c r="F2215" i="29"/>
  <c r="H1993" i="29"/>
  <c r="I2409" i="29"/>
  <c r="L1921" i="29"/>
  <c r="K1593" i="29"/>
  <c r="F1305" i="29"/>
  <c r="J1097" i="29"/>
  <c r="G833" i="29"/>
  <c r="K633" i="29"/>
  <c r="M433" i="29"/>
  <c r="K209" i="29"/>
  <c r="K2224" i="29"/>
  <c r="F1776" i="29"/>
  <c r="G1480" i="29"/>
  <c r="K1184" i="29"/>
  <c r="M656" i="29"/>
  <c r="L520" i="29"/>
  <c r="K424" i="29"/>
  <c r="K312" i="29"/>
  <c r="G232" i="29"/>
  <c r="H128" i="29"/>
  <c r="J2465" i="29"/>
  <c r="M2310" i="29"/>
  <c r="L2230" i="29"/>
  <c r="I2166" i="29"/>
  <c r="K2102" i="29"/>
  <c r="I2038" i="29"/>
  <c r="J1982" i="29"/>
  <c r="M1918" i="29"/>
  <c r="H1862" i="29"/>
  <c r="G1806" i="29"/>
  <c r="M1766" i="29"/>
  <c r="I1734" i="29"/>
  <c r="I1694" i="29"/>
  <c r="F1646" i="29"/>
  <c r="G1598" i="29"/>
  <c r="G1558" i="29"/>
  <c r="I1526" i="29"/>
  <c r="H1478" i="29"/>
  <c r="L1438" i="29"/>
  <c r="F1398" i="29"/>
  <c r="F1358" i="29"/>
  <c r="H1318" i="29"/>
  <c r="G1278" i="29"/>
  <c r="K1238" i="29"/>
  <c r="F1198" i="29"/>
  <c r="G1158" i="29"/>
  <c r="H1126" i="29"/>
  <c r="K1078" i="29"/>
  <c r="F1046" i="29"/>
  <c r="J998" i="29"/>
  <c r="H966" i="29"/>
  <c r="L926" i="29"/>
  <c r="H886" i="29"/>
  <c r="F846" i="29"/>
  <c r="H806" i="29"/>
  <c r="G766" i="29"/>
  <c r="G734" i="29"/>
  <c r="H686" i="29"/>
  <c r="K654" i="29"/>
  <c r="L606" i="29"/>
  <c r="F574" i="29"/>
  <c r="L534" i="29"/>
  <c r="F494" i="29"/>
  <c r="M454" i="29"/>
  <c r="H414" i="29"/>
  <c r="F374" i="29"/>
  <c r="K342" i="29"/>
  <c r="G294" i="29"/>
  <c r="K262" i="29"/>
  <c r="K214" i="29"/>
  <c r="G182" i="29"/>
  <c r="I142" i="29"/>
  <c r="I102" i="29"/>
  <c r="M70" i="29"/>
  <c r="H2559" i="29"/>
  <c r="H2515" i="29"/>
  <c r="H2475" i="29"/>
  <c r="H2437" i="29"/>
  <c r="H2388" i="29"/>
  <c r="H2332" i="29"/>
  <c r="H2271" i="29"/>
  <c r="G2161" i="29"/>
  <c r="H2046" i="29"/>
  <c r="G1929" i="29"/>
  <c r="L1732" i="29"/>
  <c r="J2208" i="29"/>
  <c r="I1928" i="29"/>
  <c r="K1736" i="29"/>
  <c r="K1544" i="29"/>
  <c r="J1352" i="29"/>
  <c r="I1176" i="29"/>
  <c r="I2349" i="29"/>
  <c r="K2237" i="29"/>
  <c r="I2173" i="29"/>
  <c r="L2133" i="29"/>
  <c r="J2085" i="29"/>
  <c r="M2045" i="29"/>
  <c r="K1997" i="29"/>
  <c r="I1949" i="29"/>
  <c r="L1909" i="29"/>
  <c r="F1869" i="29"/>
  <c r="I1837" i="29"/>
  <c r="M1805" i="29"/>
  <c r="M1773" i="29"/>
  <c r="M1741" i="29"/>
  <c r="M1709" i="29"/>
  <c r="M1685" i="29"/>
  <c r="H1653" i="29"/>
  <c r="K1621" i="29"/>
  <c r="M1597" i="29"/>
  <c r="L1565" i="29"/>
  <c r="G1533" i="29"/>
  <c r="L1509" i="29"/>
  <c r="K1477" i="29"/>
  <c r="I1453" i="29"/>
  <c r="F1421" i="29"/>
  <c r="M1397" i="29"/>
  <c r="K1365" i="29"/>
  <c r="G1333" i="29"/>
  <c r="L1309" i="29"/>
  <c r="K1277" i="29"/>
  <c r="M1253" i="29"/>
  <c r="K1221" i="29"/>
  <c r="F1197" i="29"/>
  <c r="G1165" i="29"/>
  <c r="G2215" i="29"/>
  <c r="K1378" i="29"/>
  <c r="I522" i="29"/>
  <c r="I2274" i="29"/>
  <c r="M2328" i="29"/>
  <c r="M2137" i="29"/>
  <c r="M521" i="29"/>
  <c r="J1016" i="29"/>
  <c r="J2536" i="29"/>
  <c r="J1991" i="29"/>
  <c r="F1743" i="29"/>
  <c r="J1567" i="29"/>
  <c r="L1431" i="29"/>
  <c r="F1279" i="29"/>
  <c r="F1151" i="29"/>
  <c r="K1031" i="29"/>
  <c r="M887" i="29"/>
  <c r="L767" i="29"/>
  <c r="L647" i="29"/>
  <c r="M527" i="29"/>
  <c r="I391" i="29"/>
  <c r="J295" i="29"/>
  <c r="L183" i="29"/>
  <c r="I2575" i="29"/>
  <c r="I2459" i="29"/>
  <c r="J2348" i="29"/>
  <c r="F2167" i="29"/>
  <c r="G1988" i="29"/>
  <c r="M2409" i="29"/>
  <c r="M1921" i="29"/>
  <c r="J1593" i="29"/>
  <c r="G1305" i="29"/>
  <c r="I1057" i="29"/>
  <c r="K801" i="29"/>
  <c r="H633" i="29"/>
  <c r="L401" i="29"/>
  <c r="M209" i="29"/>
  <c r="L2224" i="29"/>
  <c r="G1776" i="29"/>
  <c r="F1480" i="29"/>
  <c r="M1184" i="29"/>
  <c r="I632" i="29"/>
  <c r="M520" i="29"/>
  <c r="M424" i="29"/>
  <c r="J312" i="29"/>
  <c r="H232" i="29"/>
  <c r="I128" i="29"/>
  <c r="J2464" i="29"/>
  <c r="I2302" i="29"/>
  <c r="M2230" i="29"/>
  <c r="J2166" i="29"/>
  <c r="M2102" i="29"/>
  <c r="J2038" i="29"/>
  <c r="K1982" i="29"/>
  <c r="I1910" i="29"/>
  <c r="J1862" i="29"/>
  <c r="I1806" i="29"/>
  <c r="F1766" i="29"/>
  <c r="J1734" i="29"/>
  <c r="K1686" i="29"/>
  <c r="J1646" i="29"/>
  <c r="L1598" i="29"/>
  <c r="K1558" i="29"/>
  <c r="F1526" i="29"/>
  <c r="L1478" i="29"/>
  <c r="M1438" i="29"/>
  <c r="H1390" i="29"/>
  <c r="I1358" i="29"/>
  <c r="I1318" i="29"/>
  <c r="L1278" i="29"/>
  <c r="M1238" i="29"/>
  <c r="L1198" i="29"/>
  <c r="H1158" i="29"/>
  <c r="I1118" i="29"/>
  <c r="L1078" i="29"/>
  <c r="I1038" i="29"/>
  <c r="L998" i="29"/>
  <c r="I958" i="29"/>
  <c r="M926" i="29"/>
  <c r="I886" i="29"/>
  <c r="I846" i="29"/>
  <c r="M806" i="29"/>
  <c r="H766" i="29"/>
  <c r="F726" i="29"/>
  <c r="I686" i="29"/>
  <c r="F646" i="29"/>
  <c r="K606" i="29"/>
  <c r="I566" i="29"/>
  <c r="M534" i="29"/>
  <c r="M494" i="29"/>
  <c r="F454" i="29"/>
  <c r="K414" i="29"/>
  <c r="G374" i="29"/>
  <c r="L334" i="29"/>
  <c r="H294" i="29"/>
  <c r="M254" i="29"/>
  <c r="M214" i="29"/>
  <c r="I182" i="29"/>
  <c r="G142" i="29"/>
  <c r="J102" i="29"/>
  <c r="L70" i="29"/>
  <c r="H2558" i="29"/>
  <c r="H2513" i="29"/>
  <c r="H2473" i="29"/>
  <c r="H2436" i="29"/>
  <c r="K2385" i="29"/>
  <c r="H2328" i="29"/>
  <c r="H2267" i="29"/>
  <c r="H2158" i="29"/>
  <c r="G2041" i="29"/>
  <c r="H1926" i="29"/>
  <c r="J1719" i="29"/>
  <c r="K2208" i="29"/>
  <c r="J1928" i="29"/>
  <c r="L1736" i="29"/>
  <c r="M1544" i="29"/>
  <c r="I1352" i="29"/>
  <c r="J1176" i="29"/>
  <c r="M2349" i="29"/>
  <c r="L2237" i="29"/>
  <c r="J2173" i="29"/>
  <c r="M2133" i="29"/>
  <c r="K2085" i="29"/>
  <c r="I2037" i="29"/>
  <c r="L1997" i="29"/>
  <c r="J1949" i="29"/>
  <c r="M1909" i="29"/>
  <c r="G1869" i="29"/>
  <c r="G1837" i="29"/>
  <c r="F1805" i="29"/>
  <c r="F1773" i="29"/>
  <c r="F1741" i="29"/>
  <c r="F1709" i="29"/>
  <c r="K1677" i="29"/>
  <c r="I1653" i="29"/>
  <c r="L1621" i="29"/>
  <c r="H1597" i="29"/>
  <c r="M1565" i="29"/>
  <c r="H1533" i="29"/>
  <c r="M1509" i="29"/>
  <c r="L1477" i="29"/>
  <c r="G1445" i="29"/>
  <c r="I1421" i="29"/>
  <c r="G1389" i="29"/>
  <c r="L1365" i="29"/>
  <c r="H1333" i="29"/>
  <c r="M1309" i="29"/>
  <c r="F1277" i="29"/>
  <c r="H1245" i="29"/>
  <c r="M1221" i="29"/>
  <c r="H1189" i="29"/>
  <c r="I1165" i="29"/>
  <c r="I1133" i="29"/>
  <c r="G1109" i="29"/>
  <c r="I1077" i="29"/>
  <c r="F1053" i="29"/>
  <c r="I1021" i="29"/>
  <c r="M997" i="29"/>
  <c r="F2128" i="29"/>
  <c r="I1370" i="29"/>
  <c r="J466" i="29"/>
  <c r="K2154" i="29"/>
  <c r="I2280" i="29"/>
  <c r="I1905" i="29"/>
  <c r="J417" i="29"/>
  <c r="I952" i="29"/>
  <c r="J2456" i="29"/>
  <c r="K1991" i="29"/>
  <c r="H1743" i="29"/>
  <c r="K1567" i="29"/>
  <c r="I1407" i="29"/>
  <c r="M1279" i="29"/>
  <c r="J1143" i="29"/>
  <c r="L1031" i="29"/>
  <c r="F887" i="29"/>
  <c r="F767" i="29"/>
  <c r="K647" i="29"/>
  <c r="F519" i="29"/>
  <c r="G391" i="29"/>
  <c r="I279" i="29"/>
  <c r="K167" i="29"/>
  <c r="I2574" i="29"/>
  <c r="I2456" i="29"/>
  <c r="G2343" i="29"/>
  <c r="G2164" i="29"/>
  <c r="H1985" i="29"/>
  <c r="I2377" i="29"/>
  <c r="K1881" i="29"/>
  <c r="L1593" i="29"/>
  <c r="H1273" i="29"/>
  <c r="J1057" i="29"/>
  <c r="L801" i="29"/>
  <c r="I601" i="29"/>
  <c r="M401" i="29"/>
  <c r="G209" i="29"/>
  <c r="I2176" i="29"/>
  <c r="H1776" i="29"/>
  <c r="J1480" i="29"/>
  <c r="F1184" i="29"/>
  <c r="L632" i="29"/>
  <c r="F520" i="29"/>
  <c r="F424" i="29"/>
  <c r="M296" i="29"/>
  <c r="J232" i="29"/>
  <c r="F128" i="29"/>
  <c r="J2449" i="29"/>
  <c r="M2294" i="29"/>
  <c r="I2222" i="29"/>
  <c r="K2166" i="29"/>
  <c r="I2094" i="29"/>
  <c r="K2038" i="29"/>
  <c r="M1974" i="29"/>
  <c r="J1910" i="29"/>
  <c r="K1862" i="29"/>
  <c r="J1806" i="29"/>
  <c r="G1766" i="29"/>
  <c r="I1726" i="29"/>
  <c r="F1686" i="29"/>
  <c r="M1646" i="29"/>
  <c r="M1598" i="29"/>
  <c r="L1558" i="29"/>
  <c r="F1518" i="29"/>
  <c r="M1478" i="29"/>
  <c r="F1438" i="29"/>
  <c r="J1390" i="29"/>
  <c r="K1358" i="29"/>
  <c r="H1310" i="29"/>
  <c r="M1278" i="29"/>
  <c r="F1238" i="29"/>
  <c r="H1190" i="29"/>
  <c r="I1158" i="29"/>
  <c r="G1118" i="29"/>
  <c r="G1078" i="29"/>
  <c r="J1038" i="29"/>
  <c r="M998" i="29"/>
  <c r="J958" i="29"/>
  <c r="L918" i="29"/>
  <c r="J878" i="29"/>
  <c r="G846" i="29"/>
  <c r="K798" i="29"/>
  <c r="J766" i="29"/>
  <c r="G726" i="29"/>
  <c r="J686" i="29"/>
  <c r="G646" i="29"/>
  <c r="G606" i="29"/>
  <c r="K566" i="29"/>
  <c r="J526" i="29"/>
  <c r="I486" i="29"/>
  <c r="G454" i="29"/>
  <c r="L406" i="29"/>
  <c r="H374" i="29"/>
  <c r="K334" i="29"/>
  <c r="I294" i="29"/>
  <c r="F254" i="29"/>
  <c r="F214" i="29"/>
  <c r="M174" i="29"/>
  <c r="J142" i="29"/>
  <c r="K102" i="29"/>
  <c r="F62" i="29"/>
  <c r="H2557" i="29"/>
  <c r="H2511" i="29"/>
  <c r="H2472" i="29"/>
  <c r="H2435" i="29"/>
  <c r="H2384" i="29"/>
  <c r="F2327" i="29"/>
  <c r="H2265" i="29"/>
  <c r="G2153" i="29"/>
  <c r="H2038" i="29"/>
  <c r="G1921" i="29"/>
  <c r="K1711" i="29"/>
  <c r="L2208" i="29"/>
  <c r="K1928" i="29"/>
  <c r="K1688" i="29"/>
  <c r="L1544" i="29"/>
  <c r="K1352" i="29"/>
  <c r="K1176" i="29"/>
  <c r="I2325" i="29"/>
  <c r="M2237" i="29"/>
  <c r="K2173" i="29"/>
  <c r="I2125" i="29"/>
  <c r="L2085" i="29"/>
  <c r="J2037" i="29"/>
  <c r="M1997" i="29"/>
  <c r="K1949" i="29"/>
  <c r="I1901" i="29"/>
  <c r="H1869" i="29"/>
  <c r="H1837" i="29"/>
  <c r="G1805" i="29"/>
  <c r="G1773" i="29"/>
  <c r="G1741" i="29"/>
  <c r="G1709" i="29"/>
  <c r="F1677" i="29"/>
  <c r="J1653" i="29"/>
  <c r="F1621" i="29"/>
  <c r="I1597" i="29"/>
  <c r="F1565" i="29"/>
  <c r="J1533" i="29"/>
  <c r="I1509" i="29"/>
  <c r="M1477" i="29"/>
  <c r="H1445" i="29"/>
  <c r="K1421" i="29"/>
  <c r="H1389" i="29"/>
  <c r="M1365" i="29"/>
  <c r="I1333" i="29"/>
  <c r="K1309" i="29"/>
  <c r="G1277" i="29"/>
  <c r="I1245" i="29"/>
  <c r="G1221" i="29"/>
  <c r="I1189" i="29"/>
  <c r="H1165" i="29"/>
  <c r="J1133" i="29"/>
  <c r="H1109" i="29"/>
  <c r="J1077" i="29"/>
  <c r="H1053" i="29"/>
  <c r="J1021" i="29"/>
  <c r="H997" i="29"/>
  <c r="K2339" i="29"/>
  <c r="K1338" i="29"/>
  <c r="M458" i="29"/>
  <c r="G2154" i="29"/>
  <c r="M2240" i="29"/>
  <c r="K1833" i="29"/>
  <c r="J345" i="29"/>
  <c r="G952" i="29"/>
  <c r="J2440" i="29"/>
  <c r="L1991" i="29"/>
  <c r="F1735" i="29"/>
  <c r="M1551" i="29"/>
  <c r="K1407" i="29"/>
  <c r="H1271" i="29"/>
  <c r="L1143" i="29"/>
  <c r="L1023" i="29"/>
  <c r="H887" i="29"/>
  <c r="G759" i="29"/>
  <c r="I647" i="29"/>
  <c r="L503" i="29"/>
  <c r="L383" i="29"/>
  <c r="L279" i="29"/>
  <c r="K159" i="29"/>
  <c r="I2572" i="29"/>
  <c r="I2455" i="29"/>
  <c r="J2340" i="29"/>
  <c r="F2159" i="29"/>
  <c r="F1983" i="29"/>
  <c r="I2345" i="29"/>
  <c r="M1849" i="29"/>
  <c r="M1593" i="29"/>
  <c r="I1273" i="29"/>
  <c r="J1025" i="29"/>
  <c r="H801" i="29"/>
  <c r="L601" i="29"/>
  <c r="J401" i="29"/>
  <c r="H209" i="29"/>
  <c r="J2176" i="29"/>
  <c r="I1776" i="29"/>
  <c r="G1432" i="29"/>
  <c r="L1184" i="29"/>
  <c r="M632" i="29"/>
  <c r="H520" i="29"/>
  <c r="G424" i="29"/>
  <c r="F296" i="29"/>
  <c r="J208" i="29"/>
  <c r="G128" i="29"/>
  <c r="J2448" i="29"/>
  <c r="I2286" i="29"/>
  <c r="K2222" i="29"/>
  <c r="L2166" i="29"/>
  <c r="J2094" i="29"/>
  <c r="L2038" i="29"/>
  <c r="I1966" i="29"/>
  <c r="L1910" i="29"/>
  <c r="L1862" i="29"/>
  <c r="K1806" i="29"/>
  <c r="H1766" i="29"/>
  <c r="J1726" i="29"/>
  <c r="L1686" i="29"/>
  <c r="H1646" i="29"/>
  <c r="F1598" i="29"/>
  <c r="M1558" i="29"/>
  <c r="J1518" i="29"/>
  <c r="F1478" i="29"/>
  <c r="I1438" i="29"/>
  <c r="L1390" i="29"/>
  <c r="G1350" i="29"/>
  <c r="I1310" i="29"/>
  <c r="I1270" i="29"/>
  <c r="G1238" i="29"/>
  <c r="I1190" i="29"/>
  <c r="M1158" i="29"/>
  <c r="I1110" i="29"/>
  <c r="M1078" i="29"/>
  <c r="K1038" i="29"/>
  <c r="F998" i="29"/>
  <c r="K958" i="29"/>
  <c r="M918" i="29"/>
  <c r="M878" i="29"/>
  <c r="H846" i="29"/>
  <c r="L798" i="29"/>
  <c r="M766" i="29"/>
  <c r="F718" i="29"/>
  <c r="M686" i="29"/>
  <c r="H646" i="29"/>
  <c r="H606" i="29"/>
  <c r="L566" i="29"/>
  <c r="K526" i="29"/>
  <c r="H486" i="29"/>
  <c r="H454" i="29"/>
  <c r="M406" i="29"/>
  <c r="I374" i="29"/>
  <c r="M326" i="29"/>
  <c r="J294" i="29"/>
  <c r="G254" i="29"/>
  <c r="I214" i="29"/>
  <c r="F174" i="29"/>
  <c r="K142" i="29"/>
  <c r="M102" i="29"/>
  <c r="G62" i="29"/>
  <c r="H2556" i="29"/>
  <c r="H2510" i="29"/>
  <c r="H2471" i="29"/>
  <c r="H2433" i="29"/>
  <c r="F2383" i="29"/>
  <c r="H2324" i="29"/>
  <c r="H2263" i="29"/>
  <c r="H2150" i="29"/>
  <c r="G2033" i="29"/>
  <c r="H1918" i="29"/>
  <c r="K1703" i="29"/>
  <c r="M2208" i="29"/>
  <c r="L1928" i="29"/>
  <c r="F1688" i="29"/>
  <c r="G1496" i="29"/>
  <c r="L1352" i="29"/>
  <c r="M1176" i="29"/>
  <c r="M2325" i="29"/>
  <c r="I2229" i="29"/>
  <c r="L2173" i="29"/>
  <c r="J2125" i="29"/>
  <c r="M2085" i="29"/>
  <c r="K2037" i="29"/>
  <c r="I1989" i="29"/>
  <c r="L1949" i="29"/>
  <c r="J1901" i="29"/>
  <c r="J1869" i="29"/>
  <c r="J1837" i="29"/>
  <c r="H1805" i="29"/>
  <c r="H1773" i="29"/>
  <c r="H1741" i="29"/>
  <c r="H1709" i="29"/>
  <c r="H1677" i="29"/>
  <c r="M1653" i="29"/>
  <c r="G1621" i="29"/>
  <c r="G1589" i="29"/>
  <c r="H1565" i="29"/>
  <c r="K1533" i="29"/>
  <c r="G1501" i="29"/>
  <c r="I1477" i="29"/>
  <c r="J1445" i="29"/>
  <c r="L1421" i="29"/>
  <c r="J1389" i="29"/>
  <c r="G1357" i="29"/>
  <c r="J1333" i="29"/>
  <c r="F1301" i="29"/>
  <c r="L1277" i="29"/>
  <c r="J1245" i="29"/>
  <c r="L1221" i="29"/>
  <c r="J1189" i="29"/>
  <c r="K1165" i="29"/>
  <c r="L1133" i="29"/>
  <c r="K1109" i="29"/>
  <c r="K1077" i="29"/>
  <c r="K2451" i="29"/>
  <c r="K1218" i="29"/>
  <c r="F450" i="29"/>
  <c r="M2114" i="29"/>
  <c r="L2096" i="29"/>
  <c r="I1761" i="29"/>
  <c r="M297" i="29"/>
  <c r="F952" i="29"/>
  <c r="L2477" i="29"/>
  <c r="K1106" i="29"/>
  <c r="K418" i="29"/>
  <c r="K1938" i="29"/>
  <c r="J1664" i="29"/>
  <c r="F1649" i="29"/>
  <c r="K297" i="29"/>
  <c r="G560" i="29"/>
  <c r="J2279" i="29"/>
  <c r="K1943" i="29"/>
  <c r="H1687" i="29"/>
  <c r="K1535" i="29"/>
  <c r="K1391" i="29"/>
  <c r="K1263" i="29"/>
  <c r="M1127" i="29"/>
  <c r="H999" i="29"/>
  <c r="M879" i="29"/>
  <c r="M751" i="29"/>
  <c r="I607" i="29"/>
  <c r="J495" i="29"/>
  <c r="L375" i="29"/>
  <c r="L255" i="29"/>
  <c r="K143" i="29"/>
  <c r="I2558" i="29"/>
  <c r="I2427" i="29"/>
  <c r="G2323" i="29"/>
  <c r="F2143" i="29"/>
  <c r="H1953" i="29"/>
  <c r="J2265" i="29"/>
  <c r="I1809" i="29"/>
  <c r="H1521" i="29"/>
  <c r="J1241" i="29"/>
  <c r="M1025" i="29"/>
  <c r="F801" i="29"/>
  <c r="K561" i="29"/>
  <c r="H369" i="29"/>
  <c r="L177" i="29"/>
  <c r="K2120" i="29"/>
  <c r="K1728" i="29"/>
  <c r="K1432" i="29"/>
  <c r="G1096" i="29"/>
  <c r="K608" i="29"/>
  <c r="M504" i="29"/>
  <c r="I400" i="29"/>
  <c r="J296" i="29"/>
  <c r="F208" i="29"/>
  <c r="I112" i="29"/>
  <c r="L1713" i="29"/>
  <c r="J2278" i="29"/>
  <c r="J2214" i="29"/>
  <c r="L2150" i="29"/>
  <c r="J2086" i="29"/>
  <c r="K2030" i="29"/>
  <c r="I1958" i="29"/>
  <c r="K1902" i="29"/>
  <c r="J1846" i="29"/>
  <c r="H1798" i="29"/>
  <c r="L1766" i="29"/>
  <c r="G1718" i="29"/>
  <c r="F1678" i="29"/>
  <c r="K1630" i="29"/>
  <c r="K1590" i="29"/>
  <c r="J1558" i="29"/>
  <c r="I1510" i="29"/>
  <c r="H1470" i="29"/>
  <c r="G1422" i="29"/>
  <c r="G1382" i="29"/>
  <c r="M1350" i="29"/>
  <c r="F1302" i="29"/>
  <c r="L1270" i="29"/>
  <c r="H1222" i="29"/>
  <c r="G1190" i="29"/>
  <c r="F1150" i="29"/>
  <c r="H1110" i="29"/>
  <c r="K1070" i="29"/>
  <c r="G1030" i="29"/>
  <c r="K990" i="29"/>
  <c r="G958" i="29"/>
  <c r="J910" i="29"/>
  <c r="H878" i="29"/>
  <c r="J830" i="29"/>
  <c r="G798" i="29"/>
  <c r="F758" i="29"/>
  <c r="I718" i="29"/>
  <c r="J1735" i="29"/>
  <c r="J962" i="29"/>
  <c r="F282" i="29"/>
  <c r="F2282" i="29"/>
  <c r="F1280" i="29"/>
  <c r="G1289" i="29"/>
  <c r="L97" i="29"/>
  <c r="F456" i="29"/>
  <c r="J2207" i="29"/>
  <c r="M1879" i="29"/>
  <c r="G1671" i="29"/>
  <c r="H1519" i="29"/>
  <c r="H1359" i="29"/>
  <c r="G1231" i="29"/>
  <c r="G1111" i="29"/>
  <c r="H975" i="29"/>
  <c r="L855" i="29"/>
  <c r="G727" i="29"/>
  <c r="M599" i="29"/>
  <c r="G479" i="29"/>
  <c r="H351" i="29"/>
  <c r="H239" i="29"/>
  <c r="F127" i="29"/>
  <c r="I2534" i="29"/>
  <c r="L2417" i="29"/>
  <c r="K2293" i="29"/>
  <c r="F2119" i="29"/>
  <c r="F1919" i="29"/>
  <c r="L2185" i="29"/>
  <c r="M1729" i="29"/>
  <c r="F1489" i="29"/>
  <c r="L1241" i="29"/>
  <c r="F961" i="29"/>
  <c r="H753" i="29"/>
  <c r="H561" i="29"/>
  <c r="G337" i="29"/>
  <c r="M129" i="29"/>
  <c r="M2080" i="29"/>
  <c r="J1680" i="29"/>
  <c r="G1344" i="29"/>
  <c r="K704" i="29"/>
  <c r="M592" i="29"/>
  <c r="J488" i="29"/>
  <c r="H384" i="29"/>
  <c r="I280" i="29"/>
  <c r="M176" i="29"/>
  <c r="L112" i="29"/>
  <c r="M2382" i="29"/>
  <c r="M2270" i="29"/>
  <c r="J2206" i="29"/>
  <c r="M2142" i="29"/>
  <c r="J2078" i="29"/>
  <c r="L2014" i="29"/>
  <c r="J1950" i="29"/>
  <c r="H1894" i="29"/>
  <c r="J1838" i="29"/>
  <c r="M1790" i="29"/>
  <c r="G1750" i="29"/>
  <c r="M1710" i="29"/>
  <c r="K1670" i="29"/>
  <c r="H1630" i="29"/>
  <c r="J1590" i="29"/>
  <c r="L1542" i="29"/>
  <c r="L1502" i="29"/>
  <c r="K1470" i="29"/>
  <c r="I1422" i="29"/>
  <c r="F1382" i="29"/>
  <c r="F1334" i="29"/>
  <c r="M1302" i="29"/>
  <c r="K1262" i="29"/>
  <c r="G1222" i="29"/>
  <c r="K1182" i="29"/>
  <c r="I1142" i="29"/>
  <c r="L1102" i="29"/>
  <c r="F1070" i="29"/>
  <c r="K1022" i="29"/>
  <c r="H990" i="29"/>
  <c r="J942" i="29"/>
  <c r="H910" i="29"/>
  <c r="F870" i="29"/>
  <c r="L830" i="29"/>
  <c r="J790" i="29"/>
  <c r="J750" i="29"/>
  <c r="I710" i="29"/>
  <c r="K678" i="29"/>
  <c r="K2587" i="29"/>
  <c r="M906" i="29"/>
  <c r="K242" i="29"/>
  <c r="J2258" i="29"/>
  <c r="G1144" i="29"/>
  <c r="J1225" i="29"/>
  <c r="L2200" i="29"/>
  <c r="J376" i="29"/>
  <c r="K2167" i="29"/>
  <c r="F1879" i="29"/>
  <c r="I1655" i="29"/>
  <c r="F1487" i="29"/>
  <c r="F1359" i="29"/>
  <c r="I1223" i="29"/>
  <c r="M1087" i="29"/>
  <c r="K967" i="29"/>
  <c r="L839" i="29"/>
  <c r="M719" i="29"/>
  <c r="G591" i="29"/>
  <c r="G463" i="29"/>
  <c r="F351" i="29"/>
  <c r="L223" i="29"/>
  <c r="F119" i="29"/>
  <c r="I2525" i="29"/>
  <c r="G2411" i="29"/>
  <c r="K2289" i="29"/>
  <c r="F2111" i="29"/>
  <c r="G1908" i="29"/>
  <c r="K2113" i="29"/>
  <c r="G1729" i="29"/>
  <c r="G1457" i="29"/>
  <c r="F1185" i="29"/>
  <c r="I929" i="29"/>
  <c r="G721" i="29"/>
  <c r="L529" i="29"/>
  <c r="H305" i="29"/>
  <c r="G89" i="29"/>
  <c r="J2032" i="29"/>
  <c r="F1632" i="29"/>
  <c r="J1344" i="29"/>
  <c r="L704" i="29"/>
  <c r="G592" i="29"/>
  <c r="L488" i="29"/>
  <c r="L352" i="29"/>
  <c r="K280" i="29"/>
  <c r="H176" i="29"/>
  <c r="G88" i="29"/>
  <c r="I2366" i="29"/>
  <c r="J2262" i="29"/>
  <c r="M2198" i="29"/>
  <c r="J2134" i="29"/>
  <c r="L2078" i="29"/>
  <c r="J2006" i="29"/>
  <c r="L1950" i="29"/>
  <c r="J1886" i="29"/>
  <c r="L1838" i="29"/>
  <c r="G1790" i="29"/>
  <c r="J1750" i="29"/>
  <c r="G1710" i="29"/>
  <c r="K1662" i="29"/>
  <c r="K1622" i="29"/>
  <c r="K1582" i="29"/>
  <c r="F1542" i="29"/>
  <c r="I1502" i="29"/>
  <c r="L1454" i="29"/>
  <c r="G1414" i="29"/>
  <c r="I1382" i="29"/>
  <c r="I1334" i="29"/>
  <c r="H1294" i="29"/>
  <c r="K1254" i="29"/>
  <c r="H1214" i="29"/>
  <c r="F1182" i="29"/>
  <c r="I1134" i="29"/>
  <c r="F1102" i="29"/>
  <c r="F1062" i="29"/>
  <c r="G1022" i="29"/>
  <c r="J982" i="29"/>
  <c r="M942" i="29"/>
  <c r="K902" i="29"/>
  <c r="F862" i="29"/>
  <c r="J822" i="29"/>
  <c r="I790" i="29"/>
  <c r="F742" i="29"/>
  <c r="L710" i="29"/>
  <c r="K670" i="29"/>
  <c r="G630" i="29"/>
  <c r="K590" i="29"/>
  <c r="M550" i="29"/>
  <c r="G510" i="29"/>
  <c r="L470" i="29"/>
  <c r="L430" i="29"/>
  <c r="H398" i="29"/>
  <c r="L350" i="29"/>
  <c r="J318" i="29"/>
  <c r="K278" i="29"/>
  <c r="F238" i="29"/>
  <c r="K198" i="29"/>
  <c r="H158" i="29"/>
  <c r="M126" i="29"/>
  <c r="G86" i="29"/>
  <c r="H2575" i="29"/>
  <c r="H2536" i="29"/>
  <c r="H2497" i="29"/>
  <c r="H2456" i="29"/>
  <c r="K2413" i="29"/>
  <c r="K2357" i="29"/>
  <c r="H2303" i="29"/>
  <c r="H2222" i="29"/>
  <c r="G2105" i="29"/>
  <c r="H1990" i="29"/>
  <c r="G1871" i="29"/>
  <c r="M2408" i="29"/>
  <c r="I2064" i="29"/>
  <c r="L1832" i="29"/>
  <c r="J1640" i="29"/>
  <c r="I1448" i="29"/>
  <c r="I1272" i="29"/>
  <c r="M1104" i="29"/>
  <c r="L2261" i="29"/>
  <c r="J2205" i="29"/>
  <c r="M2157" i="29"/>
  <c r="K2109" i="29"/>
  <c r="I2061" i="29"/>
  <c r="L2021" i="29"/>
  <c r="J1973" i="29"/>
  <c r="M1933" i="29"/>
  <c r="F1885" i="29"/>
  <c r="F1853" i="29"/>
  <c r="F1821" i="29"/>
  <c r="M1789" i="29"/>
  <c r="M1757" i="29"/>
  <c r="M1725" i="29"/>
  <c r="G1701" i="29"/>
  <c r="L1669" i="29"/>
  <c r="F1637" i="29"/>
  <c r="J1613" i="29"/>
  <c r="L1581" i="29"/>
  <c r="J1549" i="29"/>
  <c r="F1525" i="29"/>
  <c r="M1493" i="29"/>
  <c r="H1461" i="29"/>
  <c r="K1437" i="29"/>
  <c r="H1405" i="29"/>
  <c r="L1381" i="29"/>
  <c r="F1349" i="29"/>
  <c r="M1325" i="29"/>
  <c r="G1293" i="29"/>
  <c r="I1261" i="29"/>
  <c r="G1237" i="29"/>
  <c r="I1205" i="29"/>
  <c r="G1181" i="29"/>
  <c r="L1149" i="29"/>
  <c r="H1125" i="29"/>
  <c r="J1093" i="29"/>
  <c r="H1069" i="29"/>
  <c r="J1037" i="29"/>
  <c r="H1013" i="29"/>
  <c r="J981" i="29"/>
  <c r="H957" i="29"/>
  <c r="J925" i="29"/>
  <c r="I901" i="29"/>
  <c r="M1890" i="29"/>
  <c r="J906" i="29"/>
  <c r="L234" i="29"/>
  <c r="G2050" i="29"/>
  <c r="M984" i="29"/>
  <c r="F1169" i="29"/>
  <c r="K2152" i="29"/>
  <c r="I320" i="29"/>
  <c r="K2159" i="29"/>
  <c r="I1871" i="29"/>
  <c r="G1639" i="29"/>
  <c r="H1479" i="29"/>
  <c r="L1351" i="29"/>
  <c r="F1207" i="29"/>
  <c r="I1079" i="29"/>
  <c r="M967" i="29"/>
  <c r="F831" i="29"/>
  <c r="G695" i="29"/>
  <c r="H583" i="29"/>
  <c r="I455" i="29"/>
  <c r="F335" i="29"/>
  <c r="I223" i="29"/>
  <c r="F103" i="29"/>
  <c r="I2521" i="29"/>
  <c r="J2404" i="29"/>
  <c r="K2283" i="29"/>
  <c r="H2081" i="29"/>
  <c r="J1891" i="29"/>
  <c r="I2065" i="29"/>
  <c r="I1729" i="29"/>
  <c r="L1457" i="29"/>
  <c r="J1153" i="29"/>
  <c r="K929" i="29"/>
  <c r="K721" i="29"/>
  <c r="M497" i="29"/>
  <c r="J305" i="29"/>
  <c r="I89" i="29"/>
  <c r="M1984" i="29"/>
  <c r="I1632" i="29"/>
  <c r="F1344" i="29"/>
  <c r="F696" i="29"/>
  <c r="I568" i="29"/>
  <c r="L464" i="29"/>
  <c r="F352" i="29"/>
  <c r="M264" i="29"/>
  <c r="L176" i="29"/>
  <c r="I88" i="29"/>
  <c r="I2358" i="29"/>
  <c r="M2262" i="29"/>
  <c r="J2190" i="29"/>
  <c r="M2134" i="29"/>
  <c r="I2070" i="29"/>
  <c r="L2006" i="29"/>
  <c r="I1942" i="29"/>
  <c r="M1878" i="29"/>
  <c r="H1830" i="29"/>
  <c r="I1790" i="29"/>
  <c r="L1750" i="29"/>
  <c r="I1710" i="29"/>
  <c r="J1662" i="29"/>
  <c r="J1622" i="29"/>
  <c r="M1582" i="29"/>
  <c r="K1542" i="29"/>
  <c r="K1502" i="29"/>
  <c r="I1454" i="29"/>
  <c r="L1414" i="29"/>
  <c r="H1374" i="29"/>
  <c r="L1334" i="29"/>
  <c r="J1294" i="29"/>
  <c r="L1254" i="29"/>
  <c r="K1214" i="29"/>
  <c r="L1182" i="29"/>
  <c r="L1134" i="29"/>
  <c r="H1102" i="29"/>
  <c r="J1054" i="29"/>
  <c r="F1022" i="29"/>
  <c r="L982" i="29"/>
  <c r="G942" i="29"/>
  <c r="L902" i="29"/>
  <c r="G862" i="29"/>
  <c r="L1890" i="29"/>
  <c r="G826" i="29"/>
  <c r="J234" i="29"/>
  <c r="F2050" i="29"/>
  <c r="G984" i="29"/>
  <c r="M1105" i="29"/>
  <c r="J1696" i="29"/>
  <c r="J320" i="29"/>
  <c r="M2151" i="29"/>
  <c r="L1871" i="29"/>
  <c r="H1639" i="29"/>
  <c r="F1479" i="29"/>
  <c r="K1351" i="29"/>
  <c r="J1199" i="29"/>
  <c r="K1079" i="29"/>
  <c r="G967" i="29"/>
  <c r="H831" i="29"/>
  <c r="H695" i="29"/>
  <c r="J583" i="29"/>
  <c r="I447" i="29"/>
  <c r="G335" i="29"/>
  <c r="H223" i="29"/>
  <c r="G103" i="29"/>
  <c r="I2505" i="29"/>
  <c r="G2403" i="29"/>
  <c r="K2269" i="29"/>
  <c r="F2079" i="29"/>
  <c r="H1888" i="29"/>
  <c r="J2065" i="29"/>
  <c r="J1729" i="29"/>
  <c r="F1417" i="29"/>
  <c r="F1153" i="29"/>
  <c r="L929" i="29"/>
  <c r="J721" i="29"/>
  <c r="F497" i="29"/>
  <c r="K305" i="29"/>
  <c r="K89" i="29"/>
  <c r="I1936" i="29"/>
  <c r="J1632" i="29"/>
  <c r="L1344" i="29"/>
  <c r="M696" i="29"/>
  <c r="K568" i="29"/>
  <c r="M464" i="29"/>
  <c r="G352" i="29"/>
  <c r="J264" i="29"/>
  <c r="G176" i="29"/>
  <c r="J88" i="29"/>
  <c r="M2358" i="29"/>
  <c r="I2254" i="29"/>
  <c r="L2190" i="29"/>
  <c r="I2126" i="29"/>
  <c r="J2070" i="29"/>
  <c r="M2006" i="29"/>
  <c r="J1942" i="29"/>
  <c r="H1878" i="29"/>
  <c r="I1830" i="29"/>
  <c r="J1790" i="29"/>
  <c r="M1742" i="29"/>
  <c r="J1710" i="29"/>
  <c r="M1662" i="29"/>
  <c r="M1622" i="29"/>
  <c r="H1582" i="29"/>
  <c r="G1534" i="29"/>
  <c r="F1502" i="29"/>
  <c r="J1454" i="29"/>
  <c r="M1414" i="29"/>
  <c r="J1374" i="29"/>
  <c r="M1334" i="29"/>
  <c r="K1294" i="29"/>
  <c r="M1254" i="29"/>
  <c r="M1214" i="29"/>
  <c r="H1174" i="29"/>
  <c r="K1134" i="29"/>
  <c r="I1094" i="29"/>
  <c r="L1054" i="29"/>
  <c r="I1014" i="29"/>
  <c r="M982" i="29"/>
  <c r="H942" i="29"/>
  <c r="F902" i="29"/>
  <c r="L862" i="29"/>
  <c r="I822" i="29"/>
  <c r="K782" i="29"/>
  <c r="L742" i="29"/>
  <c r="F702" i="29"/>
  <c r="I662" i="29"/>
  <c r="M1866" i="29"/>
  <c r="K818" i="29"/>
  <c r="H146" i="29"/>
  <c r="F1826" i="29"/>
  <c r="G960" i="29"/>
  <c r="G1017" i="29"/>
  <c r="I1600" i="29"/>
  <c r="G272" i="29"/>
  <c r="K2135" i="29"/>
  <c r="K1823" i="29"/>
  <c r="I1631" i="29"/>
  <c r="L1479" i="29"/>
  <c r="K1319" i="29"/>
  <c r="F1199" i="29"/>
  <c r="G1079" i="29"/>
  <c r="G951" i="29"/>
  <c r="K807" i="29"/>
  <c r="J695" i="29"/>
  <c r="L575" i="29"/>
  <c r="J439" i="29"/>
  <c r="F327" i="29"/>
  <c r="G223" i="29"/>
  <c r="I87" i="29"/>
  <c r="I2502" i="29"/>
  <c r="J2400" i="29"/>
  <c r="H2249" i="29"/>
  <c r="G2052" i="29"/>
  <c r="J1867" i="29"/>
  <c r="L2065" i="29"/>
  <c r="J1665" i="29"/>
  <c r="G1369" i="29"/>
  <c r="I1153" i="29"/>
  <c r="F929" i="29"/>
  <c r="H689" i="29"/>
  <c r="J497" i="29"/>
  <c r="M273" i="29"/>
  <c r="K2505" i="29"/>
  <c r="L1936" i="29"/>
  <c r="G1592" i="29"/>
  <c r="J1296" i="29"/>
  <c r="G672" i="29"/>
  <c r="M568" i="29"/>
  <c r="H464" i="29"/>
  <c r="K352" i="29"/>
  <c r="L248" i="29"/>
  <c r="F160" i="29"/>
  <c r="J72" i="29"/>
  <c r="I2342" i="29"/>
  <c r="K2254" i="29"/>
  <c r="I2182" i="29"/>
  <c r="K2126" i="29"/>
  <c r="M2062" i="29"/>
  <c r="K1998" i="29"/>
  <c r="L1942" i="29"/>
  <c r="K1878" i="29"/>
  <c r="M1822" i="29"/>
  <c r="J1782" i="29"/>
  <c r="H1742" i="29"/>
  <c r="L1710" i="29"/>
  <c r="H1662" i="29"/>
  <c r="H1622" i="29"/>
  <c r="H1574" i="29"/>
  <c r="M1534" i="29"/>
  <c r="H1494" i="29"/>
  <c r="H1446" i="29"/>
  <c r="I1414" i="29"/>
  <c r="J1366" i="29"/>
  <c r="G1326" i="29"/>
  <c r="G1294" i="29"/>
  <c r="I1246" i="29"/>
  <c r="G1214" i="29"/>
  <c r="J1166" i="29"/>
  <c r="G1134" i="29"/>
  <c r="H2390" i="29"/>
  <c r="K634" i="29"/>
  <c r="L2241" i="29"/>
  <c r="F841" i="29"/>
  <c r="H320" i="29"/>
  <c r="I1919" i="29"/>
  <c r="I1551" i="29"/>
  <c r="J1311" i="29"/>
  <c r="F1087" i="29"/>
  <c r="M863" i="29"/>
  <c r="F639" i="29"/>
  <c r="H431" i="29"/>
  <c r="M223" i="29"/>
  <c r="I2545" i="29"/>
  <c r="J2328" i="29"/>
  <c r="H2041" i="29"/>
  <c r="L2113" i="29"/>
  <c r="J1489" i="29"/>
  <c r="K1025" i="29"/>
  <c r="M689" i="29"/>
  <c r="I305" i="29"/>
  <c r="J2080" i="29"/>
  <c r="H1432" i="29"/>
  <c r="I672" i="29"/>
  <c r="M488" i="29"/>
  <c r="F280" i="29"/>
  <c r="K160" i="29"/>
  <c r="I2350" i="29"/>
  <c r="K2214" i="29"/>
  <c r="K2118" i="29"/>
  <c r="K2006" i="29"/>
  <c r="J1902" i="29"/>
  <c r="L1822" i="29"/>
  <c r="I1750" i="29"/>
  <c r="I1686" i="29"/>
  <c r="L1614" i="29"/>
  <c r="H1542" i="29"/>
  <c r="J1478" i="29"/>
  <c r="G1406" i="29"/>
  <c r="M1342" i="29"/>
  <c r="K1278" i="29"/>
  <c r="L1214" i="29"/>
  <c r="H1150" i="29"/>
  <c r="H1086" i="29"/>
  <c r="L1022" i="29"/>
  <c r="M966" i="29"/>
  <c r="H902" i="29"/>
  <c r="J838" i="29"/>
  <c r="I782" i="29"/>
  <c r="G718" i="29"/>
  <c r="F662" i="29"/>
  <c r="M622" i="29"/>
  <c r="H566" i="29"/>
  <c r="F518" i="29"/>
  <c r="I462" i="29"/>
  <c r="F422" i="29"/>
  <c r="J366" i="29"/>
  <c r="L318" i="29"/>
  <c r="J270" i="29"/>
  <c r="J222" i="29"/>
  <c r="I174" i="29"/>
  <c r="H118" i="29"/>
  <c r="F70" i="29"/>
  <c r="H2548" i="29"/>
  <c r="H2501" i="29"/>
  <c r="H2449" i="29"/>
  <c r="K2393" i="29"/>
  <c r="H2316" i="29"/>
  <c r="G2225" i="29"/>
  <c r="G2081" i="29"/>
  <c r="G1937" i="29"/>
  <c r="H1611" i="29"/>
  <c r="K2064" i="29"/>
  <c r="M1736" i="29"/>
  <c r="F1496" i="29"/>
  <c r="L1312" i="29"/>
  <c r="G736" i="29"/>
  <c r="L2245" i="29"/>
  <c r="K2165" i="29"/>
  <c r="J2109" i="29"/>
  <c r="J2053" i="29"/>
  <c r="I1997" i="29"/>
  <c r="M1941" i="29"/>
  <c r="H1885" i="29"/>
  <c r="G1845" i="29"/>
  <c r="K1805" i="29"/>
  <c r="I1765" i="29"/>
  <c r="I1725" i="29"/>
  <c r="H1685" i="29"/>
  <c r="G1645" i="29"/>
  <c r="I1613" i="29"/>
  <c r="L1573" i="29"/>
  <c r="I1541" i="29"/>
  <c r="G1493" i="29"/>
  <c r="K1461" i="29"/>
  <c r="K1429" i="29"/>
  <c r="I1389" i="29"/>
  <c r="G1349" i="29"/>
  <c r="I1317" i="29"/>
  <c r="M1285" i="29"/>
  <c r="L1245" i="29"/>
  <c r="H1205" i="29"/>
  <c r="K1173" i="29"/>
  <c r="H1141" i="29"/>
  <c r="K1101" i="29"/>
  <c r="L1069" i="29"/>
  <c r="F1037" i="29"/>
  <c r="F1005" i="29"/>
  <c r="M973" i="29"/>
  <c r="J941" i="29"/>
  <c r="G917" i="29"/>
  <c r="G885" i="29"/>
  <c r="L861" i="29"/>
  <c r="F829" i="29"/>
  <c r="J805" i="29"/>
  <c r="G773" i="29"/>
  <c r="H749" i="29"/>
  <c r="I717" i="29"/>
  <c r="L693" i="29"/>
  <c r="I661" i="29"/>
  <c r="F637" i="29"/>
  <c r="G605" i="29"/>
  <c r="J581" i="29"/>
  <c r="L549" i="29"/>
  <c r="M525" i="29"/>
  <c r="H493" i="29"/>
  <c r="H469" i="29"/>
  <c r="G437" i="29"/>
  <c r="H413" i="29"/>
  <c r="K381" i="29"/>
  <c r="I357" i="29"/>
  <c r="L325" i="29"/>
  <c r="J301" i="29"/>
  <c r="H269" i="29"/>
  <c r="F245" i="29"/>
  <c r="M213" i="29"/>
  <c r="L189" i="29"/>
  <c r="H157" i="29"/>
  <c r="M133" i="29"/>
  <c r="I101" i="29"/>
  <c r="L77" i="29"/>
  <c r="G2575" i="29"/>
  <c r="G2543" i="29"/>
  <c r="G2511" i="29"/>
  <c r="G2479" i="29"/>
  <c r="G2447" i="29"/>
  <c r="J2413" i="29"/>
  <c r="L2358" i="29"/>
  <c r="G2305" i="29"/>
  <c r="G2238" i="29"/>
  <c r="G2150" i="29"/>
  <c r="H2067" i="29"/>
  <c r="G1982" i="29"/>
  <c r="L1880" i="29"/>
  <c r="I2393" i="29"/>
  <c r="L2097" i="29"/>
  <c r="I1857" i="29"/>
  <c r="F1705" i="29"/>
  <c r="M1585" i="29"/>
  <c r="L1465" i="29"/>
  <c r="H1329" i="29"/>
  <c r="G1233" i="29"/>
  <c r="K1089" i="29"/>
  <c r="G1001" i="29"/>
  <c r="L2587" i="29"/>
  <c r="J634" i="29"/>
  <c r="L2121" i="29"/>
  <c r="G841" i="29"/>
  <c r="G320" i="29"/>
  <c r="L1911" i="29"/>
  <c r="H1543" i="29"/>
  <c r="K1311" i="29"/>
  <c r="L1079" i="29"/>
  <c r="M855" i="29"/>
  <c r="J615" i="29"/>
  <c r="I431" i="29"/>
  <c r="J223" i="29"/>
  <c r="I2544" i="29"/>
  <c r="G2327" i="29"/>
  <c r="F2039" i="29"/>
  <c r="K2065" i="29"/>
  <c r="K1489" i="29"/>
  <c r="L1025" i="29"/>
  <c r="L689" i="29"/>
  <c r="L305" i="29"/>
  <c r="K2080" i="29"/>
  <c r="J1432" i="29"/>
  <c r="L672" i="29"/>
  <c r="F464" i="29"/>
  <c r="G280" i="29"/>
  <c r="H144" i="29"/>
  <c r="M2342" i="29"/>
  <c r="L2214" i="29"/>
  <c r="L2118" i="29"/>
  <c r="I1998" i="29"/>
  <c r="L1902" i="29"/>
  <c r="M1814" i="29"/>
  <c r="K1750" i="29"/>
  <c r="K1678" i="29"/>
  <c r="F1614" i="29"/>
  <c r="I1542" i="29"/>
  <c r="K1478" i="29"/>
  <c r="H1406" i="29"/>
  <c r="L1342" i="29"/>
  <c r="J1270" i="29"/>
  <c r="H1206" i="29"/>
  <c r="G1142" i="29"/>
  <c r="M1086" i="29"/>
  <c r="M1022" i="29"/>
  <c r="L958" i="29"/>
  <c r="I902" i="29"/>
  <c r="L838" i="29"/>
  <c r="K774" i="29"/>
  <c r="K718" i="29"/>
  <c r="G662" i="29"/>
  <c r="G622" i="29"/>
  <c r="J566" i="29"/>
  <c r="M518" i="29"/>
  <c r="J462" i="29"/>
  <c r="G422" i="29"/>
  <c r="F366" i="29"/>
  <c r="K318" i="29"/>
  <c r="K270" i="29"/>
  <c r="G214" i="29"/>
  <c r="M166" i="29"/>
  <c r="I118" i="29"/>
  <c r="G70" i="29"/>
  <c r="H2547" i="29"/>
  <c r="H2500" i="29"/>
  <c r="H2447" i="29"/>
  <c r="H2392" i="29"/>
  <c r="K2313" i="29"/>
  <c r="G2217" i="29"/>
  <c r="H2078" i="29"/>
  <c r="G1913" i="29"/>
  <c r="F1462" i="29"/>
  <c r="L2064" i="29"/>
  <c r="F1736" i="29"/>
  <c r="I1496" i="29"/>
  <c r="M1312" i="29"/>
  <c r="M736" i="29"/>
  <c r="M2245" i="29"/>
  <c r="L2165" i="29"/>
  <c r="L2109" i="29"/>
  <c r="K2053" i="29"/>
  <c r="J1989" i="29"/>
  <c r="I1933" i="29"/>
  <c r="I1885" i="29"/>
  <c r="H1845" i="29"/>
  <c r="L1805" i="29"/>
  <c r="K1765" i="29"/>
  <c r="K1725" i="29"/>
  <c r="I1685" i="29"/>
  <c r="H1645" i="29"/>
  <c r="M1613" i="29"/>
  <c r="M1573" i="29"/>
  <c r="L1533" i="29"/>
  <c r="H1493" i="29"/>
  <c r="L1461" i="29"/>
  <c r="L1429" i="29"/>
  <c r="K1389" i="29"/>
  <c r="H1349" i="29"/>
  <c r="J1317" i="29"/>
  <c r="H1277" i="29"/>
  <c r="M1245" i="29"/>
  <c r="J1205" i="29"/>
  <c r="M1173" i="29"/>
  <c r="M1141" i="29"/>
  <c r="L1101" i="29"/>
  <c r="F1069" i="29"/>
  <c r="H1037" i="29"/>
  <c r="H1005" i="29"/>
  <c r="H973" i="29"/>
  <c r="K941" i="29"/>
  <c r="F917" i="29"/>
  <c r="H885" i="29"/>
  <c r="J853" i="29"/>
  <c r="I829" i="29"/>
  <c r="K797" i="29"/>
  <c r="M773" i="29"/>
  <c r="F741" i="29"/>
  <c r="K717" i="29"/>
  <c r="F685" i="29"/>
  <c r="J661" i="29"/>
  <c r="I629" i="29"/>
  <c r="H605" i="29"/>
  <c r="I573" i="29"/>
  <c r="M549" i="29"/>
  <c r="I517" i="29"/>
  <c r="J493" i="29"/>
  <c r="I461" i="29"/>
  <c r="H437" i="29"/>
  <c r="L405" i="29"/>
  <c r="F381" i="29"/>
  <c r="L349" i="29"/>
  <c r="J325" i="29"/>
  <c r="M293" i="29"/>
  <c r="I269" i="29"/>
  <c r="K237" i="29"/>
  <c r="F213" i="29"/>
  <c r="M181" i="29"/>
  <c r="I157" i="29"/>
  <c r="H125" i="29"/>
  <c r="J101" i="29"/>
  <c r="F69" i="29"/>
  <c r="G2574" i="29"/>
  <c r="G2542" i="29"/>
  <c r="G2510" i="29"/>
  <c r="G2478" i="29"/>
  <c r="G2446" i="29"/>
  <c r="J2409" i="29"/>
  <c r="G2356" i="29"/>
  <c r="G2303" i="29"/>
  <c r="H2235" i="29"/>
  <c r="H2147" i="29"/>
  <c r="F2065" i="29"/>
  <c r="H1979" i="29"/>
  <c r="L1877" i="29"/>
  <c r="M2393" i="29"/>
  <c r="M2097" i="29"/>
  <c r="F1857" i="29"/>
  <c r="G1705" i="29"/>
  <c r="J2494" i="29"/>
  <c r="G450" i="29"/>
  <c r="L1889" i="29"/>
  <c r="L841" i="29"/>
  <c r="F256" i="29"/>
  <c r="M1903" i="29"/>
  <c r="K1543" i="29"/>
  <c r="L1311" i="29"/>
  <c r="M1079" i="29"/>
  <c r="F855" i="29"/>
  <c r="H615" i="29"/>
  <c r="I423" i="29"/>
  <c r="F223" i="29"/>
  <c r="I2542" i="29"/>
  <c r="J2324" i="29"/>
  <c r="G2036" i="29"/>
  <c r="I2025" i="29"/>
  <c r="M1489" i="29"/>
  <c r="H1025" i="29"/>
  <c r="I689" i="29"/>
  <c r="F273" i="29"/>
  <c r="L2080" i="29"/>
  <c r="I1432" i="29"/>
  <c r="F656" i="29"/>
  <c r="L448" i="29"/>
  <c r="H280" i="29"/>
  <c r="L128" i="29"/>
  <c r="I2334" i="29"/>
  <c r="M2214" i="29"/>
  <c r="I2102" i="29"/>
  <c r="L1998" i="29"/>
  <c r="M1902" i="29"/>
  <c r="F1814" i="29"/>
  <c r="F1742" i="29"/>
  <c r="J1678" i="29"/>
  <c r="J1614" i="29"/>
  <c r="J1542" i="29"/>
  <c r="G1470" i="29"/>
  <c r="J1406" i="29"/>
  <c r="H1334" i="29"/>
  <c r="K1270" i="29"/>
  <c r="I1206" i="29"/>
  <c r="H1142" i="29"/>
  <c r="I1078" i="29"/>
  <c r="J1014" i="29"/>
  <c r="M958" i="29"/>
  <c r="G902" i="29"/>
  <c r="K830" i="29"/>
  <c r="L774" i="29"/>
  <c r="M718" i="29"/>
  <c r="J662" i="29"/>
  <c r="H622" i="29"/>
  <c r="G566" i="29"/>
  <c r="I510" i="29"/>
  <c r="K462" i="29"/>
  <c r="F414" i="29"/>
  <c r="G366" i="29"/>
  <c r="I318" i="29"/>
  <c r="M262" i="29"/>
  <c r="H214" i="29"/>
  <c r="K166" i="29"/>
  <c r="G118" i="29"/>
  <c r="H70" i="29"/>
  <c r="H2545" i="29"/>
  <c r="H2499" i="29"/>
  <c r="H2446" i="29"/>
  <c r="F2391" i="29"/>
  <c r="H2312" i="29"/>
  <c r="H2214" i="29"/>
  <c r="G2073" i="29"/>
  <c r="H1910" i="29"/>
  <c r="K1399" i="29"/>
  <c r="M2064" i="29"/>
  <c r="G1736" i="29"/>
  <c r="J1496" i="29"/>
  <c r="H1272" i="29"/>
  <c r="J736" i="29"/>
  <c r="I2237" i="29"/>
  <c r="M2165" i="29"/>
  <c r="M2109" i="29"/>
  <c r="L2053" i="29"/>
  <c r="K1989" i="29"/>
  <c r="J1933" i="29"/>
  <c r="J1885" i="29"/>
  <c r="J1845" i="29"/>
  <c r="M1797" i="29"/>
  <c r="L1765" i="29"/>
  <c r="L1725" i="29"/>
  <c r="J1685" i="29"/>
  <c r="I1645" i="29"/>
  <c r="K1605" i="29"/>
  <c r="F1573" i="29"/>
  <c r="M1533" i="29"/>
  <c r="J1493" i="29"/>
  <c r="M1461" i="29"/>
  <c r="M1429" i="29"/>
  <c r="L1389" i="29"/>
  <c r="J1349" i="29"/>
  <c r="L1317" i="29"/>
  <c r="I1277" i="29"/>
  <c r="H1237" i="29"/>
  <c r="K1205" i="29"/>
  <c r="G1173" i="29"/>
  <c r="F1133" i="29"/>
  <c r="G1101" i="29"/>
  <c r="M1069" i="29"/>
  <c r="G1037" i="29"/>
  <c r="G1005" i="29"/>
  <c r="F973" i="29"/>
  <c r="L941" i="29"/>
  <c r="I909" i="29"/>
  <c r="I885" i="29"/>
  <c r="K853" i="29"/>
  <c r="G829" i="29"/>
  <c r="L797" i="29"/>
  <c r="J773" i="29"/>
  <c r="H741" i="29"/>
  <c r="L717" i="29"/>
  <c r="G685" i="29"/>
  <c r="K661" i="29"/>
  <c r="H629" i="29"/>
  <c r="J605" i="29"/>
  <c r="K573" i="29"/>
  <c r="F549" i="29"/>
  <c r="F517" i="29"/>
  <c r="K493" i="29"/>
  <c r="J461" i="29"/>
  <c r="I437" i="29"/>
  <c r="M405" i="29"/>
  <c r="G381" i="29"/>
  <c r="M349" i="29"/>
  <c r="I325" i="29"/>
  <c r="F293" i="29"/>
  <c r="L269" i="29"/>
  <c r="L237" i="29"/>
  <c r="I213" i="29"/>
  <c r="F181" i="29"/>
  <c r="L157" i="29"/>
  <c r="I125" i="29"/>
  <c r="K101" i="29"/>
  <c r="G69" i="29"/>
  <c r="G2573" i="29"/>
  <c r="G2541" i="29"/>
  <c r="G2509" i="29"/>
  <c r="G2477" i="29"/>
  <c r="G2445" i="29"/>
  <c r="G2408" i="29"/>
  <c r="G2352" i="29"/>
  <c r="G2301" i="29"/>
  <c r="G2230" i="29"/>
  <c r="F2145" i="29"/>
  <c r="G2062" i="29"/>
  <c r="G1974" i="29"/>
  <c r="G1870" i="29"/>
  <c r="I2353" i="29"/>
  <c r="I2049" i="29"/>
  <c r="G1857" i="29"/>
  <c r="H1705" i="29"/>
  <c r="F1561" i="29"/>
  <c r="F1957" i="29"/>
  <c r="J418" i="29"/>
  <c r="J1841" i="29"/>
  <c r="J809" i="29"/>
  <c r="H256" i="29"/>
  <c r="I1879" i="29"/>
  <c r="K1527" i="29"/>
  <c r="M1311" i="29"/>
  <c r="G1063" i="29"/>
  <c r="H839" i="29"/>
  <c r="M607" i="29"/>
  <c r="M423" i="29"/>
  <c r="M199" i="29"/>
  <c r="I2526" i="29"/>
  <c r="L2321" i="29"/>
  <c r="F2031" i="29"/>
  <c r="K2025" i="29"/>
  <c r="I1489" i="29"/>
  <c r="G1025" i="29"/>
  <c r="F665" i="29"/>
  <c r="K241" i="29"/>
  <c r="I2032" i="29"/>
  <c r="L1432" i="29"/>
  <c r="H656" i="29"/>
  <c r="J448" i="29"/>
  <c r="L280" i="29"/>
  <c r="J128" i="29"/>
  <c r="M2334" i="29"/>
  <c r="I2206" i="29"/>
  <c r="K2094" i="29"/>
  <c r="M1998" i="29"/>
  <c r="M1894" i="29"/>
  <c r="M1806" i="29"/>
  <c r="I1742" i="29"/>
  <c r="L1678" i="29"/>
  <c r="M1614" i="29"/>
  <c r="H1534" i="29"/>
  <c r="L1470" i="29"/>
  <c r="L1406" i="29"/>
  <c r="J1334" i="29"/>
  <c r="F1270" i="29"/>
  <c r="J1206" i="29"/>
  <c r="K1142" i="29"/>
  <c r="F1078" i="29"/>
  <c r="K1014" i="29"/>
  <c r="F958" i="29"/>
  <c r="J894" i="29"/>
  <c r="F830" i="29"/>
  <c r="G774" i="29"/>
  <c r="L718" i="29"/>
  <c r="L662" i="29"/>
  <c r="I614" i="29"/>
  <c r="F566" i="29"/>
  <c r="H510" i="29"/>
  <c r="L462" i="29"/>
  <c r="J406" i="29"/>
  <c r="F358" i="29"/>
  <c r="M310" i="29"/>
  <c r="G262" i="29"/>
  <c r="J206" i="29"/>
  <c r="M158" i="29"/>
  <c r="J118" i="29"/>
  <c r="I70" i="29"/>
  <c r="H2543" i="29"/>
  <c r="H2496" i="29"/>
  <c r="H2445" i="29"/>
  <c r="H2380" i="29"/>
  <c r="F2311" i="29"/>
  <c r="G2209" i="29"/>
  <c r="H2070" i="29"/>
  <c r="G1905" i="29"/>
  <c r="G1167" i="29"/>
  <c r="I2024" i="29"/>
  <c r="H1736" i="29"/>
  <c r="K1496" i="29"/>
  <c r="J1272" i="29"/>
  <c r="H736" i="29"/>
  <c r="J2229" i="29"/>
  <c r="I2157" i="29"/>
  <c r="I2101" i="29"/>
  <c r="M2053" i="29"/>
  <c r="L1989" i="29"/>
  <c r="K1933" i="29"/>
  <c r="M1877" i="29"/>
  <c r="K1845" i="29"/>
  <c r="F1797" i="29"/>
  <c r="F1757" i="29"/>
  <c r="M1717" i="29"/>
  <c r="I1677" i="29"/>
  <c r="J1645" i="29"/>
  <c r="L1605" i="29"/>
  <c r="H1573" i="29"/>
  <c r="F1533" i="29"/>
  <c r="K1493" i="29"/>
  <c r="F1461" i="29"/>
  <c r="G1421" i="29"/>
  <c r="G1381" i="29"/>
  <c r="I1349" i="29"/>
  <c r="K1317" i="29"/>
  <c r="M1277" i="29"/>
  <c r="I1237" i="29"/>
  <c r="M1205" i="29"/>
  <c r="L1173" i="29"/>
  <c r="G1133" i="29"/>
  <c r="H1101" i="29"/>
  <c r="G1069" i="29"/>
  <c r="M1037" i="29"/>
  <c r="M1005" i="29"/>
  <c r="G973" i="29"/>
  <c r="M941" i="29"/>
  <c r="J909" i="29"/>
  <c r="L885" i="29"/>
  <c r="M853" i="29"/>
  <c r="H829" i="29"/>
  <c r="F797" i="29"/>
  <c r="H773" i="29"/>
  <c r="I741" i="29"/>
  <c r="J717" i="29"/>
  <c r="H685" i="29"/>
  <c r="M661" i="29"/>
  <c r="J629" i="29"/>
  <c r="F605" i="29"/>
  <c r="L573" i="29"/>
  <c r="G549" i="29"/>
  <c r="G517" i="29"/>
  <c r="L493" i="29"/>
  <c r="K461" i="29"/>
  <c r="K437" i="29"/>
  <c r="J405" i="29"/>
  <c r="H381" i="29"/>
  <c r="J349" i="29"/>
  <c r="F325" i="29"/>
  <c r="G293" i="29"/>
  <c r="J269" i="29"/>
  <c r="M237" i="29"/>
  <c r="G213" i="29"/>
  <c r="H181" i="29"/>
  <c r="K157" i="29"/>
  <c r="F125" i="29"/>
  <c r="M101" i="29"/>
  <c r="H69" i="29"/>
  <c r="G2572" i="29"/>
  <c r="G2540" i="29"/>
  <c r="G2508" i="29"/>
  <c r="G2476" i="29"/>
  <c r="G2444" i="29"/>
  <c r="L2406" i="29"/>
  <c r="L2350" i="29"/>
  <c r="G2299" i="29"/>
  <c r="H2227" i="29"/>
  <c r="G2142" i="29"/>
  <c r="H2059" i="29"/>
  <c r="H1971" i="29"/>
  <c r="H1863" i="29"/>
  <c r="M2353" i="29"/>
  <c r="J2049" i="29"/>
  <c r="H1857" i="29"/>
  <c r="I1705" i="29"/>
  <c r="H1561" i="29"/>
  <c r="I1465" i="29"/>
  <c r="K1329" i="29"/>
  <c r="F2393" i="29"/>
  <c r="J410" i="29"/>
  <c r="J1712" i="29"/>
  <c r="M809" i="29"/>
  <c r="I256" i="29"/>
  <c r="M1871" i="29"/>
  <c r="L1527" i="29"/>
  <c r="M1271" i="29"/>
  <c r="M1055" i="29"/>
  <c r="G839" i="29"/>
  <c r="F607" i="29"/>
  <c r="J383" i="29"/>
  <c r="I191" i="29"/>
  <c r="I2523" i="29"/>
  <c r="G2319" i="29"/>
  <c r="G1980" i="29"/>
  <c r="J1961" i="29"/>
  <c r="J1457" i="29"/>
  <c r="I993" i="29"/>
  <c r="M601" i="29"/>
  <c r="L241" i="29"/>
  <c r="K2032" i="29"/>
  <c r="M1432" i="29"/>
  <c r="G632" i="29"/>
  <c r="K448" i="29"/>
  <c r="J280" i="29"/>
  <c r="F112" i="29"/>
  <c r="I2326" i="29"/>
  <c r="K2206" i="29"/>
  <c r="L2094" i="29"/>
  <c r="I1990" i="29"/>
  <c r="G1894" i="29"/>
  <c r="L1806" i="29"/>
  <c r="J1742" i="29"/>
  <c r="M1678" i="29"/>
  <c r="M1606" i="29"/>
  <c r="I1534" i="29"/>
  <c r="M1470" i="29"/>
  <c r="M1406" i="29"/>
  <c r="K1334" i="29"/>
  <c r="G1270" i="29"/>
  <c r="K1206" i="29"/>
  <c r="J1134" i="29"/>
  <c r="I1070" i="29"/>
  <c r="L1014" i="29"/>
  <c r="H958" i="29"/>
  <c r="I894" i="29"/>
  <c r="I830" i="29"/>
  <c r="H774" i="29"/>
  <c r="H718" i="29"/>
  <c r="M662" i="29"/>
  <c r="G614" i="29"/>
  <c r="I558" i="29"/>
  <c r="J510" i="29"/>
  <c r="M462" i="29"/>
  <c r="F406" i="29"/>
  <c r="G358" i="29"/>
  <c r="F310" i="29"/>
  <c r="H262" i="29"/>
  <c r="L206" i="29"/>
  <c r="F158" i="29"/>
  <c r="K118" i="29"/>
  <c r="J70" i="29"/>
  <c r="H2542" i="29"/>
  <c r="H2495" i="29"/>
  <c r="H2444" i="29"/>
  <c r="K2377" i="29"/>
  <c r="K2309" i="29"/>
  <c r="H2206" i="29"/>
  <c r="G2065" i="29"/>
  <c r="H1902" i="29"/>
  <c r="I2408" i="29"/>
  <c r="J2024" i="29"/>
  <c r="I1736" i="29"/>
  <c r="M1496" i="29"/>
  <c r="K1272" i="29"/>
  <c r="I736" i="29"/>
  <c r="K2229" i="29"/>
  <c r="J2157" i="29"/>
  <c r="J2101" i="29"/>
  <c r="I2045" i="29"/>
  <c r="M1989" i="29"/>
  <c r="L1933" i="29"/>
  <c r="I1877" i="29"/>
  <c r="M1837" i="29"/>
  <c r="G1797" i="29"/>
  <c r="G1757" i="29"/>
  <c r="F1717" i="29"/>
  <c r="J1677" i="29"/>
  <c r="M1645" i="29"/>
  <c r="F1605" i="29"/>
  <c r="I1573" i="29"/>
  <c r="I1533" i="29"/>
  <c r="L1493" i="29"/>
  <c r="I1461" i="29"/>
  <c r="H1421" i="29"/>
  <c r="H1381" i="29"/>
  <c r="K1349" i="29"/>
  <c r="M1317" i="29"/>
  <c r="H1269" i="29"/>
  <c r="J1237" i="29"/>
  <c r="G1205" i="29"/>
  <c r="F1173" i="29"/>
  <c r="H1133" i="29"/>
  <c r="M1101" i="29"/>
  <c r="I1061" i="29"/>
  <c r="I1029" i="29"/>
  <c r="I997" i="29"/>
  <c r="I965" i="29"/>
  <c r="H941" i="29"/>
  <c r="K909" i="29"/>
  <c r="F885" i="29"/>
  <c r="F853" i="29"/>
  <c r="L829" i="29"/>
  <c r="G797" i="29"/>
  <c r="I773" i="29"/>
  <c r="K741" i="29"/>
  <c r="M717" i="29"/>
  <c r="I685" i="29"/>
  <c r="L661" i="29"/>
  <c r="K629" i="29"/>
  <c r="K605" i="29"/>
  <c r="M573" i="29"/>
  <c r="H549" i="29"/>
  <c r="H517" i="29"/>
  <c r="M493" i="29"/>
  <c r="L461" i="29"/>
  <c r="M437" i="29"/>
  <c r="K405" i="29"/>
  <c r="I381" i="29"/>
  <c r="K349" i="29"/>
  <c r="G325" i="29"/>
  <c r="H293" i="29"/>
  <c r="K269" i="29"/>
  <c r="I237" i="29"/>
  <c r="H213" i="29"/>
  <c r="G181" i="29"/>
  <c r="J157" i="29"/>
  <c r="G125" i="29"/>
  <c r="L101" i="29"/>
  <c r="I69" i="29"/>
  <c r="G2571" i="29"/>
  <c r="G2539" i="29"/>
  <c r="G2507" i="29"/>
  <c r="G2475" i="29"/>
  <c r="G2443" i="29"/>
  <c r="G2404" i="29"/>
  <c r="J2349" i="29"/>
  <c r="G2297" i="29"/>
  <c r="F2225" i="29"/>
  <c r="H2139" i="29"/>
  <c r="G2054" i="29"/>
  <c r="G1966" i="29"/>
  <c r="J1859" i="29"/>
  <c r="I2313" i="29"/>
  <c r="K2049" i="29"/>
  <c r="J1857" i="29"/>
  <c r="J1705" i="29"/>
  <c r="I1561" i="29"/>
  <c r="G1433" i="29"/>
  <c r="L1329" i="29"/>
  <c r="J1193" i="29"/>
  <c r="G1089" i="29"/>
  <c r="K969" i="29"/>
  <c r="L889" i="29"/>
  <c r="F761" i="29"/>
  <c r="L657" i="29"/>
  <c r="K537" i="29"/>
  <c r="J2383" i="29"/>
  <c r="L394" i="29"/>
  <c r="K1712" i="29"/>
  <c r="F737" i="29"/>
  <c r="L136" i="29"/>
  <c r="I1823" i="29"/>
  <c r="M1527" i="29"/>
  <c r="H1263" i="29"/>
  <c r="L1047" i="29"/>
  <c r="I815" i="29"/>
  <c r="K607" i="29"/>
  <c r="H383" i="29"/>
  <c r="L191" i="29"/>
  <c r="I2503" i="29"/>
  <c r="G2311" i="29"/>
  <c r="H1977" i="29"/>
  <c r="K1961" i="29"/>
  <c r="K1417" i="29"/>
  <c r="K993" i="29"/>
  <c r="H601" i="29"/>
  <c r="M241" i="29"/>
  <c r="J1936" i="29"/>
  <c r="G1392" i="29"/>
  <c r="H632" i="29"/>
  <c r="F448" i="29"/>
  <c r="K248" i="29"/>
  <c r="J112" i="29"/>
  <c r="M2326" i="29"/>
  <c r="I2190" i="29"/>
  <c r="M2094" i="29"/>
  <c r="J1990" i="29"/>
  <c r="I1894" i="29"/>
  <c r="M1798" i="29"/>
  <c r="K1742" i="29"/>
  <c r="G1678" i="29"/>
  <c r="H1598" i="29"/>
  <c r="J1534" i="29"/>
  <c r="I1470" i="29"/>
  <c r="L1398" i="29"/>
  <c r="H1326" i="29"/>
  <c r="H1262" i="29"/>
  <c r="M1206" i="29"/>
  <c r="M1134" i="29"/>
  <c r="J1070" i="29"/>
  <c r="G1014" i="29"/>
  <c r="I950" i="29"/>
  <c r="J886" i="29"/>
  <c r="G830" i="29"/>
  <c r="J774" i="29"/>
  <c r="F710" i="29"/>
  <c r="K662" i="29"/>
  <c r="F606" i="29"/>
  <c r="F558" i="29"/>
  <c r="K510" i="29"/>
  <c r="G462" i="29"/>
  <c r="G406" i="29"/>
  <c r="H358" i="29"/>
  <c r="G310" i="29"/>
  <c r="I262" i="29"/>
  <c r="M206" i="29"/>
  <c r="I158" i="29"/>
  <c r="L118" i="29"/>
  <c r="H62" i="29"/>
  <c r="H2541" i="29"/>
  <c r="H2494" i="29"/>
  <c r="H2443" i="29"/>
  <c r="K2369" i="29"/>
  <c r="H2308" i="29"/>
  <c r="G2201" i="29"/>
  <c r="G2057" i="29"/>
  <c r="G1897" i="29"/>
  <c r="I2376" i="29"/>
  <c r="L2024" i="29"/>
  <c r="G1688" i="29"/>
  <c r="L1496" i="29"/>
  <c r="L1272" i="29"/>
  <c r="K1377" i="29"/>
  <c r="L2229" i="29"/>
  <c r="K2157" i="29"/>
  <c r="K2101" i="29"/>
  <c r="J2045" i="29"/>
  <c r="I1981" i="29"/>
  <c r="I1925" i="29"/>
  <c r="F1877" i="29"/>
  <c r="K1837" i="29"/>
  <c r="H1797" i="29"/>
  <c r="H1757" i="29"/>
  <c r="G1717" i="29"/>
  <c r="L1677" i="29"/>
  <c r="K1637" i="29"/>
  <c r="G1605" i="29"/>
  <c r="G1565" i="29"/>
  <c r="G1525" i="29"/>
  <c r="F1493" i="29"/>
  <c r="G1453" i="29"/>
  <c r="M1421" i="29"/>
  <c r="J1381" i="29"/>
  <c r="L1349" i="29"/>
  <c r="F1309" i="29"/>
  <c r="I1269" i="29"/>
  <c r="K1237" i="29"/>
  <c r="L1205" i="29"/>
  <c r="J1165" i="29"/>
  <c r="K1133" i="29"/>
  <c r="F1101" i="29"/>
  <c r="J1061" i="29"/>
  <c r="J1029" i="29"/>
  <c r="J997" i="29"/>
  <c r="J965" i="29"/>
  <c r="G941" i="29"/>
  <c r="L909" i="29"/>
  <c r="J877" i="29"/>
  <c r="I853" i="29"/>
  <c r="J821" i="29"/>
  <c r="H797" i="29"/>
  <c r="K765" i="29"/>
  <c r="L741" i="29"/>
  <c r="F709" i="29"/>
  <c r="J685" i="29"/>
  <c r="F653" i="29"/>
  <c r="F629" i="29"/>
  <c r="I597" i="29"/>
  <c r="F573" i="29"/>
  <c r="I541" i="29"/>
  <c r="J517" i="29"/>
  <c r="I485" i="29"/>
  <c r="M461" i="29"/>
  <c r="L429" i="29"/>
  <c r="F405" i="29"/>
  <c r="L373" i="29"/>
  <c r="F349" i="29"/>
  <c r="M317" i="29"/>
  <c r="I293" i="29"/>
  <c r="M261" i="29"/>
  <c r="H237" i="29"/>
  <c r="J205" i="29"/>
  <c r="I181" i="29"/>
  <c r="M149" i="29"/>
  <c r="J125" i="29"/>
  <c r="F93" i="29"/>
  <c r="J69" i="29"/>
  <c r="G2569" i="29"/>
  <c r="G2537" i="29"/>
  <c r="G2505" i="29"/>
  <c r="G2473" i="29"/>
  <c r="G2441" i="29"/>
  <c r="J2401" i="29"/>
  <c r="G2348" i="29"/>
  <c r="G2295" i="29"/>
  <c r="G2222" i="29"/>
  <c r="F2137" i="29"/>
  <c r="H2051" i="29"/>
  <c r="H1963" i="29"/>
  <c r="J1856" i="29"/>
  <c r="M2313" i="29"/>
  <c r="H1770" i="29"/>
  <c r="L242" i="29"/>
  <c r="F1328" i="29"/>
  <c r="H97" i="29"/>
  <c r="M2311" i="29"/>
  <c r="I1799" i="29"/>
  <c r="J1479" i="29"/>
  <c r="K1239" i="29"/>
  <c r="K999" i="29"/>
  <c r="L807" i="29"/>
  <c r="K575" i="29"/>
  <c r="H367" i="29"/>
  <c r="G151" i="29"/>
  <c r="I2491" i="29"/>
  <c r="K2267" i="29"/>
  <c r="F1943" i="29"/>
  <c r="G1849" i="29"/>
  <c r="I1369" i="29"/>
  <c r="M929" i="29"/>
  <c r="F561" i="29"/>
  <c r="F177" i="29"/>
  <c r="G1872" i="29"/>
  <c r="H1296" i="29"/>
  <c r="I592" i="29"/>
  <c r="I424" i="29"/>
  <c r="H248" i="29"/>
  <c r="F88" i="29"/>
  <c r="M2286" i="29"/>
  <c r="L2182" i="29"/>
  <c r="I2078" i="29"/>
  <c r="J1966" i="29"/>
  <c r="M1870" i="29"/>
  <c r="K1798" i="29"/>
  <c r="G1734" i="29"/>
  <c r="I1662" i="29"/>
  <c r="M1590" i="29"/>
  <c r="H1526" i="29"/>
  <c r="G1446" i="29"/>
  <c r="H1382" i="29"/>
  <c r="M1326" i="29"/>
  <c r="F1254" i="29"/>
  <c r="M1190" i="29"/>
  <c r="L1126" i="29"/>
  <c r="M1070" i="29"/>
  <c r="I1006" i="29"/>
  <c r="F942" i="29"/>
  <c r="F878" i="29"/>
  <c r="G822" i="29"/>
  <c r="I766" i="29"/>
  <c r="K710" i="29"/>
  <c r="J654" i="29"/>
  <c r="K598" i="29"/>
  <c r="F550" i="29"/>
  <c r="I502" i="29"/>
  <c r="I454" i="29"/>
  <c r="M398" i="29"/>
  <c r="F350" i="29"/>
  <c r="I302" i="29"/>
  <c r="I246" i="29"/>
  <c r="H206" i="29"/>
  <c r="M150" i="29"/>
  <c r="L110" i="29"/>
  <c r="M62" i="29"/>
  <c r="H2535" i="29"/>
  <c r="H2484" i="29"/>
  <c r="H2432" i="29"/>
  <c r="H2364" i="29"/>
  <c r="H2297" i="29"/>
  <c r="G2185" i="29"/>
  <c r="H2022" i="29"/>
  <c r="L1881" i="29"/>
  <c r="I2296" i="29"/>
  <c r="K1976" i="29"/>
  <c r="L1688" i="29"/>
  <c r="J1448" i="29"/>
  <c r="J1224" i="29"/>
  <c r="I2293" i="29"/>
  <c r="K2221" i="29"/>
  <c r="K2149" i="29"/>
  <c r="J2093" i="29"/>
  <c r="I2029" i="29"/>
  <c r="M1981" i="29"/>
  <c r="M1925" i="29"/>
  <c r="K1877" i="29"/>
  <c r="I1829" i="29"/>
  <c r="F1789" i="29"/>
  <c r="M1749" i="29"/>
  <c r="I1709" i="29"/>
  <c r="F1669" i="29"/>
  <c r="I1637" i="29"/>
  <c r="M1605" i="29"/>
  <c r="J1557" i="29"/>
  <c r="M1218" i="29"/>
  <c r="H74" i="29"/>
  <c r="L784" i="29"/>
  <c r="M1552" i="29"/>
  <c r="L2207" i="29"/>
  <c r="I1687" i="29"/>
  <c r="L1439" i="29"/>
  <c r="H1191" i="29"/>
  <c r="J967" i="29"/>
  <c r="H751" i="29"/>
  <c r="H535" i="29"/>
  <c r="F319" i="29"/>
  <c r="G127" i="29"/>
  <c r="I2424" i="29"/>
  <c r="F2223" i="29"/>
  <c r="L1856" i="29"/>
  <c r="F1729" i="29"/>
  <c r="K1241" i="29"/>
  <c r="I865" i="29"/>
  <c r="J465" i="29"/>
  <c r="F89" i="29"/>
  <c r="K1680" i="29"/>
  <c r="J1232" i="29"/>
  <c r="J568" i="29"/>
  <c r="I384" i="29"/>
  <c r="M208" i="29"/>
  <c r="J2497" i="29"/>
  <c r="I2262" i="29"/>
  <c r="I2158" i="29"/>
  <c r="L2054" i="29"/>
  <c r="I1950" i="29"/>
  <c r="M1854" i="29"/>
  <c r="M1774" i="29"/>
  <c r="J1718" i="29"/>
  <c r="K1646" i="29"/>
  <c r="F1574" i="29"/>
  <c r="J1510" i="29"/>
  <c r="G1438" i="29"/>
  <c r="H1366" i="29"/>
  <c r="G1302" i="29"/>
  <c r="M1246" i="29"/>
  <c r="G1182" i="29"/>
  <c r="G1110" i="29"/>
  <c r="F1054" i="29"/>
  <c r="M990" i="29"/>
  <c r="G934" i="29"/>
  <c r="M870" i="29"/>
  <c r="I814" i="29"/>
  <c r="H750" i="29"/>
  <c r="J694" i="29"/>
  <c r="H638" i="29"/>
  <c r="L590" i="29"/>
  <c r="M542" i="29"/>
  <c r="J486" i="29"/>
  <c r="H438" i="29"/>
  <c r="L390" i="29"/>
  <c r="J342" i="29"/>
  <c r="F286" i="29"/>
  <c r="M238" i="29"/>
  <c r="L190" i="29"/>
  <c r="J150" i="29"/>
  <c r="I94" i="29"/>
  <c r="H2574" i="29"/>
  <c r="H2528" i="29"/>
  <c r="H2470" i="29"/>
  <c r="H2421" i="29"/>
  <c r="H2352" i="29"/>
  <c r="H2283" i="29"/>
  <c r="G2137" i="29"/>
  <c r="H1998" i="29"/>
  <c r="L1849" i="29"/>
  <c r="L2248" i="29"/>
  <c r="G1880" i="29"/>
  <c r="M1640" i="29"/>
  <c r="I1408" i="29"/>
  <c r="F1176" i="29"/>
  <c r="L2269" i="29"/>
  <c r="M2205" i="29"/>
  <c r="L2141" i="29"/>
  <c r="K2077" i="29"/>
  <c r="J2021" i="29"/>
  <c r="J1965" i="29"/>
  <c r="I1909" i="29"/>
  <c r="G1861" i="29"/>
  <c r="H1821" i="29"/>
  <c r="K1114" i="29"/>
  <c r="H2330" i="29"/>
  <c r="M784" i="29"/>
  <c r="F1552" i="29"/>
  <c r="I2159" i="29"/>
  <c r="H1679" i="29"/>
  <c r="G1399" i="29"/>
  <c r="I1191" i="29"/>
  <c r="L967" i="29"/>
  <c r="I751" i="29"/>
  <c r="G503" i="29"/>
  <c r="G319" i="29"/>
  <c r="L111" i="29"/>
  <c r="I2421" i="29"/>
  <c r="H2153" i="29"/>
  <c r="H1839" i="29"/>
  <c r="H1729" i="29"/>
  <c r="M1241" i="29"/>
  <c r="I801" i="29"/>
  <c r="L465" i="29"/>
  <c r="H89" i="29"/>
  <c r="F1680" i="29"/>
  <c r="I1096" i="29"/>
  <c r="F568" i="29"/>
  <c r="J352" i="29"/>
  <c r="G192" i="29"/>
  <c r="J2496" i="29"/>
  <c r="L2262" i="29"/>
  <c r="K2150" i="29"/>
  <c r="M2054" i="29"/>
  <c r="K1950" i="29"/>
  <c r="I1854" i="29"/>
  <c r="F1774" i="29"/>
  <c r="L1718" i="29"/>
  <c r="I1646" i="29"/>
  <c r="J1574" i="29"/>
  <c r="K1510" i="29"/>
  <c r="H1438" i="29"/>
  <c r="L1366" i="29"/>
  <c r="H1302" i="29"/>
  <c r="H1238" i="29"/>
  <c r="L1174" i="29"/>
  <c r="K1110" i="29"/>
  <c r="I1046" i="29"/>
  <c r="F990" i="29"/>
  <c r="H934" i="29"/>
  <c r="I870" i="29"/>
  <c r="J814" i="29"/>
  <c r="I750" i="29"/>
  <c r="L694" i="29"/>
  <c r="M638" i="29"/>
  <c r="M590" i="29"/>
  <c r="G542" i="29"/>
  <c r="K486" i="29"/>
  <c r="I438" i="29"/>
  <c r="K390" i="29"/>
  <c r="F342" i="29"/>
  <c r="G286" i="29"/>
  <c r="I238" i="29"/>
  <c r="J190" i="29"/>
  <c r="K150" i="29"/>
  <c r="J94" i="29"/>
  <c r="H2573" i="29"/>
  <c r="H2527" i="29"/>
  <c r="H2469" i="29"/>
  <c r="H2420" i="29"/>
  <c r="F2351" i="29"/>
  <c r="H2281" i="29"/>
  <c r="H2134" i="29"/>
  <c r="G1993" i="29"/>
  <c r="F1846" i="29"/>
  <c r="M2248" i="29"/>
  <c r="H1880" i="29"/>
  <c r="G1584" i="29"/>
  <c r="K1408" i="29"/>
  <c r="G1176" i="29"/>
  <c r="M2269" i="29"/>
  <c r="I2189" i="29"/>
  <c r="M2141" i="29"/>
  <c r="L2077" i="29"/>
  <c r="K2021" i="29"/>
  <c r="K1965" i="29"/>
  <c r="J1909" i="29"/>
  <c r="H1861" i="29"/>
  <c r="I1821" i="29"/>
  <c r="F1781" i="29"/>
  <c r="K1741" i="29"/>
  <c r="J1701" i="29"/>
  <c r="F1661" i="29"/>
  <c r="H1629" i="29"/>
  <c r="M1589" i="29"/>
  <c r="H1549" i="29"/>
  <c r="L1517" i="29"/>
  <c r="H1477" i="29"/>
  <c r="G1437" i="29"/>
  <c r="F1405" i="29"/>
  <c r="L1373" i="29"/>
  <c r="K1333" i="29"/>
  <c r="J1293" i="29"/>
  <c r="G1261" i="29"/>
  <c r="F1229" i="29"/>
  <c r="L1189" i="29"/>
  <c r="J1149" i="29"/>
  <c r="L1117" i="29"/>
  <c r="L1085" i="29"/>
  <c r="G1053" i="29"/>
  <c r="M1021" i="29"/>
  <c r="G989" i="29"/>
  <c r="M957" i="29"/>
  <c r="K925" i="29"/>
  <c r="F901" i="29"/>
  <c r="F869" i="29"/>
  <c r="L845" i="29"/>
  <c r="I813" i="29"/>
  <c r="I789" i="29"/>
  <c r="G757" i="29"/>
  <c r="M733" i="29"/>
  <c r="I701" i="29"/>
  <c r="L677" i="29"/>
  <c r="I645" i="29"/>
  <c r="L621" i="29"/>
  <c r="M589" i="29"/>
  <c r="J565" i="29"/>
  <c r="L533" i="29"/>
  <c r="M509" i="29"/>
  <c r="L477" i="29"/>
  <c r="H453" i="29"/>
  <c r="K421" i="29"/>
  <c r="I397" i="29"/>
  <c r="K365" i="29"/>
  <c r="G341" i="29"/>
  <c r="H309" i="29"/>
  <c r="K285" i="29"/>
  <c r="H253" i="29"/>
  <c r="F229" i="29"/>
  <c r="J197" i="29"/>
  <c r="L173" i="29"/>
  <c r="G141" i="29"/>
  <c r="M117" i="29"/>
  <c r="I85" i="29"/>
  <c r="L61" i="29"/>
  <c r="G2557" i="29"/>
  <c r="G2525" i="29"/>
  <c r="G2493" i="29"/>
  <c r="G2461" i="29"/>
  <c r="M1074" i="29"/>
  <c r="L1962" i="29"/>
  <c r="J2425" i="29"/>
  <c r="L1360" i="29"/>
  <c r="K2119" i="29"/>
  <c r="M1671" i="29"/>
  <c r="I1391" i="29"/>
  <c r="K1191" i="29"/>
  <c r="L927" i="29"/>
  <c r="I727" i="29"/>
  <c r="H495" i="29"/>
  <c r="K303" i="29"/>
  <c r="F79" i="29"/>
  <c r="G2419" i="29"/>
  <c r="G2148" i="29"/>
  <c r="I1581" i="29"/>
  <c r="L1665" i="29"/>
  <c r="G1241" i="29"/>
  <c r="G801" i="29"/>
  <c r="L433" i="29"/>
  <c r="K2465" i="29"/>
  <c r="H1680" i="29"/>
  <c r="K1096" i="29"/>
  <c r="I536" i="29"/>
  <c r="I352" i="29"/>
  <c r="J192" i="29"/>
  <c r="J2480" i="29"/>
  <c r="L2254" i="29"/>
  <c r="J2142" i="29"/>
  <c r="J2046" i="29"/>
  <c r="K1942" i="29"/>
  <c r="K1846" i="29"/>
  <c r="H1774" i="29"/>
  <c r="H1710" i="29"/>
  <c r="I1638" i="29"/>
  <c r="K1566" i="29"/>
  <c r="M1502" i="29"/>
  <c r="G1430" i="29"/>
  <c r="I1366" i="29"/>
  <c r="L1302" i="29"/>
  <c r="L1238" i="29"/>
  <c r="G1166" i="29"/>
  <c r="I1102" i="29"/>
  <c r="L1046" i="29"/>
  <c r="I982" i="29"/>
  <c r="J926" i="29"/>
  <c r="J854" i="29"/>
  <c r="F798" i="29"/>
  <c r="J742" i="29"/>
  <c r="F686" i="29"/>
  <c r="J630" i="29"/>
  <c r="M582" i="29"/>
  <c r="F542" i="29"/>
  <c r="F486" i="29"/>
  <c r="M438" i="29"/>
  <c r="M382" i="29"/>
  <c r="H342" i="29"/>
  <c r="I286" i="29"/>
  <c r="J238" i="29"/>
  <c r="M182" i="29"/>
  <c r="K134" i="29"/>
  <c r="M94" i="29"/>
  <c r="H2571" i="29"/>
  <c r="H2525" i="29"/>
  <c r="H2467" i="29"/>
  <c r="H2416" i="29"/>
  <c r="K2345" i="29"/>
  <c r="H2277" i="29"/>
  <c r="H2126" i="29"/>
  <c r="H1982" i="29"/>
  <c r="K1828" i="29"/>
  <c r="F1074" i="29"/>
  <c r="M2442" i="29"/>
  <c r="J1761" i="29"/>
  <c r="I1208" i="29"/>
  <c r="L2095" i="29"/>
  <c r="K1663" i="29"/>
  <c r="M1391" i="29"/>
  <c r="L1159" i="29"/>
  <c r="G927" i="29"/>
  <c r="L719" i="29"/>
  <c r="K495" i="29"/>
  <c r="F295" i="29"/>
  <c r="G79" i="29"/>
  <c r="G2415" i="29"/>
  <c r="H2137" i="29"/>
  <c r="I1537" i="29"/>
  <c r="G1665" i="29"/>
  <c r="H1209" i="29"/>
  <c r="J801" i="29"/>
  <c r="J433" i="29"/>
  <c r="H1889" i="29"/>
  <c r="M1680" i="29"/>
  <c r="H1096" i="29"/>
  <c r="G536" i="29"/>
  <c r="L336" i="29"/>
  <c r="L192" i="29"/>
  <c r="J2433" i="29"/>
  <c r="M2254" i="29"/>
  <c r="K2142" i="29"/>
  <c r="K2046" i="29"/>
  <c r="M1942" i="29"/>
  <c r="M1838" i="29"/>
  <c r="I1774" i="29"/>
  <c r="K1710" i="29"/>
  <c r="L1630" i="29"/>
  <c r="L1566" i="29"/>
  <c r="J1502" i="29"/>
  <c r="K1430" i="29"/>
  <c r="K1366" i="29"/>
  <c r="K1302" i="29"/>
  <c r="H1230" i="29"/>
  <c r="H1166" i="29"/>
  <c r="K1102" i="29"/>
  <c r="G1046" i="29"/>
  <c r="K982" i="29"/>
  <c r="F918" i="29"/>
  <c r="K854" i="29"/>
  <c r="J798" i="29"/>
  <c r="M742" i="29"/>
  <c r="K686" i="29"/>
  <c r="K630" i="29"/>
  <c r="H582" i="29"/>
  <c r="I534" i="29"/>
  <c r="M486" i="29"/>
  <c r="F430" i="29"/>
  <c r="F382" i="29"/>
  <c r="H326" i="29"/>
  <c r="L286" i="29"/>
  <c r="K230" i="29"/>
  <c r="F182" i="29"/>
  <c r="L134" i="29"/>
  <c r="L94" i="29"/>
  <c r="H2569" i="29"/>
  <c r="H2524" i="29"/>
  <c r="H2465" i="29"/>
  <c r="H2412" i="29"/>
  <c r="H2344" i="29"/>
  <c r="H2259" i="29"/>
  <c r="G2121" i="29"/>
  <c r="G1977" i="29"/>
  <c r="L1796" i="29"/>
  <c r="K2160" i="29"/>
  <c r="H1832" i="29"/>
  <c r="J1584" i="29"/>
  <c r="F1408" i="29"/>
  <c r="J1104" i="29"/>
  <c r="M2261" i="29"/>
  <c r="L2189" i="29"/>
  <c r="K2125" i="29"/>
  <c r="J2069" i="29"/>
  <c r="J2013" i="29"/>
  <c r="I1957" i="29"/>
  <c r="M1901" i="29"/>
  <c r="M1853" i="29"/>
  <c r="K1821" i="29"/>
  <c r="I1781" i="29"/>
  <c r="F1733" i="29"/>
  <c r="K1693" i="29"/>
  <c r="J1661" i="29"/>
  <c r="H1621" i="29"/>
  <c r="I1589" i="29"/>
  <c r="M1549" i="29"/>
  <c r="L826" i="29"/>
  <c r="I2258" i="29"/>
  <c r="M1545" i="29"/>
  <c r="J544" i="29"/>
  <c r="J2055" i="29"/>
  <c r="L1607" i="29"/>
  <c r="J1359" i="29"/>
  <c r="J1119" i="29"/>
  <c r="M919" i="29"/>
  <c r="G687" i="29"/>
  <c r="I471" i="29"/>
  <c r="K247" i="29"/>
  <c r="K79" i="29"/>
  <c r="L2389" i="29"/>
  <c r="G2116" i="29"/>
  <c r="L2265" i="29"/>
  <c r="G1633" i="29"/>
  <c r="K1153" i="29"/>
  <c r="F721" i="29"/>
  <c r="I369" i="29"/>
  <c r="M2368" i="29"/>
  <c r="F1592" i="29"/>
  <c r="I704" i="29"/>
  <c r="F504" i="29"/>
  <c r="G336" i="29"/>
  <c r="G160" i="29"/>
  <c r="I2414" i="29"/>
  <c r="I2230" i="29"/>
  <c r="J2126" i="29"/>
  <c r="L2030" i="29"/>
  <c r="M1926" i="29"/>
  <c r="F1830" i="29"/>
  <c r="K1766" i="29"/>
  <c r="F1694" i="29"/>
  <c r="I1630" i="29"/>
  <c r="F1558" i="29"/>
  <c r="L1486" i="29"/>
  <c r="F1422" i="29"/>
  <c r="H1350" i="29"/>
  <c r="M1294" i="29"/>
  <c r="M1222" i="29"/>
  <c r="J1158" i="29"/>
  <c r="K1094" i="29"/>
  <c r="L1030" i="29"/>
  <c r="H974" i="29"/>
  <c r="L910" i="29"/>
  <c r="H854" i="29"/>
  <c r="L790" i="29"/>
  <c r="I734" i="29"/>
  <c r="I678" i="29"/>
  <c r="I622" i="29"/>
  <c r="K574" i="29"/>
  <c r="I518" i="29"/>
  <c r="L478" i="29"/>
  <c r="K430" i="29"/>
  <c r="K382" i="29"/>
  <c r="J326" i="29"/>
  <c r="M270" i="29"/>
  <c r="F230" i="29"/>
  <c r="H174" i="29"/>
  <c r="G126" i="29"/>
  <c r="J86" i="29"/>
  <c r="H2565" i="29"/>
  <c r="H2507" i="29"/>
  <c r="H2461" i="29"/>
  <c r="H2404" i="29"/>
  <c r="K2337" i="29"/>
  <c r="H2246" i="29"/>
  <c r="H2102" i="29"/>
  <c r="G1961" i="29"/>
  <c r="L1695" i="29"/>
  <c r="J2112" i="29"/>
  <c r="G1784" i="29"/>
  <c r="G1544" i="29"/>
  <c r="G1312" i="29"/>
  <c r="F1104" i="29"/>
  <c r="L2253" i="29"/>
  <c r="K2181" i="29"/>
  <c r="J2117" i="29"/>
  <c r="J2061" i="29"/>
  <c r="I2005" i="29"/>
  <c r="M1949" i="29"/>
  <c r="H1893" i="29"/>
  <c r="J1853" i="29"/>
  <c r="G1813" i="29"/>
  <c r="J1519" i="29"/>
  <c r="G2258" i="29"/>
  <c r="K1360" i="29"/>
  <c r="G1791" i="29"/>
  <c r="J1263" i="29"/>
  <c r="I887" i="29"/>
  <c r="I495" i="29"/>
  <c r="L143" i="29"/>
  <c r="L2309" i="29"/>
  <c r="M2265" i="29"/>
  <c r="F1241" i="29"/>
  <c r="I529" i="29"/>
  <c r="M1936" i="29"/>
  <c r="M704" i="29"/>
  <c r="H352" i="29"/>
  <c r="I72" i="29"/>
  <c r="M2190" i="29"/>
  <c r="M2030" i="29"/>
  <c r="H1846" i="29"/>
  <c r="M1718" i="29"/>
  <c r="I1598" i="29"/>
  <c r="M1486" i="29"/>
  <c r="F1366" i="29"/>
  <c r="J1246" i="29"/>
  <c r="H1134" i="29"/>
  <c r="H1030" i="29"/>
  <c r="I926" i="29"/>
  <c r="L822" i="29"/>
  <c r="H710" i="29"/>
  <c r="J622" i="29"/>
  <c r="H542" i="29"/>
  <c r="M446" i="29"/>
  <c r="K358" i="29"/>
  <c r="F270" i="29"/>
  <c r="G190" i="29"/>
  <c r="L102" i="29"/>
  <c r="H2540" i="29"/>
  <c r="H2460" i="29"/>
  <c r="H2348" i="29"/>
  <c r="G2177" i="29"/>
  <c r="F1894" i="29"/>
  <c r="I2112" i="29"/>
  <c r="H1640" i="29"/>
  <c r="M1272" i="29"/>
  <c r="J2253" i="29"/>
  <c r="I2141" i="29"/>
  <c r="I2053" i="29"/>
  <c r="J1957" i="29"/>
  <c r="K1869" i="29"/>
  <c r="K1813" i="29"/>
  <c r="K1749" i="29"/>
  <c r="M1693" i="29"/>
  <c r="L1629" i="29"/>
  <c r="F1581" i="29"/>
  <c r="I1525" i="29"/>
  <c r="H1469" i="29"/>
  <c r="F1429" i="29"/>
  <c r="H1373" i="29"/>
  <c r="G1325" i="29"/>
  <c r="G1285" i="29"/>
  <c r="J1229" i="29"/>
  <c r="I1181" i="29"/>
  <c r="G1141" i="29"/>
  <c r="G1093" i="29"/>
  <c r="K1045" i="29"/>
  <c r="K1005" i="29"/>
  <c r="G965" i="29"/>
  <c r="H925" i="29"/>
  <c r="K885" i="29"/>
  <c r="M845" i="29"/>
  <c r="J813" i="29"/>
  <c r="L773" i="29"/>
  <c r="I733" i="29"/>
  <c r="L701" i="29"/>
  <c r="G661" i="29"/>
  <c r="J621" i="29"/>
  <c r="J589" i="29"/>
  <c r="J549" i="29"/>
  <c r="G509" i="29"/>
  <c r="G477" i="29"/>
  <c r="J437" i="29"/>
  <c r="J397" i="29"/>
  <c r="I365" i="29"/>
  <c r="H325" i="29"/>
  <c r="G285" i="29"/>
  <c r="J253" i="29"/>
  <c r="K213" i="29"/>
  <c r="H173" i="29"/>
  <c r="L141" i="29"/>
  <c r="G101" i="29"/>
  <c r="H61" i="29"/>
  <c r="M1930" i="29"/>
  <c r="G1954" i="29"/>
  <c r="K1208" i="29"/>
  <c r="H1735" i="29"/>
  <c r="K1247" i="29"/>
  <c r="L887" i="29"/>
  <c r="L495" i="29"/>
  <c r="J143" i="29"/>
  <c r="K2291" i="29"/>
  <c r="I2225" i="29"/>
  <c r="G1185" i="29"/>
  <c r="L497" i="29"/>
  <c r="M1872" i="29"/>
  <c r="F672" i="29"/>
  <c r="M336" i="29"/>
  <c r="K72" i="29"/>
  <c r="J2182" i="29"/>
  <c r="J2014" i="29"/>
  <c r="I1838" i="29"/>
  <c r="F1718" i="29"/>
  <c r="J1598" i="29"/>
  <c r="I1486" i="29"/>
  <c r="G1358" i="29"/>
  <c r="K1246" i="29"/>
  <c r="I1126" i="29"/>
  <c r="F1030" i="29"/>
  <c r="H918" i="29"/>
  <c r="K814" i="29"/>
  <c r="J710" i="29"/>
  <c r="K622" i="29"/>
  <c r="J534" i="29"/>
  <c r="L438" i="29"/>
  <c r="M350" i="29"/>
  <c r="H270" i="29"/>
  <c r="H182" i="29"/>
  <c r="F94" i="29"/>
  <c r="H2539" i="29"/>
  <c r="H2453" i="29"/>
  <c r="F2343" i="29"/>
  <c r="G2169" i="29"/>
  <c r="G1888" i="29"/>
  <c r="K2112" i="29"/>
  <c r="I1640" i="29"/>
  <c r="H1224" i="29"/>
  <c r="K2253" i="29"/>
  <c r="J2141" i="29"/>
  <c r="K2045" i="29"/>
  <c r="K1957" i="29"/>
  <c r="M1861" i="29"/>
  <c r="I1805" i="29"/>
  <c r="I1741" i="29"/>
  <c r="K1685" i="29"/>
  <c r="F1629" i="29"/>
  <c r="G1573" i="29"/>
  <c r="G1517" i="29"/>
  <c r="J1469" i="29"/>
  <c r="I1429" i="29"/>
  <c r="J1373" i="29"/>
  <c r="H1325" i="29"/>
  <c r="L1285" i="29"/>
  <c r="K1229" i="29"/>
  <c r="J1181" i="29"/>
  <c r="I1141" i="29"/>
  <c r="M1093" i="29"/>
  <c r="L1045" i="29"/>
  <c r="L1005" i="29"/>
  <c r="I957" i="29"/>
  <c r="F925" i="29"/>
  <c r="M885" i="29"/>
  <c r="F845" i="29"/>
  <c r="L813" i="29"/>
  <c r="F773" i="29"/>
  <c r="K733" i="29"/>
  <c r="K701" i="29"/>
  <c r="H661" i="29"/>
  <c r="K621" i="29"/>
  <c r="K1874" i="29"/>
  <c r="I1826" i="29"/>
  <c r="I912" i="29"/>
  <c r="M1727" i="29"/>
  <c r="F1247" i="29"/>
  <c r="K879" i="29"/>
  <c r="L479" i="29"/>
  <c r="F143" i="29"/>
  <c r="K2285" i="29"/>
  <c r="K2185" i="29"/>
  <c r="G1153" i="29"/>
  <c r="H497" i="29"/>
  <c r="I1872" i="29"/>
  <c r="J672" i="29"/>
  <c r="J336" i="29"/>
  <c r="L72" i="29"/>
  <c r="K2182" i="29"/>
  <c r="K2014" i="29"/>
  <c r="H1838" i="29"/>
  <c r="H1718" i="29"/>
  <c r="L1590" i="29"/>
  <c r="J1486" i="29"/>
  <c r="H1358" i="29"/>
  <c r="F1246" i="29"/>
  <c r="J1126" i="29"/>
  <c r="I1022" i="29"/>
  <c r="I910" i="29"/>
  <c r="F814" i="29"/>
  <c r="M710" i="29"/>
  <c r="L622" i="29"/>
  <c r="L526" i="29"/>
  <c r="J438" i="29"/>
  <c r="J350" i="29"/>
  <c r="I270" i="29"/>
  <c r="K182" i="29"/>
  <c r="G94" i="29"/>
  <c r="H2537" i="29"/>
  <c r="H2452" i="29"/>
  <c r="K2341" i="29"/>
  <c r="G2145" i="29"/>
  <c r="L1884" i="29"/>
  <c r="L2112" i="29"/>
  <c r="M1584" i="29"/>
  <c r="I1224" i="29"/>
  <c r="M2253" i="29"/>
  <c r="K2141" i="29"/>
  <c r="L2037" i="29"/>
  <c r="L1957" i="29"/>
  <c r="I1861" i="29"/>
  <c r="I1797" i="29"/>
  <c r="L1741" i="29"/>
  <c r="F1685" i="29"/>
  <c r="G1629" i="29"/>
  <c r="J1573" i="29"/>
  <c r="H1517" i="29"/>
  <c r="K1469" i="29"/>
  <c r="G1413" i="29"/>
  <c r="F1373" i="29"/>
  <c r="I1325" i="29"/>
  <c r="J1269" i="29"/>
  <c r="M1229" i="29"/>
  <c r="K1181" i="29"/>
  <c r="M1133" i="29"/>
  <c r="I1085" i="29"/>
  <c r="F1045" i="29"/>
  <c r="L997" i="29"/>
  <c r="J957" i="29"/>
  <c r="G925" i="29"/>
  <c r="K877" i="29"/>
  <c r="I845" i="29"/>
  <c r="K805" i="29"/>
  <c r="L765" i="29"/>
  <c r="L733" i="29"/>
  <c r="F693" i="29"/>
  <c r="G653" i="29"/>
  <c r="F621" i="29"/>
  <c r="I581" i="29"/>
  <c r="J541" i="29"/>
  <c r="J509" i="29"/>
  <c r="I469" i="29"/>
  <c r="J429" i="29"/>
  <c r="F397" i="29"/>
  <c r="L357" i="29"/>
  <c r="H317" i="29"/>
  <c r="I285" i="29"/>
  <c r="K245" i="29"/>
  <c r="K205" i="29"/>
  <c r="I173" i="29"/>
  <c r="H133" i="29"/>
  <c r="G93" i="29"/>
  <c r="J61" i="29"/>
  <c r="G2551" i="29"/>
  <c r="G2504" i="29"/>
  <c r="G2464" i="29"/>
  <c r="G2424" i="29"/>
  <c r="G2364" i="29"/>
  <c r="G2285" i="29"/>
  <c r="H2187" i="29"/>
  <c r="H2083" i="29"/>
  <c r="F1961" i="29"/>
  <c r="K1767" i="29"/>
  <c r="L2193" i="29"/>
  <c r="J1897" i="29"/>
  <c r="K1705" i="29"/>
  <c r="G1529" i="29"/>
  <c r="J1401" i="29"/>
  <c r="I1265" i="29"/>
  <c r="M1161" i="29"/>
  <c r="H1033" i="29"/>
  <c r="L913" i="29"/>
  <c r="K793" i="29"/>
  <c r="M697" i="29"/>
  <c r="L569" i="29"/>
  <c r="F473" i="29"/>
  <c r="F361" i="29"/>
  <c r="K257" i="29"/>
  <c r="J105" i="29"/>
  <c r="K2136" i="29"/>
  <c r="M1888" i="29"/>
  <c r="G1704" i="29"/>
  <c r="K1560" i="29"/>
  <c r="I1376" i="29"/>
  <c r="H1200" i="29"/>
  <c r="G1088" i="29"/>
  <c r="I976" i="29"/>
  <c r="I896" i="29"/>
  <c r="J824" i="29"/>
  <c r="H776" i="29"/>
  <c r="F688" i="29"/>
  <c r="H584" i="29"/>
  <c r="L440" i="29"/>
  <c r="G328" i="29"/>
  <c r="I2197" i="29"/>
  <c r="J2028" i="29"/>
  <c r="H1714" i="29"/>
  <c r="L1826" i="29"/>
  <c r="J576" i="29"/>
  <c r="G1727" i="29"/>
  <c r="L1239" i="29"/>
  <c r="F879" i="29"/>
  <c r="F479" i="29"/>
  <c r="J127" i="29"/>
  <c r="G2244" i="29"/>
  <c r="J2113" i="29"/>
  <c r="M1153" i="29"/>
  <c r="I465" i="29"/>
  <c r="M1824" i="29"/>
  <c r="K672" i="29"/>
  <c r="F336" i="29"/>
  <c r="J2585" i="29"/>
  <c r="I2174" i="29"/>
  <c r="I2006" i="29"/>
  <c r="K1838" i="29"/>
  <c r="I1718" i="29"/>
  <c r="H1590" i="29"/>
  <c r="K1486" i="29"/>
  <c r="J1358" i="29"/>
  <c r="L1246" i="29"/>
  <c r="K1126" i="29"/>
  <c r="J1022" i="29"/>
  <c r="K910" i="29"/>
  <c r="G814" i="29"/>
  <c r="G702" i="29"/>
  <c r="F622" i="29"/>
  <c r="F526" i="29"/>
  <c r="G438" i="29"/>
  <c r="G350" i="29"/>
  <c r="L270" i="29"/>
  <c r="L182" i="29"/>
  <c r="H94" i="29"/>
  <c r="H2534" i="29"/>
  <c r="H2451" i="29"/>
  <c r="H2340" i="29"/>
  <c r="H2142" i="29"/>
  <c r="F1878" i="29"/>
  <c r="M2112" i="29"/>
  <c r="F1584" i="29"/>
  <c r="K1224" i="29"/>
  <c r="I2245" i="29"/>
  <c r="I2133" i="29"/>
  <c r="M2037" i="29"/>
  <c r="I1941" i="29"/>
  <c r="F1861" i="29"/>
  <c r="K1797" i="29"/>
  <c r="M1733" i="29"/>
  <c r="M1677" i="29"/>
  <c r="I1629" i="29"/>
  <c r="K1573" i="29"/>
  <c r="J1517" i="29"/>
  <c r="L1469" i="29"/>
  <c r="H1413" i="29"/>
  <c r="I1373" i="29"/>
  <c r="J1325" i="29"/>
  <c r="K1269" i="29"/>
  <c r="G1229" i="29"/>
  <c r="M1181" i="29"/>
  <c r="I1125" i="29"/>
  <c r="J1085" i="29"/>
  <c r="H1045" i="29"/>
  <c r="F997" i="29"/>
  <c r="K957" i="29"/>
  <c r="I917" i="29"/>
  <c r="M877" i="29"/>
  <c r="G845" i="29"/>
  <c r="F805" i="29"/>
  <c r="F765" i="29"/>
  <c r="G733" i="29"/>
  <c r="G693" i="29"/>
  <c r="H653" i="29"/>
  <c r="G621" i="29"/>
  <c r="K581" i="29"/>
  <c r="K541" i="29"/>
  <c r="K509" i="29"/>
  <c r="J469" i="29"/>
  <c r="F429" i="29"/>
  <c r="G397" i="29"/>
  <c r="M357" i="29"/>
  <c r="K317" i="29"/>
  <c r="L285" i="29"/>
  <c r="L245" i="29"/>
  <c r="L205" i="29"/>
  <c r="J173" i="29"/>
  <c r="I133" i="29"/>
  <c r="H93" i="29"/>
  <c r="K61" i="29"/>
  <c r="G2550" i="29"/>
  <c r="G2503" i="29"/>
  <c r="G2463" i="29"/>
  <c r="G2423" i="29"/>
  <c r="J2361" i="29"/>
  <c r="G2283" i="29"/>
  <c r="F2185" i="29"/>
  <c r="F2081" i="29"/>
  <c r="G1958" i="29"/>
  <c r="L1759" i="29"/>
  <c r="M2193" i="29"/>
  <c r="K1897" i="29"/>
  <c r="K1657" i="29"/>
  <c r="H1529" i="29"/>
  <c r="M1401" i="29"/>
  <c r="J1265" i="29"/>
  <c r="I1129" i="29"/>
  <c r="G1033" i="29"/>
  <c r="M913" i="29"/>
  <c r="L793" i="29"/>
  <c r="I697" i="29"/>
  <c r="M569" i="29"/>
  <c r="L441" i="29"/>
  <c r="G361" i="29"/>
  <c r="K225" i="29"/>
  <c r="K105" i="29"/>
  <c r="L2136" i="29"/>
  <c r="I1888" i="29"/>
  <c r="H1704" i="29"/>
  <c r="G1512" i="29"/>
  <c r="K1376" i="29"/>
  <c r="I1200" i="29"/>
  <c r="H1088" i="29"/>
  <c r="J976" i="29"/>
  <c r="L896" i="29"/>
  <c r="K824" i="29"/>
  <c r="J776" i="29"/>
  <c r="G688" i="29"/>
  <c r="J584" i="29"/>
  <c r="J440" i="29"/>
  <c r="L328" i="29"/>
  <c r="J2197" i="29"/>
  <c r="K2028" i="29"/>
  <c r="I1972" i="29"/>
  <c r="M1706" i="29"/>
  <c r="I1624" i="29"/>
  <c r="J496" i="29"/>
  <c r="F1671" i="29"/>
  <c r="H1223" i="29"/>
  <c r="G807" i="29"/>
  <c r="H463" i="29"/>
  <c r="H95" i="29"/>
  <c r="G2236" i="29"/>
  <c r="M1961" i="29"/>
  <c r="J1121" i="29"/>
  <c r="H465" i="29"/>
  <c r="I1824" i="29"/>
  <c r="J608" i="29"/>
  <c r="G296" i="29"/>
  <c r="J2481" i="29"/>
  <c r="J2174" i="29"/>
  <c r="K1990" i="29"/>
  <c r="L1830" i="29"/>
  <c r="F1710" i="29"/>
  <c r="F1590" i="29"/>
  <c r="J1470" i="29"/>
  <c r="J1350" i="29"/>
  <c r="I1238" i="29"/>
  <c r="M1126" i="29"/>
  <c r="H1014" i="29"/>
  <c r="M910" i="29"/>
  <c r="I806" i="29"/>
  <c r="H702" i="29"/>
  <c r="J606" i="29"/>
  <c r="G518" i="29"/>
  <c r="K438" i="29"/>
  <c r="I350" i="29"/>
  <c r="L262" i="29"/>
  <c r="K174" i="29"/>
  <c r="K94" i="29"/>
  <c r="H2533" i="29"/>
  <c r="H2441" i="29"/>
  <c r="F2335" i="29"/>
  <c r="G2129" i="29"/>
  <c r="H1867" i="29"/>
  <c r="J2064" i="29"/>
  <c r="I1584" i="29"/>
  <c r="M1224" i="29"/>
  <c r="J2245" i="29"/>
  <c r="J2133" i="29"/>
  <c r="J2029" i="29"/>
  <c r="J1941" i="29"/>
  <c r="J1861" i="29"/>
  <c r="L1797" i="29"/>
  <c r="G1733" i="29"/>
  <c r="G1677" i="29"/>
  <c r="J1629" i="29"/>
  <c r="J1565" i="29"/>
  <c r="K1517" i="29"/>
  <c r="M1469" i="29"/>
  <c r="J1413" i="29"/>
  <c r="K1373" i="29"/>
  <c r="L1325" i="29"/>
  <c r="F1269" i="29"/>
  <c r="L1229" i="29"/>
  <c r="L1181" i="29"/>
  <c r="J1125" i="29"/>
  <c r="K1085" i="29"/>
  <c r="M1045" i="29"/>
  <c r="G997" i="29"/>
  <c r="L957" i="29"/>
  <c r="J917" i="29"/>
  <c r="F877" i="29"/>
  <c r="H845" i="29"/>
  <c r="H805" i="29"/>
  <c r="G765" i="29"/>
  <c r="J733" i="29"/>
  <c r="H693" i="29"/>
  <c r="I653" i="29"/>
  <c r="M621" i="29"/>
  <c r="L581" i="29"/>
  <c r="L541" i="29"/>
  <c r="L509" i="29"/>
  <c r="K469" i="29"/>
  <c r="G429" i="29"/>
  <c r="H397" i="29"/>
  <c r="J357" i="29"/>
  <c r="L317" i="29"/>
  <c r="J285" i="29"/>
  <c r="M245" i="29"/>
  <c r="M205" i="29"/>
  <c r="K173" i="29"/>
  <c r="F133" i="29"/>
  <c r="I93" i="29"/>
  <c r="M61" i="29"/>
  <c r="G2549" i="29"/>
  <c r="G2502" i="29"/>
  <c r="G2462" i="29"/>
  <c r="G2422" i="29"/>
  <c r="J2345" i="29"/>
  <c r="G2281" i="29"/>
  <c r="G2182" i="29"/>
  <c r="G2078" i="29"/>
  <c r="H1955" i="29"/>
  <c r="J1717" i="29"/>
  <c r="I2153" i="29"/>
  <c r="L1897" i="29"/>
  <c r="F1657" i="29"/>
  <c r="J1529" i="29"/>
  <c r="I1401" i="29"/>
  <c r="K1265" i="29"/>
  <c r="J1129" i="29"/>
  <c r="M1033" i="29"/>
  <c r="F913" i="29"/>
  <c r="F793" i="29"/>
  <c r="L697" i="29"/>
  <c r="F569" i="29"/>
  <c r="J441" i="29"/>
  <c r="H361" i="29"/>
  <c r="L225" i="29"/>
  <c r="M105" i="29"/>
  <c r="M2136" i="29"/>
  <c r="J1888" i="29"/>
  <c r="I1704" i="29"/>
  <c r="H1512" i="29"/>
  <c r="L1376" i="29"/>
  <c r="J1200" i="29"/>
  <c r="F1088" i="29"/>
  <c r="K976" i="29"/>
  <c r="G896" i="29"/>
  <c r="M824" i="29"/>
  <c r="M776" i="29"/>
  <c r="H688" i="29"/>
  <c r="F584" i="29"/>
  <c r="K440" i="29"/>
  <c r="F328" i="29"/>
  <c r="K2197" i="29"/>
  <c r="L2028" i="29"/>
  <c r="J1972" i="29"/>
  <c r="M1626" i="29"/>
  <c r="J1624" i="29"/>
  <c r="H480" i="29"/>
  <c r="J1647" i="29"/>
  <c r="M1223" i="29"/>
  <c r="H807" i="29"/>
  <c r="M447" i="29"/>
  <c r="H79" i="29"/>
  <c r="H2233" i="29"/>
  <c r="I1921" i="29"/>
  <c r="G1121" i="29"/>
  <c r="M369" i="29"/>
  <c r="J1776" i="29"/>
  <c r="F608" i="29"/>
  <c r="I296" i="29"/>
  <c r="J2432" i="29"/>
  <c r="K2174" i="29"/>
  <c r="L1990" i="29"/>
  <c r="F1822" i="29"/>
  <c r="K1702" i="29"/>
  <c r="G1582" i="29"/>
  <c r="G1462" i="29"/>
  <c r="L1350" i="29"/>
  <c r="L1230" i="29"/>
  <c r="F1126" i="29"/>
  <c r="M1014" i="29"/>
  <c r="G910" i="29"/>
  <c r="M798" i="29"/>
  <c r="I702" i="29"/>
  <c r="I598" i="29"/>
  <c r="H518" i="29"/>
  <c r="G430" i="29"/>
  <c r="K350" i="29"/>
  <c r="H254" i="29"/>
  <c r="L174" i="29"/>
  <c r="F86" i="29"/>
  <c r="H2532" i="29"/>
  <c r="H2440" i="29"/>
  <c r="H2320" i="29"/>
  <c r="H2118" i="29"/>
  <c r="J1863" i="29"/>
  <c r="M2024" i="29"/>
  <c r="K1584" i="29"/>
  <c r="F1224" i="29"/>
  <c r="K2245" i="29"/>
  <c r="L2125" i="29"/>
  <c r="K2029" i="29"/>
  <c r="K1941" i="29"/>
  <c r="K1861" i="29"/>
  <c r="G1789" i="29"/>
  <c r="H1733" i="29"/>
  <c r="K1669" i="29"/>
  <c r="I1621" i="29"/>
  <c r="I1565" i="29"/>
  <c r="M1517" i="29"/>
  <c r="F1469" i="29"/>
  <c r="F1413" i="29"/>
  <c r="G1365" i="29"/>
  <c r="K1325" i="29"/>
  <c r="G1269" i="29"/>
  <c r="H1221" i="29"/>
  <c r="F1181" i="29"/>
  <c r="L1125" i="29"/>
  <c r="F1085" i="29"/>
  <c r="G1045" i="29"/>
  <c r="I989" i="29"/>
  <c r="F957" i="29"/>
  <c r="K917" i="29"/>
  <c r="I877" i="29"/>
  <c r="J837" i="29"/>
  <c r="I805" i="29"/>
  <c r="M765" i="29"/>
  <c r="F725" i="29"/>
  <c r="I693" i="29"/>
  <c r="J653" i="29"/>
  <c r="I613" i="29"/>
  <c r="M581" i="29"/>
  <c r="M541" i="29"/>
  <c r="I501" i="29"/>
  <c r="L469" i="29"/>
  <c r="H429" i="29"/>
  <c r="L389" i="29"/>
  <c r="K357" i="29"/>
  <c r="J317" i="29"/>
  <c r="M277" i="29"/>
  <c r="I245" i="29"/>
  <c r="F205" i="29"/>
  <c r="M165" i="29"/>
  <c r="G133" i="29"/>
  <c r="J93" i="29"/>
  <c r="G2588" i="29"/>
  <c r="G2548" i="29"/>
  <c r="F1466" i="29"/>
  <c r="F1368" i="29"/>
  <c r="L456" i="29"/>
  <c r="I1639" i="29"/>
  <c r="K1199" i="29"/>
  <c r="J807" i="29"/>
  <c r="H439" i="29"/>
  <c r="I79" i="29"/>
  <c r="F2231" i="29"/>
  <c r="I1849" i="29"/>
  <c r="F1121" i="29"/>
  <c r="J369" i="29"/>
  <c r="I1728" i="29"/>
  <c r="G608" i="29"/>
  <c r="L296" i="29"/>
  <c r="K2368" i="29"/>
  <c r="L2174" i="29"/>
  <c r="M1990" i="29"/>
  <c r="H1822" i="29"/>
  <c r="F1702" i="29"/>
  <c r="L1582" i="29"/>
  <c r="M1454" i="29"/>
  <c r="F1350" i="29"/>
  <c r="I1222" i="29"/>
  <c r="J1110" i="29"/>
  <c r="F1014" i="29"/>
  <c r="J902" i="29"/>
  <c r="H798" i="29"/>
  <c r="J702" i="29"/>
  <c r="M598" i="29"/>
  <c r="J518" i="29"/>
  <c r="H430" i="29"/>
  <c r="L342" i="29"/>
  <c r="I254" i="29"/>
  <c r="J174" i="29"/>
  <c r="H86" i="29"/>
  <c r="H2531" i="29"/>
  <c r="H2439" i="29"/>
  <c r="F2319" i="29"/>
  <c r="G2113" i="29"/>
  <c r="K1856" i="29"/>
  <c r="I1976" i="29"/>
  <c r="L1584" i="29"/>
  <c r="G1224" i="29"/>
  <c r="M2229" i="29"/>
  <c r="M2125" i="29"/>
  <c r="L2029" i="29"/>
  <c r="L1941" i="29"/>
  <c r="I1853" i="29"/>
  <c r="H1789" i="29"/>
  <c r="I1733" i="29"/>
  <c r="H1669" i="29"/>
  <c r="J1621" i="29"/>
  <c r="G1557" i="29"/>
  <c r="F1517" i="29"/>
  <c r="I1469" i="29"/>
  <c r="I1413" i="29"/>
  <c r="H1365" i="29"/>
  <c r="F1317" i="29"/>
  <c r="L1269" i="29"/>
  <c r="I1221" i="29"/>
  <c r="H1173" i="29"/>
  <c r="F1125" i="29"/>
  <c r="G1085" i="29"/>
  <c r="I1037" i="29"/>
  <c r="J989" i="29"/>
  <c r="G957" i="29"/>
  <c r="L917" i="29"/>
  <c r="G877" i="29"/>
  <c r="K837" i="29"/>
  <c r="M805" i="29"/>
  <c r="J765" i="29"/>
  <c r="G725" i="29"/>
  <c r="J693" i="29"/>
  <c r="M653" i="29"/>
  <c r="H613" i="29"/>
  <c r="F581" i="29"/>
  <c r="F541" i="29"/>
  <c r="F501" i="29"/>
  <c r="M469" i="29"/>
  <c r="K429" i="29"/>
  <c r="M389" i="29"/>
  <c r="F357" i="29"/>
  <c r="F317" i="29"/>
  <c r="F277" i="29"/>
  <c r="J1458" i="29"/>
  <c r="F1240" i="29"/>
  <c r="K456" i="29"/>
  <c r="J1631" i="29"/>
  <c r="G1199" i="29"/>
  <c r="I807" i="29"/>
  <c r="I439" i="29"/>
  <c r="J79" i="29"/>
  <c r="G2228" i="29"/>
  <c r="H1849" i="29"/>
  <c r="H1121" i="29"/>
  <c r="F369" i="29"/>
  <c r="J1728" i="29"/>
  <c r="L592" i="29"/>
  <c r="M280" i="29"/>
  <c r="M1696" i="29"/>
  <c r="M2166" i="29"/>
  <c r="L1966" i="29"/>
  <c r="I1822" i="29"/>
  <c r="K1694" i="29"/>
  <c r="M1574" i="29"/>
  <c r="L1446" i="29"/>
  <c r="I1350" i="29"/>
  <c r="K1222" i="29"/>
  <c r="F1110" i="29"/>
  <c r="F1006" i="29"/>
  <c r="M902" i="29"/>
  <c r="K790" i="29"/>
  <c r="I694" i="29"/>
  <c r="F598" i="29"/>
  <c r="K518" i="29"/>
  <c r="I430" i="29"/>
  <c r="M342" i="29"/>
  <c r="F246" i="29"/>
  <c r="G174" i="29"/>
  <c r="I86" i="29"/>
  <c r="H2529" i="29"/>
  <c r="H2431" i="29"/>
  <c r="K2317" i="29"/>
  <c r="H2110" i="29"/>
  <c r="L1852" i="29"/>
  <c r="J1976" i="29"/>
  <c r="H1544" i="29"/>
  <c r="L1224" i="29"/>
  <c r="I2221" i="29"/>
  <c r="I2117" i="29"/>
  <c r="M2029" i="29"/>
  <c r="J1925" i="29"/>
  <c r="G1853" i="29"/>
  <c r="I1789" i="29"/>
  <c r="K1733" i="29"/>
  <c r="I1669" i="29"/>
  <c r="M1621" i="29"/>
  <c r="K1557" i="29"/>
  <c r="I1517" i="29"/>
  <c r="G1461" i="29"/>
  <c r="K1413" i="29"/>
  <c r="J1365" i="29"/>
  <c r="G1317" i="29"/>
  <c r="M1269" i="29"/>
  <c r="F1221" i="29"/>
  <c r="I1173" i="29"/>
  <c r="G1125" i="29"/>
  <c r="M1085" i="29"/>
  <c r="K1037" i="29"/>
  <c r="K989" i="29"/>
  <c r="I949" i="29"/>
  <c r="M917" i="29"/>
  <c r="H877" i="29"/>
  <c r="M837" i="29"/>
  <c r="L805" i="29"/>
  <c r="I765" i="29"/>
  <c r="H725" i="29"/>
  <c r="J930" i="29"/>
  <c r="I936" i="29"/>
  <c r="M2319" i="29"/>
  <c r="F1591" i="29"/>
  <c r="G1143" i="29"/>
  <c r="H759" i="29"/>
  <c r="J367" i="29"/>
  <c r="I2567" i="29"/>
  <c r="G2124" i="29"/>
  <c r="H1769" i="29"/>
  <c r="J929" i="29"/>
  <c r="J337" i="29"/>
  <c r="M1632" i="29"/>
  <c r="L568" i="29"/>
  <c r="G248" i="29"/>
  <c r="M2374" i="29"/>
  <c r="I2134" i="29"/>
  <c r="K1958" i="29"/>
  <c r="J1798" i="29"/>
  <c r="G1694" i="29"/>
  <c r="H1566" i="29"/>
  <c r="J1446" i="29"/>
  <c r="L1326" i="29"/>
  <c r="J1214" i="29"/>
  <c r="M1102" i="29"/>
  <c r="I990" i="29"/>
  <c r="F886" i="29"/>
  <c r="G790" i="29"/>
  <c r="G678" i="29"/>
  <c r="G598" i="29"/>
  <c r="M510" i="29"/>
  <c r="M422" i="29"/>
  <c r="L326" i="29"/>
  <c r="K238" i="29"/>
  <c r="K158" i="29"/>
  <c r="K78" i="29"/>
  <c r="H2509" i="29"/>
  <c r="H2428" i="29"/>
  <c r="H2299" i="29"/>
  <c r="G2089" i="29"/>
  <c r="K1775" i="29"/>
  <c r="M1880" i="29"/>
  <c r="H1496" i="29"/>
  <c r="K1104" i="29"/>
  <c r="M2221" i="29"/>
  <c r="M2117" i="29"/>
  <c r="I2013" i="29"/>
  <c r="I1917" i="29"/>
  <c r="M1845" i="29"/>
  <c r="M1781" i="29"/>
  <c r="G1725" i="29"/>
  <c r="G1669" i="29"/>
  <c r="F1613" i="29"/>
  <c r="F1557" i="29"/>
  <c r="J1509" i="29"/>
  <c r="J1453" i="29"/>
  <c r="G1405" i="29"/>
  <c r="J1357" i="29"/>
  <c r="H1309" i="29"/>
  <c r="K1261" i="29"/>
  <c r="J1213" i="29"/>
  <c r="M1165" i="29"/>
  <c r="M794" i="29"/>
  <c r="K728" i="29"/>
  <c r="M2279" i="29"/>
  <c r="G1519" i="29"/>
  <c r="L1111" i="29"/>
  <c r="L727" i="29"/>
  <c r="I351" i="29"/>
  <c r="I2494" i="29"/>
  <c r="G2108" i="29"/>
  <c r="K1729" i="29"/>
  <c r="L897" i="29"/>
  <c r="H241" i="29"/>
  <c r="H1536" i="29"/>
  <c r="G568" i="29"/>
  <c r="M232" i="29"/>
  <c r="I2318" i="29"/>
  <c r="L2126" i="29"/>
  <c r="M1950" i="29"/>
  <c r="F1790" i="29"/>
  <c r="F1670" i="29"/>
  <c r="I1558" i="29"/>
  <c r="K1438" i="29"/>
  <c r="F1318" i="29"/>
  <c r="K1198" i="29"/>
  <c r="L1094" i="29"/>
  <c r="G990" i="29"/>
  <c r="G878" i="29"/>
  <c r="M774" i="29"/>
  <c r="J678" i="29"/>
  <c r="H590" i="29"/>
  <c r="I494" i="29"/>
  <c r="I406" i="29"/>
  <c r="K326" i="29"/>
  <c r="H238" i="29"/>
  <c r="G150" i="29"/>
  <c r="I62" i="29"/>
  <c r="H2505" i="29"/>
  <c r="K2417" i="29"/>
  <c r="H2291" i="29"/>
  <c r="H2054" i="29"/>
  <c r="G1686" i="29"/>
  <c r="F1880" i="29"/>
  <c r="H1448" i="29"/>
  <c r="G1104" i="29"/>
  <c r="K2205" i="29"/>
  <c r="L2101" i="29"/>
  <c r="L2013" i="29"/>
  <c r="K1917" i="29"/>
  <c r="F1845" i="29"/>
  <c r="H1781" i="29"/>
  <c r="H1717" i="29"/>
  <c r="H1661" i="29"/>
  <c r="H1613" i="29"/>
  <c r="G1549" i="29"/>
  <c r="J1501" i="29"/>
  <c r="L1453" i="29"/>
  <c r="I1405" i="29"/>
  <c r="I1357" i="29"/>
  <c r="G1301" i="29"/>
  <c r="L1261" i="29"/>
  <c r="M1213" i="29"/>
  <c r="L1157" i="29"/>
  <c r="F1117" i="29"/>
  <c r="G1077" i="29"/>
  <c r="H1029" i="29"/>
  <c r="I981" i="29"/>
  <c r="H949" i="29"/>
  <c r="L306" i="29"/>
  <c r="K1321" i="29"/>
  <c r="K2143" i="29"/>
  <c r="F1463" i="29"/>
  <c r="K1039" i="29"/>
  <c r="G671" i="29"/>
  <c r="H303" i="29"/>
  <c r="I2479" i="29"/>
  <c r="F1975" i="29"/>
  <c r="G1553" i="29"/>
  <c r="M801" i="29"/>
  <c r="G177" i="29"/>
  <c r="F1392" i="29"/>
  <c r="G504" i="29"/>
  <c r="I192" i="29"/>
  <c r="L2278" i="29"/>
  <c r="K2086" i="29"/>
  <c r="J1918" i="29"/>
  <c r="G1774" i="29"/>
  <c r="F1654" i="29"/>
  <c r="K1534" i="29"/>
  <c r="K1422" i="29"/>
  <c r="I1302" i="29"/>
  <c r="H1182" i="29"/>
  <c r="L1070" i="29"/>
  <c r="I966" i="29"/>
  <c r="I862" i="29"/>
  <c r="L758" i="29"/>
  <c r="F654" i="29"/>
  <c r="L574" i="29"/>
  <c r="L486" i="29"/>
  <c r="F398" i="29"/>
  <c r="H310" i="29"/>
  <c r="G230" i="29"/>
  <c r="J134" i="29"/>
  <c r="H2588" i="29"/>
  <c r="H2493" i="29"/>
  <c r="K2401" i="29"/>
  <c r="H2279" i="29"/>
  <c r="H2014" i="29"/>
  <c r="M2376" i="29"/>
  <c r="M1784" i="29"/>
  <c r="G1408" i="29"/>
  <c r="L736" i="29"/>
  <c r="M2189" i="29"/>
  <c r="L2093" i="29"/>
  <c r="L2005" i="29"/>
  <c r="L1901" i="29"/>
  <c r="G1829" i="29"/>
  <c r="L1773" i="29"/>
  <c r="L1709" i="29"/>
  <c r="K1653" i="29"/>
  <c r="G1597" i="29"/>
  <c r="I1549" i="29"/>
  <c r="I1493" i="29"/>
  <c r="M1445" i="29"/>
  <c r="G1397" i="29"/>
  <c r="M1349" i="29"/>
  <c r="L1301" i="29"/>
  <c r="J1253" i="29"/>
  <c r="F1205" i="29"/>
  <c r="K1157" i="29"/>
  <c r="M1117" i="29"/>
  <c r="K1061" i="29"/>
  <c r="F1021" i="29"/>
  <c r="H981" i="29"/>
  <c r="F941" i="29"/>
  <c r="G901" i="29"/>
  <c r="J861" i="29"/>
  <c r="K821" i="29"/>
  <c r="H789" i="29"/>
  <c r="K749" i="29"/>
  <c r="G709" i="29"/>
  <c r="J677" i="29"/>
  <c r="I637" i="29"/>
  <c r="L597" i="29"/>
  <c r="F565" i="29"/>
  <c r="I525" i="29"/>
  <c r="F485" i="29"/>
  <c r="M453" i="29"/>
  <c r="L413" i="29"/>
  <c r="M373" i="29"/>
  <c r="F341" i="29"/>
  <c r="M301" i="29"/>
  <c r="F261" i="29"/>
  <c r="H229" i="29"/>
  <c r="M189" i="29"/>
  <c r="F149" i="29"/>
  <c r="J117" i="29"/>
  <c r="F77" i="29"/>
  <c r="G2568" i="29"/>
  <c r="G2528" i="29"/>
  <c r="G2487" i="29"/>
  <c r="G2440" i="29"/>
  <c r="G2388" i="29"/>
  <c r="J2325" i="29"/>
  <c r="H2251" i="29"/>
  <c r="H250" i="29"/>
  <c r="F1225" i="29"/>
  <c r="M2087" i="29"/>
  <c r="K1447" i="29"/>
  <c r="I999" i="29"/>
  <c r="I663" i="29"/>
  <c r="J271" i="29"/>
  <c r="I2453" i="29"/>
  <c r="G1948" i="29"/>
  <c r="G1521" i="29"/>
  <c r="K753" i="29"/>
  <c r="J129" i="29"/>
  <c r="K1344" i="29"/>
  <c r="I488" i="29"/>
  <c r="J176" i="29"/>
  <c r="I2270" i="29"/>
  <c r="M2086" i="29"/>
  <c r="M1910" i="29"/>
  <c r="I1766" i="29"/>
  <c r="M1654" i="29"/>
  <c r="G1526" i="29"/>
  <c r="F1414" i="29"/>
  <c r="F1294" i="29"/>
  <c r="J1182" i="29"/>
  <c r="H1070" i="29"/>
  <c r="K966" i="29"/>
  <c r="F854" i="29"/>
  <c r="H758" i="29"/>
  <c r="I654" i="29"/>
  <c r="H574" i="29"/>
  <c r="J478" i="29"/>
  <c r="I398" i="29"/>
  <c r="H302" i="29"/>
  <c r="J230" i="29"/>
  <c r="H126" i="29"/>
  <c r="H2579" i="29"/>
  <c r="H2488" i="29"/>
  <c r="F2399" i="29"/>
  <c r="H2254" i="29"/>
  <c r="H2006" i="29"/>
  <c r="M2336" i="29"/>
  <c r="H1784" i="29"/>
  <c r="J1408" i="29"/>
  <c r="M2397" i="29"/>
  <c r="J2181" i="29"/>
  <c r="I2077" i="29"/>
  <c r="J1981" i="29"/>
  <c r="F1893" i="29"/>
  <c r="K1829" i="29"/>
  <c r="F1765" i="29"/>
  <c r="F1701" i="29"/>
  <c r="F1653" i="29"/>
  <c r="K1597" i="29"/>
  <c r="H1541" i="29"/>
  <c r="H1485" i="29"/>
  <c r="F1445" i="29"/>
  <c r="J1397" i="29"/>
  <c r="H1341" i="29"/>
  <c r="I1293" i="29"/>
  <c r="I170" i="29"/>
  <c r="K1073" i="29"/>
  <c r="I2079" i="29"/>
  <c r="K1439" i="29"/>
  <c r="F999" i="29"/>
  <c r="J663" i="29"/>
  <c r="H255" i="29"/>
  <c r="I2445" i="29"/>
  <c r="G1940" i="29"/>
  <c r="H1489" i="29"/>
  <c r="M753" i="29"/>
  <c r="K129" i="29"/>
  <c r="G1296" i="29"/>
  <c r="K488" i="29"/>
  <c r="M160" i="29"/>
  <c r="L2270" i="29"/>
  <c r="K2078" i="29"/>
  <c r="I1902" i="29"/>
  <c r="J1766" i="29"/>
  <c r="I1654" i="29"/>
  <c r="L1526" i="29"/>
  <c r="K1414" i="29"/>
  <c r="L1294" i="29"/>
  <c r="M1182" i="29"/>
  <c r="I122" i="29"/>
  <c r="G297" i="29"/>
  <c r="K1983" i="29"/>
  <c r="M1383" i="29"/>
  <c r="J991" i="29"/>
  <c r="M591" i="29"/>
  <c r="K239" i="29"/>
  <c r="L2405" i="29"/>
  <c r="F1903" i="29"/>
  <c r="J1369" i="29"/>
  <c r="G689" i="29"/>
  <c r="G1689" i="29"/>
  <c r="L1296" i="29"/>
  <c r="I448" i="29"/>
  <c r="I160" i="29"/>
  <c r="J2238" i="29"/>
  <c r="L2062" i="29"/>
  <c r="J1878" i="29"/>
  <c r="F1758" i="29"/>
  <c r="J1630" i="29"/>
  <c r="L1510" i="29"/>
  <c r="F1390" i="29"/>
  <c r="M1286" i="29"/>
  <c r="I1166" i="29"/>
  <c r="G1054" i="29"/>
  <c r="I942" i="29"/>
  <c r="J846" i="29"/>
  <c r="K742" i="29"/>
  <c r="J646" i="29"/>
  <c r="J550" i="29"/>
  <c r="M470" i="29"/>
  <c r="G382" i="29"/>
  <c r="M294" i="29"/>
  <c r="I206" i="29"/>
  <c r="K126" i="29"/>
  <c r="H2568" i="29"/>
  <c r="H2479" i="29"/>
  <c r="F2367" i="29"/>
  <c r="H2238" i="29"/>
  <c r="H1974" i="29"/>
  <c r="I2248" i="29"/>
  <c r="L1784" i="29"/>
  <c r="G1352" i="29"/>
  <c r="L2293" i="29"/>
  <c r="I2165" i="29"/>
  <c r="I2069" i="29"/>
  <c r="I1973" i="29"/>
  <c r="J1893" i="29"/>
  <c r="G1821" i="29"/>
  <c r="I1757" i="29"/>
  <c r="L1701" i="29"/>
  <c r="F1645" i="29"/>
  <c r="L1589" i="29"/>
  <c r="L1541" i="29"/>
  <c r="L1485" i="29"/>
  <c r="F1437" i="29"/>
  <c r="K1397" i="29"/>
  <c r="F1341" i="29"/>
  <c r="L1293" i="29"/>
  <c r="F1245" i="29"/>
  <c r="M1197" i="29"/>
  <c r="I1149" i="29"/>
  <c r="I1101" i="29"/>
  <c r="G1061" i="29"/>
  <c r="K2442" i="29"/>
  <c r="H1074" i="29"/>
  <c r="H120" i="29"/>
  <c r="I1143" i="29"/>
  <c r="H375" i="29"/>
  <c r="G2132" i="29"/>
  <c r="G961" i="29"/>
  <c r="H1632" i="29"/>
  <c r="F248" i="29"/>
  <c r="L2142" i="29"/>
  <c r="I1798" i="29"/>
  <c r="M1566" i="29"/>
  <c r="J1326" i="29"/>
  <c r="G1102" i="29"/>
  <c r="F934" i="29"/>
  <c r="L734" i="29"/>
  <c r="H550" i="29"/>
  <c r="L382" i="29"/>
  <c r="H230" i="29"/>
  <c r="K62" i="29"/>
  <c r="H2424" i="29"/>
  <c r="G2097" i="29"/>
  <c r="L2160" i="29"/>
  <c r="H1312" i="29"/>
  <c r="J2165" i="29"/>
  <c r="K1981" i="29"/>
  <c r="H1829" i="29"/>
  <c r="I1717" i="29"/>
  <c r="L1613" i="29"/>
  <c r="M1525" i="29"/>
  <c r="G1429" i="29"/>
  <c r="L1341" i="29"/>
  <c r="G1253" i="29"/>
  <c r="G1157" i="29"/>
  <c r="H1093" i="29"/>
  <c r="J1013" i="29"/>
  <c r="L949" i="29"/>
  <c r="M893" i="29"/>
  <c r="G837" i="29"/>
  <c r="L781" i="29"/>
  <c r="K725" i="29"/>
  <c r="M677" i="29"/>
  <c r="I621" i="29"/>
  <c r="I565" i="29"/>
  <c r="J525" i="29"/>
  <c r="F477" i="29"/>
  <c r="F421" i="29"/>
  <c r="G373" i="29"/>
  <c r="M325" i="29"/>
  <c r="K277" i="29"/>
  <c r="K221" i="29"/>
  <c r="L181" i="29"/>
  <c r="L133" i="29"/>
  <c r="M85" i="29"/>
  <c r="G2563" i="29"/>
  <c r="G2516" i="29"/>
  <c r="G2460" i="29"/>
  <c r="L2414" i="29"/>
  <c r="J2329" i="29"/>
  <c r="H2243" i="29"/>
  <c r="F2113" i="29"/>
  <c r="G1998" i="29"/>
  <c r="K1822" i="29"/>
  <c r="J2153" i="29"/>
  <c r="M1817" i="29"/>
  <c r="L1625" i="29"/>
  <c r="M1497" i="29"/>
  <c r="G1329" i="29"/>
  <c r="F1193" i="29"/>
  <c r="M1065" i="29"/>
  <c r="H937" i="29"/>
  <c r="L825" i="29"/>
  <c r="H657" i="29"/>
  <c r="L537" i="29"/>
  <c r="J409" i="29"/>
  <c r="F289" i="29"/>
  <c r="M153" i="29"/>
  <c r="M2232" i="29"/>
  <c r="I1920" i="29"/>
  <c r="F1704" i="29"/>
  <c r="I1512" i="29"/>
  <c r="H1336" i="29"/>
  <c r="J1168" i="29"/>
  <c r="J1032" i="29"/>
  <c r="I920" i="29"/>
  <c r="L864" i="29"/>
  <c r="G792" i="29"/>
  <c r="K712" i="29"/>
  <c r="G584" i="29"/>
  <c r="I440" i="29"/>
  <c r="I216" i="29"/>
  <c r="I2052" i="29"/>
  <c r="J2004" i="29"/>
  <c r="J1948" i="29"/>
  <c r="M1908" i="29"/>
  <c r="F1860" i="29"/>
  <c r="J1050" i="29"/>
  <c r="M2295" i="29"/>
  <c r="H1135" i="29"/>
  <c r="J351" i="29"/>
  <c r="H2121" i="29"/>
  <c r="G897" i="29"/>
  <c r="M1592" i="29"/>
  <c r="K232" i="29"/>
  <c r="L2134" i="29"/>
  <c r="L1798" i="29"/>
  <c r="H1558" i="29"/>
  <c r="K1326" i="29"/>
  <c r="J1094" i="29"/>
  <c r="K886" i="29"/>
  <c r="M734" i="29"/>
  <c r="G550" i="29"/>
  <c r="H382" i="29"/>
  <c r="K222" i="29"/>
  <c r="L62" i="29"/>
  <c r="K2409" i="29"/>
  <c r="H2094" i="29"/>
  <c r="M2160" i="29"/>
  <c r="I1312" i="29"/>
  <c r="L2157" i="29"/>
  <c r="L1981" i="29"/>
  <c r="J1829" i="29"/>
  <c r="K1717" i="29"/>
  <c r="G1613" i="29"/>
  <c r="G1509" i="29"/>
  <c r="H1429" i="29"/>
  <c r="M1341" i="29"/>
  <c r="K1245" i="29"/>
  <c r="I1157" i="29"/>
  <c r="L1077" i="29"/>
  <c r="K1013" i="29"/>
  <c r="M949" i="29"/>
  <c r="G893" i="29"/>
  <c r="H837" i="29"/>
  <c r="F781" i="29"/>
  <c r="L725" i="29"/>
  <c r="F669" i="29"/>
  <c r="H621" i="29"/>
  <c r="K565" i="29"/>
  <c r="K525" i="29"/>
  <c r="H477" i="29"/>
  <c r="I421" i="29"/>
  <c r="H373" i="29"/>
  <c r="K325" i="29"/>
  <c r="M269" i="29"/>
  <c r="L221" i="29"/>
  <c r="M173" i="29"/>
  <c r="K125" i="29"/>
  <c r="L85" i="29"/>
  <c r="G2561" i="29"/>
  <c r="G2515" i="29"/>
  <c r="G2459" i="29"/>
  <c r="L2398" i="29"/>
  <c r="G2328" i="29"/>
  <c r="F2241" i="29"/>
  <c r="G2110" i="29"/>
  <c r="H1995" i="29"/>
  <c r="J1781" i="29"/>
  <c r="K2153" i="29"/>
  <c r="F1817" i="29"/>
  <c r="F1625" i="29"/>
  <c r="F1497" i="29"/>
  <c r="I1329" i="29"/>
  <c r="G1193" i="29"/>
  <c r="G1065" i="29"/>
  <c r="I913" i="29"/>
  <c r="M793" i="29"/>
  <c r="J657" i="29"/>
  <c r="M537" i="29"/>
  <c r="F409" i="29"/>
  <c r="G289" i="29"/>
  <c r="F153" i="29"/>
  <c r="I2184" i="29"/>
  <c r="J1920" i="29"/>
  <c r="M1704" i="29"/>
  <c r="J1512" i="29"/>
  <c r="I1336" i="29"/>
  <c r="K1168" i="29"/>
  <c r="K1032" i="29"/>
  <c r="J920" i="29"/>
  <c r="J840" i="29"/>
  <c r="J792" i="29"/>
  <c r="M712" i="29"/>
  <c r="I552" i="29"/>
  <c r="G440" i="29"/>
  <c r="H216" i="29"/>
  <c r="J2052" i="29"/>
  <c r="K2004" i="29"/>
  <c r="K1948" i="29"/>
  <c r="I1900" i="29"/>
  <c r="G1860" i="29"/>
  <c r="F1812" i="29"/>
  <c r="J1780" i="29"/>
  <c r="H1740" i="29"/>
  <c r="F1700" i="29"/>
  <c r="K1668" i="29"/>
  <c r="F1636" i="29"/>
  <c r="H1604" i="29"/>
  <c r="K1572" i="29"/>
  <c r="I1540" i="29"/>
  <c r="L1516" i="29"/>
  <c r="J1484" i="29"/>
  <c r="G1452" i="29"/>
  <c r="I1428" i="29"/>
  <c r="F1396" i="29"/>
  <c r="M1372" i="29"/>
  <c r="L1340" i="29"/>
  <c r="I1308" i="29"/>
  <c r="M1284" i="29"/>
  <c r="F1252" i="29"/>
  <c r="I1220" i="29"/>
  <c r="F1196" i="29"/>
  <c r="K1164" i="29"/>
  <c r="H1140" i="29"/>
  <c r="L1108" i="29"/>
  <c r="M1084" i="29"/>
  <c r="K1052" i="29"/>
  <c r="M1028" i="29"/>
  <c r="K996" i="29"/>
  <c r="H972" i="29"/>
  <c r="K940" i="29"/>
  <c r="H916" i="29"/>
  <c r="M884" i="29"/>
  <c r="G860" i="29"/>
  <c r="M828" i="29"/>
  <c r="I804" i="29"/>
  <c r="F772" i="29"/>
  <c r="M748" i="29"/>
  <c r="I716" i="29"/>
  <c r="J692" i="29"/>
  <c r="H660" i="29"/>
  <c r="F636" i="29"/>
  <c r="M604" i="29"/>
  <c r="F580" i="29"/>
  <c r="K548" i="29"/>
  <c r="L524" i="29"/>
  <c r="G492" i="29"/>
  <c r="H468" i="29"/>
  <c r="K436" i="29"/>
  <c r="K412" i="29"/>
  <c r="J380" i="29"/>
  <c r="K356" i="29"/>
  <c r="I324" i="29"/>
  <c r="K300" i="29"/>
  <c r="G268" i="29"/>
  <c r="H244" i="29"/>
  <c r="L212" i="29"/>
  <c r="J188" i="29"/>
  <c r="G156" i="29"/>
  <c r="J132" i="29"/>
  <c r="H100" i="29"/>
  <c r="M76" i="29"/>
  <c r="F2576" i="29"/>
  <c r="F2544" i="29"/>
  <c r="F2512" i="29"/>
  <c r="F2480" i="29"/>
  <c r="F2448" i="29"/>
  <c r="H2409" i="29"/>
  <c r="H2349" i="29"/>
  <c r="F2265" i="29"/>
  <c r="F2150" i="29"/>
  <c r="F2030" i="29"/>
  <c r="H1904" i="29"/>
  <c r="K1724" i="29"/>
  <c r="I906" i="29"/>
  <c r="I2271" i="29"/>
  <c r="H1111" i="29"/>
  <c r="G351" i="29"/>
  <c r="F2055" i="29"/>
  <c r="H897" i="29"/>
  <c r="F1536" i="29"/>
  <c r="I232" i="29"/>
  <c r="M2126" i="29"/>
  <c r="H1790" i="29"/>
  <c r="G1550" i="29"/>
  <c r="J1310" i="29"/>
  <c r="G1094" i="29"/>
  <c r="L886" i="29"/>
  <c r="K734" i="29"/>
  <c r="I542" i="29"/>
  <c r="I382" i="29"/>
  <c r="F206" i="29"/>
  <c r="H2580" i="29"/>
  <c r="F2407" i="29"/>
  <c r="H2086" i="29"/>
  <c r="L1976" i="29"/>
  <c r="J1312" i="29"/>
  <c r="I2149" i="29"/>
  <c r="K1973" i="29"/>
  <c r="L1829" i="29"/>
  <c r="K1709" i="29"/>
  <c r="H1605" i="29"/>
  <c r="H1509" i="29"/>
  <c r="J1429" i="29"/>
  <c r="L1333" i="29"/>
  <c r="G1245" i="29"/>
  <c r="M1157" i="29"/>
  <c r="F1077" i="29"/>
  <c r="L1013" i="29"/>
  <c r="F949" i="29"/>
  <c r="H893" i="29"/>
  <c r="L837" i="29"/>
  <c r="G781" i="29"/>
  <c r="J725" i="29"/>
  <c r="G669" i="29"/>
  <c r="J613" i="29"/>
  <c r="L565" i="29"/>
  <c r="L525" i="29"/>
  <c r="F469" i="29"/>
  <c r="H421" i="29"/>
  <c r="I373" i="29"/>
  <c r="G317" i="29"/>
  <c r="F269" i="29"/>
  <c r="M221" i="29"/>
  <c r="F173" i="29"/>
  <c r="L125" i="29"/>
  <c r="G77" i="29"/>
  <c r="G2560" i="29"/>
  <c r="G2513" i="29"/>
  <c r="G2457" i="29"/>
  <c r="J2397" i="29"/>
  <c r="L2326" i="29"/>
  <c r="H2219" i="29"/>
  <c r="H2107" i="29"/>
  <c r="F1993" i="29"/>
  <c r="J1775" i="29"/>
  <c r="L2153" i="29"/>
  <c r="G1817" i="29"/>
  <c r="M1625" i="29"/>
  <c r="I1497" i="29"/>
  <c r="J1329" i="29"/>
  <c r="L1193" i="29"/>
  <c r="I1033" i="29"/>
  <c r="J913" i="29"/>
  <c r="G793" i="29"/>
  <c r="K657" i="29"/>
  <c r="F537" i="29"/>
  <c r="G409" i="29"/>
  <c r="H289" i="29"/>
  <c r="G153" i="29"/>
  <c r="J2184" i="29"/>
  <c r="K1920" i="29"/>
  <c r="J1704" i="29"/>
  <c r="K1512" i="29"/>
  <c r="J1336" i="29"/>
  <c r="M1168" i="29"/>
  <c r="L1032" i="29"/>
  <c r="K920" i="29"/>
  <c r="K840" i="29"/>
  <c r="K776" i="29"/>
  <c r="L712" i="29"/>
  <c r="J552" i="29"/>
  <c r="L408" i="29"/>
  <c r="G216" i="29"/>
  <c r="K2052" i="29"/>
  <c r="L2004" i="29"/>
  <c r="L1948" i="29"/>
  <c r="J1900" i="29"/>
  <c r="H1860" i="29"/>
  <c r="G1812" i="29"/>
  <c r="M1772" i="29"/>
  <c r="I1740" i="29"/>
  <c r="G1700" i="29"/>
  <c r="F1668" i="29"/>
  <c r="G1636" i="29"/>
  <c r="I1604" i="29"/>
  <c r="L1572" i="29"/>
  <c r="J1540" i="29"/>
  <c r="G1508" i="29"/>
  <c r="K1484" i="29"/>
  <c r="H1452" i="29"/>
  <c r="L1428" i="29"/>
  <c r="K1396" i="29"/>
  <c r="G1364" i="29"/>
  <c r="F1332" i="29"/>
  <c r="J1308" i="29"/>
  <c r="H1276" i="29"/>
  <c r="G1252" i="29"/>
  <c r="J1220" i="29"/>
  <c r="L1196" i="29"/>
  <c r="M1164" i="29"/>
  <c r="I1140" i="29"/>
  <c r="G1108" i="29"/>
  <c r="F1084" i="29"/>
  <c r="L1052" i="29"/>
  <c r="F1028" i="29"/>
  <c r="L996" i="29"/>
  <c r="G972" i="29"/>
  <c r="L940" i="29"/>
  <c r="G916" i="29"/>
  <c r="F884" i="29"/>
  <c r="H860" i="29"/>
  <c r="F828" i="29"/>
  <c r="J804" i="29"/>
  <c r="G772" i="29"/>
  <c r="I748" i="29"/>
  <c r="J716" i="29"/>
  <c r="I692" i="29"/>
  <c r="K660" i="29"/>
  <c r="M636" i="29"/>
  <c r="F604" i="29"/>
  <c r="G580" i="29"/>
  <c r="L548" i="29"/>
  <c r="M524" i="29"/>
  <c r="H492" i="29"/>
  <c r="F468" i="29"/>
  <c r="M436" i="29"/>
  <c r="F412" i="29"/>
  <c r="G380" i="29"/>
  <c r="F356" i="29"/>
  <c r="J324" i="29"/>
  <c r="L300" i="29"/>
  <c r="H268" i="29"/>
  <c r="J244" i="29"/>
  <c r="M212" i="29"/>
  <c r="K188" i="29"/>
  <c r="H156" i="29"/>
  <c r="K132" i="29"/>
  <c r="I100" i="29"/>
  <c r="L76" i="29"/>
  <c r="F2575" i="29"/>
  <c r="F2543" i="29"/>
  <c r="F2511" i="29"/>
  <c r="F2479" i="29"/>
  <c r="J666" i="29"/>
  <c r="I2263" i="29"/>
  <c r="M1111" i="29"/>
  <c r="M327" i="29"/>
  <c r="H2049" i="29"/>
  <c r="J865" i="29"/>
  <c r="I1536" i="29"/>
  <c r="K208" i="29"/>
  <c r="I2118" i="29"/>
  <c r="I1782" i="29"/>
  <c r="K1550" i="29"/>
  <c r="M1310" i="29"/>
  <c r="L1086" i="29"/>
  <c r="I878" i="29"/>
  <c r="K694" i="29"/>
  <c r="K542" i="29"/>
  <c r="L374" i="29"/>
  <c r="G206" i="29"/>
  <c r="H2577" i="29"/>
  <c r="K2405" i="29"/>
  <c r="H2030" i="29"/>
  <c r="M1928" i="29"/>
  <c r="K1312" i="29"/>
  <c r="J2149" i="29"/>
  <c r="L1973" i="29"/>
  <c r="M1821" i="29"/>
  <c r="K1701" i="29"/>
  <c r="I1605" i="29"/>
  <c r="H1501" i="29"/>
  <c r="L1413" i="29"/>
  <c r="M1333" i="29"/>
  <c r="M1237" i="29"/>
  <c r="H1157" i="29"/>
  <c r="H1077" i="29"/>
  <c r="F1013" i="29"/>
  <c r="G949" i="29"/>
  <c r="I893" i="29"/>
  <c r="J829" i="29"/>
  <c r="M781" i="29"/>
  <c r="M725" i="29"/>
  <c r="H669" i="29"/>
  <c r="K613" i="29"/>
  <c r="M565" i="29"/>
  <c r="K517" i="29"/>
  <c r="G469" i="29"/>
  <c r="G421" i="29"/>
  <c r="L365" i="29"/>
  <c r="I317" i="29"/>
  <c r="G269" i="29"/>
  <c r="I221" i="29"/>
  <c r="G173" i="29"/>
  <c r="M125" i="29"/>
  <c r="H77" i="29"/>
  <c r="G2559" i="29"/>
  <c r="G2512" i="29"/>
  <c r="G2456" i="29"/>
  <c r="G2396" i="29"/>
  <c r="G2324" i="29"/>
  <c r="F2217" i="29"/>
  <c r="F2105" i="29"/>
  <c r="G1990" i="29"/>
  <c r="J1711" i="29"/>
  <c r="M2153" i="29"/>
  <c r="H1817" i="29"/>
  <c r="G1625" i="29"/>
  <c r="G1465" i="29"/>
  <c r="M1329" i="29"/>
  <c r="J1161" i="29"/>
  <c r="J1033" i="29"/>
  <c r="K913" i="29"/>
  <c r="J793" i="29"/>
  <c r="M657" i="29"/>
  <c r="H537" i="29"/>
  <c r="H409" i="29"/>
  <c r="I289" i="29"/>
  <c r="H153" i="29"/>
  <c r="K2184" i="29"/>
  <c r="L1920" i="29"/>
  <c r="K1704" i="29"/>
  <c r="M1512" i="29"/>
  <c r="K1336" i="29"/>
  <c r="F1168" i="29"/>
  <c r="G1032" i="29"/>
  <c r="L920" i="29"/>
  <c r="M840" i="29"/>
  <c r="L776" i="29"/>
  <c r="J688" i="29"/>
  <c r="K552" i="29"/>
  <c r="M408" i="29"/>
  <c r="K2416" i="29"/>
  <c r="L2052" i="29"/>
  <c r="M2004" i="29"/>
  <c r="M1948" i="29"/>
  <c r="K1900" i="29"/>
  <c r="M1852" i="29"/>
  <c r="H1812" i="29"/>
  <c r="F1772" i="29"/>
  <c r="J1740" i="29"/>
  <c r="H1700" i="29"/>
  <c r="G1668" i="29"/>
  <c r="H1636" i="29"/>
  <c r="J1604" i="29"/>
  <c r="G1564" i="29"/>
  <c r="K1540" i="29"/>
  <c r="H1508" i="29"/>
  <c r="M1484" i="29"/>
  <c r="F1452" i="29"/>
  <c r="M1428" i="29"/>
  <c r="I1396" i="29"/>
  <c r="H1364" i="29"/>
  <c r="G1332" i="29"/>
  <c r="K1308" i="29"/>
  <c r="I1276" i="29"/>
  <c r="L1252" i="29"/>
  <c r="K1220" i="29"/>
  <c r="G1196" i="29"/>
  <c r="G1164" i="29"/>
  <c r="I1132" i="29"/>
  <c r="F1108" i="29"/>
  <c r="I1076" i="29"/>
  <c r="G1052" i="29"/>
  <c r="I1020" i="29"/>
  <c r="M996" i="29"/>
  <c r="I964" i="29"/>
  <c r="M940" i="29"/>
  <c r="I908" i="29"/>
  <c r="G884" i="29"/>
  <c r="J852" i="29"/>
  <c r="I828" i="29"/>
  <c r="K796" i="29"/>
  <c r="H772" i="29"/>
  <c r="F740" i="29"/>
  <c r="H716" i="29"/>
  <c r="F684" i="29"/>
  <c r="L660" i="29"/>
  <c r="I628" i="29"/>
  <c r="G604" i="29"/>
  <c r="I572" i="29"/>
  <c r="M548" i="29"/>
  <c r="I516" i="29"/>
  <c r="J492" i="29"/>
  <c r="L460" i="29"/>
  <c r="F436" i="29"/>
  <c r="L404" i="29"/>
  <c r="H380" i="29"/>
  <c r="L348" i="29"/>
  <c r="K324" i="29"/>
  <c r="M292" i="29"/>
  <c r="I268" i="29"/>
  <c r="K236" i="29"/>
  <c r="F212" i="29"/>
  <c r="M180" i="29"/>
  <c r="I156" i="29"/>
  <c r="H124" i="29"/>
  <c r="J100" i="29"/>
  <c r="F68" i="29"/>
  <c r="F2574" i="29"/>
  <c r="F2542" i="29"/>
  <c r="F2510" i="29"/>
  <c r="F2478" i="29"/>
  <c r="F2446" i="29"/>
  <c r="K2406" i="29"/>
  <c r="K2342" i="29"/>
  <c r="F2261" i="29"/>
  <c r="F2142" i="29"/>
  <c r="F2022" i="29"/>
  <c r="H1896" i="29"/>
  <c r="J1709" i="29"/>
  <c r="J2249" i="29"/>
  <c r="M2057" i="29"/>
  <c r="L650" i="29"/>
  <c r="I2255" i="29"/>
  <c r="K1111" i="29"/>
  <c r="G327" i="29"/>
  <c r="G2044" i="29"/>
  <c r="K865" i="29"/>
  <c r="K1536" i="29"/>
  <c r="L208" i="29"/>
  <c r="J2118" i="29"/>
  <c r="K1782" i="29"/>
  <c r="G1542" i="29"/>
  <c r="K1310" i="29"/>
  <c r="G1086" i="29"/>
  <c r="L878" i="29"/>
  <c r="F678" i="29"/>
  <c r="L542" i="29"/>
  <c r="K374" i="29"/>
  <c r="J198" i="29"/>
  <c r="H2572" i="29"/>
  <c r="H2400" i="29"/>
  <c r="G2025" i="29"/>
  <c r="I1880" i="29"/>
  <c r="L1176" i="29"/>
  <c r="L2149" i="29"/>
  <c r="M1973" i="29"/>
  <c r="J1821" i="29"/>
  <c r="H1701" i="29"/>
  <c r="J1605" i="29"/>
  <c r="K1501" i="29"/>
  <c r="M1413" i="29"/>
  <c r="F1325" i="29"/>
  <c r="L1237" i="29"/>
  <c r="F1149" i="29"/>
  <c r="M1077" i="29"/>
  <c r="G1013" i="29"/>
  <c r="I941" i="29"/>
  <c r="L893" i="29"/>
  <c r="K829" i="29"/>
  <c r="J781" i="29"/>
  <c r="F717" i="29"/>
  <c r="I669" i="29"/>
  <c r="M613" i="29"/>
  <c r="G565" i="29"/>
  <c r="M517" i="29"/>
  <c r="F461" i="29"/>
  <c r="M413" i="29"/>
  <c r="M365" i="29"/>
  <c r="M309" i="29"/>
  <c r="G261" i="29"/>
  <c r="H221" i="29"/>
  <c r="F165" i="29"/>
  <c r="H117" i="29"/>
  <c r="I77" i="29"/>
  <c r="G2558" i="29"/>
  <c r="G2501" i="29"/>
  <c r="G2455" i="29"/>
  <c r="G2392" i="29"/>
  <c r="J2321" i="29"/>
  <c r="G2214" i="29"/>
  <c r="G2102" i="29"/>
  <c r="H1987" i="29"/>
  <c r="J1703" i="29"/>
  <c r="I2097" i="29"/>
  <c r="I1817" i="29"/>
  <c r="H1625" i="29"/>
  <c r="H1465" i="29"/>
  <c r="H1297" i="29"/>
  <c r="L1161" i="29"/>
  <c r="K1033" i="29"/>
  <c r="G913" i="29"/>
  <c r="H793" i="29"/>
  <c r="I657" i="29"/>
  <c r="G537" i="29"/>
  <c r="I409" i="29"/>
  <c r="L289" i="29"/>
  <c r="I153" i="29"/>
  <c r="L2184" i="29"/>
  <c r="M1920" i="29"/>
  <c r="L1704" i="29"/>
  <c r="L1512" i="29"/>
  <c r="L1336" i="29"/>
  <c r="G1168" i="29"/>
  <c r="H1032" i="29"/>
  <c r="M920" i="29"/>
  <c r="F840" i="29"/>
  <c r="F776" i="29"/>
  <c r="K688" i="29"/>
  <c r="L552" i="29"/>
  <c r="J408" i="29"/>
  <c r="I1649" i="29"/>
  <c r="M2052" i="29"/>
  <c r="I1988" i="29"/>
  <c r="I1940" i="29"/>
  <c r="L1900" i="29"/>
  <c r="I1852" i="29"/>
  <c r="I1812" i="29"/>
  <c r="G1772" i="29"/>
  <c r="M1732" i="29"/>
  <c r="I1700" i="29"/>
  <c r="H1668" i="29"/>
  <c r="K1628" i="29"/>
  <c r="M1604" i="29"/>
  <c r="I1564" i="29"/>
  <c r="M1540" i="29"/>
  <c r="F1508" i="29"/>
  <c r="L1484" i="29"/>
  <c r="I1452" i="29"/>
  <c r="G1420" i="29"/>
  <c r="L1396" i="29"/>
  <c r="J1364" i="29"/>
  <c r="H1332" i="29"/>
  <c r="L1308" i="29"/>
  <c r="J1276" i="29"/>
  <c r="M1252" i="29"/>
  <c r="M1220" i="29"/>
  <c r="H1188" i="29"/>
  <c r="I1164" i="29"/>
  <c r="J1132" i="29"/>
  <c r="H1108" i="29"/>
  <c r="J1076" i="29"/>
  <c r="H1052" i="29"/>
  <c r="J1020" i="29"/>
  <c r="F996" i="29"/>
  <c r="J964" i="29"/>
  <c r="F940" i="29"/>
  <c r="J908" i="29"/>
  <c r="H884" i="29"/>
  <c r="K852" i="29"/>
  <c r="L828" i="29"/>
  <c r="L796" i="29"/>
  <c r="J772" i="29"/>
  <c r="G740" i="29"/>
  <c r="M716" i="29"/>
  <c r="G684" i="29"/>
  <c r="M660" i="29"/>
  <c r="G628" i="29"/>
  <c r="H604" i="29"/>
  <c r="K572" i="29"/>
  <c r="H548" i="29"/>
  <c r="F516" i="29"/>
  <c r="K492" i="29"/>
  <c r="H460" i="29"/>
  <c r="I436" i="29"/>
  <c r="M404" i="29"/>
  <c r="I380" i="29"/>
  <c r="M348" i="29"/>
  <c r="L324" i="29"/>
  <c r="F292" i="29"/>
  <c r="L268" i="29"/>
  <c r="L236" i="29"/>
  <c r="I212" i="29"/>
  <c r="F180" i="29"/>
  <c r="L156" i="29"/>
  <c r="I124" i="29"/>
  <c r="K100" i="29"/>
  <c r="G68" i="29"/>
  <c r="F2573" i="29"/>
  <c r="F2541" i="29"/>
  <c r="F2509" i="29"/>
  <c r="F2477" i="29"/>
  <c r="F2445" i="29"/>
  <c r="H2405" i="29"/>
  <c r="H2337" i="29"/>
  <c r="H2256" i="29"/>
  <c r="H2136" i="29"/>
  <c r="H2016" i="29"/>
  <c r="K1893" i="29"/>
  <c r="I1703" i="29"/>
  <c r="K2249" i="29"/>
  <c r="I2009" i="29"/>
  <c r="I642" i="29"/>
  <c r="I2087" i="29"/>
  <c r="L1039" i="29"/>
  <c r="K279" i="29"/>
  <c r="F1951" i="29"/>
  <c r="I785" i="29"/>
  <c r="H1344" i="29"/>
  <c r="F176" i="29"/>
  <c r="L2086" i="29"/>
  <c r="J1774" i="29"/>
  <c r="F1534" i="29"/>
  <c r="I1294" i="29"/>
  <c r="G1070" i="29"/>
  <c r="J870" i="29"/>
  <c r="H678" i="29"/>
  <c r="L510" i="29"/>
  <c r="L366" i="29"/>
  <c r="L198" i="29"/>
  <c r="H2567" i="29"/>
  <c r="H2396" i="29"/>
  <c r="G2017" i="29"/>
  <c r="M1832" i="29"/>
  <c r="I1104" i="29"/>
  <c r="M2149" i="29"/>
  <c r="I1965" i="29"/>
  <c r="L1821" i="29"/>
  <c r="I1701" i="29"/>
  <c r="J1597" i="29"/>
  <c r="L1501" i="29"/>
  <c r="J1405" i="29"/>
  <c r="H1317" i="29"/>
  <c r="F1237" i="29"/>
  <c r="G1149" i="29"/>
  <c r="I1069" i="29"/>
  <c r="M1013" i="29"/>
  <c r="I933" i="29"/>
  <c r="F893" i="29"/>
  <c r="M829" i="29"/>
  <c r="I781" i="29"/>
  <c r="G717" i="29"/>
  <c r="J669" i="29"/>
  <c r="F613" i="29"/>
  <c r="H565" i="29"/>
  <c r="L517" i="29"/>
  <c r="G461" i="29"/>
  <c r="J413" i="29"/>
  <c r="J365" i="29"/>
  <c r="F309" i="29"/>
  <c r="H261" i="29"/>
  <c r="J221" i="29"/>
  <c r="G165" i="29"/>
  <c r="I117" i="29"/>
  <c r="J77" i="29"/>
  <c r="G2556" i="29"/>
  <c r="G2500" i="29"/>
  <c r="G2454" i="29"/>
  <c r="L2390" i="29"/>
  <c r="G2320" i="29"/>
  <c r="H2211" i="29"/>
  <c r="H2099" i="29"/>
  <c r="F1985" i="29"/>
  <c r="G1693" i="29"/>
  <c r="J2097" i="29"/>
  <c r="J1817" i="29"/>
  <c r="I1625" i="29"/>
  <c r="J1465" i="29"/>
  <c r="I1297" i="29"/>
  <c r="F1161" i="29"/>
  <c r="L1033" i="29"/>
  <c r="H913" i="29"/>
  <c r="I793" i="29"/>
  <c r="I625" i="29"/>
  <c r="I505" i="29"/>
  <c r="K409" i="29"/>
  <c r="J289" i="29"/>
  <c r="L153" i="29"/>
  <c r="M2184" i="29"/>
  <c r="K1888" i="29"/>
  <c r="K1656" i="29"/>
  <c r="G1464" i="29"/>
  <c r="H1288" i="29"/>
  <c r="L1168" i="29"/>
  <c r="M1032" i="29"/>
  <c r="G920" i="29"/>
  <c r="I840" i="29"/>
  <c r="G776" i="29"/>
  <c r="I688" i="29"/>
  <c r="M552" i="29"/>
  <c r="F408" i="29"/>
  <c r="I2405" i="29"/>
  <c r="I2044" i="29"/>
  <c r="J1988" i="29"/>
  <c r="J1940" i="29"/>
  <c r="M1900" i="29"/>
  <c r="F1852" i="29"/>
  <c r="J1812" i="29"/>
  <c r="H1772" i="29"/>
  <c r="F1732" i="29"/>
  <c r="J1700" i="29"/>
  <c r="I1668" i="29"/>
  <c r="L1628" i="29"/>
  <c r="G1596" i="29"/>
  <c r="J1564" i="29"/>
  <c r="L1540" i="29"/>
  <c r="I1508" i="29"/>
  <c r="G1476" i="29"/>
  <c r="J1452" i="29"/>
  <c r="H1420" i="29"/>
  <c r="M1396" i="29"/>
  <c r="F1364" i="29"/>
  <c r="I1332" i="29"/>
  <c r="M1308" i="29"/>
  <c r="K1276" i="29"/>
  <c r="H1244" i="29"/>
  <c r="F1220" i="29"/>
  <c r="I1188" i="29"/>
  <c r="H1164" i="29"/>
  <c r="L1132" i="29"/>
  <c r="K1108" i="29"/>
  <c r="K1076" i="29"/>
  <c r="M1052" i="29"/>
  <c r="K1020" i="29"/>
  <c r="H996" i="29"/>
  <c r="K964" i="29"/>
  <c r="H940" i="29"/>
  <c r="K908" i="29"/>
  <c r="I884" i="29"/>
  <c r="M852" i="29"/>
  <c r="G828" i="29"/>
  <c r="F796" i="29"/>
  <c r="M772" i="29"/>
  <c r="H740" i="29"/>
  <c r="K716" i="29"/>
  <c r="H684" i="29"/>
  <c r="J660" i="29"/>
  <c r="H628" i="29"/>
  <c r="K604" i="29"/>
  <c r="L572" i="29"/>
  <c r="G548" i="29"/>
  <c r="G516" i="29"/>
  <c r="M492" i="29"/>
  <c r="I460" i="29"/>
  <c r="G436" i="29"/>
  <c r="J404" i="29"/>
  <c r="K380" i="29"/>
  <c r="J348" i="29"/>
  <c r="G324" i="29"/>
  <c r="G292" i="29"/>
  <c r="K268" i="29"/>
  <c r="M236" i="29"/>
  <c r="H212" i="29"/>
  <c r="H180" i="29"/>
  <c r="J156" i="29"/>
  <c r="M124" i="29"/>
  <c r="M100" i="29"/>
  <c r="H68" i="29"/>
  <c r="F2572" i="29"/>
  <c r="F2540" i="29"/>
  <c r="F2508" i="29"/>
  <c r="F2476" i="29"/>
  <c r="F2444" i="29"/>
  <c r="F122" i="29"/>
  <c r="J1935" i="29"/>
  <c r="G983" i="29"/>
  <c r="F239" i="29"/>
  <c r="K1860" i="29"/>
  <c r="K689" i="29"/>
  <c r="I1232" i="29"/>
  <c r="J160" i="29"/>
  <c r="K2054" i="29"/>
  <c r="F1750" i="29"/>
  <c r="F1510" i="29"/>
  <c r="J1278" i="29"/>
  <c r="H1054" i="29"/>
  <c r="I854" i="29"/>
  <c r="F670" i="29"/>
  <c r="G494" i="29"/>
  <c r="G326" i="29"/>
  <c r="K190" i="29"/>
  <c r="H2563" i="29"/>
  <c r="K2361" i="29"/>
  <c r="G1985" i="29"/>
  <c r="F1784" i="29"/>
  <c r="F736" i="29"/>
  <c r="I2109" i="29"/>
  <c r="K1925" i="29"/>
  <c r="H1813" i="29"/>
  <c r="H1693" i="29"/>
  <c r="F1589" i="29"/>
  <c r="J1485" i="29"/>
  <c r="M1405" i="29"/>
  <c r="H1301" i="29"/>
  <c r="H1213" i="29"/>
  <c r="H1149" i="29"/>
  <c r="L1061" i="29"/>
  <c r="L989" i="29"/>
  <c r="L933" i="29"/>
  <c r="J869" i="29"/>
  <c r="I821" i="29"/>
  <c r="H765" i="29"/>
  <c r="I709" i="29"/>
  <c r="L669" i="29"/>
  <c r="I605" i="29"/>
  <c r="L557" i="29"/>
  <c r="H509" i="29"/>
  <c r="I453" i="29"/>
  <c r="I413" i="29"/>
  <c r="H365" i="29"/>
  <c r="J309" i="29"/>
  <c r="J261" i="29"/>
  <c r="J213" i="29"/>
  <c r="I165" i="29"/>
  <c r="K117" i="29"/>
  <c r="K69" i="29"/>
  <c r="G2552" i="29"/>
  <c r="G2496" i="29"/>
  <c r="G2451" i="29"/>
  <c r="G2384" i="29"/>
  <c r="G2316" i="29"/>
  <c r="F2201" i="29"/>
  <c r="G2086" i="29"/>
  <c r="H1947" i="29"/>
  <c r="H1633" i="29"/>
  <c r="M2049" i="29"/>
  <c r="F1777" i="29"/>
  <c r="F1585" i="29"/>
  <c r="F1465" i="29"/>
  <c r="F1297" i="29"/>
  <c r="H1161" i="29"/>
  <c r="J1001" i="29"/>
  <c r="M889" i="29"/>
  <c r="G761" i="29"/>
  <c r="G625" i="29"/>
  <c r="M505" i="29"/>
  <c r="J385" i="29"/>
  <c r="F257" i="29"/>
  <c r="F105" i="29"/>
  <c r="I2088" i="29"/>
  <c r="I1840" i="29"/>
  <c r="H1656" i="29"/>
  <c r="I90" i="29"/>
  <c r="M1815" i="29"/>
  <c r="H967" i="29"/>
  <c r="K191" i="29"/>
  <c r="L1804" i="29"/>
  <c r="K601" i="29"/>
  <c r="J1096" i="29"/>
  <c r="K112" i="29"/>
  <c r="I2046" i="29"/>
  <c r="L1742" i="29"/>
  <c r="H1502" i="29"/>
  <c r="I1262" i="29"/>
  <c r="M1054" i="29"/>
  <c r="L854" i="29"/>
  <c r="H654" i="29"/>
  <c r="J494" i="29"/>
  <c r="I326" i="29"/>
  <c r="L158" i="29"/>
  <c r="H2561" i="29"/>
  <c r="H2360" i="29"/>
  <c r="G1969" i="29"/>
  <c r="I1784" i="29"/>
  <c r="K736" i="29"/>
  <c r="M2101" i="29"/>
  <c r="L1925" i="29"/>
  <c r="I1813" i="29"/>
  <c r="I1693" i="29"/>
  <c r="H1589" i="29"/>
  <c r="K1485" i="29"/>
  <c r="H1397" i="29"/>
  <c r="I1301" i="29"/>
  <c r="I1213" i="29"/>
  <c r="J1141" i="29"/>
  <c r="F1061" i="29"/>
  <c r="M989" i="29"/>
  <c r="M933" i="29"/>
  <c r="K869" i="29"/>
  <c r="G821" i="29"/>
  <c r="K757" i="29"/>
  <c r="J709" i="29"/>
  <c r="F661" i="29"/>
  <c r="L605" i="29"/>
  <c r="M557" i="29"/>
  <c r="G501" i="29"/>
  <c r="J453" i="29"/>
  <c r="G413" i="29"/>
  <c r="G357" i="29"/>
  <c r="K309" i="29"/>
  <c r="K261" i="29"/>
  <c r="L213" i="29"/>
  <c r="J165" i="29"/>
  <c r="L117" i="29"/>
  <c r="M69" i="29"/>
  <c r="G2547" i="29"/>
  <c r="G2495" i="29"/>
  <c r="G2449" i="29"/>
  <c r="L2382" i="29"/>
  <c r="G2312" i="29"/>
  <c r="G2198" i="29"/>
  <c r="H2075" i="29"/>
  <c r="G1942" i="29"/>
  <c r="J1623" i="29"/>
  <c r="I2017" i="29"/>
  <c r="G1777" i="29"/>
  <c r="H1585" i="29"/>
  <c r="H1433" i="29"/>
  <c r="G1297" i="29"/>
  <c r="K1161" i="29"/>
  <c r="K1001" i="29"/>
  <c r="F889" i="29"/>
  <c r="M761" i="29"/>
  <c r="J625" i="29"/>
  <c r="F505" i="29"/>
  <c r="F385" i="29"/>
  <c r="G257" i="29"/>
  <c r="H105" i="29"/>
  <c r="J2088" i="29"/>
  <c r="F1840" i="29"/>
  <c r="I1656" i="29"/>
  <c r="J1464" i="29"/>
  <c r="F1288" i="29"/>
  <c r="G1136" i="29"/>
  <c r="K1000" i="29"/>
  <c r="K896" i="29"/>
  <c r="F824" i="29"/>
  <c r="F760" i="29"/>
  <c r="G648" i="29"/>
  <c r="I512" i="29"/>
  <c r="I408" i="29"/>
  <c r="I2357" i="29"/>
  <c r="M2044" i="29"/>
  <c r="I1980" i="29"/>
  <c r="I1932" i="29"/>
  <c r="H1892" i="29"/>
  <c r="K2282" i="29"/>
  <c r="M1791" i="29"/>
  <c r="K919" i="29"/>
  <c r="H151" i="29"/>
  <c r="I2265" i="29"/>
  <c r="G561" i="29"/>
  <c r="J704" i="29"/>
  <c r="H88" i="29"/>
  <c r="J2030" i="29"/>
  <c r="K1726" i="29"/>
  <c r="M1494" i="29"/>
  <c r="H1246" i="29"/>
  <c r="L1038" i="29"/>
  <c r="H830" i="29"/>
  <c r="L638" i="29"/>
  <c r="K478" i="29"/>
  <c r="G318" i="29"/>
  <c r="H150" i="29"/>
  <c r="H2520" i="29"/>
  <c r="K2353" i="29"/>
  <c r="G1953" i="29"/>
  <c r="I1688" i="29"/>
  <c r="J2293" i="29"/>
  <c r="M2093" i="29"/>
  <c r="M1917" i="29"/>
  <c r="G1781" i="29"/>
  <c r="J1669" i="29"/>
  <c r="K1581" i="29"/>
  <c r="I1485" i="29"/>
  <c r="F1389" i="29"/>
  <c r="K1293" i="29"/>
  <c r="L1213" i="29"/>
  <c r="K1125" i="29"/>
  <c r="I1053" i="29"/>
  <c r="K981" i="29"/>
  <c r="G933" i="29"/>
  <c r="G869" i="29"/>
  <c r="K813" i="29"/>
  <c r="M757" i="29"/>
  <c r="L709" i="29"/>
  <c r="F645" i="29"/>
  <c r="G597" i="29"/>
  <c r="J557" i="29"/>
  <c r="K501" i="29"/>
  <c r="G453" i="29"/>
  <c r="G405" i="29"/>
  <c r="G349" i="29"/>
  <c r="G301" i="29"/>
  <c r="G253" i="29"/>
  <c r="H205" i="29"/>
  <c r="F157" i="29"/>
  <c r="I109" i="29"/>
  <c r="G61" i="29"/>
  <c r="G2536" i="29"/>
  <c r="G2491" i="29"/>
  <c r="G2438" i="29"/>
  <c r="G2376" i="29"/>
  <c r="G2293" i="29"/>
  <c r="H2179" i="29"/>
  <c r="G2046" i="29"/>
  <c r="H1931" i="29"/>
  <c r="K1454" i="29"/>
  <c r="L2017" i="29"/>
  <c r="J1777" i="29"/>
  <c r="J1585" i="29"/>
  <c r="I1433" i="29"/>
  <c r="H1265" i="29"/>
  <c r="G1129" i="29"/>
  <c r="H1001" i="29"/>
  <c r="H889" i="29"/>
  <c r="I761" i="29"/>
  <c r="L625" i="29"/>
  <c r="G505" i="29"/>
  <c r="I385" i="29"/>
  <c r="L257" i="29"/>
  <c r="G105" i="29"/>
  <c r="M2088" i="29"/>
  <c r="M1792" i="29"/>
  <c r="K1608" i="29"/>
  <c r="L1464" i="29"/>
  <c r="G1288" i="29"/>
  <c r="M1136" i="29"/>
  <c r="H1000" i="29"/>
  <c r="F896" i="29"/>
  <c r="F1681" i="29"/>
  <c r="H1487" i="29"/>
  <c r="L711" i="29"/>
  <c r="I2493" i="29"/>
  <c r="L1633" i="29"/>
  <c r="J241" i="29"/>
  <c r="I504" i="29"/>
  <c r="M2318" i="29"/>
  <c r="I1934" i="29"/>
  <c r="F1662" i="29"/>
  <c r="H1422" i="29"/>
  <c r="J1190" i="29"/>
  <c r="L990" i="29"/>
  <c r="F790" i="29"/>
  <c r="M630" i="29"/>
  <c r="H462" i="29"/>
  <c r="K294" i="29"/>
  <c r="I126" i="29"/>
  <c r="H2502" i="29"/>
  <c r="H2289" i="29"/>
  <c r="J1783" i="29"/>
  <c r="F1640" i="29"/>
  <c r="I2261" i="29"/>
  <c r="L2069" i="29"/>
  <c r="I1893" i="29"/>
  <c r="M1765" i="29"/>
  <c r="L1661" i="29"/>
  <c r="I1557" i="29"/>
  <c r="J1461" i="29"/>
  <c r="M1381" i="29"/>
  <c r="I1285" i="29"/>
  <c r="J1197" i="29"/>
  <c r="G1117" i="29"/>
  <c r="I1045" i="29"/>
  <c r="F981" i="29"/>
  <c r="H917" i="29"/>
  <c r="M861" i="29"/>
  <c r="G813" i="29"/>
  <c r="L749" i="29"/>
  <c r="J701" i="29"/>
  <c r="K645" i="29"/>
  <c r="F597" i="29"/>
  <c r="G541" i="29"/>
  <c r="F493" i="29"/>
  <c r="G445" i="29"/>
  <c r="J389" i="29"/>
  <c r="J341" i="29"/>
  <c r="K301" i="29"/>
  <c r="H245" i="29"/>
  <c r="K197" i="29"/>
  <c r="I149" i="29"/>
  <c r="L109" i="29"/>
  <c r="G2584" i="29"/>
  <c r="G2532" i="29"/>
  <c r="G2485" i="29"/>
  <c r="G2433" i="29"/>
  <c r="J2369" i="29"/>
  <c r="G2279" i="29"/>
  <c r="G2166" i="29"/>
  <c r="H2035" i="29"/>
  <c r="F1921" i="29"/>
  <c r="I2273" i="29"/>
  <c r="K1969" i="29"/>
  <c r="G1745" i="29"/>
  <c r="J1561" i="29"/>
  <c r="F1401" i="29"/>
  <c r="M1265" i="29"/>
  <c r="I1089" i="29"/>
  <c r="L969" i="29"/>
  <c r="F857" i="29"/>
  <c r="G729" i="29"/>
  <c r="F593" i="29"/>
  <c r="L473" i="29"/>
  <c r="J361" i="29"/>
  <c r="H225" i="29"/>
  <c r="I2400" i="29"/>
  <c r="L2048" i="29"/>
  <c r="I1792" i="29"/>
  <c r="I1608" i="29"/>
  <c r="I1416" i="29"/>
  <c r="K1248" i="29"/>
  <c r="K1088" i="29"/>
  <c r="M976" i="29"/>
  <c r="H888" i="29"/>
  <c r="I808" i="29"/>
  <c r="K744" i="29"/>
  <c r="I616" i="29"/>
  <c r="H512" i="29"/>
  <c r="I368" i="29"/>
  <c r="J2277" i="29"/>
  <c r="M2028" i="29"/>
  <c r="M1972" i="29"/>
  <c r="K1924" i="29"/>
  <c r="M1876" i="29"/>
  <c r="I1836" i="29"/>
  <c r="I1796" i="29"/>
  <c r="G1756" i="29"/>
  <c r="M1716" i="29"/>
  <c r="H1684" i="29"/>
  <c r="F1652" i="29"/>
  <c r="M1620" i="29"/>
  <c r="H1588" i="29"/>
  <c r="F1556" i="29"/>
  <c r="F1524" i="29"/>
  <c r="L1500" i="29"/>
  <c r="I1468" i="29"/>
  <c r="G1436" i="29"/>
  <c r="M1412" i="29"/>
  <c r="J1380" i="29"/>
  <c r="H1348" i="29"/>
  <c r="L1324" i="29"/>
  <c r="J1292" i="29"/>
  <c r="L1268" i="29"/>
  <c r="K1236" i="29"/>
  <c r="H1204" i="29"/>
  <c r="M1180" i="29"/>
  <c r="L1148" i="29"/>
  <c r="G1124" i="29"/>
  <c r="J1092" i="29"/>
  <c r="H1068" i="29"/>
  <c r="J1036" i="29"/>
  <c r="H1012" i="29"/>
  <c r="J980" i="29"/>
  <c r="F956" i="29"/>
  <c r="J924" i="29"/>
  <c r="H900" i="29"/>
  <c r="K868" i="29"/>
  <c r="L844" i="29"/>
  <c r="M812" i="29"/>
  <c r="M788" i="29"/>
  <c r="L756" i="29"/>
  <c r="I732" i="29"/>
  <c r="G700" i="29"/>
  <c r="M676" i="29"/>
  <c r="G644" i="29"/>
  <c r="K620" i="29"/>
  <c r="K588" i="29"/>
  <c r="J564" i="29"/>
  <c r="J532" i="29"/>
  <c r="L508" i="29"/>
  <c r="J476" i="29"/>
  <c r="M452" i="29"/>
  <c r="M420" i="29"/>
  <c r="I396" i="29"/>
  <c r="M364" i="29"/>
  <c r="I340" i="29"/>
  <c r="F308" i="29"/>
  <c r="L284" i="29"/>
  <c r="L252" i="29"/>
  <c r="G228" i="29"/>
  <c r="H196" i="29"/>
  <c r="L172" i="29"/>
  <c r="I140" i="29"/>
  <c r="L116" i="29"/>
  <c r="G84" i="29"/>
  <c r="K60" i="29"/>
  <c r="F2559" i="29"/>
  <c r="F2527" i="29"/>
  <c r="K1545" i="29"/>
  <c r="J1487" i="29"/>
  <c r="I695" i="29"/>
  <c r="I2492" i="29"/>
  <c r="F1633" i="29"/>
  <c r="M177" i="29"/>
  <c r="K504" i="29"/>
  <c r="J2286" i="29"/>
  <c r="K1926" i="29"/>
  <c r="G1662" i="29"/>
  <c r="L1422" i="29"/>
  <c r="K1190" i="29"/>
  <c r="L974" i="29"/>
  <c r="M790" i="29"/>
  <c r="F630" i="29"/>
  <c r="L454" i="29"/>
  <c r="M286" i="29"/>
  <c r="J126" i="29"/>
  <c r="H2492" i="29"/>
  <c r="H2287" i="29"/>
  <c r="L1767" i="29"/>
  <c r="F1544" i="29"/>
  <c r="J2261" i="29"/>
  <c r="M2069" i="29"/>
  <c r="M1885" i="29"/>
  <c r="G1765" i="29"/>
  <c r="M1661" i="29"/>
  <c r="K1549" i="29"/>
  <c r="H1453" i="29"/>
  <c r="G1373" i="29"/>
  <c r="J1285" i="29"/>
  <c r="K1197" i="29"/>
  <c r="H1117" i="29"/>
  <c r="J1045" i="29"/>
  <c r="I973" i="29"/>
  <c r="M909" i="29"/>
  <c r="F861" i="29"/>
  <c r="G805" i="29"/>
  <c r="F749" i="29"/>
  <c r="M701" i="29"/>
  <c r="M645" i="29"/>
  <c r="I589" i="29"/>
  <c r="H541" i="29"/>
  <c r="G493" i="29"/>
  <c r="H445" i="29"/>
  <c r="K389" i="29"/>
  <c r="K341" i="29"/>
  <c r="L293" i="29"/>
  <c r="J245" i="29"/>
  <c r="L197" i="29"/>
  <c r="L149" i="29"/>
  <c r="G109" i="29"/>
  <c r="G2583" i="29"/>
  <c r="G2531" i="29"/>
  <c r="G2484" i="29"/>
  <c r="G2432" i="29"/>
  <c r="G2368" i="29"/>
  <c r="G2275" i="29"/>
  <c r="H2163" i="29"/>
  <c r="F2033" i="29"/>
  <c r="G1918" i="29"/>
  <c r="J2273" i="29"/>
  <c r="L1969" i="29"/>
  <c r="H1745" i="29"/>
  <c r="L1561" i="29"/>
  <c r="K1401" i="29"/>
  <c r="H1233" i="29"/>
  <c r="J1089" i="29"/>
  <c r="M969" i="29"/>
  <c r="I857" i="29"/>
  <c r="H729" i="29"/>
  <c r="H593" i="29"/>
  <c r="M473" i="29"/>
  <c r="I361" i="29"/>
  <c r="J225" i="29"/>
  <c r="M2400" i="29"/>
  <c r="M2048" i="29"/>
  <c r="J1792" i="29"/>
  <c r="J1608" i="29"/>
  <c r="K1416" i="29"/>
  <c r="F1248" i="29"/>
  <c r="L1088" i="29"/>
  <c r="G976" i="29"/>
  <c r="I888" i="29"/>
  <c r="L808" i="29"/>
  <c r="L744" i="29"/>
  <c r="L616" i="29"/>
  <c r="I472" i="29"/>
  <c r="K368" i="29"/>
  <c r="L2277" i="29"/>
  <c r="I2020" i="29"/>
  <c r="I1964" i="29"/>
  <c r="L1924" i="29"/>
  <c r="I1876" i="29"/>
  <c r="L1836" i="29"/>
  <c r="J1796" i="29"/>
  <c r="H1756" i="29"/>
  <c r="F1716" i="29"/>
  <c r="I1684" i="29"/>
  <c r="G1652" i="29"/>
  <c r="K1612" i="29"/>
  <c r="M1588" i="29"/>
  <c r="H1556" i="29"/>
  <c r="I1524" i="29"/>
  <c r="G1492" i="29"/>
  <c r="J1468" i="29"/>
  <c r="H1436" i="29"/>
  <c r="I1412" i="29"/>
  <c r="F1380" i="29"/>
  <c r="I1348" i="29"/>
  <c r="M1324" i="29"/>
  <c r="K1292" i="29"/>
  <c r="M1268" i="29"/>
  <c r="M1236" i="29"/>
  <c r="I1204" i="29"/>
  <c r="F1180" i="29"/>
  <c r="K1148" i="29"/>
  <c r="K1124" i="29"/>
  <c r="K1092" i="29"/>
  <c r="M1068" i="29"/>
  <c r="K1036" i="29"/>
  <c r="M1012" i="29"/>
  <c r="K980" i="29"/>
  <c r="L1289" i="29"/>
  <c r="I1447" i="29"/>
  <c r="L671" i="29"/>
  <c r="I2454" i="29"/>
  <c r="F1553" i="29"/>
  <c r="K177" i="29"/>
  <c r="H504" i="29"/>
  <c r="M2278" i="29"/>
  <c r="K1918" i="29"/>
  <c r="L1654" i="29"/>
  <c r="J1414" i="29"/>
  <c r="I1182" i="29"/>
  <c r="F974" i="29"/>
  <c r="I774" i="29"/>
  <c r="J598" i="29"/>
  <c r="L446" i="29"/>
  <c r="J286" i="29"/>
  <c r="F126" i="29"/>
  <c r="H2481" i="29"/>
  <c r="G2257" i="29"/>
  <c r="G1646" i="29"/>
  <c r="G1448" i="29"/>
  <c r="J2221" i="29"/>
  <c r="L2061" i="29"/>
  <c r="G1877" i="29"/>
  <c r="K1757" i="29"/>
  <c r="K1645" i="29"/>
  <c r="F1549" i="29"/>
  <c r="M1453" i="29"/>
  <c r="H1357" i="29"/>
  <c r="F1285" i="29"/>
  <c r="K1189" i="29"/>
  <c r="I1109" i="29"/>
  <c r="K1029" i="29"/>
  <c r="K973" i="29"/>
  <c r="F909" i="29"/>
  <c r="G861" i="29"/>
  <c r="M797" i="29"/>
  <c r="M749" i="29"/>
  <c r="M693" i="29"/>
  <c r="H637" i="29"/>
  <c r="L589" i="29"/>
  <c r="J533" i="29"/>
  <c r="H485" i="29"/>
  <c r="K445" i="29"/>
  <c r="G389" i="29"/>
  <c r="I341" i="29"/>
  <c r="K293" i="29"/>
  <c r="J237" i="29"/>
  <c r="F197" i="29"/>
  <c r="J149" i="29"/>
  <c r="H101" i="29"/>
  <c r="G2581" i="29"/>
  <c r="G2527" i="29"/>
  <c r="G2481" i="29"/>
  <c r="G2430" i="29"/>
  <c r="J2365" i="29"/>
  <c r="G2269" i="29"/>
  <c r="G2158" i="29"/>
  <c r="H2027" i="29"/>
  <c r="G1910" i="29"/>
  <c r="M2273" i="29"/>
  <c r="I1937" i="29"/>
  <c r="J1745" i="29"/>
  <c r="K1529" i="29"/>
  <c r="G1361" i="29"/>
  <c r="J1233" i="29"/>
  <c r="M1089" i="29"/>
  <c r="G969" i="29"/>
  <c r="H857" i="29"/>
  <c r="I729" i="29"/>
  <c r="G593" i="29"/>
  <c r="G473" i="29"/>
  <c r="M329" i="29"/>
  <c r="F225" i="29"/>
  <c r="M2360" i="29"/>
  <c r="J2000" i="29"/>
  <c r="L1792" i="29"/>
  <c r="F297" i="29"/>
  <c r="F1391" i="29"/>
  <c r="H607" i="29"/>
  <c r="I2420" i="29"/>
  <c r="H1369" i="29"/>
  <c r="L89" i="29"/>
  <c r="H448" i="29"/>
  <c r="J2254" i="29"/>
  <c r="K1886" i="29"/>
  <c r="K1638" i="29"/>
  <c r="M1390" i="29"/>
  <c r="L1166" i="29"/>
  <c r="J966" i="29"/>
  <c r="K766" i="29"/>
  <c r="I590" i="29"/>
  <c r="M430" i="29"/>
  <c r="K286" i="29"/>
  <c r="M118" i="29"/>
  <c r="H2478" i="29"/>
  <c r="G2249" i="29"/>
  <c r="M1623" i="29"/>
  <c r="F1448" i="29"/>
  <c r="L2221" i="29"/>
  <c r="M2061" i="29"/>
  <c r="H1877" i="29"/>
  <c r="L1757" i="29"/>
  <c r="L1645" i="29"/>
  <c r="G1541" i="29"/>
  <c r="K1445" i="29"/>
  <c r="I97" i="29"/>
  <c r="G1359" i="29"/>
  <c r="K559" i="29"/>
  <c r="G2391" i="29"/>
  <c r="L1369" i="29"/>
  <c r="I2368" i="29"/>
  <c r="L400" i="29"/>
  <c r="L2238" i="29"/>
  <c r="I1870" i="29"/>
  <c r="G1630" i="29"/>
  <c r="J1382" i="29"/>
  <c r="K1166" i="29"/>
  <c r="H950" i="29"/>
  <c r="G758" i="29"/>
  <c r="F582" i="29"/>
  <c r="J422" i="29"/>
  <c r="G246" i="29"/>
  <c r="F110" i="29"/>
  <c r="H2468" i="29"/>
  <c r="G2233" i="29"/>
  <c r="J2296" i="29"/>
  <c r="M1448" i="29"/>
  <c r="L2205" i="29"/>
  <c r="M2021" i="29"/>
  <c r="M1869" i="29"/>
  <c r="G1749" i="29"/>
  <c r="G1637" i="29"/>
  <c r="K1541" i="29"/>
  <c r="I1445" i="29"/>
  <c r="L1357" i="29"/>
  <c r="F1261" i="29"/>
  <c r="F1189" i="29"/>
  <c r="F1109" i="29"/>
  <c r="M1029" i="29"/>
  <c r="L965" i="29"/>
  <c r="K901" i="29"/>
  <c r="H853" i="29"/>
  <c r="L789" i="29"/>
  <c r="J741" i="29"/>
  <c r="K685" i="29"/>
  <c r="L637" i="29"/>
  <c r="G589" i="29"/>
  <c r="F533" i="29"/>
  <c r="L485" i="29"/>
  <c r="F437" i="29"/>
  <c r="L381" i="29"/>
  <c r="J333" i="29"/>
  <c r="H285" i="29"/>
  <c r="K229" i="29"/>
  <c r="G189" i="29"/>
  <c r="F141" i="29"/>
  <c r="L93" i="29"/>
  <c r="G2577" i="29"/>
  <c r="G2523" i="29"/>
  <c r="G2471" i="29"/>
  <c r="G2427" i="29"/>
  <c r="J2341" i="29"/>
  <c r="G2263" i="29"/>
  <c r="H2131" i="29"/>
  <c r="H2019" i="29"/>
  <c r="G1902" i="29"/>
  <c r="K2233" i="29"/>
  <c r="L1937" i="29"/>
  <c r="H1657" i="29"/>
  <c r="F1529" i="29"/>
  <c r="M1361" i="29"/>
  <c r="F1233" i="29"/>
  <c r="I1065" i="29"/>
  <c r="J937" i="29"/>
  <c r="K825" i="29"/>
  <c r="G697" i="29"/>
  <c r="K569" i="29"/>
  <c r="M2200" i="29"/>
  <c r="L1319" i="29"/>
  <c r="L543" i="29"/>
  <c r="J2364" i="29"/>
  <c r="L1273" i="29"/>
  <c r="I2120" i="29"/>
  <c r="F384" i="29"/>
  <c r="M2222" i="29"/>
  <c r="L1870" i="29"/>
  <c r="I1622" i="29"/>
  <c r="K1382" i="29"/>
  <c r="L1150" i="29"/>
  <c r="K934" i="29"/>
  <c r="G742" i="29"/>
  <c r="M566" i="29"/>
  <c r="J398" i="29"/>
  <c r="L230" i="29"/>
  <c r="J78" i="29"/>
  <c r="H2462" i="29"/>
  <c r="G2193" i="29"/>
  <c r="K2248" i="29"/>
  <c r="M1408" i="29"/>
  <c r="I2181" i="29"/>
  <c r="J2005" i="29"/>
  <c r="I1845" i="29"/>
  <c r="L1733" i="29"/>
  <c r="M1637" i="29"/>
  <c r="J1525" i="29"/>
  <c r="I1437" i="29"/>
  <c r="I1341" i="29"/>
  <c r="M298" i="29"/>
  <c r="F927" i="29"/>
  <c r="J1809" i="29"/>
  <c r="H568" i="29"/>
  <c r="L1878" i="29"/>
  <c r="M1382" i="29"/>
  <c r="M934" i="29"/>
  <c r="F502" i="29"/>
  <c r="F150" i="29"/>
  <c r="H2301" i="29"/>
  <c r="I1544" i="29"/>
  <c r="K2013" i="29"/>
  <c r="F1725" i="29"/>
  <c r="M1501" i="29"/>
  <c r="I1309" i="29"/>
  <c r="F1157" i="29"/>
  <c r="H1021" i="29"/>
  <c r="M901" i="29"/>
  <c r="I797" i="29"/>
  <c r="H701" i="29"/>
  <c r="H597" i="29"/>
  <c r="H501" i="29"/>
  <c r="K413" i="29"/>
  <c r="H333" i="29"/>
  <c r="M229" i="29"/>
  <c r="I141" i="29"/>
  <c r="G2582" i="29"/>
  <c r="G2488" i="29"/>
  <c r="J2377" i="29"/>
  <c r="H2203" i="29"/>
  <c r="F2001" i="29"/>
  <c r="I2193" i="29"/>
  <c r="I1657" i="29"/>
  <c r="H1361" i="29"/>
  <c r="K1129" i="29"/>
  <c r="J857" i="29"/>
  <c r="K625" i="29"/>
  <c r="M409" i="29"/>
  <c r="J193" i="29"/>
  <c r="I2000" i="29"/>
  <c r="L1656" i="29"/>
  <c r="M1376" i="29"/>
  <c r="I1088" i="29"/>
  <c r="H944" i="29"/>
  <c r="H808" i="29"/>
  <c r="J712" i="29"/>
  <c r="F512" i="29"/>
  <c r="L216" i="29"/>
  <c r="L2036" i="29"/>
  <c r="K1956" i="29"/>
  <c r="I1884" i="29"/>
  <c r="L1828" i="29"/>
  <c r="I1772" i="29"/>
  <c r="H1724" i="29"/>
  <c r="F1676" i="29"/>
  <c r="F1628" i="29"/>
  <c r="J1588" i="29"/>
  <c r="J1548" i="29"/>
  <c r="J1508" i="29"/>
  <c r="G1468" i="29"/>
  <c r="L1436" i="29"/>
  <c r="G1388" i="29"/>
  <c r="I1356" i="29"/>
  <c r="J1316" i="29"/>
  <c r="F1276" i="29"/>
  <c r="H1236" i="29"/>
  <c r="G1204" i="29"/>
  <c r="F1164" i="29"/>
  <c r="L1124" i="29"/>
  <c r="M1092" i="29"/>
  <c r="F1052" i="29"/>
  <c r="K1012" i="29"/>
  <c r="G980" i="29"/>
  <c r="J940" i="29"/>
  <c r="J900" i="29"/>
  <c r="F868" i="29"/>
  <c r="L836" i="29"/>
  <c r="H796" i="29"/>
  <c r="M764" i="29"/>
  <c r="G724" i="29"/>
  <c r="K692" i="29"/>
  <c r="H652" i="29"/>
  <c r="F620" i="29"/>
  <c r="G588" i="29"/>
  <c r="J548" i="29"/>
  <c r="I508" i="29"/>
  <c r="L476" i="29"/>
  <c r="G444" i="29"/>
  <c r="H404" i="29"/>
  <c r="K372" i="29"/>
  <c r="M332" i="29"/>
  <c r="H300" i="29"/>
  <c r="G260" i="29"/>
  <c r="F228" i="29"/>
  <c r="L196" i="29"/>
  <c r="F156" i="29"/>
  <c r="H116" i="29"/>
  <c r="I84" i="29"/>
  <c r="F2582" i="29"/>
  <c r="F2537" i="29"/>
  <c r="F2499" i="29"/>
  <c r="F2461" i="29"/>
  <c r="F2424" i="29"/>
  <c r="H2357" i="29"/>
  <c r="F2269" i="29"/>
  <c r="F2126" i="29"/>
  <c r="H1992" i="29"/>
  <c r="J1852" i="29"/>
  <c r="M1479" i="29"/>
  <c r="I2129" i="29"/>
  <c r="I1913" i="29"/>
  <c r="F1753" i="29"/>
  <c r="L1601" i="29"/>
  <c r="G1473" i="29"/>
  <c r="K1385" i="29"/>
  <c r="K1249" i="29"/>
  <c r="K1145" i="29"/>
  <c r="F1009" i="29"/>
  <c r="J881" i="29"/>
  <c r="M777" i="29"/>
  <c r="I641" i="29"/>
  <c r="M553" i="29"/>
  <c r="L425" i="29"/>
  <c r="I313" i="29"/>
  <c r="M185" i="29"/>
  <c r="L113" i="29"/>
  <c r="I2416" i="29"/>
  <c r="L2072" i="29"/>
  <c r="K1816" i="29"/>
  <c r="F1616" i="29"/>
  <c r="M1472" i="29"/>
  <c r="K1264" i="29"/>
  <c r="I1072" i="29"/>
  <c r="M968" i="29"/>
  <c r="J2489" i="29"/>
  <c r="M2213" i="29"/>
  <c r="J2300" i="29"/>
  <c r="I2244" i="29"/>
  <c r="L2204" i="29"/>
  <c r="J2156" i="29"/>
  <c r="M2116" i="29"/>
  <c r="K2068" i="29"/>
  <c r="I2339" i="29"/>
  <c r="L2267" i="29"/>
  <c r="K2219" i="29"/>
  <c r="I2171" i="29"/>
  <c r="L2131" i="29"/>
  <c r="J2083" i="29"/>
  <c r="M2043" i="29"/>
  <c r="K1995" i="29"/>
  <c r="I1947" i="29"/>
  <c r="L1907" i="29"/>
  <c r="I1859" i="29"/>
  <c r="K1827" i="29"/>
  <c r="G1795" i="29"/>
  <c r="K1771" i="29"/>
  <c r="G1739" i="29"/>
  <c r="K1715" i="29"/>
  <c r="H1683" i="29"/>
  <c r="J1651" i="29"/>
  <c r="L1619" i="29"/>
  <c r="I1587" i="29"/>
  <c r="H1555" i="29"/>
  <c r="H1523" i="29"/>
  <c r="J1499" i="29"/>
  <c r="I1467" i="29"/>
  <c r="J1435" i="29"/>
  <c r="G1403" i="29"/>
  <c r="I130" i="29"/>
  <c r="J919" i="29"/>
  <c r="F1769" i="29"/>
  <c r="L504" i="29"/>
  <c r="J1870" i="29"/>
  <c r="G1374" i="29"/>
  <c r="K870" i="29"/>
  <c r="K494" i="29"/>
  <c r="I150" i="29"/>
  <c r="H2295" i="29"/>
  <c r="K1448" i="29"/>
  <c r="M2013" i="29"/>
  <c r="H1725" i="29"/>
  <c r="G1485" i="29"/>
  <c r="J1301" i="29"/>
  <c r="K1149" i="29"/>
  <c r="G1021" i="29"/>
  <c r="H901" i="29"/>
  <c r="K789" i="29"/>
  <c r="K693" i="29"/>
  <c r="J597" i="29"/>
  <c r="J501" i="29"/>
  <c r="F413" i="29"/>
  <c r="I333" i="29"/>
  <c r="I229" i="29"/>
  <c r="J141" i="29"/>
  <c r="G2580" i="29"/>
  <c r="G2486" i="29"/>
  <c r="L2374" i="29"/>
  <c r="H2195" i="29"/>
  <c r="F1953" i="29"/>
  <c r="J2193" i="29"/>
  <c r="J1657" i="29"/>
  <c r="J1361" i="29"/>
  <c r="L1089" i="29"/>
  <c r="K857" i="29"/>
  <c r="H625" i="29"/>
  <c r="L385" i="29"/>
  <c r="K193" i="29"/>
  <c r="K2000" i="29"/>
  <c r="L1608" i="29"/>
  <c r="F1376" i="29"/>
  <c r="J1088" i="29"/>
  <c r="F944" i="29"/>
  <c r="M808" i="29"/>
  <c r="H712" i="29"/>
  <c r="G512" i="29"/>
  <c r="M216" i="29"/>
  <c r="M2036" i="29"/>
  <c r="L1956" i="29"/>
  <c r="F1884" i="29"/>
  <c r="M1820" i="29"/>
  <c r="J1772" i="29"/>
  <c r="I1724" i="29"/>
  <c r="G1676" i="29"/>
  <c r="G1628" i="29"/>
  <c r="K1588" i="29"/>
  <c r="K1548" i="29"/>
  <c r="K1508" i="29"/>
  <c r="H1468" i="29"/>
  <c r="M1436" i="29"/>
  <c r="H1388" i="29"/>
  <c r="L1356" i="29"/>
  <c r="K1316" i="29"/>
  <c r="G1276" i="29"/>
  <c r="I1236" i="29"/>
  <c r="L1204" i="29"/>
  <c r="J1156" i="29"/>
  <c r="F1124" i="29"/>
  <c r="I1084" i="29"/>
  <c r="I1044" i="29"/>
  <c r="L1012" i="29"/>
  <c r="I972" i="29"/>
  <c r="G940" i="29"/>
  <c r="K900" i="29"/>
  <c r="I868" i="29"/>
  <c r="H836" i="29"/>
  <c r="M796" i="29"/>
  <c r="I764" i="29"/>
  <c r="I724" i="29"/>
  <c r="L692" i="29"/>
  <c r="K652" i="29"/>
  <c r="M620" i="29"/>
  <c r="I580" i="29"/>
  <c r="F548" i="29"/>
  <c r="F508" i="29"/>
  <c r="M476" i="29"/>
  <c r="H444" i="29"/>
  <c r="I404" i="29"/>
  <c r="F372" i="29"/>
  <c r="J332" i="29"/>
  <c r="I300" i="29"/>
  <c r="H260" i="29"/>
  <c r="H228" i="29"/>
  <c r="M188" i="29"/>
  <c r="K156" i="29"/>
  <c r="I116" i="29"/>
  <c r="J84" i="29"/>
  <c r="F2581" i="29"/>
  <c r="F2536" i="29"/>
  <c r="F2497" i="29"/>
  <c r="F2460" i="29"/>
  <c r="F2423" i="29"/>
  <c r="H2353" i="29"/>
  <c r="F2263" i="29"/>
  <c r="H2120" i="29"/>
  <c r="F1990" i="29"/>
  <c r="K1848" i="29"/>
  <c r="M1423" i="29"/>
  <c r="J2129" i="29"/>
  <c r="J1913" i="29"/>
  <c r="G1753" i="29"/>
  <c r="M1601" i="29"/>
  <c r="H1473" i="29"/>
  <c r="G1345" i="29"/>
  <c r="F1249" i="29"/>
  <c r="I1113" i="29"/>
  <c r="H1009" i="29"/>
  <c r="K881" i="29"/>
  <c r="J777" i="29"/>
  <c r="M641" i="29"/>
  <c r="G553" i="29"/>
  <c r="J425" i="29"/>
  <c r="J313" i="29"/>
  <c r="F185" i="29"/>
  <c r="M113" i="29"/>
  <c r="M2416" i="29"/>
  <c r="M2072" i="29"/>
  <c r="L1816" i="29"/>
  <c r="H1616" i="29"/>
  <c r="G1424" i="29"/>
  <c r="F1264" i="29"/>
  <c r="J1072" i="29"/>
  <c r="G968" i="29"/>
  <c r="J2488" i="29"/>
  <c r="I2404" i="29"/>
  <c r="L2300" i="29"/>
  <c r="J2244" i="29"/>
  <c r="M2204" i="29"/>
  <c r="K2156" i="29"/>
  <c r="I2108" i="29"/>
  <c r="L2068" i="29"/>
  <c r="M2339" i="29"/>
  <c r="M2267" i="29"/>
  <c r="L2219" i="29"/>
  <c r="J2171" i="29"/>
  <c r="M2131" i="29"/>
  <c r="K2083" i="29"/>
  <c r="I2035" i="29"/>
  <c r="L1995" i="29"/>
  <c r="J1947" i="29"/>
  <c r="M1907" i="29"/>
  <c r="K1859" i="29"/>
  <c r="L1827" i="29"/>
  <c r="H1795" i="29"/>
  <c r="L1771" i="29"/>
  <c r="H1739" i="29"/>
  <c r="L1715" i="29"/>
  <c r="I1683" i="29"/>
  <c r="H1994" i="29"/>
  <c r="M807" i="29"/>
  <c r="K1769" i="29"/>
  <c r="H424" i="29"/>
  <c r="K1870" i="29"/>
  <c r="I1326" i="29"/>
  <c r="M854" i="29"/>
  <c r="I478" i="29"/>
  <c r="L150" i="29"/>
  <c r="H2285" i="29"/>
  <c r="H1408" i="29"/>
  <c r="K2005" i="29"/>
  <c r="M1701" i="29"/>
  <c r="M1485" i="29"/>
  <c r="H1293" i="29"/>
  <c r="M1149" i="29"/>
  <c r="I1013" i="29"/>
  <c r="L901" i="29"/>
  <c r="F789" i="29"/>
  <c r="M685" i="29"/>
  <c r="K597" i="29"/>
  <c r="L501" i="29"/>
  <c r="H405" i="29"/>
  <c r="G309" i="29"/>
  <c r="J229" i="29"/>
  <c r="K141" i="29"/>
  <c r="G2579" i="29"/>
  <c r="G2483" i="29"/>
  <c r="J2373" i="29"/>
  <c r="G2190" i="29"/>
  <c r="G1950" i="29"/>
  <c r="K2193" i="29"/>
  <c r="L1657" i="29"/>
  <c r="I1361" i="29"/>
  <c r="F1089" i="29"/>
  <c r="M857" i="29"/>
  <c r="I593" i="29"/>
  <c r="M385" i="29"/>
  <c r="L193" i="29"/>
  <c r="L2000" i="29"/>
  <c r="F1608" i="29"/>
  <c r="F1336" i="29"/>
  <c r="M1088" i="29"/>
  <c r="H920" i="29"/>
  <c r="G808" i="29"/>
  <c r="L688" i="29"/>
  <c r="J472" i="29"/>
  <c r="F216" i="29"/>
  <c r="I2028" i="29"/>
  <c r="M1956" i="29"/>
  <c r="G1884" i="29"/>
  <c r="F1820" i="29"/>
  <c r="M1764" i="29"/>
  <c r="J1724" i="29"/>
  <c r="H1676" i="29"/>
  <c r="H1628" i="29"/>
  <c r="L1588" i="29"/>
  <c r="M1548" i="29"/>
  <c r="M1508" i="29"/>
  <c r="F1468" i="29"/>
  <c r="G1428" i="29"/>
  <c r="J1388" i="29"/>
  <c r="G1348" i="29"/>
  <c r="L1316" i="29"/>
  <c r="L1276" i="29"/>
  <c r="J1236" i="29"/>
  <c r="H1196" i="29"/>
  <c r="L1156" i="29"/>
  <c r="H1124" i="29"/>
  <c r="J1084" i="29"/>
  <c r="J1044" i="29"/>
  <c r="G1012" i="29"/>
  <c r="J972" i="29"/>
  <c r="I932" i="29"/>
  <c r="M900" i="29"/>
  <c r="L868" i="29"/>
  <c r="G836" i="29"/>
  <c r="I796" i="29"/>
  <c r="K756" i="29"/>
  <c r="J724" i="29"/>
  <c r="M692" i="29"/>
  <c r="L652" i="29"/>
  <c r="L620" i="29"/>
  <c r="K580" i="29"/>
  <c r="I540" i="29"/>
  <c r="G508" i="29"/>
  <c r="G476" i="29"/>
  <c r="I444" i="29"/>
  <c r="K404" i="29"/>
  <c r="L364" i="29"/>
  <c r="G332" i="29"/>
  <c r="J300" i="29"/>
  <c r="I260" i="29"/>
  <c r="J228" i="29"/>
  <c r="F188" i="29"/>
  <c r="M148" i="29"/>
  <c r="J116" i="29"/>
  <c r="K84" i="29"/>
  <c r="F2580" i="29"/>
  <c r="F2535" i="29"/>
  <c r="F2496" i="29"/>
  <c r="F2459" i="29"/>
  <c r="F2422" i="29"/>
  <c r="F2352" i="29"/>
  <c r="F2254" i="29"/>
  <c r="F2118" i="29"/>
  <c r="H1984" i="29"/>
  <c r="L1844" i="29"/>
  <c r="I1398" i="29"/>
  <c r="K2129" i="29"/>
  <c r="K1913" i="29"/>
  <c r="H1753" i="29"/>
  <c r="F1601" i="29"/>
  <c r="J1473" i="29"/>
  <c r="H1345" i="29"/>
  <c r="G1249" i="29"/>
  <c r="J1113" i="29"/>
  <c r="M1009" i="29"/>
  <c r="M881" i="29"/>
  <c r="H777" i="29"/>
  <c r="F641" i="29"/>
  <c r="H553" i="29"/>
  <c r="F425" i="29"/>
  <c r="K313" i="29"/>
  <c r="H185" i="29"/>
  <c r="K113" i="29"/>
  <c r="I2344" i="29"/>
  <c r="I2008" i="29"/>
  <c r="M1768" i="29"/>
  <c r="I1616" i="29"/>
  <c r="H1424" i="29"/>
  <c r="G1264" i="29"/>
  <c r="K1072" i="29"/>
  <c r="H968" i="29"/>
  <c r="F2280" i="29"/>
  <c r="M2404" i="29"/>
  <c r="M2300" i="29"/>
  <c r="K2244" i="29"/>
  <c r="I2196" i="29"/>
  <c r="L2156" i="29"/>
  <c r="J2108" i="29"/>
  <c r="M2068" i="29"/>
  <c r="I2331" i="29"/>
  <c r="I2259" i="29"/>
  <c r="M2219" i="29"/>
  <c r="K2171" i="29"/>
  <c r="I2123" i="29"/>
  <c r="J2370" i="29"/>
  <c r="J759" i="29"/>
  <c r="M1633" i="29"/>
  <c r="L384" i="29"/>
  <c r="M1862" i="29"/>
  <c r="G1286" i="29"/>
  <c r="K846" i="29"/>
  <c r="M478" i="29"/>
  <c r="F134" i="29"/>
  <c r="G2241" i="29"/>
  <c r="L1408" i="29"/>
  <c r="M2005" i="29"/>
  <c r="F1693" i="29"/>
  <c r="F1485" i="29"/>
  <c r="F1293" i="29"/>
  <c r="L1141" i="29"/>
  <c r="I1005" i="29"/>
  <c r="J893" i="29"/>
  <c r="G789" i="29"/>
  <c r="L685" i="29"/>
  <c r="K589" i="29"/>
  <c r="M501" i="29"/>
  <c r="I405" i="29"/>
  <c r="I309" i="29"/>
  <c r="G229" i="29"/>
  <c r="M141" i="29"/>
  <c r="G2576" i="29"/>
  <c r="G2480" i="29"/>
  <c r="G2372" i="29"/>
  <c r="F2177" i="29"/>
  <c r="H1939" i="29"/>
  <c r="K2097" i="29"/>
  <c r="M1657" i="29"/>
  <c r="K1361" i="29"/>
  <c r="H1089" i="29"/>
  <c r="G857" i="29"/>
  <c r="L593" i="29"/>
  <c r="G385" i="29"/>
  <c r="G193" i="29"/>
  <c r="M2000" i="29"/>
  <c r="H1608" i="29"/>
  <c r="G1336" i="29"/>
  <c r="I1056" i="29"/>
  <c r="F920" i="29"/>
  <c r="F808" i="29"/>
  <c r="M688" i="29"/>
  <c r="K472" i="29"/>
  <c r="M2405" i="29"/>
  <c r="J2020" i="29"/>
  <c r="I1948" i="29"/>
  <c r="H1884" i="29"/>
  <c r="H1820" i="29"/>
  <c r="F1764" i="29"/>
  <c r="G1716" i="29"/>
  <c r="I1676" i="29"/>
  <c r="M1628" i="29"/>
  <c r="G1580" i="29"/>
  <c r="L1548" i="29"/>
  <c r="G1500" i="29"/>
  <c r="K1468" i="29"/>
  <c r="H1428" i="29"/>
  <c r="F1388" i="29"/>
  <c r="J1348" i="29"/>
  <c r="M1316" i="29"/>
  <c r="M1276" i="29"/>
  <c r="F1236" i="29"/>
  <c r="I1196" i="29"/>
  <c r="K1156" i="29"/>
  <c r="M1124" i="29"/>
  <c r="K1084" i="29"/>
  <c r="K1044" i="29"/>
  <c r="F1012" i="29"/>
  <c r="K972" i="29"/>
  <c r="J932" i="29"/>
  <c r="F900" i="29"/>
  <c r="G868" i="29"/>
  <c r="J828" i="29"/>
  <c r="J796" i="29"/>
  <c r="F756" i="29"/>
  <c r="H724" i="29"/>
  <c r="K684" i="29"/>
  <c r="J652" i="29"/>
  <c r="I612" i="29"/>
  <c r="L580" i="29"/>
  <c r="J540" i="29"/>
  <c r="H508" i="29"/>
  <c r="H476" i="29"/>
  <c r="L436" i="29"/>
  <c r="F404" i="29"/>
  <c r="J364" i="29"/>
  <c r="H332" i="29"/>
  <c r="H292" i="29"/>
  <c r="L260" i="29"/>
  <c r="K220" i="29"/>
  <c r="H188" i="29"/>
  <c r="F148" i="29"/>
  <c r="M116" i="29"/>
  <c r="M84" i="29"/>
  <c r="F2579" i="29"/>
  <c r="F2534" i="29"/>
  <c r="F2495" i="29"/>
  <c r="F2457" i="29"/>
  <c r="F2421" i="29"/>
  <c r="K2350" i="29"/>
  <c r="H2248" i="29"/>
  <c r="H2112" i="29"/>
  <c r="F1982" i="29"/>
  <c r="L1841" i="29"/>
  <c r="L1364" i="29"/>
  <c r="L2129" i="29"/>
  <c r="L1913" i="29"/>
  <c r="I1753" i="29"/>
  <c r="I1601" i="29"/>
  <c r="K1473" i="29"/>
  <c r="I1345" i="29"/>
  <c r="L1249" i="29"/>
  <c r="L1113" i="29"/>
  <c r="G1009" i="29"/>
  <c r="F881" i="29"/>
  <c r="I777" i="29"/>
  <c r="H641" i="29"/>
  <c r="F553" i="29"/>
  <c r="G425" i="29"/>
  <c r="L313" i="29"/>
  <c r="L185" i="29"/>
  <c r="G113" i="29"/>
  <c r="M2344" i="29"/>
  <c r="J2008" i="29"/>
  <c r="F1768" i="29"/>
  <c r="J1616" i="29"/>
  <c r="J1424" i="29"/>
  <c r="M1264" i="29"/>
  <c r="L1072" i="29"/>
  <c r="F968" i="29"/>
  <c r="G1889" i="29"/>
  <c r="I2396" i="29"/>
  <c r="I2292" i="29"/>
  <c r="L2244" i="29"/>
  <c r="J2196" i="29"/>
  <c r="M2156" i="29"/>
  <c r="K2108" i="29"/>
  <c r="I1996" i="29"/>
  <c r="M2331" i="29"/>
  <c r="J2259" i="29"/>
  <c r="I2211" i="29"/>
  <c r="L2171" i="29"/>
  <c r="J2123" i="29"/>
  <c r="M2083" i="29"/>
  <c r="K2035" i="29"/>
  <c r="I1987" i="29"/>
  <c r="L1947" i="29"/>
  <c r="J1899" i="29"/>
  <c r="F1859" i="29"/>
  <c r="F1819" i="29"/>
  <c r="J1795" i="29"/>
  <c r="F1763" i="29"/>
  <c r="J1739" i="29"/>
  <c r="F1707" i="29"/>
  <c r="L1683" i="29"/>
  <c r="H1651" i="29"/>
  <c r="J1619" i="29"/>
  <c r="M1024" i="29"/>
  <c r="L751" i="29"/>
  <c r="M1369" i="29"/>
  <c r="M384" i="29"/>
  <c r="F1798" i="29"/>
  <c r="H1278" i="29"/>
  <c r="L846" i="29"/>
  <c r="F470" i="29"/>
  <c r="L126" i="29"/>
  <c r="H2230" i="29"/>
  <c r="M1352" i="29"/>
  <c r="L1965" i="29"/>
  <c r="J1693" i="29"/>
  <c r="G1477" i="29"/>
  <c r="M1293" i="29"/>
  <c r="F1141" i="29"/>
  <c r="J1005" i="29"/>
  <c r="K893" i="29"/>
  <c r="J789" i="29"/>
  <c r="F677" i="29"/>
  <c r="F589" i="29"/>
  <c r="I493" i="29"/>
  <c r="L397" i="29"/>
  <c r="L309" i="29"/>
  <c r="G221" i="29"/>
  <c r="J133" i="29"/>
  <c r="G2567" i="29"/>
  <c r="G2472" i="29"/>
  <c r="L2366" i="29"/>
  <c r="G2174" i="29"/>
  <c r="G1934" i="29"/>
  <c r="L2049" i="29"/>
  <c r="K1625" i="29"/>
  <c r="L1361" i="29"/>
  <c r="J1065" i="29"/>
  <c r="L857" i="29"/>
  <c r="M593" i="29"/>
  <c r="H385" i="29"/>
  <c r="F193" i="29"/>
  <c r="I1960" i="29"/>
  <c r="M1608" i="29"/>
  <c r="I1288" i="29"/>
  <c r="J1056" i="29"/>
  <c r="J896" i="29"/>
  <c r="J808" i="29"/>
  <c r="F648" i="29"/>
  <c r="L472" i="29"/>
  <c r="I2381" i="29"/>
  <c r="K2020" i="29"/>
  <c r="K1940" i="29"/>
  <c r="F1876" i="29"/>
  <c r="I1820" i="29"/>
  <c r="G1764" i="29"/>
  <c r="H1716" i="29"/>
  <c r="J1676" i="29"/>
  <c r="K1620" i="29"/>
  <c r="I1580" i="29"/>
  <c r="G1540" i="29"/>
  <c r="H1500" i="29"/>
  <c r="M1468" i="29"/>
  <c r="J1428" i="29"/>
  <c r="K1388" i="29"/>
  <c r="K1348" i="29"/>
  <c r="F1308" i="29"/>
  <c r="H1268" i="29"/>
  <c r="L1236" i="29"/>
  <c r="J1196" i="29"/>
  <c r="M1156" i="29"/>
  <c r="I1116" i="29"/>
  <c r="L1084" i="29"/>
  <c r="L1044" i="29"/>
  <c r="I1004" i="29"/>
  <c r="L972" i="29"/>
  <c r="K932" i="29"/>
  <c r="G900" i="29"/>
  <c r="H868" i="29"/>
  <c r="K828" i="29"/>
  <c r="K788" i="29"/>
  <c r="G756" i="29"/>
  <c r="M724" i="29"/>
  <c r="L684" i="29"/>
  <c r="M652" i="29"/>
  <c r="G612" i="29"/>
  <c r="M580" i="29"/>
  <c r="K540" i="29"/>
  <c r="J508" i="29"/>
  <c r="F476" i="29"/>
  <c r="J436" i="29"/>
  <c r="L396" i="29"/>
  <c r="G364" i="29"/>
  <c r="I332" i="29"/>
  <c r="I292" i="29"/>
  <c r="K260" i="29"/>
  <c r="L220" i="29"/>
  <c r="G188" i="29"/>
  <c r="G148" i="29"/>
  <c r="F116" i="29"/>
  <c r="L84" i="29"/>
  <c r="F2577" i="29"/>
  <c r="F2533" i="29"/>
  <c r="F2494" i="29"/>
  <c r="F2456" i="29"/>
  <c r="F2420" i="29"/>
  <c r="H2345" i="29"/>
  <c r="F2246" i="29"/>
  <c r="F2110" i="29"/>
  <c r="H1976" i="29"/>
  <c r="F1838" i="29"/>
  <c r="L1260" i="29"/>
  <c r="M2129" i="29"/>
  <c r="M1913" i="29"/>
  <c r="J1753" i="29"/>
  <c r="J1601" i="29"/>
  <c r="L1473" i="29"/>
  <c r="J1345" i="29"/>
  <c r="M1249" i="29"/>
  <c r="F1113" i="29"/>
  <c r="I985" i="29"/>
  <c r="H881" i="29"/>
  <c r="K745" i="29"/>
  <c r="J641" i="29"/>
  <c r="I513" i="29"/>
  <c r="H425" i="29"/>
  <c r="M281" i="29"/>
  <c r="G185" i="29"/>
  <c r="F81" i="29"/>
  <c r="I2312" i="29"/>
  <c r="K2008" i="29"/>
  <c r="G1768" i="29"/>
  <c r="M1616" i="29"/>
  <c r="I1424" i="29"/>
  <c r="L1264" i="29"/>
  <c r="G1072" i="29"/>
  <c r="I928" i="29"/>
  <c r="K1824" i="29"/>
  <c r="M2396" i="29"/>
  <c r="J2292" i="29"/>
  <c r="M2244" i="29"/>
  <c r="K2196" i="29"/>
  <c r="I2148" i="29"/>
  <c r="L2108" i="29"/>
  <c r="J1996" i="29"/>
  <c r="I2323" i="29"/>
  <c r="L2259" i="29"/>
  <c r="J2211" i="29"/>
  <c r="M2171" i="29"/>
  <c r="K2123" i="29"/>
  <c r="I2075" i="29"/>
  <c r="L2035" i="29"/>
  <c r="J1987" i="29"/>
  <c r="M1947" i="29"/>
  <c r="K1899" i="29"/>
  <c r="M1851" i="29"/>
  <c r="H1819" i="29"/>
  <c r="K1795" i="29"/>
  <c r="G1763" i="29"/>
  <c r="K1739" i="29"/>
  <c r="G1707" i="29"/>
  <c r="K1675" i="29"/>
  <c r="K1643" i="29"/>
  <c r="H984" i="29"/>
  <c r="F687" i="29"/>
  <c r="F1337" i="29"/>
  <c r="G384" i="29"/>
  <c r="M1758" i="29"/>
  <c r="J1262" i="29"/>
  <c r="M822" i="29"/>
  <c r="H470" i="29"/>
  <c r="F118" i="29"/>
  <c r="H2198" i="29"/>
  <c r="F1312" i="29"/>
  <c r="M1965" i="29"/>
  <c r="L1693" i="29"/>
  <c r="F1477" i="29"/>
  <c r="H1285" i="29"/>
  <c r="M1125" i="29"/>
  <c r="H989" i="29"/>
  <c r="J885" i="29"/>
  <c r="M789" i="29"/>
  <c r="G677" i="29"/>
  <c r="H589" i="29"/>
  <c r="G485" i="29"/>
  <c r="M397" i="29"/>
  <c r="F301" i="29"/>
  <c r="F221" i="29"/>
  <c r="K133" i="29"/>
  <c r="G2566" i="29"/>
  <c r="G2470" i="29"/>
  <c r="G2344" i="29"/>
  <c r="H2171" i="29"/>
  <c r="F1929" i="29"/>
  <c r="J2017" i="29"/>
  <c r="J1625" i="29"/>
  <c r="F1361" i="29"/>
  <c r="K1065" i="29"/>
  <c r="J825" i="29"/>
  <c r="J593" i="29"/>
  <c r="K385" i="29"/>
  <c r="K153" i="29"/>
  <c r="J1960" i="29"/>
  <c r="G1608" i="29"/>
  <c r="J1288" i="29"/>
  <c r="K1056" i="29"/>
  <c r="M896" i="29"/>
  <c r="K792" i="29"/>
  <c r="H648" i="29"/>
  <c r="M472" i="29"/>
  <c r="M2381" i="29"/>
  <c r="L2020" i="29"/>
  <c r="L1940" i="29"/>
  <c r="G1876" i="29"/>
  <c r="L1820" i="29"/>
  <c r="H1764" i="29"/>
  <c r="I1716" i="29"/>
  <c r="L1676" i="29"/>
  <c r="L1620" i="29"/>
  <c r="J1580" i="29"/>
  <c r="H1540" i="29"/>
  <c r="F1500" i="29"/>
  <c r="L1468" i="29"/>
  <c r="F1428" i="29"/>
  <c r="I1388" i="29"/>
  <c r="L1348" i="29"/>
  <c r="G1308" i="29"/>
  <c r="I1268" i="29"/>
  <c r="G1236" i="29"/>
  <c r="K1196" i="29"/>
  <c r="G1156" i="29"/>
  <c r="J1116" i="29"/>
  <c r="G1084" i="29"/>
  <c r="G1044" i="29"/>
  <c r="J1004" i="29"/>
  <c r="M972" i="29"/>
  <c r="L932" i="29"/>
  <c r="L900" i="29"/>
  <c r="J860" i="29"/>
  <c r="H828" i="29"/>
  <c r="L788" i="29"/>
  <c r="H756" i="29"/>
  <c r="K724" i="29"/>
  <c r="J684" i="29"/>
  <c r="I652" i="29"/>
  <c r="H612" i="29"/>
  <c r="H580" i="29"/>
  <c r="L540" i="29"/>
  <c r="M508" i="29"/>
  <c r="I468" i="29"/>
  <c r="H436" i="29"/>
  <c r="M396" i="29"/>
  <c r="H364" i="29"/>
  <c r="K332" i="29"/>
  <c r="L292" i="29"/>
  <c r="J260" i="29"/>
  <c r="M220" i="29"/>
  <c r="I188" i="29"/>
  <c r="H148" i="29"/>
  <c r="G116" i="29"/>
  <c r="F76" i="29"/>
  <c r="F2571" i="29"/>
  <c r="F2532" i="29"/>
  <c r="F2493" i="29"/>
  <c r="F2455" i="29"/>
  <c r="K2414" i="29"/>
  <c r="F2336" i="29"/>
  <c r="H2240" i="29"/>
  <c r="H2104" i="29"/>
  <c r="F1974" i="29"/>
  <c r="K1832" i="29"/>
  <c r="I2417" i="29"/>
  <c r="I2089" i="29"/>
  <c r="M1873" i="29"/>
  <c r="K1753" i="29"/>
  <c r="G1601" i="29"/>
  <c r="M1473" i="29"/>
  <c r="F1345" i="29"/>
  <c r="H1217" i="29"/>
  <c r="K1113" i="29"/>
  <c r="J985" i="29"/>
  <c r="I881" i="29"/>
  <c r="L745" i="29"/>
  <c r="L641" i="29"/>
  <c r="K513" i="29"/>
  <c r="M425" i="29"/>
  <c r="F281" i="29"/>
  <c r="K185" i="29"/>
  <c r="G81" i="29"/>
  <c r="M2312" i="29"/>
  <c r="L2008" i="29"/>
  <c r="H1768" i="29"/>
  <c r="G1616" i="29"/>
  <c r="K1424" i="29"/>
  <c r="H1216" i="29"/>
  <c r="H1072" i="29"/>
  <c r="J928" i="29"/>
  <c r="L1777" i="29"/>
  <c r="I2388" i="29"/>
  <c r="L2292" i="29"/>
  <c r="I2236" i="29"/>
  <c r="L2196" i="29"/>
  <c r="J2148" i="29"/>
  <c r="M2108" i="29"/>
  <c r="K1996" i="29"/>
  <c r="M2323" i="29"/>
  <c r="M2259" i="29"/>
  <c r="K2211" i="29"/>
  <c r="I2163" i="29"/>
  <c r="L2123" i="29"/>
  <c r="J2075" i="29"/>
  <c r="M2035" i="29"/>
  <c r="L169" i="29"/>
  <c r="L551" i="29"/>
  <c r="M993" i="29"/>
  <c r="L160" i="29"/>
  <c r="F1734" i="29"/>
  <c r="L1222" i="29"/>
  <c r="H790" i="29"/>
  <c r="K406" i="29"/>
  <c r="L78" i="29"/>
  <c r="G2009" i="29"/>
  <c r="I2397" i="29"/>
  <c r="K1901" i="29"/>
  <c r="I1661" i="29"/>
  <c r="L1445" i="29"/>
  <c r="J1261" i="29"/>
  <c r="K1117" i="29"/>
  <c r="M981" i="29"/>
  <c r="I869" i="29"/>
  <c r="K773" i="29"/>
  <c r="K677" i="29"/>
  <c r="H573" i="29"/>
  <c r="M485" i="29"/>
  <c r="H389" i="29"/>
  <c r="L301" i="29"/>
  <c r="M197" i="29"/>
  <c r="F109" i="29"/>
  <c r="G2555" i="29"/>
  <c r="G2467" i="29"/>
  <c r="J2337" i="29"/>
  <c r="G2134" i="29"/>
  <c r="H1915" i="29"/>
  <c r="I1969" i="29"/>
  <c r="K1585" i="29"/>
  <c r="K1297" i="29"/>
  <c r="H1065" i="29"/>
  <c r="I825" i="29"/>
  <c r="G569" i="29"/>
  <c r="K361" i="29"/>
  <c r="L105" i="29"/>
  <c r="M1960" i="29"/>
  <c r="F1560" i="29"/>
  <c r="M1288" i="29"/>
  <c r="H1056" i="29"/>
  <c r="K888" i="29"/>
  <c r="H792" i="29"/>
  <c r="I648" i="29"/>
  <c r="H472" i="29"/>
  <c r="M2333" i="29"/>
  <c r="J2012" i="29"/>
  <c r="K1932" i="29"/>
  <c r="I1868" i="29"/>
  <c r="F1804" i="29"/>
  <c r="M1756" i="29"/>
  <c r="F1708" i="29"/>
  <c r="M1668" i="29"/>
  <c r="H1620" i="29"/>
  <c r="F1580" i="29"/>
  <c r="H1532" i="29"/>
  <c r="K1500" i="29"/>
  <c r="F1460" i="29"/>
  <c r="F1420" i="29"/>
  <c r="G1380" i="29"/>
  <c r="G1340" i="29"/>
  <c r="I1300" i="29"/>
  <c r="F1268" i="29"/>
  <c r="J1228" i="29"/>
  <c r="K1188" i="29"/>
  <c r="I1156" i="29"/>
  <c r="H1116" i="29"/>
  <c r="G1076" i="29"/>
  <c r="F1044" i="29"/>
  <c r="G1004" i="29"/>
  <c r="M964" i="29"/>
  <c r="H932" i="29"/>
  <c r="K892" i="29"/>
  <c r="F860" i="29"/>
  <c r="M820" i="29"/>
  <c r="H788" i="29"/>
  <c r="I756" i="29"/>
  <c r="G716" i="29"/>
  <c r="F676" i="29"/>
  <c r="K644" i="29"/>
  <c r="L612" i="29"/>
  <c r="H572" i="29"/>
  <c r="G540" i="29"/>
  <c r="F500" i="29"/>
  <c r="K97" i="29"/>
  <c r="G535" i="29"/>
  <c r="H721" i="29"/>
  <c r="M112" i="29"/>
  <c r="J1694" i="29"/>
  <c r="F1214" i="29"/>
  <c r="K758" i="29"/>
  <c r="L398" i="29"/>
  <c r="J62" i="29"/>
  <c r="G2001" i="29"/>
  <c r="I2373" i="29"/>
  <c r="M1893" i="29"/>
  <c r="L1653" i="29"/>
  <c r="H1437" i="29"/>
  <c r="M1261" i="29"/>
  <c r="J1109" i="29"/>
  <c r="G981" i="29"/>
  <c r="H869" i="29"/>
  <c r="L757" i="29"/>
  <c r="M669" i="29"/>
  <c r="J573" i="29"/>
  <c r="I477" i="29"/>
  <c r="I389" i="29"/>
  <c r="J293" i="29"/>
  <c r="H197" i="29"/>
  <c r="H109" i="29"/>
  <c r="G2553" i="29"/>
  <c r="G2465" i="29"/>
  <c r="G2336" i="29"/>
  <c r="G2126" i="29"/>
  <c r="H1907" i="29"/>
  <c r="J1969" i="29"/>
  <c r="L1585" i="29"/>
  <c r="L1297" i="29"/>
  <c r="F1033" i="29"/>
  <c r="G825" i="29"/>
  <c r="J569" i="29"/>
  <c r="K329" i="29"/>
  <c r="K2449" i="29"/>
  <c r="L1888" i="29"/>
  <c r="H1560" i="29"/>
  <c r="H1248" i="29"/>
  <c r="M1056" i="29"/>
  <c r="M888" i="29"/>
  <c r="I792" i="29"/>
  <c r="L648" i="29"/>
  <c r="M440" i="29"/>
  <c r="I2309" i="29"/>
  <c r="K2012" i="29"/>
  <c r="L1932" i="29"/>
  <c r="F1868" i="29"/>
  <c r="G1804" i="29"/>
  <c r="F1756" i="29"/>
  <c r="G1708" i="29"/>
  <c r="K1660" i="29"/>
  <c r="J1620" i="29"/>
  <c r="H1580" i="29"/>
  <c r="F1532" i="29"/>
  <c r="M1500" i="29"/>
  <c r="I1460" i="29"/>
  <c r="K1420" i="29"/>
  <c r="H1380" i="29"/>
  <c r="H1340" i="29"/>
  <c r="J1300" i="29"/>
  <c r="G1268" i="29"/>
  <c r="K1228" i="29"/>
  <c r="M1188" i="29"/>
  <c r="J1148" i="29"/>
  <c r="G1116" i="29"/>
  <c r="H1076" i="29"/>
  <c r="I1036" i="29"/>
  <c r="H1004" i="29"/>
  <c r="F964" i="29"/>
  <c r="G932" i="29"/>
  <c r="M892" i="29"/>
  <c r="I860" i="29"/>
  <c r="F820" i="29"/>
  <c r="I788" i="29"/>
  <c r="K748" i="29"/>
  <c r="L716" i="29"/>
  <c r="G676" i="29"/>
  <c r="L644" i="29"/>
  <c r="M612" i="29"/>
  <c r="J572" i="29"/>
  <c r="F540" i="29"/>
  <c r="G500" i="29"/>
  <c r="K136" i="29"/>
  <c r="M239" i="29"/>
  <c r="M561" i="29"/>
  <c r="I2382" i="29"/>
  <c r="K1654" i="29"/>
  <c r="K1158" i="29"/>
  <c r="F734" i="29"/>
  <c r="M366" i="29"/>
  <c r="H2552" i="29"/>
  <c r="G1945" i="29"/>
  <c r="J2269" i="29"/>
  <c r="J1877" i="29"/>
  <c r="J1637" i="29"/>
  <c r="M1437" i="29"/>
  <c r="K1253" i="29"/>
  <c r="I1093" i="29"/>
  <c r="K965" i="29"/>
  <c r="I861" i="29"/>
  <c r="H757" i="29"/>
  <c r="L653" i="29"/>
  <c r="K557" i="29"/>
  <c r="M477" i="29"/>
  <c r="J373" i="29"/>
  <c r="G277" i="29"/>
  <c r="F189" i="29"/>
  <c r="M109" i="29"/>
  <c r="G2535" i="29"/>
  <c r="G2448" i="29"/>
  <c r="L2318" i="29"/>
  <c r="G2118" i="29"/>
  <c r="L1893" i="29"/>
  <c r="K1937" i="29"/>
  <c r="M1561" i="29"/>
  <c r="G1265" i="29"/>
  <c r="F1001" i="29"/>
  <c r="L761" i="29"/>
  <c r="J537" i="29"/>
  <c r="F329" i="29"/>
  <c r="I2360" i="29"/>
  <c r="H1840" i="29"/>
  <c r="I1560" i="29"/>
  <c r="G1248" i="29"/>
  <c r="F1032" i="29"/>
  <c r="G888" i="29"/>
  <c r="K760" i="29"/>
  <c r="F616" i="29"/>
  <c r="G408" i="29"/>
  <c r="M2277" i="29"/>
  <c r="I2004" i="29"/>
  <c r="J1924" i="29"/>
  <c r="M1860" i="29"/>
  <c r="J1804" i="29"/>
  <c r="M1748" i="29"/>
  <c r="J1708" i="29"/>
  <c r="H1660" i="29"/>
  <c r="G1612" i="29"/>
  <c r="I1572" i="29"/>
  <c r="K1532" i="29"/>
  <c r="I1492" i="29"/>
  <c r="M1460" i="29"/>
  <c r="H1412" i="29"/>
  <c r="L1380" i="29"/>
  <c r="K1340" i="29"/>
  <c r="G1300" i="29"/>
  <c r="J1260" i="29"/>
  <c r="G1228" i="29"/>
  <c r="L1188" i="29"/>
  <c r="F1148" i="29"/>
  <c r="I1108" i="29"/>
  <c r="I1068" i="29"/>
  <c r="H1036" i="29"/>
  <c r="I996" i="29"/>
  <c r="I956" i="29"/>
  <c r="L924" i="29"/>
  <c r="H892" i="29"/>
  <c r="I852" i="29"/>
  <c r="H820" i="29"/>
  <c r="L780" i="29"/>
  <c r="G748" i="29"/>
  <c r="H708" i="29"/>
  <c r="L676" i="29"/>
  <c r="I644" i="29"/>
  <c r="H1799" i="29"/>
  <c r="I2568" i="29"/>
  <c r="H177" i="29"/>
  <c r="J2230" i="29"/>
  <c r="K1614" i="29"/>
  <c r="I1062" i="29"/>
  <c r="L654" i="29"/>
  <c r="L310" i="29"/>
  <c r="H2503" i="29"/>
  <c r="I2336" i="29"/>
  <c r="K2189" i="29"/>
  <c r="F1829" i="29"/>
  <c r="K1589" i="29"/>
  <c r="I1397" i="29"/>
  <c r="K1213" i="29"/>
  <c r="J1069" i="29"/>
  <c r="J949" i="29"/>
  <c r="J845" i="29"/>
  <c r="I749" i="29"/>
  <c r="L645" i="29"/>
  <c r="I549" i="29"/>
  <c r="F453" i="29"/>
  <c r="G365" i="29"/>
  <c r="J277" i="29"/>
  <c r="K189" i="29"/>
  <c r="F85" i="29"/>
  <c r="G2526" i="29"/>
  <c r="G2435" i="29"/>
  <c r="G2291" i="29"/>
  <c r="F2073" i="29"/>
  <c r="G1685" i="29"/>
  <c r="M1857" i="29"/>
  <c r="H1497" i="29"/>
  <c r="M1233" i="29"/>
  <c r="F969" i="29"/>
  <c r="L729" i="29"/>
  <c r="H505" i="29"/>
  <c r="M289" i="29"/>
  <c r="M2288" i="29"/>
  <c r="K1792" i="29"/>
  <c r="I1464" i="29"/>
  <c r="M1200" i="29"/>
  <c r="G1000" i="29"/>
  <c r="F864" i="29"/>
  <c r="J760" i="29"/>
  <c r="K616" i="29"/>
  <c r="M368" i="29"/>
  <c r="M2412" i="29"/>
  <c r="J1980" i="29"/>
  <c r="K1916" i="29"/>
  <c r="M1844" i="29"/>
  <c r="H1796" i="29"/>
  <c r="I1748" i="29"/>
  <c r="F1692" i="29"/>
  <c r="L1652" i="29"/>
  <c r="M1612" i="29"/>
  <c r="F1564" i="29"/>
  <c r="H1524" i="29"/>
  <c r="L1492" i="29"/>
  <c r="L1452" i="29"/>
  <c r="L1412" i="29"/>
  <c r="J1372" i="29"/>
  <c r="L1332" i="29"/>
  <c r="I1292" i="29"/>
  <c r="M1260" i="29"/>
  <c r="H1212" i="29"/>
  <c r="K1180" i="29"/>
  <c r="L1140" i="29"/>
  <c r="J1100" i="29"/>
  <c r="G1068" i="29"/>
  <c r="J1028" i="29"/>
  <c r="J988" i="29"/>
  <c r="M956" i="29"/>
  <c r="G924" i="29"/>
  <c r="K884" i="29"/>
  <c r="J844" i="29"/>
  <c r="H812" i="29"/>
  <c r="J780" i="29"/>
  <c r="K740" i="29"/>
  <c r="J708" i="29"/>
  <c r="G668" i="29"/>
  <c r="J636" i="29"/>
  <c r="M596" i="29"/>
  <c r="H564" i="29"/>
  <c r="G532" i="29"/>
  <c r="F492" i="29"/>
  <c r="H1607" i="29"/>
  <c r="I2556" i="29"/>
  <c r="J1649" i="29"/>
  <c r="L2222" i="29"/>
  <c r="G1566" i="29"/>
  <c r="I1054" i="29"/>
  <c r="I646" i="29"/>
  <c r="J302" i="29"/>
  <c r="H2483" i="29"/>
  <c r="L2296" i="29"/>
  <c r="L2181" i="29"/>
  <c r="M1813" i="29"/>
  <c r="G1581" i="29"/>
  <c r="F1381" i="29"/>
  <c r="G1213" i="29"/>
  <c r="K1069" i="29"/>
  <c r="K949" i="29"/>
  <c r="K845" i="29"/>
  <c r="M741" i="29"/>
  <c r="J637" i="29"/>
  <c r="K549" i="29"/>
  <c r="L445" i="29"/>
  <c r="H357" i="29"/>
  <c r="I261" i="29"/>
  <c r="J181" i="29"/>
  <c r="G85" i="29"/>
  <c r="G2524" i="29"/>
  <c r="G2431" i="29"/>
  <c r="G2289" i="29"/>
  <c r="G2070" i="29"/>
  <c r="M1664" i="29"/>
  <c r="K1857" i="29"/>
  <c r="J1497" i="29"/>
  <c r="L1233" i="29"/>
  <c r="H969" i="29"/>
  <c r="M729" i="29"/>
  <c r="I473" i="29"/>
  <c r="K289" i="29"/>
  <c r="I2232" i="29"/>
  <c r="M1744" i="29"/>
  <c r="K1464" i="29"/>
  <c r="F1200" i="29"/>
  <c r="M1000" i="29"/>
  <c r="I864" i="29"/>
  <c r="M760" i="29"/>
  <c r="I584" i="29"/>
  <c r="J368" i="29"/>
  <c r="I2060" i="29"/>
  <c r="K1980" i="29"/>
  <c r="L1916" i="29"/>
  <c r="I1844" i="29"/>
  <c r="M1788" i="29"/>
  <c r="J1748" i="29"/>
  <c r="G1692" i="29"/>
  <c r="H1652" i="29"/>
  <c r="K1604" i="29"/>
  <c r="H1564" i="29"/>
  <c r="J1524" i="29"/>
  <c r="G1484" i="29"/>
  <c r="G1444" i="29"/>
  <c r="G1404" i="29"/>
  <c r="F1372" i="29"/>
  <c r="M1332" i="29"/>
  <c r="F1292" i="29"/>
  <c r="H1252" i="29"/>
  <c r="I1212" i="29"/>
  <c r="G1180" i="29"/>
  <c r="K1140" i="29"/>
  <c r="K1100" i="29"/>
  <c r="F1068" i="29"/>
  <c r="K1028" i="29"/>
  <c r="K988" i="29"/>
  <c r="H956" i="29"/>
  <c r="I916" i="29"/>
  <c r="L884" i="29"/>
  <c r="K844" i="29"/>
  <c r="L812" i="29"/>
  <c r="M780" i="29"/>
  <c r="I740" i="29"/>
  <c r="I708" i="29"/>
  <c r="H668" i="29"/>
  <c r="K636" i="29"/>
  <c r="F596" i="29"/>
  <c r="F564" i="29"/>
  <c r="I524" i="29"/>
  <c r="L492" i="29"/>
  <c r="H452" i="29"/>
  <c r="H420" i="29"/>
  <c r="K388" i="29"/>
  <c r="I348" i="29"/>
  <c r="F316" i="29"/>
  <c r="G276" i="29"/>
  <c r="F244" i="29"/>
  <c r="M204" i="29"/>
  <c r="J172" i="29"/>
  <c r="H132" i="29"/>
  <c r="L100" i="29"/>
  <c r="G60" i="29"/>
  <c r="F2556" i="29"/>
  <c r="F2517" i="29"/>
  <c r="F2473" i="29"/>
  <c r="F2437" i="29"/>
  <c r="K2382" i="29"/>
  <c r="F2305" i="29"/>
  <c r="F2190" i="29"/>
  <c r="F2054" i="29"/>
  <c r="H1920" i="29"/>
  <c r="L1716" i="29"/>
  <c r="M2249" i="29"/>
  <c r="M2009" i="29"/>
  <c r="J1825" i="29"/>
  <c r="J1673" i="29"/>
  <c r="K1537" i="29"/>
  <c r="M1409" i="29"/>
  <c r="H1281" i="29"/>
  <c r="M1177" i="29"/>
  <c r="J1049" i="29"/>
  <c r="F953" i="29"/>
  <c r="I817" i="29"/>
  <c r="L713" i="29"/>
  <c r="K585" i="29"/>
  <c r="L481" i="29"/>
  <c r="M353" i="29"/>
  <c r="L249" i="29"/>
  <c r="I1591" i="29"/>
  <c r="L2401" i="29"/>
  <c r="L2176" i="29"/>
  <c r="M2150" i="29"/>
  <c r="M1510" i="29"/>
  <c r="H1046" i="29"/>
  <c r="I630" i="29"/>
  <c r="H286" i="29"/>
  <c r="H2464" i="29"/>
  <c r="I2160" i="29"/>
  <c r="K2117" i="29"/>
  <c r="K1789" i="29"/>
  <c r="M1581" i="29"/>
  <c r="K1381" i="29"/>
  <c r="H1197" i="29"/>
  <c r="M1061" i="29"/>
  <c r="K933" i="29"/>
  <c r="I837" i="29"/>
  <c r="F733" i="29"/>
  <c r="M637" i="29"/>
  <c r="K533" i="29"/>
  <c r="F445" i="29"/>
  <c r="H349" i="29"/>
  <c r="M253" i="29"/>
  <c r="H165" i="29"/>
  <c r="J85" i="29"/>
  <c r="G2520" i="29"/>
  <c r="G2428" i="29"/>
  <c r="G2271" i="29"/>
  <c r="F2041" i="29"/>
  <c r="L1480" i="29"/>
  <c r="M1777" i="29"/>
  <c r="L1497" i="29"/>
  <c r="I1193" i="29"/>
  <c r="K937" i="29"/>
  <c r="J729" i="29"/>
  <c r="K473" i="29"/>
  <c r="H257" i="29"/>
  <c r="K2232" i="29"/>
  <c r="G1744" i="29"/>
  <c r="G1416" i="29"/>
  <c r="L1200" i="29"/>
  <c r="L976" i="29"/>
  <c r="H864" i="29"/>
  <c r="F744" i="29"/>
  <c r="L584" i="29"/>
  <c r="G368" i="29"/>
  <c r="K2060" i="29"/>
  <c r="M1980" i="29"/>
  <c r="I1908" i="29"/>
  <c r="G1844" i="29"/>
  <c r="G1788" i="29"/>
  <c r="F1740" i="29"/>
  <c r="I1692" i="29"/>
  <c r="J1652" i="29"/>
  <c r="F1604" i="29"/>
  <c r="G1556" i="29"/>
  <c r="M1524" i="29"/>
  <c r="F1484" i="29"/>
  <c r="F1444" i="29"/>
  <c r="J1404" i="29"/>
  <c r="I1372" i="29"/>
  <c r="G1324" i="29"/>
  <c r="L1292" i="29"/>
  <c r="J1252" i="29"/>
  <c r="K1212" i="29"/>
  <c r="H1172" i="29"/>
  <c r="G1140" i="29"/>
  <c r="G1100" i="29"/>
  <c r="J1060" i="29"/>
  <c r="G1028" i="29"/>
  <c r="M988" i="29"/>
  <c r="I948" i="29"/>
  <c r="K916" i="29"/>
  <c r="K876" i="29"/>
  <c r="F844" i="29"/>
  <c r="I812" i="29"/>
  <c r="K772" i="29"/>
  <c r="M740" i="29"/>
  <c r="H700" i="29"/>
  <c r="M1471" i="29"/>
  <c r="G2379" i="29"/>
  <c r="I2080" i="29"/>
  <c r="M2078" i="29"/>
  <c r="G1494" i="29"/>
  <c r="G1038" i="29"/>
  <c r="L630" i="29"/>
  <c r="M278" i="29"/>
  <c r="H2463" i="29"/>
  <c r="J2160" i="29"/>
  <c r="L2117" i="29"/>
  <c r="L1789" i="29"/>
  <c r="L1557" i="29"/>
  <c r="F1365" i="29"/>
  <c r="I1197" i="29"/>
  <c r="J1053" i="29"/>
  <c r="H933" i="29"/>
  <c r="M821" i="29"/>
  <c r="H733" i="29"/>
  <c r="G637" i="29"/>
  <c r="M533" i="29"/>
  <c r="I445" i="29"/>
  <c r="L341" i="29"/>
  <c r="F253" i="29"/>
  <c r="L165" i="29"/>
  <c r="K85" i="29"/>
  <c r="G2519" i="29"/>
  <c r="G2425" i="29"/>
  <c r="G2267" i="29"/>
  <c r="G2038" i="29"/>
  <c r="F1432" i="29"/>
  <c r="H1777" i="29"/>
  <c r="K1465" i="29"/>
  <c r="K1193" i="29"/>
  <c r="L937" i="29"/>
  <c r="F697" i="29"/>
  <c r="H473" i="29"/>
  <c r="I257" i="29"/>
  <c r="L2232" i="29"/>
  <c r="H1744" i="29"/>
  <c r="H1416" i="29"/>
  <c r="H1168" i="29"/>
  <c r="H976" i="29"/>
  <c r="G840" i="29"/>
  <c r="G744" i="29"/>
  <c r="M584" i="29"/>
  <c r="H368" i="29"/>
  <c r="L2060" i="29"/>
  <c r="K1972" i="29"/>
  <c r="J1908" i="29"/>
  <c r="H1844" i="29"/>
  <c r="H1788" i="29"/>
  <c r="G1740" i="29"/>
  <c r="J1692" i="29"/>
  <c r="K1644" i="29"/>
  <c r="G1604" i="29"/>
  <c r="I1556" i="29"/>
  <c r="L1524" i="29"/>
  <c r="I1484" i="29"/>
  <c r="I1444" i="29"/>
  <c r="F1404" i="29"/>
  <c r="L1372" i="29"/>
  <c r="H1324" i="29"/>
  <c r="M1292" i="29"/>
  <c r="K1252" i="29"/>
  <c r="M1212" i="29"/>
  <c r="I1172" i="29"/>
  <c r="F1140" i="29"/>
  <c r="H1100" i="29"/>
  <c r="K1060" i="29"/>
  <c r="H1028" i="29"/>
  <c r="F988" i="29"/>
  <c r="J948" i="29"/>
  <c r="L916" i="29"/>
  <c r="M876" i="29"/>
  <c r="I844" i="29"/>
  <c r="J812" i="29"/>
  <c r="L772" i="29"/>
  <c r="F732" i="29"/>
  <c r="K700" i="29"/>
  <c r="J668" i="29"/>
  <c r="K628" i="29"/>
  <c r="J596" i="29"/>
  <c r="K556" i="29"/>
  <c r="H524" i="29"/>
  <c r="M1343" i="29"/>
  <c r="F2151" i="29"/>
  <c r="H1232" i="29"/>
  <c r="I2030" i="29"/>
  <c r="I1446" i="29"/>
  <c r="M974" i="29"/>
  <c r="I574" i="29"/>
  <c r="M230" i="29"/>
  <c r="H2368" i="29"/>
  <c r="K1784" i="29"/>
  <c r="J2077" i="29"/>
  <c r="K1773" i="29"/>
  <c r="J1541" i="29"/>
  <c r="M1357" i="29"/>
  <c r="G1189" i="29"/>
  <c r="L1037" i="29"/>
  <c r="L925" i="29"/>
  <c r="L821" i="29"/>
  <c r="H709" i="29"/>
  <c r="M629" i="29"/>
  <c r="F525" i="29"/>
  <c r="M429" i="29"/>
  <c r="L333" i="29"/>
  <c r="K253" i="29"/>
  <c r="G157" i="29"/>
  <c r="L69" i="29"/>
  <c r="G2499" i="29"/>
  <c r="J2417" i="29"/>
  <c r="G2259" i="29"/>
  <c r="G2022" i="29"/>
  <c r="L2273" i="29"/>
  <c r="M1745" i="29"/>
  <c r="M1433" i="29"/>
  <c r="I1161" i="29"/>
  <c r="G937" i="29"/>
  <c r="K697" i="29"/>
  <c r="G1311" i="29"/>
  <c r="G1916" i="29"/>
  <c r="G704" i="29"/>
  <c r="M1966" i="29"/>
  <c r="K1446" i="29"/>
  <c r="L966" i="29"/>
  <c r="M574" i="29"/>
  <c r="I230" i="29"/>
  <c r="K2365" i="29"/>
  <c r="H1688" i="29"/>
  <c r="M2077" i="29"/>
  <c r="H1765" i="29"/>
  <c r="M1541" i="29"/>
  <c r="G1341" i="29"/>
  <c r="H1181" i="29"/>
  <c r="L1029" i="29"/>
  <c r="M925" i="29"/>
  <c r="F813" i="29"/>
  <c r="K709" i="29"/>
  <c r="L613" i="29"/>
  <c r="G525" i="29"/>
  <c r="I429" i="29"/>
  <c r="M333" i="29"/>
  <c r="G245" i="29"/>
  <c r="G149" i="29"/>
  <c r="F61" i="29"/>
  <c r="G2497" i="29"/>
  <c r="G2416" i="29"/>
  <c r="F2257" i="29"/>
  <c r="G2014" i="29"/>
  <c r="I2233" i="29"/>
  <c r="F1745" i="29"/>
  <c r="L1433" i="29"/>
  <c r="L1129" i="29"/>
  <c r="J889" i="29"/>
  <c r="F657" i="29"/>
  <c r="I441" i="29"/>
  <c r="G225" i="29"/>
  <c r="L2088" i="29"/>
  <c r="L1744" i="29"/>
  <c r="F1416" i="29"/>
  <c r="L1136" i="29"/>
  <c r="K944" i="29"/>
  <c r="G824" i="29"/>
  <c r="L991" i="29"/>
  <c r="M2305" i="29"/>
  <c r="F592" i="29"/>
  <c r="L1926" i="29"/>
  <c r="L1382" i="29"/>
  <c r="L934" i="29"/>
  <c r="J936" i="29"/>
  <c r="K369" i="29"/>
  <c r="L1494" i="29"/>
  <c r="F510" i="29"/>
  <c r="H2182" i="29"/>
  <c r="G1885" i="29"/>
  <c r="L1405" i="29"/>
  <c r="H1061" i="29"/>
  <c r="H821" i="29"/>
  <c r="M605" i="29"/>
  <c r="K397" i="29"/>
  <c r="I197" i="29"/>
  <c r="G2534" i="29"/>
  <c r="G2308" i="29"/>
  <c r="K1398" i="29"/>
  <c r="G1401" i="29"/>
  <c r="I889" i="29"/>
  <c r="L361" i="29"/>
  <c r="K1960" i="29"/>
  <c r="K1288" i="29"/>
  <c r="H896" i="29"/>
  <c r="I712" i="29"/>
  <c r="I328" i="29"/>
  <c r="K1964" i="29"/>
  <c r="M1836" i="29"/>
  <c r="H1748" i="29"/>
  <c r="I1660" i="29"/>
  <c r="M1580" i="29"/>
  <c r="I1500" i="29"/>
  <c r="K1436" i="29"/>
  <c r="J1356" i="29"/>
  <c r="I1284" i="29"/>
  <c r="J1212" i="29"/>
  <c r="I1148" i="29"/>
  <c r="F1076" i="29"/>
  <c r="L1004" i="29"/>
  <c r="I940" i="29"/>
  <c r="H876" i="29"/>
  <c r="G804" i="29"/>
  <c r="G732" i="29"/>
  <c r="F668" i="29"/>
  <c r="K612" i="29"/>
  <c r="J556" i="29"/>
  <c r="I492" i="29"/>
  <c r="J444" i="29"/>
  <c r="K396" i="29"/>
  <c r="H348" i="29"/>
  <c r="J308" i="29"/>
  <c r="H252" i="29"/>
  <c r="L204" i="29"/>
  <c r="K164" i="29"/>
  <c r="I108" i="29"/>
  <c r="F60" i="29"/>
  <c r="F2548" i="29"/>
  <c r="F2488" i="29"/>
  <c r="F2438" i="29"/>
  <c r="F2368" i="29"/>
  <c r="H2224" i="29"/>
  <c r="H2056" i="29"/>
  <c r="L1876" i="29"/>
  <c r="I2321" i="29"/>
  <c r="L2009" i="29"/>
  <c r="I1793" i="29"/>
  <c r="I1569" i="29"/>
  <c r="J1409" i="29"/>
  <c r="M1281" i="29"/>
  <c r="J1081" i="29"/>
  <c r="M953" i="29"/>
  <c r="K777" i="29"/>
  <c r="L609" i="29"/>
  <c r="K481" i="29"/>
  <c r="M313" i="29"/>
  <c r="F161" i="29"/>
  <c r="I65" i="29"/>
  <c r="J2128" i="29"/>
  <c r="J1816" i="29"/>
  <c r="I1568" i="29"/>
  <c r="F1304" i="29"/>
  <c r="L1112" i="29"/>
  <c r="L928" i="29"/>
  <c r="M2341" i="29"/>
  <c r="I2332" i="29"/>
  <c r="K2252" i="29"/>
  <c r="K2188" i="29"/>
  <c r="J2132" i="29"/>
  <c r="I2076" i="29"/>
  <c r="M2347" i="29"/>
  <c r="I2243" i="29"/>
  <c r="M2195" i="29"/>
  <c r="L2139" i="29"/>
  <c r="K2075" i="29"/>
  <c r="I2019" i="29"/>
  <c r="K1971" i="29"/>
  <c r="M1923" i="29"/>
  <c r="I1867" i="29"/>
  <c r="J1827" i="29"/>
  <c r="F1787" i="29"/>
  <c r="F1755" i="29"/>
  <c r="F1723" i="29"/>
  <c r="G1691" i="29"/>
  <c r="L1659" i="29"/>
  <c r="G1627" i="29"/>
  <c r="J1587" i="29"/>
  <c r="J1555" i="29"/>
  <c r="K1523" i="29"/>
  <c r="H1491" i="29"/>
  <c r="G1459" i="29"/>
  <c r="G1427" i="29"/>
  <c r="I1403" i="29"/>
  <c r="K1371" i="29"/>
  <c r="G1339" i="29"/>
  <c r="M1315" i="29"/>
  <c r="J1283" i="29"/>
  <c r="L1259" i="29"/>
  <c r="J1227" i="29"/>
  <c r="G1203" i="29"/>
  <c r="J1171" i="29"/>
  <c r="F1147" i="29"/>
  <c r="L1115" i="29"/>
  <c r="M1091" i="29"/>
  <c r="K1059" i="29"/>
  <c r="G1035" i="29"/>
  <c r="K1003" i="29"/>
  <c r="G979" i="29"/>
  <c r="K947" i="29"/>
  <c r="G923" i="29"/>
  <c r="M891" i="29"/>
  <c r="H867" i="29"/>
  <c r="M835" i="29"/>
  <c r="H811" i="29"/>
  <c r="F779" i="29"/>
  <c r="H755" i="29"/>
  <c r="L723" i="29"/>
  <c r="J699" i="29"/>
  <c r="H667" i="29"/>
  <c r="J643" i="29"/>
  <c r="G611" i="29"/>
  <c r="J587" i="29"/>
  <c r="K555" i="29"/>
  <c r="H531" i="29"/>
  <c r="F499" i="29"/>
  <c r="G475" i="29"/>
  <c r="H443" i="29"/>
  <c r="I419" i="29"/>
  <c r="J387" i="29"/>
  <c r="I363" i="29"/>
  <c r="J331" i="29"/>
  <c r="K307" i="29"/>
  <c r="G275" i="29"/>
  <c r="H251" i="29"/>
  <c r="M219" i="29"/>
  <c r="K195" i="29"/>
  <c r="G163" i="29"/>
  <c r="F139" i="29"/>
  <c r="I107" i="29"/>
  <c r="M83" i="29"/>
  <c r="L2403" i="29"/>
  <c r="J2358" i="29"/>
  <c r="G2313" i="29"/>
  <c r="F2243" i="29"/>
  <c r="G2168" i="29"/>
  <c r="H2093" i="29"/>
  <c r="F2019" i="29"/>
  <c r="G1944" i="29"/>
  <c r="H1855" i="29"/>
  <c r="L1545" i="29"/>
  <c r="L337" i="29"/>
  <c r="M1446" i="29"/>
  <c r="J454" i="29"/>
  <c r="H1966" i="29"/>
  <c r="H1853" i="29"/>
  <c r="F1397" i="29"/>
  <c r="L1053" i="29"/>
  <c r="H813" i="29"/>
  <c r="M597" i="29"/>
  <c r="F389" i="29"/>
  <c r="G197" i="29"/>
  <c r="G2533" i="29"/>
  <c r="G2287" i="29"/>
  <c r="M1270" i="29"/>
  <c r="H1401" i="29"/>
  <c r="M825" i="29"/>
  <c r="M361" i="29"/>
  <c r="L1960" i="29"/>
  <c r="L1288" i="29"/>
  <c r="J888" i="29"/>
  <c r="J648" i="29"/>
  <c r="J216" i="29"/>
  <c r="L1964" i="29"/>
  <c r="F1836" i="29"/>
  <c r="M1740" i="29"/>
  <c r="J1660" i="29"/>
  <c r="G1572" i="29"/>
  <c r="J1500" i="29"/>
  <c r="I1436" i="29"/>
  <c r="F1356" i="29"/>
  <c r="J1284" i="29"/>
  <c r="F1212" i="29"/>
  <c r="J1140" i="29"/>
  <c r="J1068" i="29"/>
  <c r="M1004" i="29"/>
  <c r="M932" i="29"/>
  <c r="J868" i="29"/>
  <c r="H804" i="29"/>
  <c r="H732" i="29"/>
  <c r="K668" i="29"/>
  <c r="I604" i="29"/>
  <c r="F556" i="29"/>
  <c r="I484" i="29"/>
  <c r="K444" i="29"/>
  <c r="F396" i="29"/>
  <c r="K348" i="29"/>
  <c r="M300" i="29"/>
  <c r="K252" i="29"/>
  <c r="F204" i="29"/>
  <c r="I164" i="29"/>
  <c r="J108" i="29"/>
  <c r="H60" i="29"/>
  <c r="F2547" i="29"/>
  <c r="F2487" i="29"/>
  <c r="F2436" i="29"/>
  <c r="K2366" i="29"/>
  <c r="F2222" i="29"/>
  <c r="H2048" i="29"/>
  <c r="F1870" i="29"/>
  <c r="M2321" i="29"/>
  <c r="I1977" i="29"/>
  <c r="J1793" i="29"/>
  <c r="K1569" i="29"/>
  <c r="I1409" i="29"/>
  <c r="H1249" i="29"/>
  <c r="K1081" i="29"/>
  <c r="G953" i="29"/>
  <c r="L777" i="29"/>
  <c r="K609" i="29"/>
  <c r="F481" i="29"/>
  <c r="F313" i="29"/>
  <c r="G161" i="29"/>
  <c r="J65" i="29"/>
  <c r="K2128" i="29"/>
  <c r="I1768" i="29"/>
  <c r="K1568" i="29"/>
  <c r="G1304" i="29"/>
  <c r="F1112" i="29"/>
  <c r="M928" i="29"/>
  <c r="I2317" i="29"/>
  <c r="M2332" i="29"/>
  <c r="L2252" i="29"/>
  <c r="L2188" i="29"/>
  <c r="K2132" i="29"/>
  <c r="J2076" i="29"/>
  <c r="I2315" i="29"/>
  <c r="J2243" i="29"/>
  <c r="I2187" i="29"/>
  <c r="M2139" i="29"/>
  <c r="L2075" i="29"/>
  <c r="J2019" i="29"/>
  <c r="L1971" i="29"/>
  <c r="I1915" i="29"/>
  <c r="K1867" i="29"/>
  <c r="M1819" i="29"/>
  <c r="G1787" i="29"/>
  <c r="G1755" i="29"/>
  <c r="G1723" i="29"/>
  <c r="H1691" i="29"/>
  <c r="K1651" i="29"/>
  <c r="K1619" i="29"/>
  <c r="K1587" i="29"/>
  <c r="K1555" i="29"/>
  <c r="L1523" i="29"/>
  <c r="F1491" i="29"/>
  <c r="H1459" i="29"/>
  <c r="H1427" i="29"/>
  <c r="G1395" i="29"/>
  <c r="L1371" i="29"/>
  <c r="H1339" i="29"/>
  <c r="K1315" i="29"/>
  <c r="K1283" i="29"/>
  <c r="M1259" i="29"/>
  <c r="K1227" i="29"/>
  <c r="L1203" i="29"/>
  <c r="K1171" i="29"/>
  <c r="G1147" i="29"/>
  <c r="H1115" i="29"/>
  <c r="F1091" i="29"/>
  <c r="L1059" i="29"/>
  <c r="M1035" i="29"/>
  <c r="L1003" i="29"/>
  <c r="H979" i="29"/>
  <c r="L947" i="29"/>
  <c r="H923" i="29"/>
  <c r="I891" i="29"/>
  <c r="L867" i="29"/>
  <c r="F835" i="29"/>
  <c r="I811" i="29"/>
  <c r="G779" i="29"/>
  <c r="I755" i="29"/>
  <c r="M723" i="29"/>
  <c r="M699" i="29"/>
  <c r="I667" i="29"/>
  <c r="M643" i="29"/>
  <c r="H611" i="29"/>
  <c r="G587" i="29"/>
  <c r="L555" i="29"/>
  <c r="G531" i="29"/>
  <c r="G499" i="29"/>
  <c r="H475" i="29"/>
  <c r="I443" i="29"/>
  <c r="K419" i="29"/>
  <c r="F387" i="29"/>
  <c r="K363" i="29"/>
  <c r="F331" i="29"/>
  <c r="L307" i="29"/>
  <c r="H275" i="29"/>
  <c r="I251" i="29"/>
  <c r="I219" i="29"/>
  <c r="J195" i="29"/>
  <c r="H163" i="29"/>
  <c r="G139" i="29"/>
  <c r="J107" i="29"/>
  <c r="L83" i="29"/>
  <c r="G2401" i="29"/>
  <c r="G2357" i="29"/>
  <c r="L2311" i="29"/>
  <c r="G2240" i="29"/>
  <c r="H2165" i="29"/>
  <c r="F2091" i="29"/>
  <c r="G2016" i="29"/>
  <c r="H1941" i="29"/>
  <c r="K2200" i="29"/>
  <c r="M305" i="29"/>
  <c r="M1422" i="29"/>
  <c r="L422" i="29"/>
  <c r="H1958" i="29"/>
  <c r="K1853" i="29"/>
  <c r="I1381" i="29"/>
  <c r="M1053" i="29"/>
  <c r="M813" i="29"/>
  <c r="G581" i="29"/>
  <c r="M381" i="29"/>
  <c r="H189" i="29"/>
  <c r="G2529" i="29"/>
  <c r="G2265" i="29"/>
  <c r="J2233" i="29"/>
  <c r="L1401" i="29"/>
  <c r="F825" i="29"/>
  <c r="L329" i="29"/>
  <c r="M1840" i="29"/>
  <c r="I1248" i="29"/>
  <c r="L888" i="29"/>
  <c r="K648" i="29"/>
  <c r="K216" i="29"/>
  <c r="M1964" i="29"/>
  <c r="H1836" i="29"/>
  <c r="G1732" i="29"/>
  <c r="K1652" i="29"/>
  <c r="J1572" i="29"/>
  <c r="H1492" i="29"/>
  <c r="K1428" i="29"/>
  <c r="K1356" i="29"/>
  <c r="K1284" i="29"/>
  <c r="G1212" i="29"/>
  <c r="M1140" i="29"/>
  <c r="K1068" i="29"/>
  <c r="F1004" i="29"/>
  <c r="F932" i="29"/>
  <c r="M868" i="29"/>
  <c r="L804" i="29"/>
  <c r="J732" i="29"/>
  <c r="L668" i="29"/>
  <c r="L604" i="29"/>
  <c r="G556" i="29"/>
  <c r="F484" i="29"/>
  <c r="M444" i="29"/>
  <c r="L388" i="29"/>
  <c r="F348" i="29"/>
  <c r="F300" i="29"/>
  <c r="J252" i="29"/>
  <c r="I204" i="29"/>
  <c r="J164" i="29"/>
  <c r="K108" i="29"/>
  <c r="I60" i="29"/>
  <c r="F2545" i="29"/>
  <c r="F2486" i="29"/>
  <c r="F2435" i="29"/>
  <c r="F2360" i="29"/>
  <c r="F2214" i="29"/>
  <c r="F2046" i="29"/>
  <c r="G1863" i="29"/>
  <c r="I2281" i="29"/>
  <c r="J1977" i="29"/>
  <c r="K1793" i="29"/>
  <c r="M1569" i="29"/>
  <c r="F1409" i="29"/>
  <c r="I1249" i="29"/>
  <c r="L1081" i="29"/>
  <c r="H953" i="29"/>
  <c r="F777" i="29"/>
  <c r="M609" i="29"/>
  <c r="G481" i="29"/>
  <c r="G313" i="29"/>
  <c r="H161" i="29"/>
  <c r="K65" i="29"/>
  <c r="L2128" i="29"/>
  <c r="J1768" i="29"/>
  <c r="L1568" i="29"/>
  <c r="H1304" i="29"/>
  <c r="G1112" i="29"/>
  <c r="G928" i="29"/>
  <c r="M2317" i="29"/>
  <c r="I2324" i="29"/>
  <c r="M2252" i="29"/>
  <c r="M2188" i="29"/>
  <c r="L2132" i="29"/>
  <c r="K2076" i="29"/>
  <c r="M2315" i="29"/>
  <c r="K2243" i="29"/>
  <c r="J2187" i="29"/>
  <c r="I2131" i="29"/>
  <c r="M2075" i="29"/>
  <c r="K2019" i="29"/>
  <c r="M1971" i="29"/>
  <c r="J1915" i="29"/>
  <c r="L1867" i="29"/>
  <c r="I1819" i="29"/>
  <c r="H1787" i="29"/>
  <c r="H1755" i="29"/>
  <c r="H1723" i="29"/>
  <c r="I1691" i="29"/>
  <c r="L1651" i="29"/>
  <c r="F1619" i="29"/>
  <c r="M1587" i="29"/>
  <c r="M1555" i="29"/>
  <c r="M1523" i="29"/>
  <c r="I1491" i="29"/>
  <c r="F1459" i="29"/>
  <c r="J1427" i="29"/>
  <c r="H1395" i="29"/>
  <c r="M1371" i="29"/>
  <c r="I1339" i="29"/>
  <c r="L1315" i="29"/>
  <c r="F1283" i="29"/>
  <c r="H1251" i="29"/>
  <c r="M1227" i="29"/>
  <c r="H1195" i="29"/>
  <c r="M1171" i="29"/>
  <c r="J1139" i="29"/>
  <c r="K1115" i="29"/>
  <c r="I1083" i="29"/>
  <c r="F1059" i="29"/>
  <c r="I1027" i="29"/>
  <c r="F1003" i="29"/>
  <c r="I971" i="29"/>
  <c r="M947" i="29"/>
  <c r="I915" i="29"/>
  <c r="L891" i="29"/>
  <c r="J859" i="29"/>
  <c r="I835" i="29"/>
  <c r="K803" i="29"/>
  <c r="M779" i="29"/>
  <c r="K747" i="29"/>
  <c r="H723" i="29"/>
  <c r="F691" i="29"/>
  <c r="K667" i="29"/>
  <c r="I635" i="29"/>
  <c r="M611" i="29"/>
  <c r="I579" i="29"/>
  <c r="M555" i="29"/>
  <c r="I523" i="29"/>
  <c r="H499" i="29"/>
  <c r="I467" i="29"/>
  <c r="K443" i="29"/>
  <c r="L411" i="29"/>
  <c r="G387" i="29"/>
  <c r="L355" i="29"/>
  <c r="G331" i="29"/>
  <c r="M299" i="29"/>
  <c r="I275" i="29"/>
  <c r="K243" i="29"/>
  <c r="K1648" i="29"/>
  <c r="K2176" i="29"/>
  <c r="I1390" i="29"/>
  <c r="G398" i="29"/>
  <c r="H1942" i="29"/>
  <c r="M1829" i="29"/>
  <c r="F1357" i="29"/>
  <c r="F1029" i="29"/>
  <c r="J797" i="29"/>
  <c r="H581" i="29"/>
  <c r="J381" i="29"/>
  <c r="I189" i="29"/>
  <c r="G2521" i="29"/>
  <c r="G2261" i="29"/>
  <c r="L2233" i="29"/>
  <c r="F1329" i="29"/>
  <c r="H825" i="29"/>
  <c r="I329" i="29"/>
  <c r="G1840" i="29"/>
  <c r="J1248" i="29"/>
  <c r="F888" i="29"/>
  <c r="M648" i="29"/>
  <c r="M2357" i="29"/>
  <c r="I1956" i="29"/>
  <c r="M1828" i="29"/>
  <c r="H1732" i="29"/>
  <c r="I1652" i="29"/>
  <c r="K1564" i="29"/>
  <c r="F1492" i="29"/>
  <c r="J1420" i="29"/>
  <c r="M1356" i="29"/>
  <c r="F1284" i="29"/>
  <c r="L1212" i="29"/>
  <c r="F1132" i="29"/>
  <c r="L1068" i="29"/>
  <c r="J996" i="29"/>
  <c r="I924" i="29"/>
  <c r="K860" i="29"/>
  <c r="F804" i="29"/>
  <c r="K732" i="29"/>
  <c r="M668" i="29"/>
  <c r="J604" i="29"/>
  <c r="I548" i="29"/>
  <c r="G484" i="29"/>
  <c r="F444" i="29"/>
  <c r="M388" i="29"/>
  <c r="L340" i="29"/>
  <c r="G300" i="29"/>
  <c r="I252" i="29"/>
  <c r="H204" i="29"/>
  <c r="M156" i="29"/>
  <c r="M108" i="29"/>
  <c r="J60" i="29"/>
  <c r="F2539" i="29"/>
  <c r="F2485" i="29"/>
  <c r="F2433" i="29"/>
  <c r="K2358" i="29"/>
  <c r="H2208" i="29"/>
  <c r="H2040" i="29"/>
  <c r="J1855" i="29"/>
  <c r="J2281" i="29"/>
  <c r="K1977" i="29"/>
  <c r="M1753" i="29"/>
  <c r="J1569" i="29"/>
  <c r="K1409" i="29"/>
  <c r="J1249" i="29"/>
  <c r="F1081" i="29"/>
  <c r="I921" i="29"/>
  <c r="G777" i="29"/>
  <c r="F609" i="29"/>
  <c r="L449" i="29"/>
  <c r="H313" i="29"/>
  <c r="I161" i="29"/>
  <c r="M65" i="29"/>
  <c r="M2128" i="29"/>
  <c r="K1768" i="29"/>
  <c r="G1520" i="29"/>
  <c r="I1304" i="29"/>
  <c r="H1112" i="29"/>
  <c r="H928" i="29"/>
  <c r="I2301" i="29"/>
  <c r="M2324" i="29"/>
  <c r="J2236" i="29"/>
  <c r="I2180" i="29"/>
  <c r="M2132" i="29"/>
  <c r="L2076" i="29"/>
  <c r="I2307" i="29"/>
  <c r="L2243" i="29"/>
  <c r="K2187" i="29"/>
  <c r="J2131" i="29"/>
  <c r="I2067" i="29"/>
  <c r="L2019" i="29"/>
  <c r="I1963" i="29"/>
  <c r="K1915" i="29"/>
  <c r="F1867" i="29"/>
  <c r="G1819" i="29"/>
  <c r="I1787" i="29"/>
  <c r="I1755" i="29"/>
  <c r="I1723" i="29"/>
  <c r="J1691" i="29"/>
  <c r="F1651" i="29"/>
  <c r="I1619" i="29"/>
  <c r="F1587" i="29"/>
  <c r="F1555" i="29"/>
  <c r="J1523" i="29"/>
  <c r="K1491" i="29"/>
  <c r="I1459" i="29"/>
  <c r="K1427" i="29"/>
  <c r="J1395" i="29"/>
  <c r="F1371" i="29"/>
  <c r="J1339" i="29"/>
  <c r="F1307" i="29"/>
  <c r="G1283" i="29"/>
  <c r="I1251" i="29"/>
  <c r="F1227" i="29"/>
  <c r="I1195" i="29"/>
  <c r="F1171" i="29"/>
  <c r="L1139" i="29"/>
  <c r="M1115" i="29"/>
  <c r="J1083" i="29"/>
  <c r="G1059" i="29"/>
  <c r="J1027" i="29"/>
  <c r="H1003" i="29"/>
  <c r="J971" i="29"/>
  <c r="F947" i="29"/>
  <c r="J915" i="29"/>
  <c r="F891" i="29"/>
  <c r="K859" i="29"/>
  <c r="G835" i="29"/>
  <c r="L803" i="29"/>
  <c r="J779" i="29"/>
  <c r="L747" i="29"/>
  <c r="I723" i="29"/>
  <c r="G691" i="29"/>
  <c r="L667" i="29"/>
  <c r="F635" i="29"/>
  <c r="L611" i="29"/>
  <c r="K579" i="29"/>
  <c r="G555" i="29"/>
  <c r="M523" i="29"/>
  <c r="K499" i="29"/>
  <c r="J467" i="29"/>
  <c r="M443" i="29"/>
  <c r="M411" i="29"/>
  <c r="H387" i="29"/>
  <c r="M355" i="29"/>
  <c r="H331" i="29"/>
  <c r="F299" i="29"/>
  <c r="L275" i="29"/>
  <c r="L243" i="29"/>
  <c r="J219" i="29"/>
  <c r="F187" i="29"/>
  <c r="I163" i="29"/>
  <c r="I131" i="29"/>
  <c r="M107" i="29"/>
  <c r="G75" i="29"/>
  <c r="J2398" i="29"/>
  <c r="G2353" i="29"/>
  <c r="G2309" i="29"/>
  <c r="F2235" i="29"/>
  <c r="G2160" i="29"/>
  <c r="H2085" i="29"/>
  <c r="F2011" i="29"/>
  <c r="G1936" i="29"/>
  <c r="K1844" i="29"/>
  <c r="J1983" i="29"/>
  <c r="G1680" i="29"/>
  <c r="F1262" i="29"/>
  <c r="K398" i="29"/>
  <c r="G1839" i="29"/>
  <c r="F1813" i="29"/>
  <c r="K1357" i="29"/>
  <c r="K1021" i="29"/>
  <c r="K781" i="29"/>
  <c r="G573" i="29"/>
  <c r="K373" i="29"/>
  <c r="J189" i="29"/>
  <c r="G2518" i="29"/>
  <c r="G2254" i="29"/>
  <c r="M2233" i="29"/>
  <c r="J1297" i="29"/>
  <c r="K761" i="29"/>
  <c r="G329" i="29"/>
  <c r="F1792" i="29"/>
  <c r="M1248" i="29"/>
  <c r="J864" i="29"/>
  <c r="M616" i="29"/>
  <c r="I2333" i="29"/>
  <c r="J1956" i="29"/>
  <c r="F1828" i="29"/>
  <c r="I1732" i="29"/>
  <c r="L1644" i="29"/>
  <c r="L1564" i="29"/>
  <c r="J1492" i="29"/>
  <c r="M1420" i="29"/>
  <c r="M1348" i="29"/>
  <c r="G1284" i="29"/>
  <c r="J1204" i="29"/>
  <c r="H1132" i="29"/>
  <c r="I1060" i="29"/>
  <c r="G996" i="29"/>
  <c r="K924" i="29"/>
  <c r="M860" i="29"/>
  <c r="G796" i="29"/>
  <c r="L732" i="29"/>
  <c r="I668" i="29"/>
  <c r="I596" i="29"/>
  <c r="M540" i="29"/>
  <c r="H484" i="29"/>
  <c r="L428" i="29"/>
  <c r="J388" i="29"/>
  <c r="M340" i="29"/>
  <c r="K292" i="29"/>
  <c r="K244" i="29"/>
  <c r="G204" i="29"/>
  <c r="I148" i="29"/>
  <c r="G108" i="29"/>
  <c r="M60" i="29"/>
  <c r="F2531" i="29"/>
  <c r="F2484" i="29"/>
  <c r="F2432" i="29"/>
  <c r="K2334" i="29"/>
  <c r="F2206" i="29"/>
  <c r="F2038" i="29"/>
  <c r="G1828" i="29"/>
  <c r="L2281" i="29"/>
  <c r="L1977" i="29"/>
  <c r="M1721" i="29"/>
  <c r="L1569" i="29"/>
  <c r="L1409" i="29"/>
  <c r="I1217" i="29"/>
  <c r="H1081" i="29"/>
  <c r="J921" i="29"/>
  <c r="F745" i="29"/>
  <c r="G609" i="29"/>
  <c r="J449" i="29"/>
  <c r="G281" i="29"/>
  <c r="L161" i="29"/>
  <c r="L65" i="29"/>
  <c r="I2072" i="29"/>
  <c r="L1768" i="29"/>
  <c r="H1520" i="29"/>
  <c r="J1304" i="29"/>
  <c r="M1112" i="29"/>
  <c r="F928" i="29"/>
  <c r="J2301" i="29"/>
  <c r="I2316" i="29"/>
  <c r="K2236" i="29"/>
  <c r="J2180" i="29"/>
  <c r="I2124" i="29"/>
  <c r="M2076" i="29"/>
  <c r="M2307" i="29"/>
  <c r="M2243" i="29"/>
  <c r="L2187" i="29"/>
  <c r="K2131" i="29"/>
  <c r="J2067" i="29"/>
  <c r="M2019" i="29"/>
  <c r="J1963" i="29"/>
  <c r="L1915" i="29"/>
  <c r="M1859" i="29"/>
  <c r="J1819" i="29"/>
  <c r="J1787" i="29"/>
  <c r="J1755" i="29"/>
  <c r="J1723" i="29"/>
  <c r="L1691" i="29"/>
  <c r="I1651" i="29"/>
  <c r="M1619" i="29"/>
  <c r="G1579" i="29"/>
  <c r="L1555" i="29"/>
  <c r="G1515" i="29"/>
  <c r="L1491" i="29"/>
  <c r="K1459" i="29"/>
  <c r="L1427" i="29"/>
  <c r="K1395" i="29"/>
  <c r="I1371" i="29"/>
  <c r="F1339" i="29"/>
  <c r="G1307" i="29"/>
  <c r="L1283" i="29"/>
  <c r="J1251" i="29"/>
  <c r="G1227" i="29"/>
  <c r="J1195" i="29"/>
  <c r="G1171" i="29"/>
  <c r="H1139" i="29"/>
  <c r="F1115" i="29"/>
  <c r="K1083" i="29"/>
  <c r="M1059" i="29"/>
  <c r="K1027" i="29"/>
  <c r="G1003" i="29"/>
  <c r="K971" i="29"/>
  <c r="G947" i="29"/>
  <c r="K915" i="29"/>
  <c r="G891" i="29"/>
  <c r="M859" i="29"/>
  <c r="H835" i="29"/>
  <c r="M803" i="29"/>
  <c r="H779" i="29"/>
  <c r="F747" i="29"/>
  <c r="K723" i="29"/>
  <c r="H691" i="29"/>
  <c r="J667" i="29"/>
  <c r="G635" i="29"/>
  <c r="J611" i="29"/>
  <c r="L579" i="29"/>
  <c r="H555" i="29"/>
  <c r="F523" i="29"/>
  <c r="L499" i="29"/>
  <c r="K467" i="29"/>
  <c r="F443" i="29"/>
  <c r="J411" i="29"/>
  <c r="K387" i="29"/>
  <c r="J355" i="29"/>
  <c r="K331" i="29"/>
  <c r="G299" i="29"/>
  <c r="K275" i="29"/>
  <c r="M243" i="29"/>
  <c r="G219" i="29"/>
  <c r="H187" i="29"/>
  <c r="J163" i="29"/>
  <c r="K131" i="29"/>
  <c r="G107" i="29"/>
  <c r="H75" i="29"/>
  <c r="G2397" i="29"/>
  <c r="L2351" i="29"/>
  <c r="L2307" i="29"/>
  <c r="G2232" i="29"/>
  <c r="H2157" i="29"/>
  <c r="F2083" i="29"/>
  <c r="G2008" i="29"/>
  <c r="H1933" i="29"/>
  <c r="L1840" i="29"/>
  <c r="K1526" i="29"/>
  <c r="J1943" i="29"/>
  <c r="M1296" i="29"/>
  <c r="F1222" i="29"/>
  <c r="G342" i="29"/>
  <c r="J1675" i="29"/>
  <c r="K1781" i="29"/>
  <c r="J1341" i="29"/>
  <c r="L1021" i="29"/>
  <c r="H781" i="29"/>
  <c r="I557" i="29"/>
  <c r="F373" i="29"/>
  <c r="K181" i="29"/>
  <c r="G2517" i="29"/>
  <c r="G2246" i="29"/>
  <c r="K2017" i="29"/>
  <c r="M1297" i="29"/>
  <c r="J761" i="29"/>
  <c r="H329" i="29"/>
  <c r="G1792" i="29"/>
  <c r="L1248" i="29"/>
  <c r="K864" i="29"/>
  <c r="H616" i="29"/>
  <c r="M2309" i="29"/>
  <c r="M1940" i="29"/>
  <c r="H1828" i="29"/>
  <c r="J1732" i="29"/>
  <c r="F1644" i="29"/>
  <c r="M1564" i="29"/>
  <c r="K1492" i="29"/>
  <c r="G1412" i="29"/>
  <c r="F1348" i="29"/>
  <c r="L1284" i="29"/>
  <c r="K1204" i="29"/>
  <c r="G1132" i="29"/>
  <c r="L1060" i="29"/>
  <c r="I988" i="29"/>
  <c r="M924" i="29"/>
  <c r="L860" i="29"/>
  <c r="F788" i="29"/>
  <c r="M732" i="29"/>
  <c r="F660" i="29"/>
  <c r="L596" i="29"/>
  <c r="H540" i="29"/>
  <c r="J484" i="29"/>
  <c r="J428" i="29"/>
  <c r="G388" i="29"/>
  <c r="J340" i="29"/>
  <c r="J292" i="29"/>
  <c r="L244" i="29"/>
  <c r="M196" i="29"/>
  <c r="L148" i="29"/>
  <c r="L108" i="29"/>
  <c r="L60" i="29"/>
  <c r="F2529" i="29"/>
  <c r="F2483" i="29"/>
  <c r="F2431" i="29"/>
  <c r="H2333" i="29"/>
  <c r="H2200" i="29"/>
  <c r="H2032" i="29"/>
  <c r="J1822" i="29"/>
  <c r="M2281" i="29"/>
  <c r="M1977" i="29"/>
  <c r="F1721" i="29"/>
  <c r="G1537" i="29"/>
  <c r="G1385" i="29"/>
  <c r="J1217" i="29"/>
  <c r="M1081" i="29"/>
  <c r="K921" i="29"/>
  <c r="G745" i="29"/>
  <c r="J609" i="29"/>
  <c r="F449" i="29"/>
  <c r="H281" i="29"/>
  <c r="K161" i="29"/>
  <c r="K2585" i="29"/>
  <c r="J2072" i="29"/>
  <c r="M1720" i="29"/>
  <c r="F1520" i="29"/>
  <c r="K1304" i="29"/>
  <c r="M1072" i="29"/>
  <c r="F720" i="29"/>
  <c r="L2301" i="29"/>
  <c r="M2316" i="29"/>
  <c r="L2236" i="29"/>
  <c r="K2180" i="29"/>
  <c r="J2124" i="29"/>
  <c r="I2068" i="29"/>
  <c r="I2299" i="29"/>
  <c r="I2235" i="29"/>
  <c r="M2187" i="29"/>
  <c r="M2123" i="29"/>
  <c r="K2067" i="29"/>
  <c r="I2011" i="29"/>
  <c r="K1963" i="29"/>
  <c r="M1915" i="29"/>
  <c r="L1859" i="29"/>
  <c r="K1819" i="29"/>
  <c r="K1787" i="29"/>
  <c r="K1755" i="29"/>
  <c r="K1723" i="29"/>
  <c r="K1683" i="29"/>
  <c r="M1651" i="29"/>
  <c r="K1611" i="29"/>
  <c r="H1579" i="29"/>
  <c r="G1547" i="29"/>
  <c r="H1515" i="29"/>
  <c r="M1491" i="29"/>
  <c r="L1459" i="29"/>
  <c r="M1427" i="29"/>
  <c r="L1395" i="29"/>
  <c r="G1363" i="29"/>
  <c r="K1339" i="29"/>
  <c r="H1307" i="29"/>
  <c r="M1283" i="29"/>
  <c r="K1251" i="29"/>
  <c r="L1227" i="29"/>
  <c r="K1195" i="29"/>
  <c r="L1171" i="29"/>
  <c r="I1139" i="29"/>
  <c r="G1115" i="29"/>
  <c r="L1083" i="29"/>
  <c r="H1059" i="29"/>
  <c r="L1027" i="29"/>
  <c r="M1003" i="29"/>
  <c r="L971" i="29"/>
  <c r="H947" i="29"/>
  <c r="L915" i="29"/>
  <c r="H891" i="29"/>
  <c r="F859" i="29"/>
  <c r="L835" i="29"/>
  <c r="F803" i="29"/>
  <c r="I779" i="29"/>
  <c r="G747" i="29"/>
  <c r="J723" i="29"/>
  <c r="I691" i="29"/>
  <c r="M667" i="29"/>
  <c r="H635" i="29"/>
  <c r="K611" i="29"/>
  <c r="M579" i="29"/>
  <c r="F555" i="29"/>
  <c r="G523" i="29"/>
  <c r="J499" i="29"/>
  <c r="L467" i="29"/>
  <c r="G443" i="29"/>
  <c r="F411" i="29"/>
  <c r="I387" i="29"/>
  <c r="F355" i="29"/>
  <c r="I331" i="29"/>
  <c r="H299" i="29"/>
  <c r="J275" i="29"/>
  <c r="I243" i="29"/>
  <c r="F219" i="29"/>
  <c r="J187" i="29"/>
  <c r="K163" i="29"/>
  <c r="L131" i="29"/>
  <c r="L107" i="29"/>
  <c r="F1799" i="29"/>
  <c r="H704" i="29"/>
  <c r="L1190" i="29"/>
  <c r="M318" i="29"/>
  <c r="J2248" i="29"/>
  <c r="I1773" i="29"/>
  <c r="K1341" i="29"/>
  <c r="F989" i="29"/>
  <c r="F757" i="29"/>
  <c r="F557" i="29"/>
  <c r="F365" i="29"/>
  <c r="K165" i="29"/>
  <c r="G2494" i="29"/>
  <c r="G2206" i="29"/>
  <c r="M2017" i="29"/>
  <c r="F1367" i="29"/>
  <c r="I248" i="29"/>
  <c r="J1150" i="29"/>
  <c r="L302" i="29"/>
  <c r="I1832" i="29"/>
  <c r="H1749" i="29"/>
  <c r="K1285" i="29"/>
  <c r="J973" i="29"/>
  <c r="I757" i="29"/>
  <c r="G557" i="29"/>
  <c r="M341" i="29"/>
  <c r="H149" i="29"/>
  <c r="G2489" i="29"/>
  <c r="H2155" i="29"/>
  <c r="J1937" i="29"/>
  <c r="I1233" i="29"/>
  <c r="K729" i="29"/>
  <c r="J257" i="29"/>
  <c r="I1744" i="29"/>
  <c r="I1168" i="29"/>
  <c r="H840" i="29"/>
  <c r="K584" i="29"/>
  <c r="M2197" i="29"/>
  <c r="I1924" i="29"/>
  <c r="M1804" i="29"/>
  <c r="G1724" i="29"/>
  <c r="I1644" i="29"/>
  <c r="L1556" i="29"/>
  <c r="H1476" i="29"/>
  <c r="K1412" i="29"/>
  <c r="F1340" i="29"/>
  <c r="H1260" i="29"/>
  <c r="M1196" i="29"/>
  <c r="I1124" i="29"/>
  <c r="M1060" i="29"/>
  <c r="G988" i="29"/>
  <c r="J916" i="29"/>
  <c r="G852" i="29"/>
  <c r="K780" i="29"/>
  <c r="F716" i="29"/>
  <c r="F652" i="29"/>
  <c r="K596" i="29"/>
  <c r="L532" i="29"/>
  <c r="M484" i="29"/>
  <c r="F428" i="29"/>
  <c r="F388" i="29"/>
  <c r="K340" i="29"/>
  <c r="G284" i="29"/>
  <c r="G244" i="29"/>
  <c r="I196" i="29"/>
  <c r="H140" i="29"/>
  <c r="F92" i="29"/>
  <c r="F2585" i="29"/>
  <c r="F2525" i="29"/>
  <c r="F2472" i="29"/>
  <c r="F2428" i="29"/>
  <c r="K2326" i="29"/>
  <c r="H2184" i="29"/>
  <c r="F2006" i="29"/>
  <c r="K1788" i="29"/>
  <c r="I2209" i="29"/>
  <c r="K1945" i="29"/>
  <c r="I1721" i="29"/>
  <c r="L1537" i="29"/>
  <c r="M1385" i="29"/>
  <c r="F1217" i="29"/>
  <c r="K1049" i="29"/>
  <c r="F921" i="29"/>
  <c r="H745" i="29"/>
  <c r="L585" i="29"/>
  <c r="I449" i="29"/>
  <c r="J281" i="29"/>
  <c r="I137" i="29"/>
  <c r="K2561" i="29"/>
  <c r="I1952" i="29"/>
  <c r="H1720" i="29"/>
  <c r="K1520" i="29"/>
  <c r="H1264" i="29"/>
  <c r="J1040" i="29"/>
  <c r="J720" i="29"/>
  <c r="I991" i="29"/>
  <c r="M2390" i="29"/>
  <c r="K1046" i="29"/>
  <c r="M198" i="29"/>
  <c r="L1640" i="29"/>
  <c r="K1661" i="29"/>
  <c r="I1253" i="29"/>
  <c r="H965" i="29"/>
  <c r="G741" i="29"/>
  <c r="H533" i="29"/>
  <c r="F333" i="29"/>
  <c r="F117" i="29"/>
  <c r="G2453" i="29"/>
  <c r="H2115" i="29"/>
  <c r="M1897" i="29"/>
  <c r="M1193" i="29"/>
  <c r="G657" i="29"/>
  <c r="M193" i="29"/>
  <c r="F1656" i="29"/>
  <c r="H1136" i="29"/>
  <c r="H824" i="29"/>
  <c r="G552" i="29"/>
  <c r="M2060" i="29"/>
  <c r="J1916" i="29"/>
  <c r="M1796" i="29"/>
  <c r="H1708" i="29"/>
  <c r="F1620" i="29"/>
  <c r="F1548" i="29"/>
  <c r="J1476" i="29"/>
  <c r="I1404" i="29"/>
  <c r="F1324" i="29"/>
  <c r="F1260" i="29"/>
  <c r="G1188" i="29"/>
  <c r="F1116" i="29"/>
  <c r="J1052" i="29"/>
  <c r="M980" i="29"/>
  <c r="L908" i="29"/>
  <c r="H844" i="29"/>
  <c r="H780" i="29"/>
  <c r="K708" i="29"/>
  <c r="H644" i="29"/>
  <c r="M588" i="29"/>
  <c r="F532" i="29"/>
  <c r="J468" i="29"/>
  <c r="I428" i="29"/>
  <c r="F380" i="29"/>
  <c r="F332" i="29"/>
  <c r="K284" i="29"/>
  <c r="G236" i="29"/>
  <c r="L188" i="29"/>
  <c r="G140" i="29"/>
  <c r="I92" i="29"/>
  <c r="F2569" i="29"/>
  <c r="F2521" i="29"/>
  <c r="F2469" i="29"/>
  <c r="F2412" i="29"/>
  <c r="K2318" i="29"/>
  <c r="F2174" i="29"/>
  <c r="H1968" i="29"/>
  <c r="J1767" i="29"/>
  <c r="L2209" i="29"/>
  <c r="I1873" i="29"/>
  <c r="K1673" i="29"/>
  <c r="H1505" i="29"/>
  <c r="K1345" i="29"/>
  <c r="H1177" i="29"/>
  <c r="H1049" i="29"/>
  <c r="L881" i="29"/>
  <c r="G713" i="29"/>
  <c r="J585" i="29"/>
  <c r="I425" i="29"/>
  <c r="I249" i="29"/>
  <c r="J137" i="29"/>
  <c r="K2473" i="29"/>
  <c r="L1952" i="29"/>
  <c r="K1720" i="29"/>
  <c r="G1472" i="29"/>
  <c r="I1216" i="29"/>
  <c r="G1040" i="29"/>
  <c r="M720" i="29"/>
  <c r="I2213" i="29"/>
  <c r="J2284" i="29"/>
  <c r="M2228" i="29"/>
  <c r="L2172" i="29"/>
  <c r="K2116" i="29"/>
  <c r="K383" i="29"/>
  <c r="K2238" i="29"/>
  <c r="L942" i="29"/>
  <c r="F102" i="29"/>
  <c r="M2293" i="29"/>
  <c r="K1629" i="29"/>
  <c r="I1229" i="29"/>
  <c r="F933" i="29"/>
  <c r="M709" i="29"/>
  <c r="F509" i="29"/>
  <c r="I301" i="29"/>
  <c r="K109" i="29"/>
  <c r="G2437" i="29"/>
  <c r="H2043" i="29"/>
  <c r="K1777" i="29"/>
  <c r="F1129" i="29"/>
  <c r="K593" i="29"/>
  <c r="J153" i="29"/>
  <c r="G1560" i="29"/>
  <c r="L1056" i="29"/>
  <c r="L792" i="29"/>
  <c r="L512" i="29"/>
  <c r="L2044" i="29"/>
  <c r="L1908" i="29"/>
  <c r="F1788" i="29"/>
  <c r="M1700" i="29"/>
  <c r="F1612" i="29"/>
  <c r="G1532" i="29"/>
  <c r="L1476" i="29"/>
  <c r="G1396" i="29"/>
  <c r="K1324" i="29"/>
  <c r="I1244" i="29"/>
  <c r="J1180" i="29"/>
  <c r="J1108" i="29"/>
  <c r="L1036" i="29"/>
  <c r="F972" i="29"/>
  <c r="H908" i="29"/>
  <c r="K836" i="29"/>
  <c r="K764" i="29"/>
  <c r="F700" i="29"/>
  <c r="I636" i="29"/>
  <c r="F588" i="29"/>
  <c r="J524" i="29"/>
  <c r="M468" i="29"/>
  <c r="G420" i="29"/>
  <c r="J372" i="29"/>
  <c r="F324" i="29"/>
  <c r="F276" i="29"/>
  <c r="K228" i="29"/>
  <c r="L180" i="29"/>
  <c r="J140" i="29"/>
  <c r="M92" i="29"/>
  <c r="F2566" i="29"/>
  <c r="F2518" i="29"/>
  <c r="F2465" i="29"/>
  <c r="F2400" i="29"/>
  <c r="H2309" i="29"/>
  <c r="F2158" i="29"/>
  <c r="F1958" i="29"/>
  <c r="L1745" i="29"/>
  <c r="J2169" i="29"/>
  <c r="H1873" i="29"/>
  <c r="I1673" i="29"/>
  <c r="L1505" i="29"/>
  <c r="F1313" i="29"/>
  <c r="K1177" i="29"/>
  <c r="I1009" i="29"/>
  <c r="K849" i="29"/>
  <c r="K713" i="29"/>
  <c r="I553" i="29"/>
  <c r="M393" i="29"/>
  <c r="F183" i="29"/>
  <c r="I2054" i="29"/>
  <c r="F822" i="29"/>
  <c r="H2566" i="29"/>
  <c r="I2253" i="29"/>
  <c r="J1589" i="29"/>
  <c r="G1197" i="29"/>
  <c r="H909" i="29"/>
  <c r="G701" i="29"/>
  <c r="K485" i="29"/>
  <c r="F285" i="29"/>
  <c r="K93" i="29"/>
  <c r="G2429" i="29"/>
  <c r="F2025" i="29"/>
  <c r="K1745" i="29"/>
  <c r="L1065" i="29"/>
  <c r="H569" i="29"/>
  <c r="K2433" i="29"/>
  <c r="J1560" i="29"/>
  <c r="F1056" i="29"/>
  <c r="M792" i="29"/>
  <c r="F472" i="29"/>
  <c r="J2036" i="29"/>
  <c r="F1892" i="29"/>
  <c r="J1788" i="29"/>
  <c r="H1692" i="29"/>
  <c r="I1612" i="29"/>
  <c r="J1532" i="29"/>
  <c r="H1460" i="29"/>
  <c r="J1396" i="29"/>
  <c r="G1316" i="29"/>
  <c r="K1244" i="29"/>
  <c r="J1172" i="29"/>
  <c r="I1100" i="29"/>
  <c r="M1036" i="29"/>
  <c r="H964" i="29"/>
  <c r="I900" i="29"/>
  <c r="F836" i="29"/>
  <c r="F764" i="29"/>
  <c r="J700" i="29"/>
  <c r="H636" i="29"/>
  <c r="M572" i="29"/>
  <c r="H516" i="29"/>
  <c r="J460" i="29"/>
  <c r="K420" i="29"/>
  <c r="H372" i="29"/>
  <c r="H316" i="29"/>
  <c r="I276" i="29"/>
  <c r="M228" i="29"/>
  <c r="K180" i="29"/>
  <c r="M132" i="29"/>
  <c r="F84" i="29"/>
  <c r="F2564" i="29"/>
  <c r="F2515" i="29"/>
  <c r="F2463" i="29"/>
  <c r="H2397" i="29"/>
  <c r="F2297" i="29"/>
  <c r="H2144" i="29"/>
  <c r="H1944" i="29"/>
  <c r="L1664" i="29"/>
  <c r="L2169" i="29"/>
  <c r="K1873" i="29"/>
  <c r="M1673" i="29"/>
  <c r="F1505" i="29"/>
  <c r="H1313" i="29"/>
  <c r="G1177" i="29"/>
  <c r="K1009" i="29"/>
  <c r="F849" i="29"/>
  <c r="M713" i="29"/>
  <c r="K553" i="29"/>
  <c r="F393" i="29"/>
  <c r="F249" i="29"/>
  <c r="H113" i="29"/>
  <c r="M2264" i="29"/>
  <c r="L1912" i="29"/>
  <c r="H1672" i="29"/>
  <c r="K1472" i="29"/>
  <c r="G1216" i="29"/>
  <c r="J1008" i="29"/>
  <c r="J2520" i="29"/>
  <c r="I2380" i="29"/>
  <c r="L2276" i="29"/>
  <c r="M2220" i="29"/>
  <c r="L2164" i="29"/>
  <c r="L2100" i="29"/>
  <c r="M2395" i="29"/>
  <c r="M2283" i="29"/>
  <c r="J2219" i="29"/>
  <c r="J2155" i="29"/>
  <c r="I2099" i="29"/>
  <c r="L2051" i="29"/>
  <c r="J1995" i="29"/>
  <c r="K1939" i="29"/>
  <c r="H1891" i="29"/>
  <c r="F1835" i="29"/>
  <c r="F1803" i="29"/>
  <c r="F1771" i="29"/>
  <c r="F1739" i="29"/>
  <c r="J1707" i="29"/>
  <c r="F1667" i="29"/>
  <c r="F1635" i="29"/>
  <c r="M1603" i="29"/>
  <c r="K1571" i="29"/>
  <c r="L1539" i="29"/>
  <c r="K1507" i="29"/>
  <c r="I1475" i="29"/>
  <c r="F1443" i="29"/>
  <c r="G1411" i="29"/>
  <c r="I1387" i="29"/>
  <c r="K1355" i="29"/>
  <c r="F1323" i="29"/>
  <c r="L1299" i="29"/>
  <c r="J1267" i="29"/>
  <c r="G1243" i="29"/>
  <c r="J1211" i="29"/>
  <c r="G1187" i="29"/>
  <c r="H1155" i="29"/>
  <c r="G1131" i="29"/>
  <c r="K1099" i="29"/>
  <c r="M1075" i="29"/>
  <c r="K1043" i="29"/>
  <c r="G1019" i="29"/>
  <c r="K987" i="29"/>
  <c r="G963" i="29"/>
  <c r="K931" i="29"/>
  <c r="L907" i="29"/>
  <c r="M875" i="29"/>
  <c r="H851" i="29"/>
  <c r="M819" i="29"/>
  <c r="G795" i="29"/>
  <c r="F763" i="29"/>
  <c r="M739" i="29"/>
  <c r="H707" i="29"/>
  <c r="J683" i="29"/>
  <c r="H651" i="29"/>
  <c r="L627" i="29"/>
  <c r="M595" i="29"/>
  <c r="J571" i="29"/>
  <c r="K539" i="29"/>
  <c r="K515" i="29"/>
  <c r="F483" i="29"/>
  <c r="F459" i="29"/>
  <c r="H427" i="29"/>
  <c r="I2571" i="29"/>
  <c r="J1958" i="29"/>
  <c r="G750" i="29"/>
  <c r="H2526" i="29"/>
  <c r="J2189" i="29"/>
  <c r="M1557" i="29"/>
  <c r="J1173" i="29"/>
  <c r="J901" i="29"/>
  <c r="I677" i="29"/>
  <c r="K477" i="29"/>
  <c r="I277" i="29"/>
  <c r="H85" i="29"/>
  <c r="G2420" i="29"/>
  <c r="G2006" i="29"/>
  <c r="G1585" i="29"/>
  <c r="I1001" i="29"/>
  <c r="K505" i="29"/>
  <c r="I2288" i="29"/>
  <c r="F1512" i="29"/>
  <c r="I1000" i="29"/>
  <c r="L760" i="29"/>
  <c r="F440" i="29"/>
  <c r="M2020" i="29"/>
  <c r="I1892" i="29"/>
  <c r="F1780" i="29"/>
  <c r="F1684" i="29"/>
  <c r="L1604" i="29"/>
  <c r="L1532" i="29"/>
  <c r="K1460" i="29"/>
  <c r="M1388" i="29"/>
  <c r="I1316" i="29"/>
  <c r="G1244" i="29"/>
  <c r="M1172" i="29"/>
  <c r="F1100" i="29"/>
  <c r="I1028" i="29"/>
  <c r="J956" i="29"/>
  <c r="F892" i="29"/>
  <c r="J820" i="29"/>
  <c r="H764" i="29"/>
  <c r="I700" i="29"/>
  <c r="J628" i="29"/>
  <c r="G572" i="29"/>
  <c r="K516" i="29"/>
  <c r="M460" i="29"/>
  <c r="L412" i="29"/>
  <c r="I364" i="29"/>
  <c r="J316" i="29"/>
  <c r="K276" i="29"/>
  <c r="I220" i="29"/>
  <c r="F172" i="29"/>
  <c r="G132" i="29"/>
  <c r="G76" i="29"/>
  <c r="F2561" i="29"/>
  <c r="F2507" i="29"/>
  <c r="F2454" i="29"/>
  <c r="F2392" i="29"/>
  <c r="F2293" i="29"/>
  <c r="F2102" i="29"/>
  <c r="H1936" i="29"/>
  <c r="J1644" i="29"/>
  <c r="J2089" i="29"/>
  <c r="F1825" i="29"/>
  <c r="K1641" i="29"/>
  <c r="I1473" i="29"/>
  <c r="J1313" i="29"/>
  <c r="J1145" i="29"/>
  <c r="K985" i="29"/>
  <c r="H849" i="29"/>
  <c r="G681" i="29"/>
  <c r="L513" i="29"/>
  <c r="H393" i="29"/>
  <c r="K217" i="29"/>
  <c r="J113" i="29"/>
  <c r="J2216" i="29"/>
  <c r="M1864" i="29"/>
  <c r="J1672" i="29"/>
  <c r="M1424" i="29"/>
  <c r="J1152" i="29"/>
  <c r="L1008" i="29"/>
  <c r="J2512" i="29"/>
  <c r="I2372" i="29"/>
  <c r="I2268" i="29"/>
  <c r="J2212" i="29"/>
  <c r="I2156" i="29"/>
  <c r="I2092" i="29"/>
  <c r="I2481" i="29"/>
  <c r="L1958" i="29"/>
  <c r="I742" i="29"/>
  <c r="H2508" i="29"/>
  <c r="M2173" i="29"/>
  <c r="L1549" i="29"/>
  <c r="L1165" i="29"/>
  <c r="L877" i="29"/>
  <c r="K669" i="29"/>
  <c r="H461" i="29"/>
  <c r="L277" i="29"/>
  <c r="K77" i="29"/>
  <c r="J2389" i="29"/>
  <c r="H2003" i="29"/>
  <c r="I1585" i="29"/>
  <c r="L1001" i="29"/>
  <c r="L505" i="29"/>
  <c r="J2288" i="29"/>
  <c r="H1464" i="29"/>
  <c r="J1000" i="29"/>
  <c r="G760" i="29"/>
  <c r="H440" i="29"/>
  <c r="I2012" i="29"/>
  <c r="M1884" i="29"/>
  <c r="G1780" i="29"/>
  <c r="G1684" i="29"/>
  <c r="I1596" i="29"/>
  <c r="G1524" i="29"/>
  <c r="L1460" i="29"/>
  <c r="K1380" i="29"/>
  <c r="H1308" i="29"/>
  <c r="L1244" i="29"/>
  <c r="F1172" i="29"/>
  <c r="M1100" i="29"/>
  <c r="L1028" i="29"/>
  <c r="K956" i="29"/>
  <c r="G892" i="29"/>
  <c r="K820" i="29"/>
  <c r="J764" i="29"/>
  <c r="F692" i="29"/>
  <c r="L628" i="29"/>
  <c r="I564" i="29"/>
  <c r="L516" i="29"/>
  <c r="F460" i="29"/>
  <c r="M412" i="29"/>
  <c r="K364" i="29"/>
  <c r="K316" i="29"/>
  <c r="J276" i="29"/>
  <c r="F220" i="29"/>
  <c r="H172" i="29"/>
  <c r="L132" i="29"/>
  <c r="H76" i="29"/>
  <c r="F2560" i="29"/>
  <c r="F2505" i="29"/>
  <c r="F2453" i="29"/>
  <c r="K2390" i="29"/>
  <c r="F2289" i="29"/>
  <c r="H2096" i="29"/>
  <c r="F1934" i="29"/>
  <c r="G1632" i="29"/>
  <c r="K2089" i="29"/>
  <c r="H1825" i="29"/>
  <c r="L1641" i="29"/>
  <c r="G1441" i="29"/>
  <c r="K1313" i="29"/>
  <c r="L1145" i="29"/>
  <c r="L985" i="29"/>
  <c r="G849" i="29"/>
  <c r="H681" i="29"/>
  <c r="M513" i="29"/>
  <c r="I393" i="29"/>
  <c r="L217" i="29"/>
  <c r="H81" i="29"/>
  <c r="K2216" i="29"/>
  <c r="I1864" i="29"/>
  <c r="L1672" i="29"/>
  <c r="F1424" i="29"/>
  <c r="L1152" i="29"/>
  <c r="G1008" i="29"/>
  <c r="L2365" i="29"/>
  <c r="M1750" i="29"/>
  <c r="J734" i="29"/>
  <c r="H2504" i="29"/>
  <c r="I2093" i="29"/>
  <c r="H1525" i="29"/>
  <c r="J1157" i="29"/>
  <c r="M869" i="29"/>
  <c r="K653" i="29"/>
  <c r="L453" i="29"/>
  <c r="L261" i="29"/>
  <c r="M77" i="29"/>
  <c r="J2385" i="29"/>
  <c r="G1926" i="29"/>
  <c r="G1561" i="29"/>
  <c r="M1001" i="29"/>
  <c r="J505" i="29"/>
  <c r="L2288" i="29"/>
  <c r="F1464" i="29"/>
  <c r="L1000" i="29"/>
  <c r="H760" i="29"/>
  <c r="H408" i="29"/>
  <c r="L2012" i="29"/>
  <c r="H1876" i="29"/>
  <c r="H1780" i="29"/>
  <c r="J1684" i="29"/>
  <c r="J1596" i="29"/>
  <c r="K1524" i="29"/>
  <c r="K1452" i="29"/>
  <c r="I1380" i="29"/>
  <c r="H1300" i="29"/>
  <c r="M1244" i="29"/>
  <c r="L1172" i="29"/>
  <c r="I1092" i="29"/>
  <c r="L1020" i="29"/>
  <c r="L956" i="29"/>
  <c r="I892" i="29"/>
  <c r="I820" i="29"/>
  <c r="J756" i="29"/>
  <c r="H1871" i="29"/>
  <c r="M1694" i="29"/>
  <c r="M678" i="29"/>
  <c r="H2430" i="29"/>
  <c r="K2069" i="29"/>
  <c r="L1525" i="29"/>
  <c r="J1117" i="29"/>
  <c r="K861" i="29"/>
  <c r="H645" i="29"/>
  <c r="J445" i="29"/>
  <c r="L253" i="29"/>
  <c r="G2587" i="29"/>
  <c r="L2342" i="29"/>
  <c r="F1905" i="29"/>
  <c r="L1529" i="29"/>
  <c r="J969" i="29"/>
  <c r="F441" i="29"/>
  <c r="I2136" i="29"/>
  <c r="J1416" i="29"/>
  <c r="F976" i="29"/>
  <c r="H744" i="29"/>
  <c r="L368" i="29"/>
  <c r="K1988" i="29"/>
  <c r="G1868" i="29"/>
  <c r="I1764" i="29"/>
  <c r="M1684" i="29"/>
  <c r="L1596" i="29"/>
  <c r="H1516" i="29"/>
  <c r="H1444" i="29"/>
  <c r="G1372" i="29"/>
  <c r="F1300" i="29"/>
  <c r="I1228" i="29"/>
  <c r="L1164" i="29"/>
  <c r="G1092" i="29"/>
  <c r="H1020" i="29"/>
  <c r="K948" i="29"/>
  <c r="J884" i="29"/>
  <c r="G820" i="29"/>
  <c r="L748" i="29"/>
  <c r="M684" i="29"/>
  <c r="I620" i="29"/>
  <c r="M564" i="29"/>
  <c r="I500" i="29"/>
  <c r="I452" i="29"/>
  <c r="H412" i="29"/>
  <c r="M356" i="29"/>
  <c r="M308" i="29"/>
  <c r="J268" i="29"/>
  <c r="J220" i="29"/>
  <c r="K172" i="29"/>
  <c r="L124" i="29"/>
  <c r="K76" i="29"/>
  <c r="F2555" i="29"/>
  <c r="F2502" i="29"/>
  <c r="F2449" i="29"/>
  <c r="H2381" i="29"/>
  <c r="F2277" i="29"/>
  <c r="F2086" i="29"/>
  <c r="F1918" i="29"/>
  <c r="M1572" i="29"/>
  <c r="I2057" i="29"/>
  <c r="K1825" i="29"/>
  <c r="G1641" i="29"/>
  <c r="K1441" i="29"/>
  <c r="I1281" i="29"/>
  <c r="I1145" i="29"/>
  <c r="G985" i="29"/>
  <c r="J817" i="29"/>
  <c r="M681" i="29"/>
  <c r="H513" i="29"/>
  <c r="J353" i="29"/>
  <c r="I1241" i="29"/>
  <c r="F1622" i="29"/>
  <c r="J582" i="29"/>
  <c r="H2356" i="29"/>
  <c r="J1917" i="29"/>
  <c r="J1437" i="29"/>
  <c r="K1093" i="29"/>
  <c r="L853" i="29"/>
  <c r="G629" i="29"/>
  <c r="L421" i="29"/>
  <c r="L229" i="29"/>
  <c r="G2564" i="29"/>
  <c r="G2332" i="29"/>
  <c r="L1845" i="29"/>
  <c r="K1497" i="29"/>
  <c r="F937" i="29"/>
  <c r="K441" i="29"/>
  <c r="I2048" i="29"/>
  <c r="G1376" i="29"/>
  <c r="L944" i="29"/>
  <c r="I744" i="29"/>
  <c r="H328" i="29"/>
  <c r="L1980" i="29"/>
  <c r="G1852" i="29"/>
  <c r="J1756" i="29"/>
  <c r="J1668" i="29"/>
  <c r="I1588" i="29"/>
  <c r="J1516" i="29"/>
  <c r="M1444" i="29"/>
  <c r="K1364" i="29"/>
  <c r="H1292" i="29"/>
  <c r="H1220" i="29"/>
  <c r="M1148" i="29"/>
  <c r="H1084" i="29"/>
  <c r="I1012" i="29"/>
  <c r="F948" i="29"/>
  <c r="I1607" i="29"/>
  <c r="H998" i="29"/>
  <c r="K2061" i="29"/>
  <c r="L981" i="29"/>
  <c r="I509" i="29"/>
  <c r="G2585" i="29"/>
  <c r="M1969" i="29"/>
  <c r="J697" i="29"/>
  <c r="J1656" i="29"/>
  <c r="I776" i="29"/>
  <c r="L1988" i="29"/>
  <c r="F1748" i="29"/>
  <c r="J1556" i="29"/>
  <c r="H1404" i="29"/>
  <c r="G1260" i="29"/>
  <c r="M1108" i="29"/>
  <c r="G956" i="29"/>
  <c r="K812" i="29"/>
  <c r="H692" i="29"/>
  <c r="F572" i="29"/>
  <c r="L468" i="29"/>
  <c r="M380" i="29"/>
  <c r="F284" i="29"/>
  <c r="K204" i="29"/>
  <c r="K116" i="29"/>
  <c r="F2553" i="29"/>
  <c r="F2452" i="29"/>
  <c r="F2303" i="29"/>
  <c r="F1966" i="29"/>
  <c r="J2209" i="29"/>
  <c r="G1721" i="29"/>
  <c r="G1409" i="29"/>
  <c r="M1145" i="29"/>
  <c r="K817" i="29"/>
  <c r="L553" i="29"/>
  <c r="J249" i="29"/>
  <c r="H65" i="29"/>
  <c r="G1864" i="29"/>
  <c r="H1472" i="29"/>
  <c r="I1112" i="29"/>
  <c r="J2505" i="29"/>
  <c r="I2308" i="29"/>
  <c r="I2212" i="29"/>
  <c r="I2132" i="29"/>
  <c r="M2403" i="29"/>
  <c r="J2267" i="29"/>
  <c r="J2179" i="29"/>
  <c r="L2107" i="29"/>
  <c r="J2035" i="29"/>
  <c r="M1963" i="29"/>
  <c r="F1891" i="29"/>
  <c r="L1835" i="29"/>
  <c r="M1779" i="29"/>
  <c r="L1747" i="29"/>
  <c r="G1699" i="29"/>
  <c r="L1643" i="29"/>
  <c r="I1603" i="29"/>
  <c r="I1563" i="29"/>
  <c r="I1515" i="29"/>
  <c r="H1475" i="29"/>
  <c r="H1435" i="29"/>
  <c r="I1395" i="29"/>
  <c r="H1355" i="29"/>
  <c r="L1323" i="29"/>
  <c r="I1275" i="29"/>
  <c r="M1243" i="29"/>
  <c r="H1203" i="29"/>
  <c r="L1163" i="29"/>
  <c r="K1131" i="29"/>
  <c r="I1091" i="29"/>
  <c r="J1051" i="29"/>
  <c r="F1019" i="29"/>
  <c r="I979" i="29"/>
  <c r="J939" i="29"/>
  <c r="I907" i="29"/>
  <c r="J867" i="29"/>
  <c r="K827" i="29"/>
  <c r="J795" i="29"/>
  <c r="K755" i="29"/>
  <c r="G715" i="29"/>
  <c r="K683" i="29"/>
  <c r="F643" i="29"/>
  <c r="L603" i="29"/>
  <c r="F571" i="29"/>
  <c r="I531" i="29"/>
  <c r="M491" i="29"/>
  <c r="J459" i="29"/>
  <c r="L419" i="29"/>
  <c r="L379" i="29"/>
  <c r="J347" i="29"/>
  <c r="I315" i="29"/>
  <c r="K283" i="29"/>
  <c r="G243" i="29"/>
  <c r="H211" i="29"/>
  <c r="M171" i="29"/>
  <c r="I139" i="29"/>
  <c r="K107" i="29"/>
  <c r="L75" i="29"/>
  <c r="J2382" i="29"/>
  <c r="L2331" i="29"/>
  <c r="K2262" i="29"/>
  <c r="G2176" i="29"/>
  <c r="G2080" i="29"/>
  <c r="F1995" i="29"/>
  <c r="H1909" i="29"/>
  <c r="L1743" i="29"/>
  <c r="G909" i="29"/>
  <c r="G441" i="29"/>
  <c r="I1532" i="29"/>
  <c r="M1076" i="29"/>
  <c r="K452" i="29"/>
  <c r="F2439" i="29"/>
  <c r="L1345" i="29"/>
  <c r="I2264" i="29"/>
  <c r="M2284" i="29"/>
  <c r="I2091" i="29"/>
  <c r="L1819" i="29"/>
  <c r="H1643" i="29"/>
  <c r="G1467" i="29"/>
  <c r="I1307" i="29"/>
  <c r="G1163" i="29"/>
  <c r="M971" i="29"/>
  <c r="I787" i="29"/>
  <c r="M563" i="29"/>
  <c r="L339" i="29"/>
  <c r="I171" i="29"/>
  <c r="G2321" i="29"/>
  <c r="L1671" i="29"/>
  <c r="F1351" i="29"/>
  <c r="I934" i="29"/>
  <c r="I2021" i="29"/>
  <c r="L973" i="29"/>
  <c r="J485" i="29"/>
  <c r="G2565" i="29"/>
  <c r="M1937" i="29"/>
  <c r="M625" i="29"/>
  <c r="M1560" i="29"/>
  <c r="I760" i="29"/>
  <c r="M1988" i="29"/>
  <c r="G1748" i="29"/>
  <c r="K1556" i="29"/>
  <c r="K1404" i="29"/>
  <c r="I1252" i="29"/>
  <c r="L1100" i="29"/>
  <c r="L948" i="29"/>
  <c r="G812" i="29"/>
  <c r="I684" i="29"/>
  <c r="K564" i="29"/>
  <c r="G468" i="29"/>
  <c r="L372" i="29"/>
  <c r="H284" i="29"/>
  <c r="F196" i="29"/>
  <c r="F108" i="29"/>
  <c r="F2552" i="29"/>
  <c r="F2451" i="29"/>
  <c r="F2295" i="29"/>
  <c r="H1960" i="29"/>
  <c r="K2209" i="29"/>
  <c r="H1721" i="29"/>
  <c r="H1409" i="29"/>
  <c r="M1113" i="29"/>
  <c r="M817" i="29"/>
  <c r="F513" i="29"/>
  <c r="K249" i="29"/>
  <c r="K2577" i="29"/>
  <c r="H1864" i="29"/>
  <c r="F1472" i="29"/>
  <c r="J1112" i="29"/>
  <c r="J2504" i="29"/>
  <c r="M2308" i="29"/>
  <c r="K2212" i="29"/>
  <c r="K2124" i="29"/>
  <c r="I2395" i="29"/>
  <c r="I2251" i="29"/>
  <c r="K2179" i="29"/>
  <c r="M2107" i="29"/>
  <c r="I2027" i="29"/>
  <c r="I1955" i="29"/>
  <c r="G1891" i="29"/>
  <c r="M1827" i="29"/>
  <c r="F1779" i="29"/>
  <c r="M1739" i="29"/>
  <c r="H1699" i="29"/>
  <c r="F1643" i="29"/>
  <c r="J1603" i="29"/>
  <c r="J1563" i="29"/>
  <c r="K1515" i="29"/>
  <c r="F1475" i="29"/>
  <c r="K1435" i="29"/>
  <c r="F1395" i="29"/>
  <c r="J1355" i="29"/>
  <c r="F1315" i="29"/>
  <c r="J1275" i="29"/>
  <c r="F1243" i="29"/>
  <c r="I1203" i="29"/>
  <c r="H1163" i="29"/>
  <c r="M1131" i="29"/>
  <c r="J1091" i="29"/>
  <c r="K1051" i="29"/>
  <c r="H1019" i="29"/>
  <c r="J979" i="29"/>
  <c r="K939" i="29"/>
  <c r="J907" i="29"/>
  <c r="K867" i="29"/>
  <c r="M827" i="29"/>
  <c r="H795" i="29"/>
  <c r="L755" i="29"/>
  <c r="L715" i="29"/>
  <c r="L683" i="29"/>
  <c r="G643" i="29"/>
  <c r="M603" i="29"/>
  <c r="H571" i="29"/>
  <c r="J531" i="29"/>
  <c r="F491" i="29"/>
  <c r="K459" i="29"/>
  <c r="M419" i="29"/>
  <c r="M379" i="29"/>
  <c r="F347" i="29"/>
  <c r="J315" i="29"/>
  <c r="J283" i="29"/>
  <c r="F243" i="29"/>
  <c r="J203" i="29"/>
  <c r="F171" i="29"/>
  <c r="K139" i="29"/>
  <c r="F99" i="29"/>
  <c r="F67" i="29"/>
  <c r="G2381" i="29"/>
  <c r="G2329" i="29"/>
  <c r="K2260" i="29"/>
  <c r="H2173" i="29"/>
  <c r="H2077" i="29"/>
  <c r="G1992" i="29"/>
  <c r="F1907" i="29"/>
  <c r="L1737" i="29"/>
  <c r="M421" i="29"/>
  <c r="M1705" i="29"/>
  <c r="H1376" i="29"/>
  <c r="M1380" i="29"/>
  <c r="M556" i="29"/>
  <c r="H92" i="29"/>
  <c r="F1910" i="29"/>
  <c r="M481" i="29"/>
  <c r="I2365" i="29"/>
  <c r="L2163" i="29"/>
  <c r="K1779" i="29"/>
  <c r="H1507" i="29"/>
  <c r="M1275" i="29"/>
  <c r="H1051" i="29"/>
  <c r="I859" i="29"/>
  <c r="L635" i="29"/>
  <c r="G411" i="29"/>
  <c r="I203" i="29"/>
  <c r="H2245" i="29"/>
  <c r="J1191" i="29"/>
  <c r="H822" i="29"/>
  <c r="L1917" i="29"/>
  <c r="M965" i="29"/>
  <c r="J477" i="29"/>
  <c r="G2545" i="29"/>
  <c r="I1897" i="29"/>
  <c r="F625" i="29"/>
  <c r="L1560" i="29"/>
  <c r="J744" i="29"/>
  <c r="L1972" i="29"/>
  <c r="M1724" i="29"/>
  <c r="G1548" i="29"/>
  <c r="L1404" i="29"/>
  <c r="J1244" i="29"/>
  <c r="L1092" i="29"/>
  <c r="M948" i="29"/>
  <c r="F812" i="29"/>
  <c r="H676" i="29"/>
  <c r="L564" i="29"/>
  <c r="K460" i="29"/>
  <c r="M372" i="29"/>
  <c r="I284" i="29"/>
  <c r="G196" i="29"/>
  <c r="H108" i="29"/>
  <c r="F2551" i="29"/>
  <c r="F2447" i="29"/>
  <c r="F2287" i="29"/>
  <c r="F1950" i="29"/>
  <c r="M2209" i="29"/>
  <c r="J1721" i="29"/>
  <c r="H1385" i="29"/>
  <c r="G1113" i="29"/>
  <c r="H817" i="29"/>
  <c r="G513" i="29"/>
  <c r="G249" i="29"/>
  <c r="K2569" i="29"/>
  <c r="M1816" i="29"/>
  <c r="I1472" i="29"/>
  <c r="F1072" i="29"/>
  <c r="I2413" i="29"/>
  <c r="I2300" i="29"/>
  <c r="L2212" i="29"/>
  <c r="L2124" i="29"/>
  <c r="I2387" i="29"/>
  <c r="J2251" i="29"/>
  <c r="L2179" i="29"/>
  <c r="J2099" i="29"/>
  <c r="J2027" i="29"/>
  <c r="J1955" i="29"/>
  <c r="M1883" i="29"/>
  <c r="F1827" i="29"/>
  <c r="G1779" i="29"/>
  <c r="I1739" i="29"/>
  <c r="I1699" i="29"/>
  <c r="I1643" i="29"/>
  <c r="H1603" i="29"/>
  <c r="K1563" i="29"/>
  <c r="J1515" i="29"/>
  <c r="K1475" i="29"/>
  <c r="L1435" i="29"/>
  <c r="G1387" i="29"/>
  <c r="L1355" i="29"/>
  <c r="G1315" i="29"/>
  <c r="K1275" i="29"/>
  <c r="L1243" i="29"/>
  <c r="J1203" i="29"/>
  <c r="I1163" i="29"/>
  <c r="F1131" i="29"/>
  <c r="K1091" i="29"/>
  <c r="L1051" i="29"/>
  <c r="M1019" i="29"/>
  <c r="K979" i="29"/>
  <c r="L939" i="29"/>
  <c r="F907" i="29"/>
  <c r="M867" i="29"/>
  <c r="F827" i="29"/>
  <c r="M795" i="29"/>
  <c r="F755" i="29"/>
  <c r="M715" i="29"/>
  <c r="M683" i="29"/>
  <c r="H643" i="29"/>
  <c r="J603" i="29"/>
  <c r="G571" i="29"/>
  <c r="K531" i="29"/>
  <c r="G491" i="29"/>
  <c r="M459" i="29"/>
  <c r="J419" i="29"/>
  <c r="J379" i="29"/>
  <c r="G347" i="29"/>
  <c r="K315" i="29"/>
  <c r="M275" i="29"/>
  <c r="K235" i="29"/>
  <c r="K203" i="29"/>
  <c r="H171" i="29"/>
  <c r="L139" i="29"/>
  <c r="G99" i="29"/>
  <c r="G67" i="29"/>
  <c r="L2379" i="29"/>
  <c r="L2327" i="29"/>
  <c r="G2256" i="29"/>
  <c r="F2171" i="29"/>
  <c r="F2075" i="29"/>
  <c r="H1989" i="29"/>
  <c r="G1904" i="29"/>
  <c r="K1716" i="29"/>
  <c r="M1669" i="29"/>
  <c r="M1924" i="29"/>
  <c r="J788" i="29"/>
  <c r="I180" i="29"/>
  <c r="L1673" i="29"/>
  <c r="I1816" i="29"/>
  <c r="L2116" i="29"/>
  <c r="F1883" i="29"/>
  <c r="H1547" i="29"/>
  <c r="K1235" i="29"/>
  <c r="L1011" i="29"/>
  <c r="M747" i="29"/>
  <c r="L491" i="29"/>
  <c r="H235" i="29"/>
  <c r="G2373" i="29"/>
  <c r="L1892" i="29"/>
  <c r="H591" i="29"/>
  <c r="L678" i="29"/>
  <c r="G1893" i="29"/>
  <c r="F965" i="29"/>
  <c r="K453" i="29"/>
  <c r="G2544" i="29"/>
  <c r="K1817" i="29"/>
  <c r="I569" i="29"/>
  <c r="M1464" i="29"/>
  <c r="M744" i="29"/>
  <c r="J1964" i="29"/>
  <c r="F1724" i="29"/>
  <c r="H1548" i="29"/>
  <c r="M1404" i="29"/>
  <c r="F1244" i="29"/>
  <c r="F1092" i="29"/>
  <c r="H948" i="29"/>
  <c r="K804" i="29"/>
  <c r="K676" i="29"/>
  <c r="G564" i="29"/>
  <c r="G460" i="29"/>
  <c r="G372" i="29"/>
  <c r="J284" i="29"/>
  <c r="J196" i="29"/>
  <c r="F100" i="29"/>
  <c r="F2550" i="29"/>
  <c r="F2443" i="29"/>
  <c r="F2279" i="29"/>
  <c r="F1942" i="29"/>
  <c r="I2169" i="29"/>
  <c r="K1721" i="29"/>
  <c r="J1385" i="29"/>
  <c r="I1081" i="29"/>
  <c r="F817" i="29"/>
  <c r="J513" i="29"/>
  <c r="J217" i="29"/>
  <c r="K2497" i="29"/>
  <c r="F1816" i="29"/>
  <c r="J1472" i="29"/>
  <c r="I1040" i="29"/>
  <c r="M2413" i="29"/>
  <c r="M2292" i="29"/>
  <c r="M2212" i="29"/>
  <c r="M2124" i="29"/>
  <c r="M2387" i="29"/>
  <c r="K2251" i="29"/>
  <c r="M2179" i="29"/>
  <c r="K2099" i="29"/>
  <c r="K2027" i="29"/>
  <c r="K1955" i="29"/>
  <c r="I1883" i="29"/>
  <c r="H1827" i="29"/>
  <c r="H1779" i="29"/>
  <c r="L1739" i="29"/>
  <c r="K1691" i="29"/>
  <c r="J1643" i="29"/>
  <c r="G1595" i="29"/>
  <c r="M1563" i="29"/>
  <c r="L1515" i="29"/>
  <c r="J1475" i="29"/>
  <c r="M1435" i="29"/>
  <c r="H1387" i="29"/>
  <c r="M1355" i="29"/>
  <c r="H1315" i="29"/>
  <c r="F1275" i="29"/>
  <c r="H1235" i="29"/>
  <c r="K1203" i="29"/>
  <c r="K1163" i="29"/>
  <c r="I1123" i="29"/>
  <c r="L1091" i="29"/>
  <c r="F1051" i="29"/>
  <c r="I1011" i="29"/>
  <c r="L979" i="29"/>
  <c r="M939" i="29"/>
  <c r="J899" i="29"/>
  <c r="F867" i="29"/>
  <c r="I827" i="29"/>
  <c r="K787" i="29"/>
  <c r="G755" i="29"/>
  <c r="H715" i="29"/>
  <c r="F675" i="29"/>
  <c r="I643" i="29"/>
  <c r="K603" i="29"/>
  <c r="I563" i="29"/>
  <c r="L531" i="29"/>
  <c r="H491" i="29"/>
  <c r="L451" i="29"/>
  <c r="F419" i="29"/>
  <c r="F379" i="29"/>
  <c r="H347" i="29"/>
  <c r="L315" i="29"/>
  <c r="F275" i="29"/>
  <c r="L235" i="29"/>
  <c r="L203" i="29"/>
  <c r="J171" i="29"/>
  <c r="M139" i="29"/>
  <c r="H99" i="29"/>
  <c r="H67" i="29"/>
  <c r="G2377" i="29"/>
  <c r="J2326" i="29"/>
  <c r="H2253" i="29"/>
  <c r="F2163" i="29"/>
  <c r="G2072" i="29"/>
  <c r="F1987" i="29"/>
  <c r="H1901" i="29"/>
  <c r="L1708" i="29"/>
  <c r="M151" i="29"/>
  <c r="J616" i="29"/>
  <c r="H924" i="29"/>
  <c r="L276" i="29"/>
  <c r="L2089" i="29"/>
  <c r="I217" i="29"/>
  <c r="K2204" i="29"/>
  <c r="J2011" i="29"/>
  <c r="F1683" i="29"/>
  <c r="F1427" i="29"/>
  <c r="M1195" i="29"/>
  <c r="H939" i="29"/>
  <c r="J715" i="29"/>
  <c r="H523" i="29"/>
  <c r="G307" i="29"/>
  <c r="K99" i="29"/>
  <c r="G2064" i="29"/>
  <c r="K551" i="29"/>
  <c r="G638" i="29"/>
  <c r="F1749" i="29"/>
  <c r="J933" i="29"/>
  <c r="M445" i="29"/>
  <c r="G2492" i="29"/>
  <c r="I1777" i="29"/>
  <c r="I537" i="29"/>
  <c r="L1416" i="29"/>
  <c r="F712" i="29"/>
  <c r="J1932" i="29"/>
  <c r="J1716" i="29"/>
  <c r="I1548" i="29"/>
  <c r="H1396" i="29"/>
  <c r="H1228" i="29"/>
  <c r="H1092" i="29"/>
  <c r="G948" i="29"/>
  <c r="M804" i="29"/>
  <c r="J676" i="29"/>
  <c r="I556" i="29"/>
  <c r="L452" i="29"/>
  <c r="I372" i="29"/>
  <c r="M276" i="29"/>
  <c r="K196" i="29"/>
  <c r="G100" i="29"/>
  <c r="F2549" i="29"/>
  <c r="F2441" i="29"/>
  <c r="F2273" i="29"/>
  <c r="H1928" i="29"/>
  <c r="K2169" i="29"/>
  <c r="F1673" i="29"/>
  <c r="I1385" i="29"/>
  <c r="G1081" i="29"/>
  <c r="G817" i="29"/>
  <c r="I481" i="29"/>
  <c r="M217" i="29"/>
  <c r="K2481" i="29"/>
  <c r="G1816" i="29"/>
  <c r="L1424" i="29"/>
  <c r="K1040" i="29"/>
  <c r="I2389" i="29"/>
  <c r="I2284" i="29"/>
  <c r="I2204" i="29"/>
  <c r="I2116" i="29"/>
  <c r="I2379" i="29"/>
  <c r="L2251" i="29"/>
  <c r="J2163" i="29"/>
  <c r="L2099" i="29"/>
  <c r="L2027" i="29"/>
  <c r="L1955" i="29"/>
  <c r="K1883" i="29"/>
  <c r="I1827" i="29"/>
  <c r="I1779" i="29"/>
  <c r="M1731" i="29"/>
  <c r="F1691" i="29"/>
  <c r="M1643" i="29"/>
  <c r="H1595" i="29"/>
  <c r="G1555" i="29"/>
  <c r="M1515" i="29"/>
  <c r="L1475" i="29"/>
  <c r="F1435" i="29"/>
  <c r="J1387" i="29"/>
  <c r="F1355" i="29"/>
  <c r="I1315" i="29"/>
  <c r="G1275" i="29"/>
  <c r="I1235" i="29"/>
  <c r="M1203" i="29"/>
  <c r="M1163" i="29"/>
  <c r="J1123" i="29"/>
  <c r="G1091" i="29"/>
  <c r="G1051" i="29"/>
  <c r="J1011" i="29"/>
  <c r="M979" i="29"/>
  <c r="F939" i="29"/>
  <c r="K899" i="29"/>
  <c r="I867" i="29"/>
  <c r="G827" i="29"/>
  <c r="L787" i="29"/>
  <c r="M755" i="29"/>
  <c r="I715" i="29"/>
  <c r="G675" i="29"/>
  <c r="K643" i="29"/>
  <c r="F603" i="29"/>
  <c r="K563" i="29"/>
  <c r="M531" i="29"/>
  <c r="J491" i="29"/>
  <c r="G451" i="29"/>
  <c r="G419" i="29"/>
  <c r="G379" i="29"/>
  <c r="I347" i="29"/>
  <c r="M307" i="29"/>
  <c r="M267" i="29"/>
  <c r="M235" i="29"/>
  <c r="M203" i="29"/>
  <c r="K171" i="29"/>
  <c r="J139" i="29"/>
  <c r="I99" i="29"/>
  <c r="I67" i="29"/>
  <c r="L2375" i="29"/>
  <c r="G2325" i="29"/>
  <c r="F2251" i="29"/>
  <c r="F2155" i="29"/>
  <c r="H2069" i="29"/>
  <c r="G1984" i="29"/>
  <c r="F1899" i="29"/>
  <c r="L1700" i="29"/>
  <c r="G2468" i="29"/>
  <c r="F1228" i="29"/>
  <c r="L356" i="29"/>
  <c r="F2238" i="29"/>
  <c r="M745" i="29"/>
  <c r="H1040" i="29"/>
  <c r="I2371" i="29"/>
  <c r="K1947" i="29"/>
  <c r="J1595" i="29"/>
  <c r="H1347" i="29"/>
  <c r="H1123" i="29"/>
  <c r="I899" i="29"/>
  <c r="I675" i="29"/>
  <c r="I451" i="29"/>
  <c r="G267" i="29"/>
  <c r="K67" i="29"/>
  <c r="F1979" i="29"/>
  <c r="F247" i="29"/>
  <c r="H598" i="29"/>
  <c r="I1749" i="29"/>
  <c r="I925" i="29"/>
  <c r="L437" i="29"/>
  <c r="G2469" i="29"/>
  <c r="I1745" i="29"/>
  <c r="J473" i="29"/>
  <c r="M1416" i="29"/>
  <c r="G712" i="29"/>
  <c r="M1932" i="29"/>
  <c r="M1708" i="29"/>
  <c r="F1540" i="29"/>
  <c r="L1388" i="29"/>
  <c r="M1228" i="29"/>
  <c r="L1076" i="29"/>
  <c r="F924" i="29"/>
  <c r="G788" i="29"/>
  <c r="I676" i="29"/>
  <c r="L556" i="29"/>
  <c r="J452" i="29"/>
  <c r="F364" i="29"/>
  <c r="H276" i="29"/>
  <c r="G180" i="29"/>
  <c r="G92" i="29"/>
  <c r="F2528" i="29"/>
  <c r="F2440" i="29"/>
  <c r="F2271" i="29"/>
  <c r="F1926" i="29"/>
  <c r="M2169" i="29"/>
  <c r="H1673" i="29"/>
  <c r="F1385" i="29"/>
  <c r="I1049" i="29"/>
  <c r="L817" i="29"/>
  <c r="J481" i="29"/>
  <c r="F217" i="29"/>
  <c r="K2441" i="29"/>
  <c r="H1816" i="29"/>
  <c r="G1384" i="29"/>
  <c r="L1040" i="29"/>
  <c r="M2389" i="29"/>
  <c r="L2284" i="29"/>
  <c r="J2204" i="29"/>
  <c r="J2116" i="29"/>
  <c r="M2379" i="29"/>
  <c r="M2251" i="29"/>
  <c r="K2163" i="29"/>
  <c r="M2099" i="29"/>
  <c r="M2027" i="29"/>
  <c r="M1955" i="29"/>
  <c r="L1883" i="29"/>
  <c r="G1827" i="29"/>
  <c r="J1779" i="29"/>
  <c r="F1731" i="29"/>
  <c r="M1691" i="29"/>
  <c r="G1643" i="29"/>
  <c r="I1595" i="29"/>
  <c r="I1555" i="29"/>
  <c r="G1507" i="29"/>
  <c r="M1475" i="29"/>
  <c r="I1435" i="29"/>
  <c r="K1387" i="29"/>
  <c r="G1347" i="29"/>
  <c r="J1315" i="29"/>
  <c r="L1275" i="29"/>
  <c r="J1235" i="29"/>
  <c r="F1203" i="29"/>
  <c r="F1163" i="29"/>
  <c r="L1123" i="29"/>
  <c r="H1091" i="29"/>
  <c r="M1051" i="29"/>
  <c r="K1011" i="29"/>
  <c r="F979" i="29"/>
  <c r="G939" i="29"/>
  <c r="M899" i="29"/>
  <c r="G867" i="29"/>
  <c r="H827" i="29"/>
  <c r="F787" i="29"/>
  <c r="J755" i="29"/>
  <c r="K715" i="29"/>
  <c r="H675" i="29"/>
  <c r="L643" i="29"/>
  <c r="H603" i="29"/>
  <c r="L563" i="29"/>
  <c r="F531" i="29"/>
  <c r="K491" i="29"/>
  <c r="H451" i="29"/>
  <c r="H419" i="29"/>
  <c r="H379" i="29"/>
  <c r="K347" i="29"/>
  <c r="F307" i="29"/>
  <c r="F267" i="29"/>
  <c r="I235" i="29"/>
  <c r="F203" i="29"/>
  <c r="L171" i="29"/>
  <c r="H131" i="29"/>
  <c r="J99" i="29"/>
  <c r="J67" i="29"/>
  <c r="J2374" i="29"/>
  <c r="L2323" i="29"/>
  <c r="G2248" i="29"/>
  <c r="G2152" i="29"/>
  <c r="F2067" i="29"/>
  <c r="H1981" i="29"/>
  <c r="G1896" i="29"/>
  <c r="L1692" i="29"/>
  <c r="I550" i="29"/>
  <c r="I1708" i="29"/>
  <c r="G660" i="29"/>
  <c r="F2526" i="29"/>
  <c r="L1049" i="29"/>
  <c r="H1384" i="29"/>
  <c r="J2235" i="29"/>
  <c r="G1731" i="29"/>
  <c r="L1387" i="29"/>
  <c r="F1083" i="29"/>
  <c r="L827" i="29"/>
  <c r="G603" i="29"/>
  <c r="K379" i="29"/>
  <c r="M131" i="29"/>
  <c r="H2149" i="29"/>
  <c r="I2305" i="29"/>
  <c r="F318" i="29"/>
  <c r="H1637" i="29"/>
  <c r="H861" i="29"/>
  <c r="I349" i="29"/>
  <c r="G2439" i="29"/>
  <c r="M1529" i="29"/>
  <c r="M441" i="29"/>
  <c r="K1200" i="29"/>
  <c r="F552" i="29"/>
  <c r="M1916" i="29"/>
  <c r="K1692" i="29"/>
  <c r="G1516" i="29"/>
  <c r="K1372" i="29"/>
  <c r="L1220" i="29"/>
  <c r="H1060" i="29"/>
  <c r="F916" i="29"/>
  <c r="G780" i="29"/>
  <c r="G652" i="29"/>
  <c r="I532" i="29"/>
  <c r="G452" i="29"/>
  <c r="G356" i="29"/>
  <c r="F268" i="29"/>
  <c r="M172" i="29"/>
  <c r="K92" i="29"/>
  <c r="F2523" i="29"/>
  <c r="F2429" i="29"/>
  <c r="F2230" i="29"/>
  <c r="G1887" i="29"/>
  <c r="J2057" i="29"/>
  <c r="F1641" i="29"/>
  <c r="G1313" i="29"/>
  <c r="M1049" i="29"/>
  <c r="I745" i="29"/>
  <c r="G449" i="29"/>
  <c r="H217" i="29"/>
  <c r="L2264" i="29"/>
  <c r="G1720" i="29"/>
  <c r="I1384" i="29"/>
  <c r="F1040" i="29"/>
  <c r="I2341" i="29"/>
  <c r="J2276" i="29"/>
  <c r="I2188" i="29"/>
  <c r="J2100" i="29"/>
  <c r="I2363" i="29"/>
  <c r="L2235" i="29"/>
  <c r="I2155" i="29"/>
  <c r="K2091" i="29"/>
  <c r="L2011" i="29"/>
  <c r="J1939" i="29"/>
  <c r="I1875" i="29"/>
  <c r="F1811" i="29"/>
  <c r="M1771" i="29"/>
  <c r="I1731" i="29"/>
  <c r="G1683" i="29"/>
  <c r="L1635" i="29"/>
  <c r="M1595" i="29"/>
  <c r="I1547" i="29"/>
  <c r="I1507" i="29"/>
  <c r="F1467" i="29"/>
  <c r="G1419" i="29"/>
  <c r="F1387" i="29"/>
  <c r="J1347" i="29"/>
  <c r="M1307" i="29"/>
  <c r="I1267" i="29"/>
  <c r="F1235" i="29"/>
  <c r="G1195" i="29"/>
  <c r="L1155" i="29"/>
  <c r="M1123" i="29"/>
  <c r="G1083" i="29"/>
  <c r="J1043" i="29"/>
  <c r="H1011" i="29"/>
  <c r="G971" i="29"/>
  <c r="J931" i="29"/>
  <c r="F899" i="29"/>
  <c r="H859" i="29"/>
  <c r="K819" i="29"/>
  <c r="H787" i="29"/>
  <c r="H747" i="29"/>
  <c r="G707" i="29"/>
  <c r="L675" i="29"/>
  <c r="K635" i="29"/>
  <c r="L595" i="29"/>
  <c r="J563" i="29"/>
  <c r="K523" i="29"/>
  <c r="M483" i="29"/>
  <c r="K451" i="29"/>
  <c r="I411" i="29"/>
  <c r="L371" i="29"/>
  <c r="J339" i="29"/>
  <c r="I307" i="29"/>
  <c r="I267" i="29"/>
  <c r="G235" i="29"/>
  <c r="H203" i="29"/>
  <c r="M163" i="29"/>
  <c r="F131" i="29"/>
  <c r="L99" i="29"/>
  <c r="L67" i="29"/>
  <c r="G2369" i="29"/>
  <c r="J2318" i="29"/>
  <c r="H2229" i="29"/>
  <c r="G2144" i="29"/>
  <c r="F2059" i="29"/>
  <c r="H1973" i="29"/>
  <c r="J1883" i="29"/>
  <c r="G1654" i="29"/>
  <c r="L561" i="29"/>
  <c r="F198" i="29"/>
  <c r="K1525" i="29"/>
  <c r="F821" i="29"/>
  <c r="G333" i="29"/>
  <c r="G2380" i="29"/>
  <c r="J1433" i="29"/>
  <c r="M257" i="29"/>
  <c r="J1136" i="29"/>
  <c r="K512" i="29"/>
  <c r="G1892" i="29"/>
  <c r="K1676" i="29"/>
  <c r="K1516" i="29"/>
  <c r="I1340" i="29"/>
  <c r="J1188" i="29"/>
  <c r="H1044" i="29"/>
  <c r="G908" i="29"/>
  <c r="L764" i="29"/>
  <c r="J644" i="29"/>
  <c r="H532" i="29"/>
  <c r="M428" i="29"/>
  <c r="G348" i="29"/>
  <c r="M252" i="29"/>
  <c r="M164" i="29"/>
  <c r="I76" i="29"/>
  <c r="F2516" i="29"/>
  <c r="F2408" i="29"/>
  <c r="F2182" i="29"/>
  <c r="L1815" i="29"/>
  <c r="J2009" i="29"/>
  <c r="K1601" i="29"/>
  <c r="M1313" i="29"/>
  <c r="L1009" i="29"/>
  <c r="I713" i="29"/>
  <c r="K449" i="29"/>
  <c r="M161" i="29"/>
  <c r="M2216" i="29"/>
  <c r="L1720" i="29"/>
  <c r="M1384" i="29"/>
  <c r="H1008" i="29"/>
  <c r="J2285" i="29"/>
  <c r="L2268" i="29"/>
  <c r="M2180" i="29"/>
  <c r="J2092" i="29"/>
  <c r="M2355" i="29"/>
  <c r="J2227" i="29"/>
  <c r="M2155" i="29"/>
  <c r="I2083" i="29"/>
  <c r="J2003" i="29"/>
  <c r="I1931" i="29"/>
  <c r="F1875" i="29"/>
  <c r="I1811" i="29"/>
  <c r="I1771" i="29"/>
  <c r="L1731" i="29"/>
  <c r="M1675" i="29"/>
  <c r="M1635" i="29"/>
  <c r="G1587" i="29"/>
  <c r="H1539" i="29"/>
  <c r="M1507" i="29"/>
  <c r="L1467" i="29"/>
  <c r="K1419" i="29"/>
  <c r="J1379" i="29"/>
  <c r="L1347" i="29"/>
  <c r="I1299" i="29"/>
  <c r="G1267" i="29"/>
  <c r="H1227" i="29"/>
  <c r="I1187" i="29"/>
  <c r="M1155" i="29"/>
  <c r="I1115" i="29"/>
  <c r="J1075" i="29"/>
  <c r="G1043" i="29"/>
  <c r="I1003" i="29"/>
  <c r="J963" i="29"/>
  <c r="F931" i="29"/>
  <c r="J891" i="29"/>
  <c r="K851" i="29"/>
  <c r="G819" i="29"/>
  <c r="K779" i="29"/>
  <c r="G739" i="29"/>
  <c r="L707" i="29"/>
  <c r="F667" i="29"/>
  <c r="F627" i="29"/>
  <c r="F595" i="29"/>
  <c r="I555" i="29"/>
  <c r="M515" i="29"/>
  <c r="J483" i="29"/>
  <c r="L443" i="29"/>
  <c r="M403" i="29"/>
  <c r="F371" i="29"/>
  <c r="H339" i="29"/>
  <c r="J299" i="29"/>
  <c r="K267" i="29"/>
  <c r="L227" i="29"/>
  <c r="F195" i="29"/>
  <c r="M155" i="29"/>
  <c r="I123" i="29"/>
  <c r="H91" i="29"/>
  <c r="L2415" i="29"/>
  <c r="G2365" i="29"/>
  <c r="J2310" i="29"/>
  <c r="H2221" i="29"/>
  <c r="G2136" i="29"/>
  <c r="F2051" i="29"/>
  <c r="H1965" i="29"/>
  <c r="L1872" i="29"/>
  <c r="H1619" i="29"/>
  <c r="G112" i="29"/>
  <c r="H2564" i="29"/>
  <c r="L1437" i="29"/>
  <c r="J749" i="29"/>
  <c r="H277" i="29"/>
  <c r="J2317" i="29"/>
  <c r="K1233" i="29"/>
  <c r="H193" i="29"/>
  <c r="G1056" i="29"/>
  <c r="K408" i="29"/>
  <c r="I1860" i="29"/>
  <c r="G1660" i="29"/>
  <c r="H1484" i="29"/>
  <c r="K1332" i="29"/>
  <c r="I1180" i="29"/>
  <c r="F1036" i="29"/>
  <c r="J876" i="29"/>
  <c r="F748" i="29"/>
  <c r="F628" i="29"/>
  <c r="K524" i="29"/>
  <c r="L420" i="29"/>
  <c r="F340" i="29"/>
  <c r="M244" i="29"/>
  <c r="H164" i="29"/>
  <c r="J68" i="29"/>
  <c r="F2503" i="29"/>
  <c r="H2393" i="29"/>
  <c r="H2160" i="29"/>
  <c r="J1773" i="29"/>
  <c r="J1945" i="29"/>
  <c r="H1569" i="29"/>
  <c r="F1281" i="29"/>
  <c r="H985" i="29"/>
  <c r="J681" i="29"/>
  <c r="J393" i="29"/>
  <c r="F137" i="29"/>
  <c r="K2168" i="29"/>
  <c r="G1672" i="29"/>
  <c r="M1304" i="29"/>
  <c r="I968" i="29"/>
  <c r="J2213" i="29"/>
  <c r="J2260" i="29"/>
  <c r="K2172" i="29"/>
  <c r="M2092" i="29"/>
  <c r="L2299" i="29"/>
  <c r="M2227" i="29"/>
  <c r="K2147" i="29"/>
  <c r="M2067" i="29"/>
  <c r="M2003" i="29"/>
  <c r="L1931" i="29"/>
  <c r="K1851" i="29"/>
  <c r="L1811" i="29"/>
  <c r="H1763" i="29"/>
  <c r="M1715" i="29"/>
  <c r="L1675" i="29"/>
  <c r="K1627" i="29"/>
  <c r="J1579" i="29"/>
  <c r="K1539" i="29"/>
  <c r="F1499" i="29"/>
  <c r="J1459" i="29"/>
  <c r="F1419" i="29"/>
  <c r="M1379" i="29"/>
  <c r="M1339" i="29"/>
  <c r="F1299" i="29"/>
  <c r="H1259" i="29"/>
  <c r="I1219" i="29"/>
  <c r="M1187" i="29"/>
  <c r="J1147" i="29"/>
  <c r="J1107" i="29"/>
  <c r="F1075" i="29"/>
  <c r="I1035" i="29"/>
  <c r="J995" i="29"/>
  <c r="M963" i="29"/>
  <c r="I923" i="29"/>
  <c r="K883" i="29"/>
  <c r="I851" i="29"/>
  <c r="K811" i="29"/>
  <c r="L771" i="29"/>
  <c r="H739" i="29"/>
  <c r="F699" i="29"/>
  <c r="G659" i="29"/>
  <c r="J627" i="29"/>
  <c r="I587" i="29"/>
  <c r="J547" i="29"/>
  <c r="H515" i="29"/>
  <c r="I475" i="29"/>
  <c r="J435" i="29"/>
  <c r="G403" i="29"/>
  <c r="I371" i="29"/>
  <c r="L331" i="29"/>
  <c r="M291" i="29"/>
  <c r="G259" i="29"/>
  <c r="H227" i="29"/>
  <c r="L195" i="29"/>
  <c r="H155" i="29"/>
  <c r="M123" i="29"/>
  <c r="K91" i="29"/>
  <c r="L2411" i="29"/>
  <c r="L2359" i="29"/>
  <c r="K2300" i="29"/>
  <c r="H2213" i="29"/>
  <c r="G2128" i="29"/>
  <c r="F2043" i="29"/>
  <c r="I2278" i="29"/>
  <c r="H2429" i="29"/>
  <c r="G1309" i="29"/>
  <c r="H717" i="29"/>
  <c r="G237" i="29"/>
  <c r="F2161" i="29"/>
  <c r="G1161" i="29"/>
  <c r="I105" i="29"/>
  <c r="F1000" i="29"/>
  <c r="M328" i="29"/>
  <c r="F1844" i="29"/>
  <c r="H1644" i="29"/>
  <c r="I1476" i="29"/>
  <c r="J1324" i="29"/>
  <c r="K1172" i="29"/>
  <c r="M1020" i="29"/>
  <c r="I876" i="29"/>
  <c r="J748" i="29"/>
  <c r="G620" i="29"/>
  <c r="M516" i="29"/>
  <c r="I420" i="29"/>
  <c r="M324" i="29"/>
  <c r="I236" i="29"/>
  <c r="J148" i="29"/>
  <c r="M68" i="29"/>
  <c r="F2500" i="29"/>
  <c r="F2384" i="29"/>
  <c r="F2134" i="29"/>
  <c r="L1751" i="29"/>
  <c r="M1945" i="29"/>
  <c r="J1537" i="29"/>
  <c r="L1281" i="29"/>
  <c r="J953" i="29"/>
  <c r="I681" i="29"/>
  <c r="K393" i="29"/>
  <c r="K137" i="29"/>
  <c r="M2168" i="29"/>
  <c r="M1672" i="29"/>
  <c r="J1264" i="29"/>
  <c r="K968" i="29"/>
  <c r="L2213" i="29"/>
  <c r="M2260" i="29"/>
  <c r="I2164" i="29"/>
  <c r="J2084" i="29"/>
  <c r="I2291" i="29"/>
  <c r="L2211" i="29"/>
  <c r="M2147" i="29"/>
  <c r="J2059" i="29"/>
  <c r="M1995" i="29"/>
  <c r="I1923" i="29"/>
  <c r="F1851" i="29"/>
  <c r="G1803" i="29"/>
  <c r="J1763" i="29"/>
  <c r="G1715" i="29"/>
  <c r="M1667" i="29"/>
  <c r="F1627" i="29"/>
  <c r="M1579" i="29"/>
  <c r="G1531" i="29"/>
  <c r="K1499" i="29"/>
  <c r="H1451" i="29"/>
  <c r="H1411" i="29"/>
  <c r="I1379" i="29"/>
  <c r="G1331" i="29"/>
  <c r="M1299" i="29"/>
  <c r="J1259" i="29"/>
  <c r="K1219" i="29"/>
  <c r="L1187" i="29"/>
  <c r="H1147" i="29"/>
  <c r="L1107" i="29"/>
  <c r="H1075" i="29"/>
  <c r="K1035" i="29"/>
  <c r="L995" i="29"/>
  <c r="H963" i="29"/>
  <c r="K923" i="29"/>
  <c r="F883" i="29"/>
  <c r="L851" i="29"/>
  <c r="M811" i="29"/>
  <c r="G771" i="29"/>
  <c r="L739" i="29"/>
  <c r="H699" i="29"/>
  <c r="I659" i="29"/>
  <c r="M627" i="29"/>
  <c r="L587" i="29"/>
  <c r="L547" i="29"/>
  <c r="L515" i="29"/>
  <c r="K475" i="29"/>
  <c r="I435" i="29"/>
  <c r="I403" i="29"/>
  <c r="L363" i="29"/>
  <c r="M323" i="29"/>
  <c r="G291" i="29"/>
  <c r="I259" i="29"/>
  <c r="G227" i="29"/>
  <c r="K187" i="29"/>
  <c r="L155" i="29"/>
  <c r="F123" i="29"/>
  <c r="L91" i="29"/>
  <c r="L2407" i="29"/>
  <c r="J2350" i="29"/>
  <c r="K2294" i="29"/>
  <c r="G2208" i="29"/>
  <c r="F2123" i="29"/>
  <c r="H2037" i="29"/>
  <c r="G1952" i="29"/>
  <c r="J1848" i="29"/>
  <c r="F1501" i="29"/>
  <c r="I2214" i="29"/>
  <c r="F2359" i="29"/>
  <c r="H1261" i="29"/>
  <c r="F701" i="29"/>
  <c r="F237" i="29"/>
  <c r="H2123" i="29"/>
  <c r="M1129" i="29"/>
  <c r="L1785" i="29"/>
  <c r="I944" i="29"/>
  <c r="J328" i="29"/>
  <c r="I1828" i="29"/>
  <c r="K1636" i="29"/>
  <c r="K1476" i="29"/>
  <c r="F1316" i="29"/>
  <c r="J1164" i="29"/>
  <c r="F1020" i="29"/>
  <c r="L876" i="29"/>
  <c r="J740" i="29"/>
  <c r="H620" i="29"/>
  <c r="K508" i="29"/>
  <c r="F420" i="29"/>
  <c r="H324" i="29"/>
  <c r="F236" i="29"/>
  <c r="K148" i="29"/>
  <c r="L68" i="29"/>
  <c r="F2492" i="29"/>
  <c r="H2377" i="29"/>
  <c r="F2094" i="29"/>
  <c r="M1692" i="29"/>
  <c r="F1873" i="29"/>
  <c r="M1537" i="29"/>
  <c r="K1217" i="29"/>
  <c r="K953" i="29"/>
  <c r="L681" i="29"/>
  <c r="L353" i="29"/>
  <c r="L137" i="29"/>
  <c r="I2128" i="29"/>
  <c r="K1616" i="29"/>
  <c r="J1216" i="29"/>
  <c r="L968" i="29"/>
  <c r="M2388" i="29"/>
  <c r="I2252" i="29"/>
  <c r="J2164" i="29"/>
  <c r="K2084" i="29"/>
  <c r="J2291" i="29"/>
  <c r="M2211" i="29"/>
  <c r="I2139" i="29"/>
  <c r="K2059" i="29"/>
  <c r="K1987" i="29"/>
  <c r="J1923" i="29"/>
  <c r="M1843" i="29"/>
  <c r="H1803" i="29"/>
  <c r="K1763" i="29"/>
  <c r="H1715" i="29"/>
  <c r="G1667" i="29"/>
  <c r="I1627" i="29"/>
  <c r="F1579" i="29"/>
  <c r="H1531" i="29"/>
  <c r="L1499" i="29"/>
  <c r="F1451" i="29"/>
  <c r="J1411" i="29"/>
  <c r="G1371" i="29"/>
  <c r="H1331" i="29"/>
  <c r="H1291" i="29"/>
  <c r="M2038" i="29"/>
  <c r="H2305" i="29"/>
  <c r="H1253" i="29"/>
  <c r="H677" i="29"/>
  <c r="I205" i="29"/>
  <c r="F2121" i="29"/>
  <c r="H1129" i="29"/>
  <c r="J2232" i="29"/>
  <c r="J944" i="29"/>
  <c r="K328" i="29"/>
  <c r="M1812" i="29"/>
  <c r="L1636" i="29"/>
  <c r="M1476" i="29"/>
  <c r="H1316" i="29"/>
  <c r="F1156" i="29"/>
  <c r="J1012" i="29"/>
  <c r="G876" i="29"/>
  <c r="L740" i="29"/>
  <c r="J620" i="29"/>
  <c r="H500" i="29"/>
  <c r="J412" i="29"/>
  <c r="M316" i="29"/>
  <c r="H236" i="29"/>
  <c r="M140" i="29"/>
  <c r="F2588" i="29"/>
  <c r="F2491" i="29"/>
  <c r="F2376" i="29"/>
  <c r="H2088" i="29"/>
  <c r="H1654" i="29"/>
  <c r="G1873" i="29"/>
  <c r="G1505" i="29"/>
  <c r="M1217" i="29"/>
  <c r="L953" i="29"/>
  <c r="K641" i="29"/>
  <c r="F353" i="29"/>
  <c r="M137" i="29"/>
  <c r="K2072" i="29"/>
  <c r="L1616" i="29"/>
  <c r="K1216" i="29"/>
  <c r="K928" i="29"/>
  <c r="M2380" i="29"/>
  <c r="J2252" i="29"/>
  <c r="K2164" i="29"/>
  <c r="L2084" i="29"/>
  <c r="L2291" i="29"/>
  <c r="I2203" i="29"/>
  <c r="J2139" i="29"/>
  <c r="L2059" i="29"/>
  <c r="L1987" i="29"/>
  <c r="K1923" i="29"/>
  <c r="I1843" i="29"/>
  <c r="I1803" i="29"/>
  <c r="L1763" i="29"/>
  <c r="I1715" i="29"/>
  <c r="H1667" i="29"/>
  <c r="J1627" i="29"/>
  <c r="L1579" i="29"/>
  <c r="F1531" i="29"/>
  <c r="M1499" i="29"/>
  <c r="I1451" i="29"/>
  <c r="K1411" i="29"/>
  <c r="H1371" i="29"/>
  <c r="I1331" i="29"/>
  <c r="I1291" i="29"/>
  <c r="F1259" i="29"/>
  <c r="F1219" i="29"/>
  <c r="I1179" i="29"/>
  <c r="K1147" i="29"/>
  <c r="F1107" i="29"/>
  <c r="J1067" i="29"/>
  <c r="F1035" i="29"/>
  <c r="F995" i="29"/>
  <c r="J955" i="29"/>
  <c r="M923" i="29"/>
  <c r="I883" i="29"/>
  <c r="K843" i="29"/>
  <c r="G811" i="29"/>
  <c r="J771" i="29"/>
  <c r="G731" i="29"/>
  <c r="K699" i="29"/>
  <c r="L659" i="29"/>
  <c r="F619" i="29"/>
  <c r="F587" i="29"/>
  <c r="F547" i="29"/>
  <c r="M507" i="29"/>
  <c r="M475" i="29"/>
  <c r="M435" i="29"/>
  <c r="L395" i="29"/>
  <c r="J363" i="29"/>
  <c r="F323" i="29"/>
  <c r="I291" i="29"/>
  <c r="J259" i="29"/>
  <c r="K219" i="29"/>
  <c r="I187" i="29"/>
  <c r="K155" i="29"/>
  <c r="H115" i="29"/>
  <c r="G83" i="29"/>
  <c r="G2405" i="29"/>
  <c r="L2347" i="29"/>
  <c r="K2288" i="29"/>
  <c r="F2203" i="29"/>
  <c r="H2117" i="29"/>
  <c r="G2032" i="29"/>
  <c r="F1947" i="29"/>
  <c r="J1832" i="29"/>
  <c r="M1734" i="29"/>
  <c r="H2190" i="29"/>
  <c r="F1253" i="29"/>
  <c r="G645" i="29"/>
  <c r="G205" i="29"/>
  <c r="G2094" i="29"/>
  <c r="F1065" i="29"/>
  <c r="J2136" i="29"/>
  <c r="M944" i="29"/>
  <c r="I2277" i="29"/>
  <c r="H1804" i="29"/>
  <c r="G1620" i="29"/>
  <c r="G1460" i="29"/>
  <c r="K1300" i="29"/>
  <c r="H1156" i="29"/>
  <c r="K1004" i="29"/>
  <c r="F852" i="29"/>
  <c r="F724" i="29"/>
  <c r="J612" i="29"/>
  <c r="J500" i="29"/>
  <c r="G412" i="29"/>
  <c r="I316" i="29"/>
  <c r="J236" i="29"/>
  <c r="F140" i="29"/>
  <c r="F2587" i="29"/>
  <c r="F2489" i="29"/>
  <c r="K2374" i="29"/>
  <c r="H2080" i="29"/>
  <c r="I1620" i="29"/>
  <c r="J1873" i="29"/>
  <c r="J1505" i="29"/>
  <c r="G1217" i="29"/>
  <c r="L921" i="29"/>
  <c r="G641" i="29"/>
  <c r="G353" i="29"/>
  <c r="F113" i="29"/>
  <c r="M2008" i="29"/>
  <c r="G1568" i="29"/>
  <c r="M1216" i="29"/>
  <c r="G720" i="29"/>
  <c r="M2372" i="29"/>
  <c r="M2236" i="29"/>
  <c r="M2164" i="29"/>
  <c r="M2084" i="29"/>
  <c r="M2291" i="29"/>
  <c r="J2203" i="29"/>
  <c r="K2139" i="29"/>
  <c r="M2059" i="29"/>
  <c r="M1987" i="29"/>
  <c r="L1923" i="29"/>
  <c r="K1843" i="29"/>
  <c r="J1803" i="29"/>
  <c r="M1755" i="29"/>
  <c r="J1715" i="29"/>
  <c r="I1667" i="29"/>
  <c r="M1627" i="29"/>
  <c r="G1571" i="29"/>
  <c r="I1531" i="29"/>
  <c r="G1491" i="29"/>
  <c r="K1451" i="29"/>
  <c r="L1411" i="29"/>
  <c r="J1371" i="29"/>
  <c r="J1331" i="29"/>
  <c r="J1291" i="29"/>
  <c r="G1259" i="29"/>
  <c r="G1219" i="29"/>
  <c r="J1179" i="29"/>
  <c r="M1147" i="29"/>
  <c r="H1107" i="29"/>
  <c r="K1067" i="29"/>
  <c r="H1035" i="29"/>
  <c r="G995" i="29"/>
  <c r="K955" i="29"/>
  <c r="F923" i="29"/>
  <c r="L883" i="29"/>
  <c r="M843" i="29"/>
  <c r="J811" i="29"/>
  <c r="H771" i="29"/>
  <c r="I731" i="29"/>
  <c r="L699" i="29"/>
  <c r="J659" i="29"/>
  <c r="G619" i="29"/>
  <c r="H587" i="29"/>
  <c r="G547" i="29"/>
  <c r="F507" i="29"/>
  <c r="F475" i="29"/>
  <c r="F435" i="29"/>
  <c r="M395" i="29"/>
  <c r="F363" i="29"/>
  <c r="G323" i="29"/>
  <c r="L291" i="29"/>
  <c r="K259" i="29"/>
  <c r="L219" i="29"/>
  <c r="G187" i="29"/>
  <c r="M147" i="29"/>
  <c r="I115" i="29"/>
  <c r="H83" i="29"/>
  <c r="L2399" i="29"/>
  <c r="G2345" i="29"/>
  <c r="K2286" i="29"/>
  <c r="G2200" i="29"/>
  <c r="F2115" i="29"/>
  <c r="H2029" i="29"/>
  <c r="F1939" i="29"/>
  <c r="G1822" i="29"/>
  <c r="L1420" i="29"/>
  <c r="M1686" i="29"/>
  <c r="F1832" i="29"/>
  <c r="H1229" i="29"/>
  <c r="J645" i="29"/>
  <c r="M157" i="29"/>
  <c r="H2091" i="29"/>
  <c r="I969" i="29"/>
  <c r="K2088" i="29"/>
  <c r="G944" i="29"/>
  <c r="L2197" i="29"/>
  <c r="I1804" i="29"/>
  <c r="L1612" i="29"/>
  <c r="J1460" i="29"/>
  <c r="L1300" i="29"/>
  <c r="G1148" i="29"/>
  <c r="L988" i="29"/>
  <c r="L852" i="29"/>
  <c r="L724" i="29"/>
  <c r="F612" i="29"/>
  <c r="K500" i="29"/>
  <c r="I412" i="29"/>
  <c r="L316" i="29"/>
  <c r="L228" i="29"/>
  <c r="L140" i="29"/>
  <c r="F2584" i="29"/>
  <c r="F2481" i="29"/>
  <c r="H2373" i="29"/>
  <c r="F2078" i="29"/>
  <c r="M1596" i="29"/>
  <c r="M1825" i="29"/>
  <c r="K1505" i="29"/>
  <c r="L1217" i="29"/>
  <c r="M921" i="29"/>
  <c r="I609" i="29"/>
  <c r="H353" i="29"/>
  <c r="I113" i="29"/>
  <c r="J1952" i="29"/>
  <c r="M1568" i="29"/>
  <c r="F1216" i="29"/>
  <c r="I720" i="29"/>
  <c r="I2364" i="29"/>
  <c r="I2228" i="29"/>
  <c r="K2148" i="29"/>
  <c r="J2068" i="29"/>
  <c r="G1510" i="29"/>
  <c r="L1104" i="29"/>
  <c r="I1117" i="29"/>
  <c r="G613" i="29"/>
  <c r="G117" i="29"/>
  <c r="H1923" i="29"/>
  <c r="K889" i="29"/>
  <c r="H1792" i="29"/>
  <c r="L840" i="29"/>
  <c r="J2044" i="29"/>
  <c r="I1788" i="29"/>
  <c r="K1596" i="29"/>
  <c r="K1444" i="29"/>
  <c r="H1284" i="29"/>
  <c r="M1132" i="29"/>
  <c r="L980" i="29"/>
  <c r="G844" i="29"/>
  <c r="L708" i="29"/>
  <c r="I588" i="29"/>
  <c r="K484" i="29"/>
  <c r="G396" i="29"/>
  <c r="H308" i="29"/>
  <c r="H220" i="29"/>
  <c r="F132" i="29"/>
  <c r="F2567" i="29"/>
  <c r="F2470" i="29"/>
  <c r="F2328" i="29"/>
  <c r="F2062" i="29"/>
  <c r="M2417" i="29"/>
  <c r="L1825" i="29"/>
  <c r="H1441" i="29"/>
  <c r="F1177" i="29"/>
  <c r="G881" i="29"/>
  <c r="M585" i="29"/>
  <c r="I281" i="29"/>
  <c r="K81" i="29"/>
  <c r="I1912" i="29"/>
  <c r="J1568" i="29"/>
  <c r="M1152" i="29"/>
  <c r="L720" i="29"/>
  <c r="M2356" i="29"/>
  <c r="L2228" i="29"/>
  <c r="I2140" i="29"/>
  <c r="I2419" i="29"/>
  <c r="I2275" i="29"/>
  <c r="I2195" i="29"/>
  <c r="L2115" i="29"/>
  <c r="M2051" i="29"/>
  <c r="L1979" i="29"/>
  <c r="I1899" i="29"/>
  <c r="H1835" i="29"/>
  <c r="F1795" i="29"/>
  <c r="G1747" i="29"/>
  <c r="K1707" i="29"/>
  <c r="G1659" i="29"/>
  <c r="J1611" i="29"/>
  <c r="M1571" i="29"/>
  <c r="M1531" i="29"/>
  <c r="I1483" i="29"/>
  <c r="I1443" i="29"/>
  <c r="K1403" i="29"/>
  <c r="L1363" i="29"/>
  <c r="G1323" i="29"/>
  <c r="L1291" i="29"/>
  <c r="M1251" i="29"/>
  <c r="K1211" i="29"/>
  <c r="G1179" i="29"/>
  <c r="F1139" i="29"/>
  <c r="L1099" i="29"/>
  <c r="M1067" i="29"/>
  <c r="M1027" i="29"/>
  <c r="L987" i="29"/>
  <c r="G955" i="29"/>
  <c r="H915" i="29"/>
  <c r="F875" i="29"/>
  <c r="H843" i="29"/>
  <c r="I803" i="29"/>
  <c r="G763" i="29"/>
  <c r="L731" i="29"/>
  <c r="M691" i="29"/>
  <c r="I651" i="29"/>
  <c r="M619" i="29"/>
  <c r="G579" i="29"/>
  <c r="L539" i="29"/>
  <c r="K507" i="29"/>
  <c r="H467" i="29"/>
  <c r="I427" i="29"/>
  <c r="H395" i="29"/>
  <c r="H355" i="29"/>
  <c r="L323" i="29"/>
  <c r="F283" i="29"/>
  <c r="F251" i="29"/>
  <c r="L211" i="29"/>
  <c r="J179" i="29"/>
  <c r="I147" i="29"/>
  <c r="L115" i="29"/>
  <c r="F75" i="29"/>
  <c r="J2390" i="29"/>
  <c r="L2339" i="29"/>
  <c r="K2276" i="29"/>
  <c r="H2189" i="29"/>
  <c r="G2104" i="29"/>
  <c r="L2361" i="29"/>
  <c r="K1453" i="29"/>
  <c r="J109" i="29"/>
  <c r="H441" i="29"/>
  <c r="G472" i="29"/>
  <c r="F1596" i="29"/>
  <c r="G1220" i="29"/>
  <c r="L892" i="29"/>
  <c r="L588" i="29"/>
  <c r="J356" i="29"/>
  <c r="G164" i="29"/>
  <c r="F2468" i="29"/>
  <c r="F1902" i="29"/>
  <c r="F1569" i="29"/>
  <c r="J849" i="29"/>
  <c r="G217" i="29"/>
  <c r="F1672" i="29"/>
  <c r="J2529" i="29"/>
  <c r="M2196" i="29"/>
  <c r="J2299" i="29"/>
  <c r="I2115" i="29"/>
  <c r="K1979" i="29"/>
  <c r="G1835" i="29"/>
  <c r="K1747" i="29"/>
  <c r="I1635" i="29"/>
  <c r="F1539" i="29"/>
  <c r="G1451" i="29"/>
  <c r="J1363" i="29"/>
  <c r="M1291" i="29"/>
  <c r="M1211" i="29"/>
  <c r="I1131" i="29"/>
  <c r="H1067" i="29"/>
  <c r="M987" i="29"/>
  <c r="K907" i="29"/>
  <c r="L843" i="29"/>
  <c r="M763" i="29"/>
  <c r="F683" i="29"/>
  <c r="L619" i="29"/>
  <c r="M539" i="29"/>
  <c r="L459" i="29"/>
  <c r="I395" i="29"/>
  <c r="M315" i="29"/>
  <c r="G251" i="29"/>
  <c r="K179" i="29"/>
  <c r="M115" i="29"/>
  <c r="G2389" i="29"/>
  <c r="K2272" i="29"/>
  <c r="H2101" i="29"/>
  <c r="G1928" i="29"/>
  <c r="H1572" i="29"/>
  <c r="F1923" i="29"/>
  <c r="J2048" i="29"/>
  <c r="K124" i="29"/>
  <c r="I81" i="29"/>
  <c r="L2275" i="29"/>
  <c r="F1611" i="29"/>
  <c r="H1187" i="29"/>
  <c r="F739" i="29"/>
  <c r="I299" i="29"/>
  <c r="H2053" i="29"/>
  <c r="G1622" i="29"/>
  <c r="J713" i="29"/>
  <c r="I1611" i="29"/>
  <c r="K963" i="29"/>
  <c r="F515" i="29"/>
  <c r="L2363" i="29"/>
  <c r="J1744" i="29"/>
  <c r="K308" i="29"/>
  <c r="K1384" i="29"/>
  <c r="K1803" i="29"/>
  <c r="F1187" i="29"/>
  <c r="K739" i="29"/>
  <c r="F291" i="29"/>
  <c r="M1110" i="29"/>
  <c r="H84" i="29"/>
  <c r="F65" i="29"/>
  <c r="M1931" i="29"/>
  <c r="L1339" i="29"/>
  <c r="I955" i="29"/>
  <c r="I507" i="29"/>
  <c r="G2349" i="29"/>
  <c r="M1179" i="29"/>
  <c r="K291" i="29"/>
  <c r="H1852" i="29"/>
  <c r="I476" i="29"/>
  <c r="G585" i="29"/>
  <c r="K2100" i="29"/>
  <c r="M1699" i="29"/>
  <c r="K1331" i="29"/>
  <c r="F955" i="29"/>
  <c r="J507" i="29"/>
  <c r="K83" i="29"/>
  <c r="J1851" i="29"/>
  <c r="K808" i="29"/>
  <c r="G1379" i="29"/>
  <c r="I547" i="29"/>
  <c r="M628" i="29"/>
  <c r="M2363" i="29"/>
  <c r="J1467" i="29"/>
  <c r="L1067" i="29"/>
  <c r="H547" i="29"/>
  <c r="M179" i="29"/>
  <c r="J1581" i="29"/>
  <c r="J1720" i="29"/>
  <c r="M1467" i="29"/>
  <c r="I539" i="29"/>
  <c r="K2280" i="29"/>
  <c r="J1612" i="29"/>
  <c r="F1998" i="29"/>
  <c r="J1747" i="29"/>
  <c r="G1139" i="29"/>
  <c r="J691" i="29"/>
  <c r="H179" i="29"/>
  <c r="F1273" i="29"/>
  <c r="K1405" i="29"/>
  <c r="F101" i="29"/>
  <c r="L409" i="29"/>
  <c r="F368" i="29"/>
  <c r="G1588" i="29"/>
  <c r="M1204" i="29"/>
  <c r="F876" i="29"/>
  <c r="H588" i="29"/>
  <c r="H356" i="29"/>
  <c r="L164" i="29"/>
  <c r="F2467" i="29"/>
  <c r="J1884" i="29"/>
  <c r="H1537" i="29"/>
  <c r="M849" i="29"/>
  <c r="I185" i="29"/>
  <c r="I1672" i="29"/>
  <c r="J2528" i="29"/>
  <c r="J2188" i="29"/>
  <c r="M2299" i="29"/>
  <c r="J2115" i="29"/>
  <c r="M1979" i="29"/>
  <c r="J1835" i="29"/>
  <c r="H1731" i="29"/>
  <c r="J1635" i="29"/>
  <c r="I1539" i="29"/>
  <c r="J1451" i="29"/>
  <c r="K1363" i="29"/>
  <c r="H1283" i="29"/>
  <c r="F1211" i="29"/>
  <c r="J1131" i="29"/>
  <c r="I1059" i="29"/>
  <c r="F987" i="29"/>
  <c r="M907" i="29"/>
  <c r="J835" i="29"/>
  <c r="J763" i="29"/>
  <c r="G683" i="29"/>
  <c r="I611" i="29"/>
  <c r="F539" i="29"/>
  <c r="G459" i="29"/>
  <c r="K395" i="29"/>
  <c r="F315" i="29"/>
  <c r="J251" i="29"/>
  <c r="L179" i="29"/>
  <c r="F115" i="29"/>
  <c r="L2387" i="29"/>
  <c r="K2270" i="29"/>
  <c r="F2099" i="29"/>
  <c r="H1925" i="29"/>
  <c r="M1547" i="29"/>
  <c r="G2421" i="29"/>
  <c r="I836" i="29"/>
  <c r="I1529" i="29"/>
  <c r="M1520" i="29"/>
  <c r="F1715" i="29"/>
  <c r="F1267" i="29"/>
  <c r="I819" i="29"/>
  <c r="J371" i="29"/>
  <c r="G2224" i="29"/>
  <c r="F1093" i="29"/>
  <c r="I1501" i="29"/>
  <c r="J2091" i="29"/>
  <c r="F1347" i="29"/>
  <c r="H819" i="29"/>
  <c r="M227" i="29"/>
  <c r="F1887" i="29"/>
  <c r="K1908" i="29"/>
  <c r="J516" i="29"/>
  <c r="K681" i="29"/>
  <c r="M2091" i="29"/>
  <c r="M1347" i="29"/>
  <c r="F963" i="29"/>
  <c r="H435" i="29"/>
  <c r="L2355" i="29"/>
  <c r="M1452" i="29"/>
  <c r="L2083" i="29"/>
  <c r="H1179" i="29"/>
  <c r="K659" i="29"/>
  <c r="F227" i="29"/>
  <c r="H1027" i="29"/>
  <c r="L427" i="29"/>
  <c r="J2342" i="29"/>
  <c r="G1200" i="29"/>
  <c r="F2320" i="29"/>
  <c r="M2348" i="29"/>
  <c r="F1595" i="29"/>
  <c r="J1099" i="29"/>
  <c r="F2519" i="29"/>
  <c r="G1155" i="29"/>
  <c r="F259" i="29"/>
  <c r="M908" i="29"/>
  <c r="F1843" i="29"/>
  <c r="L1219" i="29"/>
  <c r="M467" i="29"/>
  <c r="F1955" i="29"/>
  <c r="K149" i="29"/>
  <c r="J2147" i="29"/>
  <c r="M1139" i="29"/>
  <c r="J323" i="29"/>
  <c r="M512" i="29"/>
  <c r="H921" i="29"/>
  <c r="G1539" i="29"/>
  <c r="G915" i="29"/>
  <c r="K323" i="29"/>
  <c r="J689" i="29"/>
  <c r="F1213" i="29"/>
  <c r="M93" i="29"/>
  <c r="J329" i="29"/>
  <c r="I2412" i="29"/>
  <c r="K1580" i="29"/>
  <c r="F1204" i="29"/>
  <c r="H852" i="29"/>
  <c r="J588" i="29"/>
  <c r="I356" i="29"/>
  <c r="K140" i="29"/>
  <c r="F2464" i="29"/>
  <c r="K1880" i="29"/>
  <c r="M1505" i="29"/>
  <c r="I849" i="29"/>
  <c r="J185" i="29"/>
  <c r="F1568" i="29"/>
  <c r="J2521" i="29"/>
  <c r="L2180" i="29"/>
  <c r="I2283" i="29"/>
  <c r="K2115" i="29"/>
  <c r="I1971" i="29"/>
  <c r="K1835" i="29"/>
  <c r="J1731" i="29"/>
  <c r="G1635" i="29"/>
  <c r="J1539" i="29"/>
  <c r="G1443" i="29"/>
  <c r="M1363" i="29"/>
  <c r="I1283" i="29"/>
  <c r="G1211" i="29"/>
  <c r="L1131" i="29"/>
  <c r="J1059" i="29"/>
  <c r="G987" i="29"/>
  <c r="G907" i="29"/>
  <c r="K835" i="29"/>
  <c r="H763" i="29"/>
  <c r="H683" i="29"/>
  <c r="F611" i="29"/>
  <c r="G539" i="29"/>
  <c r="H459" i="29"/>
  <c r="L387" i="29"/>
  <c r="H315" i="29"/>
  <c r="H243" i="29"/>
  <c r="I179" i="29"/>
  <c r="F107" i="29"/>
  <c r="G2385" i="29"/>
  <c r="K2268" i="29"/>
  <c r="G2096" i="29"/>
  <c r="F1473" i="29"/>
  <c r="K2036" i="29"/>
  <c r="H1148" i="29"/>
  <c r="G316" i="29"/>
  <c r="M1441" i="29"/>
  <c r="I2285" i="29"/>
  <c r="L1939" i="29"/>
  <c r="L1443" i="29"/>
  <c r="I963" i="29"/>
  <c r="I515" i="29"/>
  <c r="G91" i="29"/>
  <c r="M2012" i="29"/>
  <c r="F524" i="29"/>
  <c r="J81" i="29"/>
  <c r="M2275" i="29"/>
  <c r="F1523" i="29"/>
  <c r="J1115" i="29"/>
  <c r="G667" i="29"/>
  <c r="K299" i="29"/>
  <c r="G2048" i="29"/>
  <c r="F1476" i="29"/>
  <c r="I780" i="29"/>
  <c r="I1313" i="29"/>
  <c r="K2140" i="29"/>
  <c r="F1515" i="29"/>
  <c r="J1035" i="29"/>
  <c r="H659" i="29"/>
  <c r="I155" i="29"/>
  <c r="K1744" i="29"/>
  <c r="I772" i="29"/>
  <c r="H2369" i="29"/>
  <c r="L1313" i="29"/>
  <c r="L1384" i="29"/>
  <c r="M2235" i="29"/>
  <c r="L1803" i="29"/>
  <c r="J1419" i="29"/>
  <c r="L1035" i="29"/>
  <c r="F811" i="29"/>
  <c r="K435" i="29"/>
  <c r="J155" i="29"/>
  <c r="M955" i="29"/>
  <c r="F651" i="29"/>
  <c r="G147" i="29"/>
  <c r="L1848" i="29"/>
  <c r="K68" i="29"/>
  <c r="I1264" i="29"/>
  <c r="L1795" i="29"/>
  <c r="L1251" i="29"/>
  <c r="M731" i="29"/>
  <c r="G355" i="29"/>
  <c r="G2192" i="29"/>
  <c r="G404" i="29"/>
  <c r="I2003" i="29"/>
  <c r="I995" i="29"/>
  <c r="H627" i="29"/>
  <c r="K2302" i="29"/>
  <c r="G1644" i="29"/>
  <c r="I2147" i="29"/>
  <c r="K1291" i="29"/>
  <c r="H619" i="29"/>
  <c r="J115" i="29"/>
  <c r="I1260" i="29"/>
  <c r="H2000" i="29"/>
  <c r="I2355" i="29"/>
  <c r="I1747" i="29"/>
  <c r="H1211" i="29"/>
  <c r="L691" i="29"/>
  <c r="F179" i="29"/>
  <c r="K1260" i="29"/>
  <c r="F2471" i="29"/>
  <c r="L2147" i="29"/>
  <c r="M1459" i="29"/>
  <c r="G1067" i="29"/>
  <c r="G467" i="29"/>
  <c r="F2107" i="29"/>
  <c r="J592" i="29"/>
  <c r="M1189" i="29"/>
  <c r="I61" i="29"/>
  <c r="M225" i="29"/>
  <c r="J2060" i="29"/>
  <c r="L1580" i="29"/>
  <c r="F1188" i="29"/>
  <c r="M844" i="29"/>
  <c r="J580" i="29"/>
  <c r="G340" i="29"/>
  <c r="I132" i="29"/>
  <c r="F2462" i="29"/>
  <c r="L1809" i="29"/>
  <c r="I1505" i="29"/>
  <c r="L849" i="29"/>
  <c r="J161" i="29"/>
  <c r="H1568" i="29"/>
  <c r="J2513" i="29"/>
  <c r="I2172" i="29"/>
  <c r="J2283" i="29"/>
  <c r="M2115" i="29"/>
  <c r="J1971" i="29"/>
  <c r="M1811" i="29"/>
  <c r="K1731" i="29"/>
  <c r="H1635" i="29"/>
  <c r="K1531" i="29"/>
  <c r="H1443" i="29"/>
  <c r="F1363" i="29"/>
  <c r="H1275" i="29"/>
  <c r="L1211" i="29"/>
  <c r="H1131" i="29"/>
  <c r="I1051" i="29"/>
  <c r="H987" i="29"/>
  <c r="H907" i="29"/>
  <c r="J827" i="29"/>
  <c r="I763" i="29"/>
  <c r="I683" i="29"/>
  <c r="I603" i="29"/>
  <c r="H539" i="29"/>
  <c r="I459" i="29"/>
  <c r="M387" i="29"/>
  <c r="G315" i="29"/>
  <c r="J243" i="29"/>
  <c r="G179" i="29"/>
  <c r="H107" i="29"/>
  <c r="L2383" i="29"/>
  <c r="K2264" i="29"/>
  <c r="G2088" i="29"/>
  <c r="G1920" i="29"/>
  <c r="L1451" i="29"/>
  <c r="I1516" i="29"/>
  <c r="J1811" i="29"/>
  <c r="G1123" i="29"/>
  <c r="M675" i="29"/>
  <c r="K227" i="29"/>
  <c r="G1912" i="29"/>
  <c r="G2340" i="29"/>
  <c r="J124" i="29"/>
  <c r="L2285" i="29"/>
  <c r="K1811" i="29"/>
  <c r="L1267" i="29"/>
  <c r="K891" i="29"/>
  <c r="J443" i="29"/>
  <c r="I91" i="29"/>
  <c r="G853" i="29"/>
  <c r="M2361" i="29"/>
  <c r="K1931" i="29"/>
  <c r="K1107" i="29"/>
  <c r="J515" i="29"/>
  <c r="M91" i="29"/>
  <c r="F837" i="29"/>
  <c r="I308" i="29"/>
  <c r="H609" i="29"/>
  <c r="L2140" i="29"/>
  <c r="L1603" i="29"/>
  <c r="G1107" i="29"/>
  <c r="F731" i="29"/>
  <c r="H291" i="29"/>
  <c r="F2035" i="29"/>
  <c r="J875" i="29"/>
  <c r="J579" i="29"/>
  <c r="J211" i="29"/>
  <c r="F2195" i="29"/>
  <c r="I725" i="29"/>
  <c r="K2057" i="29"/>
  <c r="L2227" i="29"/>
  <c r="I1419" i="29"/>
  <c r="K875" i="29"/>
  <c r="J427" i="29"/>
  <c r="G2341" i="29"/>
  <c r="M644" i="29"/>
  <c r="L1755" i="29"/>
  <c r="H931" i="29"/>
  <c r="F403" i="29"/>
  <c r="F1963" i="29"/>
  <c r="H552" i="29"/>
  <c r="F1547" i="29"/>
  <c r="K691" i="29"/>
  <c r="K2284" i="29"/>
  <c r="F729" i="29"/>
  <c r="K2220" i="29"/>
  <c r="F1379" i="29"/>
  <c r="J619" i="29"/>
  <c r="G2393" i="29"/>
  <c r="H141" i="29"/>
  <c r="K720" i="29"/>
  <c r="H1363" i="29"/>
  <c r="K619" i="29"/>
  <c r="L2391" i="29"/>
  <c r="H160" i="29"/>
  <c r="M1109" i="29"/>
  <c r="G2452" i="29"/>
  <c r="I225" i="29"/>
  <c r="K2044" i="29"/>
  <c r="M1532" i="29"/>
  <c r="H1180" i="29"/>
  <c r="J836" i="29"/>
  <c r="H556" i="29"/>
  <c r="H340" i="29"/>
  <c r="F124" i="29"/>
  <c r="F2430" i="29"/>
  <c r="L1780" i="29"/>
  <c r="J1441" i="29"/>
  <c r="J745" i="29"/>
  <c r="H137" i="29"/>
  <c r="I1520" i="29"/>
  <c r="M2365" i="29"/>
  <c r="J2172" i="29"/>
  <c r="L2283" i="29"/>
  <c r="I2107" i="29"/>
  <c r="L1963" i="29"/>
  <c r="G1811" i="29"/>
  <c r="M1723" i="29"/>
  <c r="L1627" i="29"/>
  <c r="J1531" i="29"/>
  <c r="K1443" i="29"/>
  <c r="I1363" i="29"/>
  <c r="H1267" i="29"/>
  <c r="F1195" i="29"/>
  <c r="K1123" i="29"/>
  <c r="I1043" i="29"/>
  <c r="F971" i="29"/>
  <c r="L899" i="29"/>
  <c r="J819" i="29"/>
  <c r="J747" i="29"/>
  <c r="K675" i="29"/>
  <c r="I595" i="29"/>
  <c r="L523" i="29"/>
  <c r="J451" i="29"/>
  <c r="I379" i="29"/>
  <c r="H307" i="29"/>
  <c r="J235" i="29"/>
  <c r="G171" i="29"/>
  <c r="M99" i="29"/>
  <c r="L2371" i="29"/>
  <c r="H2237" i="29"/>
  <c r="H2061" i="29"/>
  <c r="H1917" i="29"/>
  <c r="M1389" i="29"/>
  <c r="M1630" i="29"/>
  <c r="F2425" i="29"/>
  <c r="L2148" i="29"/>
  <c r="G1523" i="29"/>
  <c r="F1043" i="29"/>
  <c r="K595" i="29"/>
  <c r="L163" i="29"/>
  <c r="L1228" i="29"/>
  <c r="K2048" i="29"/>
  <c r="L820" i="29"/>
  <c r="H2401" i="29"/>
  <c r="M2148" i="29"/>
  <c r="M1707" i="29"/>
  <c r="J1187" i="29"/>
  <c r="I739" i="29"/>
  <c r="G371" i="29"/>
  <c r="F2219" i="29"/>
  <c r="L2310" i="29"/>
  <c r="H2385" i="29"/>
  <c r="K2213" i="29"/>
  <c r="H1419" i="29"/>
  <c r="L811" i="29"/>
  <c r="K371" i="29"/>
  <c r="G2040" i="29"/>
  <c r="G2030" i="29"/>
  <c r="L500" i="29"/>
  <c r="I2249" i="29"/>
  <c r="M2364" i="29"/>
  <c r="L1707" i="29"/>
  <c r="K1259" i="29"/>
  <c r="H883" i="29"/>
  <c r="M363" i="29"/>
  <c r="H2205" i="29"/>
  <c r="I1099" i="29"/>
  <c r="H363" i="29"/>
  <c r="G2024" i="29"/>
  <c r="F1436" i="29"/>
  <c r="M260" i="29"/>
  <c r="I2216" i="29"/>
  <c r="I2051" i="29"/>
  <c r="G1499" i="29"/>
  <c r="G1027" i="29"/>
  <c r="H579" i="29"/>
  <c r="K211" i="29"/>
  <c r="H2021" i="29"/>
  <c r="L1684" i="29"/>
  <c r="M1659" i="29"/>
  <c r="F851" i="29"/>
  <c r="I195" i="29"/>
  <c r="H761" i="29"/>
  <c r="J1659" i="29"/>
  <c r="I771" i="29"/>
  <c r="G2112" i="29"/>
  <c r="J512" i="29"/>
  <c r="H720" i="29"/>
  <c r="G1651" i="29"/>
  <c r="I987" i="29"/>
  <c r="F395" i="29"/>
  <c r="H2109" i="29"/>
  <c r="H697" i="29"/>
  <c r="L2220" i="29"/>
  <c r="G1291" i="29"/>
  <c r="J539" i="29"/>
  <c r="K115" i="29"/>
  <c r="M2366" i="29"/>
  <c r="J1101" i="29"/>
  <c r="G2436" i="29"/>
  <c r="I193" i="29"/>
  <c r="I2036" i="29"/>
  <c r="F1516" i="29"/>
  <c r="L1180" i="29"/>
  <c r="M836" i="29"/>
  <c r="K532" i="29"/>
  <c r="L332" i="29"/>
  <c r="G124" i="29"/>
  <c r="F2427" i="29"/>
  <c r="K1759" i="29"/>
  <c r="L1441" i="29"/>
  <c r="F713" i="29"/>
  <c r="G137" i="29"/>
  <c r="J1520" i="29"/>
  <c r="M2301" i="29"/>
  <c r="M2172" i="29"/>
  <c r="J2275" i="29"/>
  <c r="J2107" i="29"/>
  <c r="I1939" i="29"/>
  <c r="H1811" i="29"/>
  <c r="L1723" i="29"/>
  <c r="L1611" i="29"/>
  <c r="L1531" i="29"/>
  <c r="J1443" i="29"/>
  <c r="G1355" i="29"/>
  <c r="K1267" i="29"/>
  <c r="L1195" i="29"/>
  <c r="F1123" i="29"/>
  <c r="L1043" i="29"/>
  <c r="H971" i="29"/>
  <c r="G899" i="29"/>
  <c r="F819" i="29"/>
  <c r="I747" i="29"/>
  <c r="J675" i="29"/>
  <c r="J595" i="29"/>
  <c r="J523" i="29"/>
  <c r="F451" i="29"/>
  <c r="M371" i="29"/>
  <c r="J307" i="29"/>
  <c r="F235" i="29"/>
  <c r="F163" i="29"/>
  <c r="F91" i="29"/>
  <c r="L2367" i="29"/>
  <c r="F2227" i="29"/>
  <c r="G2056" i="29"/>
  <c r="F1915" i="29"/>
  <c r="I1364" i="29"/>
  <c r="L1093" i="29"/>
  <c r="M532" i="29"/>
  <c r="H713" i="29"/>
  <c r="K2107" i="29"/>
  <c r="I1347" i="29"/>
  <c r="H899" i="29"/>
  <c r="M451" i="29"/>
  <c r="J2366" i="29"/>
  <c r="M1516" i="29"/>
  <c r="K1132" i="29"/>
  <c r="G308" i="29"/>
  <c r="F1441" i="29"/>
  <c r="L1520" i="29"/>
  <c r="M1939" i="29"/>
  <c r="G1435" i="29"/>
  <c r="M1043" i="29"/>
  <c r="G595" i="29"/>
  <c r="F155" i="29"/>
  <c r="G1073" i="29"/>
  <c r="L1116" i="29"/>
  <c r="L92" i="29"/>
  <c r="L81" i="29"/>
  <c r="K2235" i="29"/>
  <c r="I1707" i="29"/>
  <c r="I1259" i="29"/>
  <c r="M883" i="29"/>
  <c r="K587" i="29"/>
  <c r="J227" i="29"/>
  <c r="K1876" i="29"/>
  <c r="M1892" i="29"/>
  <c r="F1507" i="29"/>
  <c r="M587" i="29"/>
  <c r="L1869" i="29"/>
  <c r="H731" i="29"/>
  <c r="J83" i="29"/>
  <c r="J246" i="29"/>
  <c r="G1281" i="29"/>
  <c r="K1907" i="29"/>
  <c r="F1179" i="29"/>
  <c r="G651" i="29"/>
  <c r="H147" i="29"/>
  <c r="L964" i="29"/>
  <c r="M2163" i="29"/>
  <c r="H1219" i="29"/>
  <c r="M707" i="29"/>
  <c r="L123" i="29"/>
  <c r="K1268" i="29"/>
  <c r="J2220" i="29"/>
  <c r="L1379" i="29"/>
  <c r="F843" i="29"/>
  <c r="J395" i="29"/>
  <c r="M1631" i="29"/>
  <c r="H1612" i="29"/>
  <c r="M249" i="29"/>
  <c r="M1835" i="29"/>
  <c r="F1291" i="29"/>
  <c r="K763" i="29"/>
  <c r="K251" i="29"/>
  <c r="H1949" i="29"/>
  <c r="J892" i="29"/>
  <c r="F164" i="29"/>
  <c r="K1672" i="29"/>
  <c r="K1635" i="29"/>
  <c r="I1211" i="29"/>
  <c r="G843" i="29"/>
  <c r="G395" i="29"/>
  <c r="K2278" i="29"/>
  <c r="M1166" i="29"/>
  <c r="L869" i="29"/>
  <c r="L2334" i="29"/>
  <c r="F1744" i="29"/>
  <c r="I1916" i="29"/>
  <c r="M1492" i="29"/>
  <c r="J1124" i="29"/>
  <c r="F780" i="29"/>
  <c r="G524" i="29"/>
  <c r="L308" i="29"/>
  <c r="J92" i="29"/>
  <c r="K2398" i="29"/>
  <c r="I2361" i="29"/>
  <c r="M1345" i="29"/>
  <c r="F681" i="29"/>
  <c r="M81" i="29"/>
  <c r="J1384" i="29"/>
  <c r="M2285" i="29"/>
  <c r="J2140" i="29"/>
  <c r="I2267" i="29"/>
  <c r="L2091" i="29"/>
  <c r="J1931" i="29"/>
  <c r="M1803" i="29"/>
  <c r="H1707" i="29"/>
  <c r="M1611" i="29"/>
  <c r="I1523" i="29"/>
  <c r="I1427" i="29"/>
  <c r="K1347" i="29"/>
  <c r="M1267" i="29"/>
  <c r="K1187" i="29"/>
  <c r="I1107" i="29"/>
  <c r="H1043" i="29"/>
  <c r="L963" i="29"/>
  <c r="J883" i="29"/>
  <c r="L819" i="29"/>
  <c r="J739" i="29"/>
  <c r="F659" i="29"/>
  <c r="H595" i="29"/>
  <c r="G515" i="29"/>
  <c r="L435" i="29"/>
  <c r="H371" i="29"/>
  <c r="L299" i="29"/>
  <c r="I227" i="29"/>
  <c r="G155" i="29"/>
  <c r="J91" i="29"/>
  <c r="G2361" i="29"/>
  <c r="G2216" i="29"/>
  <c r="H2045" i="29"/>
  <c r="J1880" i="29"/>
  <c r="G1150" i="29"/>
  <c r="K1603" i="29"/>
  <c r="F2211" i="29"/>
  <c r="K1116" i="29"/>
  <c r="F83" i="29"/>
  <c r="F1060" i="29"/>
  <c r="H803" i="29"/>
  <c r="K1008" i="29"/>
  <c r="K1751" i="29"/>
  <c r="I1720" i="29"/>
  <c r="I388" i="29"/>
  <c r="I2347" i="29"/>
  <c r="H1596" i="29"/>
  <c r="G998" i="29"/>
  <c r="J757" i="29"/>
  <c r="H2011" i="29"/>
  <c r="G1656" i="29"/>
  <c r="M1868" i="29"/>
  <c r="J1444" i="29"/>
  <c r="M1116" i="29"/>
  <c r="G764" i="29"/>
  <c r="M500" i="29"/>
  <c r="M284" i="29"/>
  <c r="J76" i="29"/>
  <c r="H2329" i="29"/>
  <c r="L2249" i="29"/>
  <c r="J1281" i="29"/>
  <c r="I585" i="29"/>
  <c r="G65" i="29"/>
  <c r="F1384" i="29"/>
  <c r="I2356" i="29"/>
  <c r="M2140" i="29"/>
  <c r="I2227" i="29"/>
  <c r="L2067" i="29"/>
  <c r="I1907" i="29"/>
  <c r="M1795" i="29"/>
  <c r="K1699" i="29"/>
  <c r="F1603" i="29"/>
  <c r="J1507" i="29"/>
  <c r="L1419" i="29"/>
  <c r="F1331" i="29"/>
  <c r="F1251" i="29"/>
  <c r="K1179" i="29"/>
  <c r="M1107" i="29"/>
  <c r="F1027" i="29"/>
  <c r="L955" i="29"/>
  <c r="G883" i="29"/>
  <c r="G803" i="29"/>
  <c r="J731" i="29"/>
  <c r="M659" i="29"/>
  <c r="F579" i="29"/>
  <c r="G507" i="29"/>
  <c r="G435" i="29"/>
  <c r="G363" i="29"/>
  <c r="J291" i="29"/>
  <c r="H219" i="29"/>
  <c r="F147" i="29"/>
  <c r="I83" i="29"/>
  <c r="L2343" i="29"/>
  <c r="H2197" i="29"/>
  <c r="F2027" i="29"/>
  <c r="G1862" i="29"/>
  <c r="L550" i="29"/>
  <c r="G749" i="29"/>
  <c r="H1899" i="29"/>
  <c r="J1376" i="29"/>
  <c r="H1868" i="29"/>
  <c r="J1436" i="29"/>
  <c r="G1060" i="29"/>
  <c r="M756" i="29"/>
  <c r="L484" i="29"/>
  <c r="M268" i="29"/>
  <c r="I68" i="29"/>
  <c r="H2325" i="29"/>
  <c r="M2089" i="29"/>
  <c r="K1281" i="29"/>
  <c r="F585" i="29"/>
  <c r="J2264" i="29"/>
  <c r="L1304" i="29"/>
  <c r="I2348" i="29"/>
  <c r="I2100" i="29"/>
  <c r="K2227" i="29"/>
  <c r="I2059" i="29"/>
  <c r="J1907" i="29"/>
  <c r="I1795" i="29"/>
  <c r="F1699" i="29"/>
  <c r="K1595" i="29"/>
  <c r="L1507" i="29"/>
  <c r="M1419" i="29"/>
  <c r="M1331" i="29"/>
  <c r="G1251" i="29"/>
  <c r="J803" i="29"/>
  <c r="H507" i="29"/>
  <c r="G1859" i="29"/>
  <c r="H748" i="29"/>
  <c r="M283" i="29"/>
  <c r="J1299" i="29"/>
  <c r="F2501" i="29"/>
  <c r="M251" i="29"/>
  <c r="G921" i="29"/>
  <c r="G1569" i="29"/>
  <c r="L238" i="29"/>
  <c r="K637" i="29"/>
  <c r="G1838" i="29"/>
  <c r="I1136" i="29"/>
  <c r="F1796" i="29"/>
  <c r="J1412" i="29"/>
  <c r="I1052" i="29"/>
  <c r="F708" i="29"/>
  <c r="K476" i="29"/>
  <c r="F260" i="29"/>
  <c r="F2583" i="29"/>
  <c r="H2313" i="29"/>
  <c r="L2057" i="29"/>
  <c r="I1177" i="29"/>
  <c r="H585" i="29"/>
  <c r="L2216" i="29"/>
  <c r="L1216" i="29"/>
  <c r="I2340" i="29"/>
  <c r="M2100" i="29"/>
  <c r="I2219" i="29"/>
  <c r="J2051" i="29"/>
  <c r="L1899" i="29"/>
  <c r="M1787" i="29"/>
  <c r="M1683" i="29"/>
  <c r="L1595" i="29"/>
  <c r="H1499" i="29"/>
  <c r="M1411" i="29"/>
  <c r="L1331" i="29"/>
  <c r="H1243" i="29"/>
  <c r="L1179" i="29"/>
  <c r="F1099" i="29"/>
  <c r="I1019" i="29"/>
  <c r="H955" i="29"/>
  <c r="I875" i="29"/>
  <c r="K795" i="29"/>
  <c r="K731" i="29"/>
  <c r="K651" i="29"/>
  <c r="I571" i="29"/>
  <c r="L507" i="29"/>
  <c r="K427" i="29"/>
  <c r="I355" i="29"/>
  <c r="G283" i="29"/>
  <c r="M211" i="29"/>
  <c r="L147" i="29"/>
  <c r="I75" i="29"/>
  <c r="G2337" i="29"/>
  <c r="F2187" i="29"/>
  <c r="H2013" i="29"/>
  <c r="L1837" i="29"/>
  <c r="J158" i="29"/>
  <c r="L629" i="29"/>
  <c r="F1597" i="29"/>
  <c r="K1136" i="29"/>
  <c r="G1796" i="29"/>
  <c r="F1412" i="29"/>
  <c r="M1044" i="29"/>
  <c r="G708" i="29"/>
  <c r="K468" i="29"/>
  <c r="F252" i="29"/>
  <c r="F2568" i="29"/>
  <c r="K2310" i="29"/>
  <c r="K2009" i="29"/>
  <c r="J1177" i="29"/>
  <c r="J553" i="29"/>
  <c r="I2168" i="29"/>
  <c r="K1152" i="29"/>
  <c r="M2340" i="29"/>
  <c r="K2092" i="29"/>
  <c r="K2203" i="29"/>
  <c r="K2051" i="29"/>
  <c r="M1899" i="29"/>
  <c r="L1787" i="29"/>
  <c r="J1683" i="29"/>
  <c r="H1587" i="29"/>
  <c r="I1499" i="29"/>
  <c r="H1403" i="29"/>
  <c r="H1323" i="29"/>
  <c r="I1243" i="29"/>
  <c r="H1171" i="29"/>
  <c r="G1099" i="29"/>
  <c r="J1019" i="29"/>
  <c r="I947" i="29"/>
  <c r="G875" i="29"/>
  <c r="L795" i="29"/>
  <c r="F723" i="29"/>
  <c r="L651" i="29"/>
  <c r="K571" i="29"/>
  <c r="I499" i="29"/>
  <c r="M427" i="29"/>
  <c r="K355" i="29"/>
  <c r="H283" i="29"/>
  <c r="F211" i="29"/>
  <c r="J147" i="29"/>
  <c r="J75" i="29"/>
  <c r="L2335" i="29"/>
  <c r="G2184" i="29"/>
  <c r="H2005" i="29"/>
  <c r="K1815" i="29"/>
  <c r="M1300" i="29"/>
  <c r="H995" i="29"/>
  <c r="G596" i="29"/>
  <c r="I843" i="29"/>
  <c r="L380" i="29"/>
  <c r="F1931" i="29"/>
  <c r="I78" i="29"/>
  <c r="H557" i="29"/>
  <c r="K1561" i="29"/>
  <c r="F1136" i="29"/>
  <c r="M1780" i="29"/>
  <c r="H1372" i="29"/>
  <c r="G1036" i="29"/>
  <c r="M708" i="29"/>
  <c r="F452" i="29"/>
  <c r="G252" i="29"/>
  <c r="F2565" i="29"/>
  <c r="H2232" i="29"/>
  <c r="I1945" i="29"/>
  <c r="L1177" i="29"/>
  <c r="H481" i="29"/>
  <c r="J2168" i="29"/>
  <c r="G1152" i="29"/>
  <c r="I2276" i="29"/>
  <c r="L2092" i="29"/>
  <c r="L2203" i="29"/>
  <c r="I2043" i="29"/>
  <c r="M1891" i="29"/>
  <c r="L1779" i="29"/>
  <c r="F1675" i="29"/>
  <c r="I1579" i="29"/>
  <c r="G1483" i="29"/>
  <c r="J1403" i="29"/>
  <c r="I1323" i="29"/>
  <c r="J1243" i="29"/>
  <c r="I1171" i="29"/>
  <c r="H1099" i="29"/>
  <c r="K1019" i="29"/>
  <c r="J947" i="29"/>
  <c r="H875" i="29"/>
  <c r="F795" i="29"/>
  <c r="G723" i="29"/>
  <c r="J651" i="29"/>
  <c r="L571" i="29"/>
  <c r="M499" i="29"/>
  <c r="F427" i="29"/>
  <c r="L347" i="29"/>
  <c r="I283" i="29"/>
  <c r="I211" i="29"/>
  <c r="K147" i="29"/>
  <c r="K75" i="29"/>
  <c r="J2334" i="29"/>
  <c r="H2181" i="29"/>
  <c r="F2003" i="29"/>
  <c r="L1807" i="29"/>
  <c r="H2477" i="29"/>
  <c r="I533" i="29"/>
  <c r="G1497" i="29"/>
  <c r="I1032" i="29"/>
  <c r="I1780" i="29"/>
  <c r="G1356" i="29"/>
  <c r="G1020" i="29"/>
  <c r="L700" i="29"/>
  <c r="L444" i="29"/>
  <c r="I244" i="29"/>
  <c r="F2563" i="29"/>
  <c r="F2198" i="29"/>
  <c r="L1945" i="29"/>
  <c r="F1145" i="29"/>
  <c r="H449" i="29"/>
  <c r="L2168" i="29"/>
  <c r="F1152" i="29"/>
  <c r="M2276" i="29"/>
  <c r="I2084" i="29"/>
  <c r="M2203" i="29"/>
  <c r="J2043" i="29"/>
  <c r="L1891" i="29"/>
  <c r="G1771" i="29"/>
  <c r="G1675" i="29"/>
  <c r="K1579" i="29"/>
  <c r="H1483" i="29"/>
  <c r="L1403" i="29"/>
  <c r="J1323" i="29"/>
  <c r="K1243" i="29"/>
  <c r="J1163" i="29"/>
  <c r="M1099" i="29"/>
  <c r="L1019" i="29"/>
  <c r="I939" i="29"/>
  <c r="L875" i="29"/>
  <c r="I795" i="29"/>
  <c r="F715" i="29"/>
  <c r="M651" i="29"/>
  <c r="M571" i="29"/>
  <c r="I491" i="29"/>
  <c r="G427" i="29"/>
  <c r="M347" i="29"/>
  <c r="L283" i="29"/>
  <c r="G211" i="29"/>
  <c r="H139" i="29"/>
  <c r="M75" i="29"/>
  <c r="G2333" i="29"/>
  <c r="F2179" i="29"/>
  <c r="G2000" i="29"/>
  <c r="L1801" i="29"/>
  <c r="K2011" i="29"/>
  <c r="M1011" i="29"/>
  <c r="K707" i="29"/>
  <c r="G563" i="29"/>
  <c r="G339" i="29"/>
  <c r="H195" i="29"/>
  <c r="H123" i="29"/>
  <c r="F2139" i="29"/>
  <c r="J1765" i="29"/>
  <c r="I2269" i="29"/>
  <c r="F644" i="29"/>
  <c r="F2520" i="29"/>
  <c r="G1049" i="29"/>
  <c r="K1912" i="29"/>
  <c r="L2260" i="29"/>
  <c r="I2411" i="29"/>
  <c r="M2011" i="29"/>
  <c r="I1763" i="29"/>
  <c r="F1659" i="29"/>
  <c r="M1483" i="29"/>
  <c r="H1299" i="29"/>
  <c r="F1155" i="29"/>
  <c r="J1003" i="29"/>
  <c r="G931" i="29"/>
  <c r="L779" i="29"/>
  <c r="G627" i="29"/>
  <c r="L483" i="29"/>
  <c r="I339" i="29"/>
  <c r="G195" i="29"/>
  <c r="K123" i="29"/>
  <c r="K2304" i="29"/>
  <c r="G1968" i="29"/>
  <c r="I2205" i="29"/>
  <c r="G212" i="29"/>
  <c r="F2070" i="29"/>
  <c r="G1793" i="29"/>
  <c r="J1009" i="29"/>
  <c r="I353" i="29"/>
  <c r="M1912" i="29"/>
  <c r="J2228" i="29"/>
  <c r="M2411" i="29"/>
  <c r="G1475" i="29"/>
  <c r="L1075" i="29"/>
  <c r="K771" i="29"/>
  <c r="K483" i="29"/>
  <c r="G2413" i="29"/>
  <c r="I253" i="29"/>
  <c r="I1995" i="29"/>
  <c r="M915" i="29"/>
  <c r="L2395" i="29"/>
  <c r="F908" i="29"/>
  <c r="J1641" i="29"/>
  <c r="I1979" i="29"/>
  <c r="K1547" i="29"/>
  <c r="F1067" i="29"/>
  <c r="F467" i="29"/>
  <c r="G115" i="29"/>
  <c r="G1469" i="29"/>
  <c r="J1979" i="29"/>
  <c r="J987" i="29"/>
  <c r="L251" i="29"/>
  <c r="J1688" i="29"/>
  <c r="G533" i="29"/>
  <c r="M1465" i="29"/>
  <c r="M864" i="29"/>
  <c r="J1764" i="29"/>
  <c r="H1356" i="29"/>
  <c r="H988" i="29"/>
  <c r="M700" i="29"/>
  <c r="K428" i="29"/>
  <c r="I228" i="29"/>
  <c r="F2558" i="29"/>
  <c r="H2192" i="29"/>
  <c r="I1825" i="29"/>
  <c r="G1145" i="29"/>
  <c r="M449" i="29"/>
  <c r="K1952" i="29"/>
  <c r="H1152" i="29"/>
  <c r="J2268" i="29"/>
  <c r="L1996" i="29"/>
  <c r="J2195" i="29"/>
  <c r="K2043" i="29"/>
  <c r="M1875" i="29"/>
  <c r="H1771" i="29"/>
  <c r="H1675" i="29"/>
  <c r="H1571" i="29"/>
  <c r="F1483" i="29"/>
  <c r="M1403" i="29"/>
  <c r="M1323" i="29"/>
  <c r="M1235" i="29"/>
  <c r="J1155" i="29"/>
  <c r="H1083" i="29"/>
  <c r="F1011" i="29"/>
  <c r="I931" i="29"/>
  <c r="G859" i="29"/>
  <c r="J787" i="29"/>
  <c r="F707" i="29"/>
  <c r="M635" i="29"/>
  <c r="F563" i="29"/>
  <c r="I483" i="29"/>
  <c r="H411" i="29"/>
  <c r="M339" i="29"/>
  <c r="H267" i="29"/>
  <c r="G203" i="29"/>
  <c r="J131" i="29"/>
  <c r="M67" i="29"/>
  <c r="L2319" i="29"/>
  <c r="F2147" i="29"/>
  <c r="H1997" i="29"/>
  <c r="K1780" i="29"/>
  <c r="L1265" i="29"/>
  <c r="M1040" i="29"/>
  <c r="L1875" i="29"/>
  <c r="L1483" i="29"/>
  <c r="K1155" i="29"/>
  <c r="J851" i="29"/>
  <c r="H483" i="29"/>
  <c r="G2417" i="29"/>
  <c r="L824" i="29"/>
  <c r="K1640" i="29"/>
  <c r="H525" i="29"/>
  <c r="F1265" i="29"/>
  <c r="G864" i="29"/>
  <c r="I1756" i="29"/>
  <c r="J1340" i="29"/>
  <c r="I980" i="29"/>
  <c r="G692" i="29"/>
  <c r="G428" i="29"/>
  <c r="G220" i="29"/>
  <c r="F2557" i="29"/>
  <c r="H2176" i="29"/>
  <c r="G1825" i="29"/>
  <c r="H1145" i="29"/>
  <c r="K425" i="29"/>
  <c r="M1952" i="29"/>
  <c r="I1152" i="29"/>
  <c r="M2268" i="29"/>
  <c r="M1996" i="29"/>
  <c r="K2195" i="29"/>
  <c r="L2043" i="29"/>
  <c r="K1875" i="29"/>
  <c r="J1771" i="29"/>
  <c r="K1667" i="29"/>
  <c r="I1571" i="29"/>
  <c r="K1483" i="29"/>
  <c r="F1403" i="29"/>
  <c r="J1307" i="29"/>
  <c r="G1235" i="29"/>
  <c r="I1155" i="29"/>
  <c r="M1083" i="29"/>
  <c r="G1011" i="29"/>
  <c r="L931" i="29"/>
  <c r="L859" i="29"/>
  <c r="G787" i="29"/>
  <c r="I707" i="29"/>
  <c r="J635" i="29"/>
  <c r="H563" i="29"/>
  <c r="G483" i="29"/>
  <c r="K411" i="29"/>
  <c r="F339" i="29"/>
  <c r="L267" i="29"/>
  <c r="M195" i="29"/>
  <c r="G131" i="29"/>
  <c r="L2419" i="29"/>
  <c r="G2317" i="29"/>
  <c r="H2141" i="29"/>
  <c r="G1976" i="29"/>
  <c r="L1772" i="29"/>
  <c r="J421" i="29"/>
  <c r="L393" i="29"/>
  <c r="M2419" i="29"/>
  <c r="K1659" i="29"/>
  <c r="M1395" i="29"/>
  <c r="L1235" i="29"/>
  <c r="M931" i="29"/>
  <c r="I627" i="29"/>
  <c r="J267" i="29"/>
  <c r="F1971" i="29"/>
  <c r="H341" i="29"/>
  <c r="I1324" i="29"/>
  <c r="J420" i="29"/>
  <c r="H2152" i="29"/>
  <c r="G393" i="29"/>
  <c r="I2179" i="29"/>
  <c r="F1571" i="29"/>
  <c r="I1227" i="29"/>
  <c r="M851" i="29"/>
  <c r="J555" i="29"/>
  <c r="M259" i="29"/>
  <c r="H2133" i="29"/>
  <c r="K333" i="29"/>
  <c r="L1571" i="29"/>
  <c r="F2131" i="29"/>
  <c r="K281" i="29"/>
  <c r="I172" i="29"/>
  <c r="H249" i="29"/>
  <c r="H1104" i="29"/>
  <c r="I824" i="29"/>
  <c r="K1700" i="29"/>
  <c r="J1332" i="29"/>
  <c r="F980" i="29"/>
  <c r="I660" i="29"/>
  <c r="H428" i="29"/>
  <c r="J212" i="29"/>
  <c r="F2524" i="29"/>
  <c r="F2166" i="29"/>
  <c r="M1793" i="29"/>
  <c r="F1049" i="29"/>
  <c r="J1912" i="29"/>
  <c r="I2260" i="29"/>
  <c r="L2195" i="29"/>
  <c r="M1763" i="29"/>
  <c r="J1571" i="29"/>
  <c r="L1307" i="29"/>
  <c r="I1075" i="29"/>
  <c r="M787" i="29"/>
  <c r="L403" i="29"/>
  <c r="L2315" i="29"/>
  <c r="H1193" i="29"/>
  <c r="K1684" i="29"/>
  <c r="H980" i="29"/>
  <c r="K212" i="29"/>
  <c r="F1793" i="29"/>
  <c r="I1008" i="29"/>
  <c r="M1867" i="29"/>
  <c r="M1387" i="29"/>
  <c r="K1075" i="29"/>
  <c r="J707" i="29"/>
  <c r="J403" i="29"/>
  <c r="J2414" i="29"/>
  <c r="J1759" i="29"/>
  <c r="I937" i="29"/>
  <c r="I1851" i="29"/>
  <c r="K339" i="29"/>
  <c r="I953" i="29"/>
  <c r="F2475" i="29"/>
  <c r="J1607" i="29"/>
  <c r="I1835" i="29"/>
  <c r="K2093" i="29"/>
  <c r="H301" i="29"/>
  <c r="M937" i="29"/>
  <c r="F792" i="29"/>
  <c r="M1676" i="29"/>
  <c r="G1292" i="29"/>
  <c r="G964" i="29"/>
  <c r="G636" i="29"/>
  <c r="J396" i="29"/>
  <c r="J204" i="29"/>
  <c r="F2513" i="29"/>
  <c r="H2064" i="29"/>
  <c r="H1793" i="29"/>
  <c r="M985" i="29"/>
  <c r="K353" i="29"/>
  <c r="F1864" i="29"/>
  <c r="M1008" i="29"/>
  <c r="K2228" i="29"/>
  <c r="I2403" i="29"/>
  <c r="K2155" i="29"/>
  <c r="K2003" i="29"/>
  <c r="L1851" i="29"/>
  <c r="M1747" i="29"/>
  <c r="H1659" i="29"/>
  <c r="G1563" i="29"/>
  <c r="H1467" i="29"/>
  <c r="H1379" i="29"/>
  <c r="K1299" i="29"/>
  <c r="J1219" i="29"/>
  <c r="L1147" i="29"/>
  <c r="G1075" i="29"/>
  <c r="K995" i="29"/>
  <c r="J923" i="29"/>
  <c r="G851" i="29"/>
  <c r="F771" i="29"/>
  <c r="G699" i="29"/>
  <c r="K627" i="29"/>
  <c r="K547" i="29"/>
  <c r="J475" i="29"/>
  <c r="H403" i="29"/>
  <c r="M331" i="29"/>
  <c r="H259" i="29"/>
  <c r="M187" i="29"/>
  <c r="J123" i="29"/>
  <c r="G2409" i="29"/>
  <c r="K2296" i="29"/>
  <c r="H2125" i="29"/>
  <c r="G1960" i="29"/>
  <c r="L1663" i="29"/>
  <c r="L1637" i="29"/>
  <c r="M285" i="29"/>
  <c r="G889" i="29"/>
  <c r="G616" i="29"/>
  <c r="F1660" i="29"/>
  <c r="J1268" i="29"/>
  <c r="M916" i="29"/>
  <c r="L636" i="29"/>
  <c r="H396" i="29"/>
  <c r="J180" i="29"/>
  <c r="F2504" i="29"/>
  <c r="H2024" i="29"/>
  <c r="G1673" i="29"/>
  <c r="F985" i="29"/>
  <c r="L281" i="29"/>
  <c r="F1720" i="29"/>
  <c r="F1008" i="29"/>
  <c r="I2220" i="29"/>
  <c r="M2371" i="29"/>
  <c r="L2155" i="29"/>
  <c r="L2003" i="29"/>
  <c r="L1843" i="29"/>
  <c r="F1747" i="29"/>
  <c r="I1659" i="29"/>
  <c r="H1563" i="29"/>
  <c r="K1467" i="29"/>
  <c r="K1379" i="29"/>
  <c r="G1299" i="29"/>
  <c r="M1219" i="29"/>
  <c r="I1147" i="29"/>
  <c r="I1067" i="29"/>
  <c r="M995" i="29"/>
  <c r="L923" i="29"/>
  <c r="J843" i="29"/>
  <c r="M771" i="29"/>
  <c r="I699" i="29"/>
  <c r="I619" i="29"/>
  <c r="M547" i="29"/>
  <c r="L475" i="29"/>
  <c r="K403" i="29"/>
  <c r="H323" i="29"/>
  <c r="L259" i="29"/>
  <c r="L187" i="29"/>
  <c r="G123" i="29"/>
  <c r="J2406" i="29"/>
  <c r="K2292" i="29"/>
  <c r="G2120" i="29"/>
  <c r="H1957" i="29"/>
  <c r="I1641" i="29"/>
  <c r="K1613" i="29"/>
  <c r="H388" i="29"/>
  <c r="G172" i="29"/>
  <c r="F2014" i="29"/>
  <c r="M1641" i="29"/>
  <c r="J968" i="29"/>
  <c r="H1747" i="29"/>
  <c r="K1139" i="29"/>
  <c r="I323" i="29"/>
  <c r="F915" i="29"/>
  <c r="H596" i="29"/>
  <c r="L763" i="29"/>
  <c r="I11" i="29"/>
  <c r="I12" i="29"/>
  <c r="I13" i="29"/>
  <c r="I14" i="29"/>
  <c r="G16" i="29"/>
  <c r="G19" i="29"/>
  <c r="G20" i="29"/>
  <c r="G21" i="29"/>
  <c r="G22" i="29"/>
  <c r="M23" i="29"/>
  <c r="M24" i="29"/>
  <c r="M27" i="29"/>
  <c r="M28" i="29"/>
  <c r="M29" i="29"/>
  <c r="M30" i="29"/>
  <c r="J32" i="29"/>
  <c r="J35" i="29"/>
  <c r="J36" i="29"/>
  <c r="J37" i="29"/>
  <c r="J38" i="29"/>
  <c r="G40" i="29"/>
  <c r="G43" i="29"/>
  <c r="G44" i="29"/>
  <c r="G45" i="29"/>
  <c r="G46" i="29"/>
  <c r="K47" i="29"/>
  <c r="L48" i="29"/>
  <c r="L51" i="29"/>
  <c r="L52" i="29"/>
  <c r="L53" i="29"/>
  <c r="L54" i="29"/>
  <c r="I56" i="29"/>
  <c r="I59" i="29"/>
  <c r="J11" i="29"/>
  <c r="J12" i="29"/>
  <c r="J13" i="29"/>
  <c r="J14" i="29"/>
  <c r="H16" i="29"/>
  <c r="H19" i="29"/>
  <c r="H20" i="29"/>
  <c r="H21" i="29"/>
  <c r="H22" i="29"/>
  <c r="F24" i="29"/>
  <c r="F27" i="29"/>
  <c r="F28" i="29"/>
  <c r="F29" i="29"/>
  <c r="F30" i="29"/>
  <c r="F31" i="29"/>
  <c r="K32" i="29"/>
  <c r="K35" i="29"/>
  <c r="K36" i="29"/>
  <c r="K37" i="29"/>
  <c r="K38" i="29"/>
  <c r="H40" i="29"/>
  <c r="H43" i="29"/>
  <c r="H44" i="29"/>
  <c r="H45" i="29"/>
  <c r="H46" i="29"/>
  <c r="M47" i="29"/>
  <c r="M48" i="29"/>
  <c r="M51" i="29"/>
  <c r="M52" i="29"/>
  <c r="M53" i="29"/>
  <c r="M54" i="29"/>
  <c r="J56" i="29"/>
  <c r="J59" i="29"/>
  <c r="K11" i="29"/>
  <c r="K12" i="29"/>
  <c r="K13" i="29"/>
  <c r="K14" i="29"/>
  <c r="I16" i="29"/>
  <c r="I19" i="29"/>
  <c r="I20" i="29"/>
  <c r="I21" i="29"/>
  <c r="I22" i="29"/>
  <c r="G24" i="29"/>
  <c r="G27" i="29"/>
  <c r="G28" i="29"/>
  <c r="G29" i="29"/>
  <c r="G30" i="29"/>
  <c r="K31" i="29"/>
  <c r="L32" i="29"/>
  <c r="L35" i="29"/>
  <c r="L36" i="29"/>
  <c r="L37" i="29"/>
  <c r="L38" i="29"/>
  <c r="I40" i="29"/>
  <c r="I43" i="29"/>
  <c r="I44" i="29"/>
  <c r="I45" i="29"/>
  <c r="I46" i="29"/>
  <c r="F48" i="29"/>
  <c r="F51" i="29"/>
  <c r="F52" i="29"/>
  <c r="F53" i="29"/>
  <c r="F54" i="29"/>
  <c r="F55" i="29"/>
  <c r="K56" i="29"/>
  <c r="K59" i="29"/>
  <c r="L11" i="29"/>
  <c r="L12" i="29"/>
  <c r="L13" i="29"/>
  <c r="L14" i="29"/>
  <c r="J16" i="29"/>
  <c r="J19" i="29"/>
  <c r="J20" i="29"/>
  <c r="J21" i="29"/>
  <c r="J22" i="29"/>
  <c r="H24" i="29"/>
  <c r="H27" i="29"/>
  <c r="H28" i="29"/>
  <c r="H29" i="29"/>
  <c r="H30" i="29"/>
  <c r="M31" i="29"/>
  <c r="M32" i="29"/>
  <c r="M35" i="29"/>
  <c r="M36" i="29"/>
  <c r="M37" i="29"/>
  <c r="M38" i="29"/>
  <c r="J40" i="29"/>
  <c r="J43" i="29"/>
  <c r="J44" i="29"/>
  <c r="J45" i="29"/>
  <c r="J46" i="29"/>
  <c r="G48" i="29"/>
  <c r="G51" i="29"/>
  <c r="G52" i="29"/>
  <c r="G53" i="29"/>
  <c r="G54" i="29"/>
  <c r="K55" i="29"/>
  <c r="L56" i="29"/>
  <c r="L59" i="29"/>
  <c r="M11" i="29"/>
  <c r="M12" i="29"/>
  <c r="M13" i="29"/>
  <c r="M14" i="29"/>
  <c r="K16" i="29"/>
  <c r="K19" i="29"/>
  <c r="K20" i="29"/>
  <c r="K21" i="29"/>
  <c r="K22" i="29"/>
  <c r="I24" i="29"/>
  <c r="I27" i="29"/>
  <c r="I28" i="29"/>
  <c r="I29" i="29"/>
  <c r="F11" i="29"/>
  <c r="F12" i="29"/>
  <c r="F13" i="29"/>
  <c r="F14" i="29"/>
  <c r="H15" i="29"/>
  <c r="L16" i="29"/>
  <c r="L19" i="29"/>
  <c r="L20" i="29"/>
  <c r="L21" i="29"/>
  <c r="L22" i="29"/>
  <c r="J24" i="29"/>
  <c r="J27" i="29"/>
  <c r="J28" i="29"/>
  <c r="J29" i="29"/>
  <c r="J30" i="29"/>
  <c r="G32" i="29"/>
  <c r="G35" i="29"/>
  <c r="G36" i="29"/>
  <c r="G37" i="29"/>
  <c r="G38" i="29"/>
  <c r="K39" i="29"/>
  <c r="L40" i="29"/>
  <c r="L43" i="29"/>
  <c r="L44" i="29"/>
  <c r="L45" i="29"/>
  <c r="L46" i="29"/>
  <c r="I48" i="29"/>
  <c r="I51" i="29"/>
  <c r="I52" i="29"/>
  <c r="I53" i="29"/>
  <c r="I54" i="29"/>
  <c r="F56" i="29"/>
  <c r="F59" i="29"/>
  <c r="H12" i="29"/>
  <c r="F19" i="29"/>
  <c r="H23" i="29"/>
  <c r="L29" i="29"/>
  <c r="H35" i="29"/>
  <c r="F38" i="29"/>
  <c r="F43" i="29"/>
  <c r="M45" i="29"/>
  <c r="H51" i="29"/>
  <c r="K53" i="29"/>
  <c r="G59" i="29"/>
  <c r="G13" i="29"/>
  <c r="M19" i="29"/>
  <c r="K24" i="29"/>
  <c r="I30" i="29"/>
  <c r="I35" i="29"/>
  <c r="H38" i="29"/>
  <c r="K43" i="29"/>
  <c r="F46" i="29"/>
  <c r="J51" i="29"/>
  <c r="H54" i="29"/>
  <c r="H59" i="29"/>
  <c r="H13" i="29"/>
  <c r="F20" i="29"/>
  <c r="L24" i="29"/>
  <c r="K30" i="29"/>
  <c r="F36" i="29"/>
  <c r="I38" i="29"/>
  <c r="M43" i="29"/>
  <c r="K46" i="29"/>
  <c r="K51" i="29"/>
  <c r="J54" i="29"/>
  <c r="M59" i="29"/>
  <c r="G14" i="29"/>
  <c r="M20" i="29"/>
  <c r="K27" i="29"/>
  <c r="L30" i="29"/>
  <c r="H36" i="29"/>
  <c r="F39" i="29"/>
  <c r="F44" i="29"/>
  <c r="M46" i="29"/>
  <c r="H52" i="29"/>
  <c r="K54" i="29"/>
  <c r="H14" i="29"/>
  <c r="F21" i="29"/>
  <c r="L27" i="29"/>
  <c r="F32" i="29"/>
  <c r="I36" i="29"/>
  <c r="M39" i="29"/>
  <c r="K44" i="29"/>
  <c r="F47" i="29"/>
  <c r="J52" i="29"/>
  <c r="M55" i="29"/>
  <c r="G11" i="29"/>
  <c r="L15" i="29"/>
  <c r="M21" i="29"/>
  <c r="K28" i="29"/>
  <c r="H32" i="29"/>
  <c r="F37" i="29"/>
  <c r="F40" i="29"/>
  <c r="M44" i="29"/>
  <c r="H48" i="29"/>
  <c r="K52" i="29"/>
  <c r="G56" i="29"/>
  <c r="H11" i="29"/>
  <c r="F16" i="29"/>
  <c r="F22" i="29"/>
  <c r="L28" i="29"/>
  <c r="I32" i="29"/>
  <c r="H37" i="29"/>
  <c r="K40" i="29"/>
  <c r="F45" i="29"/>
  <c r="J48" i="29"/>
  <c r="H53" i="29"/>
  <c r="H56" i="29"/>
  <c r="G12" i="29"/>
  <c r="M16" i="29"/>
  <c r="M22" i="29"/>
  <c r="K29" i="29"/>
  <c r="F35" i="29"/>
  <c r="I37" i="29"/>
  <c r="M40" i="29"/>
  <c r="K45" i="29"/>
  <c r="K48" i="29"/>
  <c r="J53" i="29"/>
  <c r="M56" i="29"/>
  <c r="G8" i="29"/>
  <c r="G47" i="29"/>
  <c r="M10" i="29"/>
  <c r="L23" i="29"/>
  <c r="H18" i="29"/>
  <c r="M57" i="29"/>
  <c r="M49" i="29"/>
  <c r="M41" i="29"/>
  <c r="M33" i="29"/>
  <c r="M25" i="29"/>
  <c r="G58" i="29"/>
  <c r="H50" i="29"/>
  <c r="G42" i="29"/>
  <c r="H34" i="29"/>
  <c r="G26" i="29"/>
  <c r="F18" i="29"/>
  <c r="K18" i="29"/>
  <c r="K10" i="29"/>
  <c r="I8" i="29"/>
  <c r="F9" i="29"/>
  <c r="G39" i="29"/>
  <c r="G15" i="29"/>
  <c r="H55" i="29"/>
  <c r="G18" i="29"/>
  <c r="F57" i="29"/>
  <c r="F49" i="29"/>
  <c r="F41" i="29"/>
  <c r="F33" i="29"/>
  <c r="F25" i="29"/>
  <c r="H58" i="29"/>
  <c r="G50" i="29"/>
  <c r="H42" i="29"/>
  <c r="G34" i="29"/>
  <c r="H26" i="29"/>
  <c r="F17" i="29"/>
  <c r="K17" i="29"/>
  <c r="K9" i="29"/>
  <c r="H10" i="29"/>
  <c r="L41" i="29"/>
  <c r="F42" i="29"/>
  <c r="G31" i="29"/>
  <c r="I55" i="29"/>
  <c r="H47" i="29"/>
  <c r="F8" i="29"/>
  <c r="G57" i="29"/>
  <c r="G49" i="29"/>
  <c r="G41" i="29"/>
  <c r="G33" i="29"/>
  <c r="G25" i="29"/>
  <c r="I58" i="29"/>
  <c r="I50" i="29"/>
  <c r="I42" i="29"/>
  <c r="I34" i="29"/>
  <c r="I26" i="29"/>
  <c r="F15" i="29"/>
  <c r="K15" i="29"/>
  <c r="K8" i="29"/>
  <c r="H9" i="29"/>
  <c r="L17" i="29"/>
  <c r="G23" i="29"/>
  <c r="L25" i="29"/>
  <c r="F34" i="29"/>
  <c r="F23" i="29"/>
  <c r="I18" i="29"/>
  <c r="I17" i="29"/>
  <c r="I23" i="29"/>
  <c r="J55" i="29"/>
  <c r="I47" i="29"/>
  <c r="H39" i="29"/>
  <c r="M8" i="29"/>
  <c r="H57" i="29"/>
  <c r="H49" i="29"/>
  <c r="H41" i="29"/>
  <c r="H33" i="29"/>
  <c r="H25" i="29"/>
  <c r="J58" i="29"/>
  <c r="J50" i="29"/>
  <c r="J42" i="29"/>
  <c r="J34" i="29"/>
  <c r="J26" i="29"/>
  <c r="M18" i="29"/>
  <c r="J23" i="29"/>
  <c r="J10" i="29"/>
  <c r="H8" i="29"/>
  <c r="L49" i="29"/>
  <c r="L8" i="29"/>
  <c r="I15" i="29"/>
  <c r="L55" i="29"/>
  <c r="J47" i="29"/>
  <c r="I39" i="29"/>
  <c r="H31" i="29"/>
  <c r="I57" i="29"/>
  <c r="I49" i="29"/>
  <c r="I41" i="29"/>
  <c r="I33" i="29"/>
  <c r="I25" i="29"/>
  <c r="K58" i="29"/>
  <c r="K50" i="29"/>
  <c r="K42" i="29"/>
  <c r="K34" i="29"/>
  <c r="K26" i="29"/>
  <c r="M17" i="29"/>
  <c r="J18" i="29"/>
  <c r="J9" i="29"/>
  <c r="G10" i="29"/>
  <c r="M42" i="29"/>
  <c r="I10" i="29"/>
  <c r="L31" i="29"/>
  <c r="L9" i="29"/>
  <c r="L57" i="29"/>
  <c r="F26" i="29"/>
  <c r="K23" i="29"/>
  <c r="M9" i="29"/>
  <c r="L47" i="29"/>
  <c r="J39" i="29"/>
  <c r="I31" i="29"/>
  <c r="G17" i="29"/>
  <c r="J57" i="29"/>
  <c r="J49" i="29"/>
  <c r="J41" i="29"/>
  <c r="J33" i="29"/>
  <c r="J25" i="29"/>
  <c r="L58" i="29"/>
  <c r="L50" i="29"/>
  <c r="L42" i="29"/>
  <c r="L34" i="29"/>
  <c r="L26" i="29"/>
  <c r="L18" i="29"/>
  <c r="J17" i="29"/>
  <c r="J8" i="29"/>
  <c r="G9" i="29"/>
  <c r="M34" i="29"/>
  <c r="G55" i="29"/>
  <c r="L33" i="29"/>
  <c r="F58" i="29"/>
  <c r="I9" i="29"/>
  <c r="F10" i="29"/>
  <c r="L39" i="29"/>
  <c r="J31" i="29"/>
  <c r="H17" i="29"/>
  <c r="M15" i="29"/>
  <c r="K57" i="29"/>
  <c r="K49" i="29"/>
  <c r="K41" i="29"/>
  <c r="K33" i="29"/>
  <c r="K25" i="29"/>
  <c r="M58" i="29"/>
  <c r="M50" i="29"/>
  <c r="M26" i="29"/>
  <c r="J15" i="29"/>
  <c r="L10" i="29"/>
  <c r="F50" i="29"/>
  <c r="E9" i="28"/>
  <c r="E10" i="28"/>
  <c r="F8" i="28"/>
  <c r="H9" i="27"/>
  <c r="H17" i="27"/>
  <c r="H25" i="27"/>
  <c r="H33" i="27"/>
  <c r="H41" i="27"/>
  <c r="H49" i="27"/>
  <c r="H57" i="27"/>
  <c r="H65" i="27"/>
  <c r="H73" i="27"/>
  <c r="H81" i="27"/>
  <c r="F11" i="27"/>
  <c r="F19" i="27"/>
  <c r="F27" i="27"/>
  <c r="F35" i="27"/>
  <c r="F43" i="27"/>
  <c r="F51" i="27"/>
  <c r="F59" i="27"/>
  <c r="F67" i="27"/>
  <c r="F75" i="27"/>
  <c r="F83" i="27"/>
  <c r="H13" i="25"/>
  <c r="H21" i="25"/>
  <c r="H29" i="25"/>
  <c r="H37" i="25"/>
  <c r="H45" i="25"/>
  <c r="H53" i="25"/>
  <c r="H61" i="25"/>
  <c r="H69" i="25"/>
  <c r="F15" i="25"/>
  <c r="F23" i="25"/>
  <c r="F31" i="25"/>
  <c r="F39" i="25"/>
  <c r="F47" i="25"/>
  <c r="F55" i="25"/>
  <c r="F63" i="25"/>
  <c r="H69" i="27"/>
  <c r="H17" i="25"/>
  <c r="F27" i="25"/>
  <c r="F9" i="28"/>
  <c r="F10" i="28"/>
  <c r="G8" i="28"/>
  <c r="H10" i="27"/>
  <c r="H18" i="27"/>
  <c r="H26" i="27"/>
  <c r="H34" i="27"/>
  <c r="H42" i="27"/>
  <c r="H50" i="27"/>
  <c r="H58" i="27"/>
  <c r="H66" i="27"/>
  <c r="H74" i="27"/>
  <c r="H82" i="27"/>
  <c r="F12" i="27"/>
  <c r="F20" i="27"/>
  <c r="F28" i="27"/>
  <c r="F36" i="27"/>
  <c r="F44" i="27"/>
  <c r="F52" i="27"/>
  <c r="F60" i="27"/>
  <c r="F68" i="27"/>
  <c r="F76" i="27"/>
  <c r="F84" i="27"/>
  <c r="H14" i="25"/>
  <c r="H22" i="25"/>
  <c r="H30" i="25"/>
  <c r="H38" i="25"/>
  <c r="H46" i="25"/>
  <c r="H54" i="25"/>
  <c r="H62" i="25"/>
  <c r="H8" i="25"/>
  <c r="F16" i="25"/>
  <c r="F24" i="25"/>
  <c r="F32" i="25"/>
  <c r="F40" i="25"/>
  <c r="F48" i="25"/>
  <c r="F56" i="25"/>
  <c r="F64" i="25"/>
  <c r="F58" i="25"/>
  <c r="I10" i="28"/>
  <c r="H13" i="27"/>
  <c r="H37" i="27"/>
  <c r="H53" i="27"/>
  <c r="F15" i="27"/>
  <c r="F31" i="27"/>
  <c r="F55" i="27"/>
  <c r="F79" i="27"/>
  <c r="H33" i="25"/>
  <c r="H57" i="25"/>
  <c r="F19" i="25"/>
  <c r="F51" i="25"/>
  <c r="G9" i="28"/>
  <c r="G10" i="28"/>
  <c r="H8" i="28"/>
  <c r="H11" i="27"/>
  <c r="H19" i="27"/>
  <c r="H27" i="27"/>
  <c r="H35" i="27"/>
  <c r="H43" i="27"/>
  <c r="H51" i="27"/>
  <c r="H59" i="27"/>
  <c r="H67" i="27"/>
  <c r="H75" i="27"/>
  <c r="H83" i="27"/>
  <c r="F13" i="27"/>
  <c r="F21" i="27"/>
  <c r="F29" i="27"/>
  <c r="F37" i="27"/>
  <c r="F45" i="27"/>
  <c r="F53" i="27"/>
  <c r="F61" i="27"/>
  <c r="F69" i="27"/>
  <c r="F77" i="27"/>
  <c r="F85" i="27"/>
  <c r="H15" i="25"/>
  <c r="H23" i="25"/>
  <c r="H31" i="25"/>
  <c r="H39" i="25"/>
  <c r="H47" i="25"/>
  <c r="H55" i="25"/>
  <c r="H63" i="25"/>
  <c r="F9" i="25"/>
  <c r="F17" i="25"/>
  <c r="F25" i="25"/>
  <c r="F33" i="25"/>
  <c r="F41" i="25"/>
  <c r="F49" i="25"/>
  <c r="F57" i="25"/>
  <c r="F65" i="25"/>
  <c r="F50" i="25"/>
  <c r="I9" i="28"/>
  <c r="H21" i="27"/>
  <c r="H45" i="27"/>
  <c r="H61" i="27"/>
  <c r="H85" i="27"/>
  <c r="F23" i="27"/>
  <c r="F47" i="27"/>
  <c r="F63" i="27"/>
  <c r="H9" i="25"/>
  <c r="H41" i="25"/>
  <c r="H49" i="25"/>
  <c r="F11" i="25"/>
  <c r="F43" i="25"/>
  <c r="F67" i="25"/>
  <c r="F14" i="25"/>
  <c r="F46" i="25"/>
  <c r="H9" i="28"/>
  <c r="H10" i="28"/>
  <c r="I8" i="28"/>
  <c r="H12" i="27"/>
  <c r="H20" i="27"/>
  <c r="H28" i="27"/>
  <c r="H36" i="27"/>
  <c r="H44" i="27"/>
  <c r="H52" i="27"/>
  <c r="H60" i="27"/>
  <c r="H68" i="27"/>
  <c r="H76" i="27"/>
  <c r="H84" i="27"/>
  <c r="F14" i="27"/>
  <c r="F22" i="27"/>
  <c r="F30" i="27"/>
  <c r="F38" i="27"/>
  <c r="F46" i="27"/>
  <c r="F54" i="27"/>
  <c r="F62" i="27"/>
  <c r="F70" i="27"/>
  <c r="F78" i="27"/>
  <c r="F8" i="27"/>
  <c r="H16" i="25"/>
  <c r="H24" i="25"/>
  <c r="H32" i="25"/>
  <c r="H40" i="25"/>
  <c r="H48" i="25"/>
  <c r="H56" i="25"/>
  <c r="H64" i="25"/>
  <c r="F10" i="25"/>
  <c r="F18" i="25"/>
  <c r="F26" i="25"/>
  <c r="F34" i="25"/>
  <c r="F42" i="25"/>
  <c r="F66" i="25"/>
  <c r="J8" i="28"/>
  <c r="H29" i="27"/>
  <c r="H77" i="27"/>
  <c r="F39" i="27"/>
  <c r="F71" i="27"/>
  <c r="H25" i="25"/>
  <c r="H65" i="25"/>
  <c r="F35" i="25"/>
  <c r="F59" i="25"/>
  <c r="F30" i="25"/>
  <c r="F62" i="25"/>
  <c r="J9" i="28"/>
  <c r="J10" i="28"/>
  <c r="K8" i="28"/>
  <c r="H14" i="27"/>
  <c r="H22" i="27"/>
  <c r="H30" i="27"/>
  <c r="H38" i="27"/>
  <c r="H46" i="27"/>
  <c r="H54" i="27"/>
  <c r="H62" i="27"/>
  <c r="H70" i="27"/>
  <c r="H78" i="27"/>
  <c r="H8" i="27"/>
  <c r="F16" i="27"/>
  <c r="F24" i="27"/>
  <c r="F32" i="27"/>
  <c r="F40" i="27"/>
  <c r="F48" i="27"/>
  <c r="F56" i="27"/>
  <c r="F64" i="27"/>
  <c r="F72" i="27"/>
  <c r="F80" i="27"/>
  <c r="H10" i="25"/>
  <c r="H18" i="25"/>
  <c r="H26" i="25"/>
  <c r="H34" i="25"/>
  <c r="H42" i="25"/>
  <c r="H50" i="25"/>
  <c r="H58" i="25"/>
  <c r="H66" i="25"/>
  <c r="F12" i="25"/>
  <c r="F20" i="25"/>
  <c r="F28" i="25"/>
  <c r="F36" i="25"/>
  <c r="F44" i="25"/>
  <c r="F52" i="25"/>
  <c r="F60" i="25"/>
  <c r="F68" i="25"/>
  <c r="L9" i="28"/>
  <c r="H16" i="27"/>
  <c r="H32" i="27"/>
  <c r="H48" i="27"/>
  <c r="H64" i="27"/>
  <c r="H80" i="27"/>
  <c r="F18" i="27"/>
  <c r="F34" i="27"/>
  <c r="F50" i="27"/>
  <c r="F66" i="27"/>
  <c r="F82" i="27"/>
  <c r="H20" i="25"/>
  <c r="H36" i="25"/>
  <c r="H52" i="25"/>
  <c r="H68" i="25"/>
  <c r="F38" i="25"/>
  <c r="F8" i="25"/>
  <c r="K9" i="28"/>
  <c r="K10" i="28"/>
  <c r="L8" i="28"/>
  <c r="H15" i="27"/>
  <c r="H23" i="27"/>
  <c r="H31" i="27"/>
  <c r="H39" i="27"/>
  <c r="H47" i="27"/>
  <c r="H55" i="27"/>
  <c r="H63" i="27"/>
  <c r="H71" i="27"/>
  <c r="H79" i="27"/>
  <c r="F9" i="27"/>
  <c r="F17" i="27"/>
  <c r="F25" i="27"/>
  <c r="F33" i="27"/>
  <c r="F41" i="27"/>
  <c r="F49" i="27"/>
  <c r="F57" i="27"/>
  <c r="F65" i="27"/>
  <c r="F73" i="27"/>
  <c r="F81" i="27"/>
  <c r="H11" i="25"/>
  <c r="H19" i="25"/>
  <c r="H27" i="25"/>
  <c r="H35" i="25"/>
  <c r="H43" i="25"/>
  <c r="H51" i="25"/>
  <c r="H59" i="25"/>
  <c r="H67" i="25"/>
  <c r="F13" i="25"/>
  <c r="F21" i="25"/>
  <c r="F29" i="25"/>
  <c r="F37" i="25"/>
  <c r="F45" i="25"/>
  <c r="F53" i="25"/>
  <c r="F61" i="25"/>
  <c r="F69" i="25"/>
  <c r="L10" i="28"/>
  <c r="E8" i="28"/>
  <c r="H24" i="27"/>
  <c r="H40" i="27"/>
  <c r="H56" i="27"/>
  <c r="H72" i="27"/>
  <c r="F10" i="27"/>
  <c r="F26" i="27"/>
  <c r="F42" i="27"/>
  <c r="F58" i="27"/>
  <c r="F74" i="27"/>
  <c r="H12" i="25"/>
  <c r="H28" i="25"/>
  <c r="H44" i="25"/>
  <c r="H60" i="25"/>
  <c r="F22" i="25"/>
  <c r="F54" i="25"/>
  <c r="H13" i="24"/>
  <c r="H11" i="24"/>
  <c r="F9" i="24"/>
  <c r="F24" i="24"/>
  <c r="F23" i="24"/>
  <c r="H12" i="24"/>
  <c r="H20" i="24"/>
  <c r="F13" i="24"/>
  <c r="F11" i="24"/>
  <c r="H9" i="24"/>
  <c r="H24" i="24"/>
  <c r="H23" i="24"/>
  <c r="F12" i="24"/>
  <c r="F10" i="24"/>
  <c r="H28" i="24"/>
  <c r="F26" i="24"/>
  <c r="F8" i="24"/>
  <c r="F16" i="24"/>
  <c r="H15" i="24"/>
  <c r="F28" i="24"/>
  <c r="H26" i="24"/>
  <c r="H8" i="24"/>
  <c r="H16" i="24"/>
  <c r="F15" i="24"/>
  <c r="H27" i="24"/>
  <c r="F18" i="24"/>
  <c r="F25" i="24"/>
  <c r="H21" i="24"/>
  <c r="F22" i="24"/>
  <c r="H19" i="24"/>
  <c r="F14" i="24"/>
  <c r="F27" i="24"/>
  <c r="H18" i="24"/>
  <c r="H25" i="24"/>
  <c r="F21" i="24"/>
  <c r="H22" i="24"/>
  <c r="F17" i="24"/>
  <c r="F19" i="24"/>
  <c r="H10" i="24"/>
  <c r="H17" i="24"/>
  <c r="F20" i="24"/>
  <c r="H14" i="24"/>
  <c r="P97" i="4"/>
  <c r="J63" i="7"/>
  <c r="K63" i="7" s="1"/>
  <c r="L63" i="7" s="1"/>
  <c r="M63" i="7" s="1"/>
  <c r="N63" i="7" s="1"/>
  <c r="K223" i="7"/>
  <c r="L223" i="7" s="1"/>
  <c r="M223" i="7" s="1"/>
  <c r="N223" i="7" s="1"/>
  <c r="J222" i="7"/>
  <c r="K222" i="7" s="1"/>
  <c r="L222" i="7" s="1"/>
  <c r="M222" i="7" s="1"/>
  <c r="N222" i="7" s="1"/>
  <c r="J221" i="7"/>
  <c r="K221" i="7" s="1"/>
  <c r="L221" i="7" s="1"/>
  <c r="M221" i="7" s="1"/>
  <c r="N221" i="7" s="1"/>
  <c r="J220" i="7"/>
  <c r="K220" i="7" s="1"/>
  <c r="L220" i="7" s="1"/>
  <c r="M220" i="7" s="1"/>
  <c r="N220" i="7" s="1"/>
  <c r="J219" i="7"/>
  <c r="K219" i="7" s="1"/>
  <c r="L219" i="7" s="1"/>
  <c r="M219" i="7" s="1"/>
  <c r="N219" i="7" s="1"/>
  <c r="J218" i="7"/>
  <c r="K218" i="7" s="1"/>
  <c r="L218" i="7" s="1"/>
  <c r="M218" i="7" s="1"/>
  <c r="N218" i="7" s="1"/>
  <c r="J217" i="7"/>
  <c r="K217" i="7" s="1"/>
  <c r="L217" i="7" s="1"/>
  <c r="M217" i="7" s="1"/>
  <c r="N217" i="7" s="1"/>
  <c r="J216" i="7"/>
  <c r="K216" i="7" s="1"/>
  <c r="L216" i="7" s="1"/>
  <c r="M216" i="7" s="1"/>
  <c r="N216" i="7" s="1"/>
  <c r="J215" i="7"/>
  <c r="K215" i="7" s="1"/>
  <c r="L215" i="7" s="1"/>
  <c r="M215" i="7" s="1"/>
  <c r="N215" i="7" s="1"/>
  <c r="J214" i="7"/>
  <c r="K214" i="7" s="1"/>
  <c r="L214" i="7" s="1"/>
  <c r="M214" i="7" s="1"/>
  <c r="N214" i="7" s="1"/>
  <c r="J213" i="7"/>
  <c r="K213" i="7" s="1"/>
  <c r="L213" i="7" s="1"/>
  <c r="M213" i="7" s="1"/>
  <c r="N213" i="7" s="1"/>
  <c r="J212" i="7"/>
  <c r="K212" i="7" s="1"/>
  <c r="L212" i="7" s="1"/>
  <c r="M212" i="7" s="1"/>
  <c r="N212" i="7" s="1"/>
  <c r="J211" i="7"/>
  <c r="K211" i="7" s="1"/>
  <c r="L211" i="7" s="1"/>
  <c r="M211" i="7" s="1"/>
  <c r="N211" i="7" s="1"/>
  <c r="J210" i="7"/>
  <c r="K210" i="7" s="1"/>
  <c r="L210" i="7" s="1"/>
  <c r="M210" i="7" s="1"/>
  <c r="N210" i="7" s="1"/>
  <c r="J209" i="7"/>
  <c r="K209" i="7" s="1"/>
  <c r="L209" i="7" s="1"/>
  <c r="M209" i="7" s="1"/>
  <c r="N209" i="7" s="1"/>
  <c r="J208" i="7"/>
  <c r="K208" i="7" s="1"/>
  <c r="L208" i="7" s="1"/>
  <c r="M208" i="7" s="1"/>
  <c r="N208" i="7" s="1"/>
  <c r="J207" i="7"/>
  <c r="K207" i="7" s="1"/>
  <c r="L207" i="7" s="1"/>
  <c r="M207" i="7" s="1"/>
  <c r="N207" i="7" s="1"/>
  <c r="J206" i="7"/>
  <c r="K206" i="7" s="1"/>
  <c r="L206" i="7" s="1"/>
  <c r="M206" i="7" s="1"/>
  <c r="N206" i="7" s="1"/>
  <c r="J205" i="7"/>
  <c r="K205" i="7" s="1"/>
  <c r="L205" i="7" s="1"/>
  <c r="M205" i="7" s="1"/>
  <c r="N205" i="7" s="1"/>
  <c r="J204" i="7"/>
  <c r="K204" i="7" s="1"/>
  <c r="L204" i="7" s="1"/>
  <c r="M204" i="7" s="1"/>
  <c r="N204" i="7" s="1"/>
  <c r="J203" i="7"/>
  <c r="K203" i="7" s="1"/>
  <c r="L203" i="7" s="1"/>
  <c r="M203" i="7" s="1"/>
  <c r="N203" i="7" s="1"/>
  <c r="J202" i="7"/>
  <c r="K202" i="7" s="1"/>
  <c r="L202" i="7" s="1"/>
  <c r="M202" i="7" s="1"/>
  <c r="N202" i="7" s="1"/>
  <c r="J201" i="7"/>
  <c r="K201" i="7" s="1"/>
  <c r="L201" i="7" s="1"/>
  <c r="M201" i="7" s="1"/>
  <c r="N201" i="7" s="1"/>
  <c r="J200" i="7"/>
  <c r="K200" i="7" s="1"/>
  <c r="L200" i="7" s="1"/>
  <c r="M200" i="7" s="1"/>
  <c r="N200" i="7" s="1"/>
  <c r="J199" i="7"/>
  <c r="K199" i="7" s="1"/>
  <c r="L199" i="7" s="1"/>
  <c r="M199" i="7" s="1"/>
  <c r="N199" i="7" s="1"/>
  <c r="J198" i="7"/>
  <c r="K198" i="7" s="1"/>
  <c r="L198" i="7" s="1"/>
  <c r="M198" i="7" s="1"/>
  <c r="N198" i="7" s="1"/>
  <c r="J197" i="7"/>
  <c r="K197" i="7" s="1"/>
  <c r="L197" i="7" s="1"/>
  <c r="M197" i="7" s="1"/>
  <c r="N197" i="7" s="1"/>
  <c r="J196" i="7"/>
  <c r="K196" i="7" s="1"/>
  <c r="L196" i="7" s="1"/>
  <c r="M196" i="7" s="1"/>
  <c r="N196" i="7" s="1"/>
  <c r="J195" i="7"/>
  <c r="K195" i="7" s="1"/>
  <c r="L195" i="7" s="1"/>
  <c r="M195" i="7" s="1"/>
  <c r="N195" i="7" s="1"/>
  <c r="J194" i="7"/>
  <c r="K194" i="7" s="1"/>
  <c r="L194" i="7" s="1"/>
  <c r="M194" i="7" s="1"/>
  <c r="N194" i="7" s="1"/>
  <c r="J193" i="7"/>
  <c r="K193" i="7" s="1"/>
  <c r="L193" i="7" s="1"/>
  <c r="M193" i="7" s="1"/>
  <c r="N193" i="7" s="1"/>
  <c r="J192" i="7"/>
  <c r="K192" i="7" s="1"/>
  <c r="L192" i="7" s="1"/>
  <c r="M192" i="7" s="1"/>
  <c r="N192" i="7" s="1"/>
  <c r="J191" i="7"/>
  <c r="K191" i="7" s="1"/>
  <c r="L191" i="7" s="1"/>
  <c r="M191" i="7" s="1"/>
  <c r="N191" i="7" s="1"/>
  <c r="J190" i="7"/>
  <c r="K190" i="7" s="1"/>
  <c r="L190" i="7" s="1"/>
  <c r="M190" i="7" s="1"/>
  <c r="N190" i="7" s="1"/>
  <c r="J189" i="7"/>
  <c r="K189" i="7" s="1"/>
  <c r="L189" i="7" s="1"/>
  <c r="M189" i="7" s="1"/>
  <c r="N189" i="7" s="1"/>
  <c r="J188" i="7"/>
  <c r="K188" i="7" s="1"/>
  <c r="L188" i="7" s="1"/>
  <c r="M188" i="7" s="1"/>
  <c r="N188" i="7" s="1"/>
  <c r="J187" i="7"/>
  <c r="K187" i="7" s="1"/>
  <c r="L187" i="7" s="1"/>
  <c r="M187" i="7" s="1"/>
  <c r="N187" i="7" s="1"/>
  <c r="J186" i="7"/>
  <c r="K186" i="7" s="1"/>
  <c r="L186" i="7" s="1"/>
  <c r="M186" i="7" s="1"/>
  <c r="N186" i="7" s="1"/>
  <c r="J185" i="7"/>
  <c r="K185" i="7" s="1"/>
  <c r="L185" i="7" s="1"/>
  <c r="M185" i="7" s="1"/>
  <c r="N185" i="7" s="1"/>
  <c r="J184" i="7"/>
  <c r="K184" i="7" s="1"/>
  <c r="L184" i="7" s="1"/>
  <c r="M184" i="7" s="1"/>
  <c r="N184" i="7" s="1"/>
  <c r="J183" i="7"/>
  <c r="K183" i="7" s="1"/>
  <c r="L183" i="7" s="1"/>
  <c r="M183" i="7" s="1"/>
  <c r="N183" i="7" s="1"/>
  <c r="J182" i="7"/>
  <c r="K182" i="7" s="1"/>
  <c r="L182" i="7" s="1"/>
  <c r="M182" i="7" s="1"/>
  <c r="N182" i="7" s="1"/>
  <c r="J181" i="7"/>
  <c r="K181" i="7" s="1"/>
  <c r="L181" i="7" s="1"/>
  <c r="M181" i="7" s="1"/>
  <c r="N181" i="7" s="1"/>
  <c r="J180" i="7"/>
  <c r="K180" i="7" s="1"/>
  <c r="L180" i="7" s="1"/>
  <c r="M180" i="7" s="1"/>
  <c r="N180" i="7" s="1"/>
  <c r="J179" i="7"/>
  <c r="K179" i="7" s="1"/>
  <c r="L179" i="7" s="1"/>
  <c r="M179" i="7" s="1"/>
  <c r="N179" i="7" s="1"/>
  <c r="J178" i="7"/>
  <c r="K178" i="7" s="1"/>
  <c r="L178" i="7" s="1"/>
  <c r="M178" i="7" s="1"/>
  <c r="N178" i="7" s="1"/>
  <c r="J177" i="7"/>
  <c r="K177" i="7" s="1"/>
  <c r="L177" i="7" s="1"/>
  <c r="M177" i="7" s="1"/>
  <c r="N177" i="7" s="1"/>
  <c r="J176" i="7"/>
  <c r="K176" i="7" s="1"/>
  <c r="L176" i="7" s="1"/>
  <c r="M176" i="7" s="1"/>
  <c r="N176" i="7" s="1"/>
  <c r="J175" i="7"/>
  <c r="K175" i="7" s="1"/>
  <c r="L175" i="7" s="1"/>
  <c r="M175" i="7" s="1"/>
  <c r="N175" i="7" s="1"/>
  <c r="J174" i="7"/>
  <c r="K174" i="7" s="1"/>
  <c r="L174" i="7" s="1"/>
  <c r="M174" i="7" s="1"/>
  <c r="N174" i="7" s="1"/>
  <c r="J173" i="7"/>
  <c r="K173" i="7" s="1"/>
  <c r="L173" i="7" s="1"/>
  <c r="M173" i="7" s="1"/>
  <c r="N173" i="7" s="1"/>
  <c r="J172" i="7"/>
  <c r="K172" i="7" s="1"/>
  <c r="L172" i="7" s="1"/>
  <c r="M172" i="7" s="1"/>
  <c r="N172" i="7" s="1"/>
  <c r="J171" i="7"/>
  <c r="K171" i="7" s="1"/>
  <c r="L171" i="7" s="1"/>
  <c r="M171" i="7" s="1"/>
  <c r="N171" i="7" s="1"/>
  <c r="J170" i="7"/>
  <c r="K170" i="7" s="1"/>
  <c r="L170" i="7" s="1"/>
  <c r="M170" i="7" s="1"/>
  <c r="N170" i="7" s="1"/>
  <c r="J169" i="7"/>
  <c r="K169" i="7" s="1"/>
  <c r="L169" i="7" s="1"/>
  <c r="M169" i="7" s="1"/>
  <c r="N169" i="7" s="1"/>
  <c r="J168" i="7"/>
  <c r="K168" i="7" s="1"/>
  <c r="L168" i="7" s="1"/>
  <c r="M168" i="7" s="1"/>
  <c r="N168" i="7" s="1"/>
  <c r="J167" i="7"/>
  <c r="K167" i="7" s="1"/>
  <c r="L167" i="7" s="1"/>
  <c r="M167" i="7" s="1"/>
  <c r="N167" i="7" s="1"/>
  <c r="J166" i="7"/>
  <c r="K166" i="7" s="1"/>
  <c r="L166" i="7" s="1"/>
  <c r="M166" i="7" s="1"/>
  <c r="N166" i="7" s="1"/>
  <c r="J165" i="7"/>
  <c r="K165" i="7" s="1"/>
  <c r="L165" i="7" s="1"/>
  <c r="M165" i="7" s="1"/>
  <c r="N165" i="7" s="1"/>
  <c r="J164" i="7"/>
  <c r="K164" i="7" s="1"/>
  <c r="L164" i="7" s="1"/>
  <c r="M164" i="7" s="1"/>
  <c r="N164" i="7" s="1"/>
  <c r="J163" i="7"/>
  <c r="K163" i="7" s="1"/>
  <c r="L163" i="7" s="1"/>
  <c r="M163" i="7" s="1"/>
  <c r="N163" i="7" s="1"/>
  <c r="J162" i="7"/>
  <c r="K162" i="7" s="1"/>
  <c r="L162" i="7" s="1"/>
  <c r="M162" i="7" s="1"/>
  <c r="N162" i="7" s="1"/>
  <c r="J161" i="7"/>
  <c r="K161" i="7" s="1"/>
  <c r="L161" i="7" s="1"/>
  <c r="M161" i="7" s="1"/>
  <c r="N161" i="7" s="1"/>
  <c r="J160" i="7"/>
  <c r="K160" i="7" s="1"/>
  <c r="L160" i="7" s="1"/>
  <c r="M160" i="7" s="1"/>
  <c r="N160" i="7" s="1"/>
  <c r="J159" i="7"/>
  <c r="K159" i="7" s="1"/>
  <c r="L159" i="7" s="1"/>
  <c r="M159" i="7" s="1"/>
  <c r="N159" i="7" s="1"/>
  <c r="J158" i="7"/>
  <c r="K158" i="7" s="1"/>
  <c r="L158" i="7" s="1"/>
  <c r="M158" i="7" s="1"/>
  <c r="N158" i="7" s="1"/>
  <c r="J157" i="7"/>
  <c r="K157" i="7" s="1"/>
  <c r="L157" i="7" s="1"/>
  <c r="M157" i="7" s="1"/>
  <c r="N157" i="7" s="1"/>
  <c r="J156" i="7"/>
  <c r="K156" i="7" s="1"/>
  <c r="L156" i="7" s="1"/>
  <c r="M156" i="7" s="1"/>
  <c r="N156" i="7" s="1"/>
  <c r="J155" i="7"/>
  <c r="K155" i="7" s="1"/>
  <c r="L155" i="7" s="1"/>
  <c r="M155" i="7" s="1"/>
  <c r="N155" i="7" s="1"/>
  <c r="J154" i="7"/>
  <c r="K154" i="7" s="1"/>
  <c r="L154" i="7" s="1"/>
  <c r="M154" i="7" s="1"/>
  <c r="N154" i="7" s="1"/>
  <c r="J153" i="7"/>
  <c r="K153" i="7" s="1"/>
  <c r="L153" i="7" s="1"/>
  <c r="M153" i="7" s="1"/>
  <c r="N153" i="7" s="1"/>
  <c r="J152" i="7"/>
  <c r="K152" i="7" s="1"/>
  <c r="L152" i="7" s="1"/>
  <c r="M152" i="7" s="1"/>
  <c r="N152" i="7" s="1"/>
  <c r="J151" i="7"/>
  <c r="K151" i="7" s="1"/>
  <c r="L151" i="7" s="1"/>
  <c r="M151" i="7" s="1"/>
  <c r="N151" i="7" s="1"/>
  <c r="J150" i="7"/>
  <c r="K150" i="7" s="1"/>
  <c r="L150" i="7" s="1"/>
  <c r="M150" i="7" s="1"/>
  <c r="N150" i="7" s="1"/>
  <c r="J149" i="7"/>
  <c r="K149" i="7" s="1"/>
  <c r="L149" i="7" s="1"/>
  <c r="M149" i="7" s="1"/>
  <c r="N149" i="7" s="1"/>
  <c r="J148" i="7"/>
  <c r="K148" i="7" s="1"/>
  <c r="L148" i="7" s="1"/>
  <c r="M148" i="7" s="1"/>
  <c r="N148" i="7" s="1"/>
  <c r="J147" i="7"/>
  <c r="K147" i="7" s="1"/>
  <c r="L147" i="7" s="1"/>
  <c r="M147" i="7" s="1"/>
  <c r="N147" i="7" s="1"/>
  <c r="J146" i="7"/>
  <c r="K146" i="7" s="1"/>
  <c r="L146" i="7" s="1"/>
  <c r="M146" i="7" s="1"/>
  <c r="N146" i="7" s="1"/>
  <c r="J145" i="7"/>
  <c r="K145" i="7" s="1"/>
  <c r="L145" i="7" s="1"/>
  <c r="M145" i="7" s="1"/>
  <c r="N145" i="7" s="1"/>
  <c r="J144" i="7"/>
  <c r="K144" i="7" s="1"/>
  <c r="L144" i="7" s="1"/>
  <c r="M144" i="7" s="1"/>
  <c r="N144" i="7" s="1"/>
  <c r="J143" i="7"/>
  <c r="K143" i="7" s="1"/>
  <c r="L143" i="7" s="1"/>
  <c r="M143" i="7" s="1"/>
  <c r="N143" i="7" s="1"/>
  <c r="J142" i="7"/>
  <c r="K142" i="7" s="1"/>
  <c r="L142" i="7" s="1"/>
  <c r="M142" i="7" s="1"/>
  <c r="N142" i="7" s="1"/>
  <c r="J141" i="7"/>
  <c r="K141" i="7" s="1"/>
  <c r="L141" i="7" s="1"/>
  <c r="M141" i="7" s="1"/>
  <c r="N141" i="7" s="1"/>
  <c r="J140" i="7"/>
  <c r="K140" i="7" s="1"/>
  <c r="L140" i="7" s="1"/>
  <c r="M140" i="7" s="1"/>
  <c r="N140" i="7" s="1"/>
  <c r="J139" i="7"/>
  <c r="K139" i="7" s="1"/>
  <c r="L139" i="7" s="1"/>
  <c r="M139" i="7" s="1"/>
  <c r="N139" i="7" s="1"/>
  <c r="J138" i="7"/>
  <c r="K138" i="7" s="1"/>
  <c r="L138" i="7" s="1"/>
  <c r="M138" i="7" s="1"/>
  <c r="N138" i="7" s="1"/>
  <c r="J137" i="7"/>
  <c r="K137" i="7" s="1"/>
  <c r="L137" i="7" s="1"/>
  <c r="M137" i="7" s="1"/>
  <c r="N137" i="7" s="1"/>
  <c r="J136" i="7"/>
  <c r="K136" i="7" s="1"/>
  <c r="L136" i="7" s="1"/>
  <c r="M136" i="7" s="1"/>
  <c r="N136" i="7" s="1"/>
  <c r="J135" i="7"/>
  <c r="K135" i="7" s="1"/>
  <c r="L135" i="7" s="1"/>
  <c r="M135" i="7" s="1"/>
  <c r="N135" i="7" s="1"/>
  <c r="J134" i="7"/>
  <c r="K134" i="7" s="1"/>
  <c r="L134" i="7" s="1"/>
  <c r="M134" i="7" s="1"/>
  <c r="N134" i="7" s="1"/>
  <c r="J133" i="7"/>
  <c r="K133" i="7" s="1"/>
  <c r="L133" i="7" s="1"/>
  <c r="M133" i="7" s="1"/>
  <c r="N133" i="7" s="1"/>
  <c r="J132" i="7"/>
  <c r="K132" i="7" s="1"/>
  <c r="L132" i="7" s="1"/>
  <c r="M132" i="7" s="1"/>
  <c r="N132" i="7" s="1"/>
  <c r="J131" i="7"/>
  <c r="K131" i="7" s="1"/>
  <c r="L131" i="7" s="1"/>
  <c r="M131" i="7" s="1"/>
  <c r="N131" i="7" s="1"/>
  <c r="J130" i="7"/>
  <c r="K130" i="7" s="1"/>
  <c r="L130" i="7" s="1"/>
  <c r="M130" i="7" s="1"/>
  <c r="N130" i="7" s="1"/>
  <c r="J129" i="7"/>
  <c r="K129" i="7" s="1"/>
  <c r="L129" i="7" s="1"/>
  <c r="M129" i="7" s="1"/>
  <c r="N129" i="7" s="1"/>
  <c r="J128" i="7"/>
  <c r="K128" i="7" s="1"/>
  <c r="L128" i="7" s="1"/>
  <c r="M128" i="7" s="1"/>
  <c r="N128" i="7" s="1"/>
  <c r="J127" i="7"/>
  <c r="K127" i="7" s="1"/>
  <c r="L127" i="7" s="1"/>
  <c r="M127" i="7" s="1"/>
  <c r="N127" i="7" s="1"/>
  <c r="J126" i="7"/>
  <c r="K126" i="7" s="1"/>
  <c r="L126" i="7" s="1"/>
  <c r="M126" i="7" s="1"/>
  <c r="N126" i="7" s="1"/>
  <c r="J125" i="7"/>
  <c r="K125" i="7" s="1"/>
  <c r="L125" i="7" s="1"/>
  <c r="M125" i="7" s="1"/>
  <c r="N125" i="7" s="1"/>
  <c r="J124" i="7"/>
  <c r="K124" i="7" s="1"/>
  <c r="L124" i="7" s="1"/>
  <c r="M124" i="7" s="1"/>
  <c r="N124" i="7" s="1"/>
  <c r="J123" i="7"/>
  <c r="K123" i="7" s="1"/>
  <c r="L123" i="7" s="1"/>
  <c r="M123" i="7" s="1"/>
  <c r="N123" i="7" s="1"/>
  <c r="J122" i="7"/>
  <c r="K122" i="7" s="1"/>
  <c r="L122" i="7" s="1"/>
  <c r="M122" i="7" s="1"/>
  <c r="N122" i="7" s="1"/>
  <c r="J121" i="7"/>
  <c r="K121" i="7" s="1"/>
  <c r="L121" i="7" s="1"/>
  <c r="M121" i="7" s="1"/>
  <c r="N121" i="7" s="1"/>
  <c r="J120" i="7"/>
  <c r="K120" i="7" s="1"/>
  <c r="L120" i="7" s="1"/>
  <c r="M120" i="7" s="1"/>
  <c r="N120" i="7" s="1"/>
  <c r="J119" i="7"/>
  <c r="K119" i="7" s="1"/>
  <c r="L119" i="7" s="1"/>
  <c r="M119" i="7" s="1"/>
  <c r="N119" i="7" s="1"/>
  <c r="J118" i="7"/>
  <c r="K118" i="7" s="1"/>
  <c r="L118" i="7" s="1"/>
  <c r="M118" i="7" s="1"/>
  <c r="N118" i="7" s="1"/>
  <c r="J117" i="7"/>
  <c r="K117" i="7" s="1"/>
  <c r="L117" i="7" s="1"/>
  <c r="M117" i="7" s="1"/>
  <c r="N117" i="7" s="1"/>
  <c r="J116" i="7"/>
  <c r="K116" i="7" s="1"/>
  <c r="L116" i="7" s="1"/>
  <c r="M116" i="7" s="1"/>
  <c r="N116" i="7" s="1"/>
  <c r="J115" i="7"/>
  <c r="K115" i="7" s="1"/>
  <c r="L115" i="7" s="1"/>
  <c r="M115" i="7" s="1"/>
  <c r="N115" i="7" s="1"/>
  <c r="J114" i="7"/>
  <c r="K114" i="7" s="1"/>
  <c r="L114" i="7" s="1"/>
  <c r="M114" i="7" s="1"/>
  <c r="N114" i="7" s="1"/>
  <c r="J113" i="7"/>
  <c r="K113" i="7" s="1"/>
  <c r="L113" i="7" s="1"/>
  <c r="M113" i="7" s="1"/>
  <c r="N113" i="7" s="1"/>
  <c r="J112" i="7"/>
  <c r="K112" i="7" s="1"/>
  <c r="L112" i="7" s="1"/>
  <c r="M112" i="7" s="1"/>
  <c r="N112" i="7" s="1"/>
  <c r="J111" i="7"/>
  <c r="K111" i="7" s="1"/>
  <c r="L111" i="7" s="1"/>
  <c r="M111" i="7" s="1"/>
  <c r="N111" i="7" s="1"/>
  <c r="J110" i="7"/>
  <c r="K110" i="7" s="1"/>
  <c r="L110" i="7" s="1"/>
  <c r="M110" i="7" s="1"/>
  <c r="N110" i="7" s="1"/>
  <c r="J109" i="7"/>
  <c r="K109" i="7" s="1"/>
  <c r="L109" i="7" s="1"/>
  <c r="M109" i="7" s="1"/>
  <c r="N109" i="7" s="1"/>
  <c r="J108" i="7"/>
  <c r="K108" i="7" s="1"/>
  <c r="L108" i="7" s="1"/>
  <c r="M108" i="7" s="1"/>
  <c r="N108" i="7" s="1"/>
  <c r="J107" i="7"/>
  <c r="K107" i="7" s="1"/>
  <c r="L107" i="7" s="1"/>
  <c r="M107" i="7" s="1"/>
  <c r="N107" i="7" s="1"/>
  <c r="J106" i="7"/>
  <c r="K106" i="7" s="1"/>
  <c r="L106" i="7" s="1"/>
  <c r="M106" i="7" s="1"/>
  <c r="N106" i="7" s="1"/>
  <c r="J105" i="7"/>
  <c r="K105" i="7" s="1"/>
  <c r="L105" i="7" s="1"/>
  <c r="M105" i="7" s="1"/>
  <c r="N105" i="7" s="1"/>
  <c r="J104" i="7"/>
  <c r="K104" i="7" s="1"/>
  <c r="L104" i="7" s="1"/>
  <c r="M104" i="7" s="1"/>
  <c r="N104" i="7" s="1"/>
  <c r="J103" i="7"/>
  <c r="K103" i="7" s="1"/>
  <c r="L103" i="7" s="1"/>
  <c r="M103" i="7" s="1"/>
  <c r="N103" i="7" s="1"/>
  <c r="J102" i="7"/>
  <c r="K102" i="7" s="1"/>
  <c r="L102" i="7" s="1"/>
  <c r="M102" i="7" s="1"/>
  <c r="N102" i="7" s="1"/>
  <c r="J101" i="7"/>
  <c r="K101" i="7" s="1"/>
  <c r="L101" i="7" s="1"/>
  <c r="M101" i="7" s="1"/>
  <c r="N101" i="7" s="1"/>
  <c r="J100" i="7"/>
  <c r="K100" i="7" s="1"/>
  <c r="L100" i="7" s="1"/>
  <c r="M100" i="7" s="1"/>
  <c r="N100" i="7" s="1"/>
  <c r="J99" i="7"/>
  <c r="K99" i="7" s="1"/>
  <c r="L99" i="7" s="1"/>
  <c r="M99" i="7" s="1"/>
  <c r="N99" i="7" s="1"/>
  <c r="J98" i="7"/>
  <c r="K98" i="7" s="1"/>
  <c r="L98" i="7" s="1"/>
  <c r="M98" i="7" s="1"/>
  <c r="N98" i="7" s="1"/>
  <c r="J97" i="7"/>
  <c r="K97" i="7" s="1"/>
  <c r="L97" i="7" s="1"/>
  <c r="M97" i="7" s="1"/>
  <c r="N97" i="7" s="1"/>
  <c r="J96" i="7"/>
  <c r="K96" i="7" s="1"/>
  <c r="L96" i="7" s="1"/>
  <c r="M96" i="7" s="1"/>
  <c r="N96" i="7" s="1"/>
  <c r="J95" i="7"/>
  <c r="K95" i="7" s="1"/>
  <c r="L95" i="7" s="1"/>
  <c r="M95" i="7" s="1"/>
  <c r="N95" i="7" s="1"/>
  <c r="J94" i="7"/>
  <c r="K94" i="7" s="1"/>
  <c r="L94" i="7" s="1"/>
  <c r="M94" i="7" s="1"/>
  <c r="N94" i="7" s="1"/>
  <c r="J93" i="7"/>
  <c r="K93" i="7" s="1"/>
  <c r="L93" i="7" s="1"/>
  <c r="M93" i="7" s="1"/>
  <c r="N93" i="7" s="1"/>
  <c r="J92" i="7"/>
  <c r="K92" i="7" s="1"/>
  <c r="L92" i="7" s="1"/>
  <c r="M92" i="7" s="1"/>
  <c r="N92" i="7" s="1"/>
  <c r="J91" i="7"/>
  <c r="K91" i="7" s="1"/>
  <c r="L91" i="7" s="1"/>
  <c r="M91" i="7" s="1"/>
  <c r="N91" i="7" s="1"/>
  <c r="J90" i="7"/>
  <c r="K90" i="7" s="1"/>
  <c r="L90" i="7" s="1"/>
  <c r="M90" i="7" s="1"/>
  <c r="N90" i="7" s="1"/>
  <c r="J89" i="7"/>
  <c r="K89" i="7" s="1"/>
  <c r="L89" i="7" s="1"/>
  <c r="M89" i="7" s="1"/>
  <c r="N89" i="7" s="1"/>
  <c r="J88" i="7"/>
  <c r="K88" i="7" s="1"/>
  <c r="L88" i="7" s="1"/>
  <c r="M88" i="7" s="1"/>
  <c r="N88" i="7" s="1"/>
  <c r="J87" i="7"/>
  <c r="K87" i="7" s="1"/>
  <c r="L87" i="7" s="1"/>
  <c r="M87" i="7" s="1"/>
  <c r="N87" i="7" s="1"/>
  <c r="J86" i="7"/>
  <c r="K86" i="7" s="1"/>
  <c r="L86" i="7" s="1"/>
  <c r="M86" i="7" s="1"/>
  <c r="N86" i="7" s="1"/>
  <c r="J85" i="7"/>
  <c r="K85" i="7" s="1"/>
  <c r="L85" i="7" s="1"/>
  <c r="M85" i="7" s="1"/>
  <c r="N85" i="7" s="1"/>
  <c r="J84" i="7"/>
  <c r="K84" i="7" s="1"/>
  <c r="L84" i="7" s="1"/>
  <c r="M84" i="7" s="1"/>
  <c r="N84" i="7" s="1"/>
  <c r="J83" i="7"/>
  <c r="K83" i="7" s="1"/>
  <c r="L83" i="7" s="1"/>
  <c r="M83" i="7" s="1"/>
  <c r="N83" i="7" s="1"/>
  <c r="J82" i="7"/>
  <c r="K82" i="7" s="1"/>
  <c r="L82" i="7" s="1"/>
  <c r="M82" i="7" s="1"/>
  <c r="N82" i="7" s="1"/>
  <c r="J81" i="7"/>
  <c r="K81" i="7" s="1"/>
  <c r="L81" i="7" s="1"/>
  <c r="M81" i="7" s="1"/>
  <c r="N81" i="7" s="1"/>
  <c r="J80" i="7"/>
  <c r="K80" i="7" s="1"/>
  <c r="L80" i="7" s="1"/>
  <c r="M80" i="7" s="1"/>
  <c r="N80" i="7" s="1"/>
  <c r="J79" i="7"/>
  <c r="K79" i="7" s="1"/>
  <c r="L79" i="7" s="1"/>
  <c r="M79" i="7" s="1"/>
  <c r="N79" i="7" s="1"/>
  <c r="J78" i="7"/>
  <c r="K78" i="7" s="1"/>
  <c r="L78" i="7" s="1"/>
  <c r="M78" i="7" s="1"/>
  <c r="N78" i="7" s="1"/>
  <c r="J77" i="7"/>
  <c r="K77" i="7" s="1"/>
  <c r="L77" i="7" s="1"/>
  <c r="M77" i="7" s="1"/>
  <c r="N77" i="7" s="1"/>
  <c r="J76" i="7"/>
  <c r="K76" i="7" s="1"/>
  <c r="L76" i="7" s="1"/>
  <c r="M76" i="7" s="1"/>
  <c r="N76" i="7" s="1"/>
  <c r="J75" i="7"/>
  <c r="K75" i="7" s="1"/>
  <c r="L75" i="7" s="1"/>
  <c r="M75" i="7" s="1"/>
  <c r="N75" i="7" s="1"/>
  <c r="J74" i="7"/>
  <c r="K74" i="7" s="1"/>
  <c r="L74" i="7" s="1"/>
  <c r="M74" i="7" s="1"/>
  <c r="N74" i="7" s="1"/>
  <c r="J73" i="7"/>
  <c r="K73" i="7" s="1"/>
  <c r="L73" i="7" s="1"/>
  <c r="M73" i="7" s="1"/>
  <c r="N73" i="7" s="1"/>
  <c r="J72" i="7"/>
  <c r="K72" i="7" s="1"/>
  <c r="L72" i="7" s="1"/>
  <c r="M72" i="7" s="1"/>
  <c r="N72" i="7" s="1"/>
  <c r="J71" i="7"/>
  <c r="K71" i="7" s="1"/>
  <c r="L71" i="7" s="1"/>
  <c r="M71" i="7" s="1"/>
  <c r="N71" i="7" s="1"/>
  <c r="J70" i="7"/>
  <c r="K70" i="7" s="1"/>
  <c r="L70" i="7" s="1"/>
  <c r="M70" i="7" s="1"/>
  <c r="N70" i="7" s="1"/>
  <c r="J69" i="7"/>
  <c r="K69" i="7" s="1"/>
  <c r="L69" i="7" s="1"/>
  <c r="M69" i="7" s="1"/>
  <c r="N69" i="7" s="1"/>
  <c r="J68" i="7"/>
  <c r="K68" i="7" s="1"/>
  <c r="L68" i="7" s="1"/>
  <c r="M68" i="7" s="1"/>
  <c r="N68" i="7" s="1"/>
  <c r="J67" i="7"/>
  <c r="K67" i="7" s="1"/>
  <c r="L67" i="7" s="1"/>
  <c r="M67" i="7" s="1"/>
  <c r="N67" i="7" s="1"/>
  <c r="J66" i="7"/>
  <c r="K66" i="7" s="1"/>
  <c r="L66" i="7" s="1"/>
  <c r="M66" i="7" s="1"/>
  <c r="N66" i="7" s="1"/>
  <c r="J65" i="7"/>
  <c r="K65" i="7" s="1"/>
  <c r="L65" i="7" s="1"/>
  <c r="M65" i="7" s="1"/>
  <c r="N65" i="7" s="1"/>
  <c r="J64" i="7"/>
  <c r="K64" i="7" s="1"/>
  <c r="L64" i="7" s="1"/>
  <c r="M64" i="7" s="1"/>
  <c r="N64" i="7" s="1"/>
  <c r="H64" i="7"/>
  <c r="H65" i="7"/>
  <c r="H66" i="7"/>
  <c r="H67" i="7"/>
  <c r="H68" i="7"/>
  <c r="H69" i="7"/>
  <c r="H70" i="7"/>
  <c r="H71" i="7"/>
  <c r="H72" i="7"/>
  <c r="H73" i="7"/>
  <c r="H74" i="7"/>
  <c r="H75" i="7"/>
  <c r="H76" i="7"/>
  <c r="H77" i="7"/>
  <c r="H78" i="7"/>
  <c r="H79" i="7"/>
  <c r="H80" i="7"/>
  <c r="H81" i="7"/>
  <c r="H82" i="7"/>
  <c r="H83" i="7"/>
  <c r="H84" i="7"/>
  <c r="H85" i="7"/>
  <c r="H86" i="7"/>
  <c r="H87" i="7"/>
  <c r="H88" i="7"/>
  <c r="H89" i="7"/>
  <c r="H90" i="7"/>
  <c r="H91" i="7"/>
  <c r="H92" i="7"/>
  <c r="H93" i="7"/>
  <c r="H94" i="7"/>
  <c r="H95" i="7"/>
  <c r="H96" i="7"/>
  <c r="H97" i="7"/>
  <c r="H98" i="7"/>
  <c r="H99" i="7"/>
  <c r="H100" i="7"/>
  <c r="H101" i="7"/>
  <c r="H102" i="7"/>
  <c r="H103" i="7"/>
  <c r="H104" i="7"/>
  <c r="H105" i="7"/>
  <c r="H106" i="7"/>
  <c r="H107" i="7"/>
  <c r="H108" i="7"/>
  <c r="H109" i="7"/>
  <c r="H110" i="7"/>
  <c r="H111" i="7"/>
  <c r="H112" i="7"/>
  <c r="H113" i="7"/>
  <c r="H114" i="7"/>
  <c r="H115" i="7"/>
  <c r="H116" i="7"/>
  <c r="H117" i="7"/>
  <c r="H118" i="7"/>
  <c r="H119" i="7"/>
  <c r="H120" i="7"/>
  <c r="H121" i="7"/>
  <c r="H122" i="7"/>
  <c r="H123" i="7"/>
  <c r="H124" i="7"/>
  <c r="H125" i="7"/>
  <c r="H126" i="7"/>
  <c r="H127" i="7"/>
  <c r="H128" i="7"/>
  <c r="H129" i="7"/>
  <c r="H130" i="7"/>
  <c r="H131" i="7"/>
  <c r="H132" i="7"/>
  <c r="H133" i="7"/>
  <c r="H134" i="7"/>
  <c r="H135" i="7"/>
  <c r="H136" i="7"/>
  <c r="H137" i="7"/>
  <c r="H138" i="7"/>
  <c r="H139" i="7"/>
  <c r="H140" i="7"/>
  <c r="H141" i="7"/>
  <c r="H142" i="7"/>
  <c r="H143" i="7"/>
  <c r="H144" i="7"/>
  <c r="H145" i="7"/>
  <c r="H146" i="7"/>
  <c r="H147" i="7"/>
  <c r="H148" i="7"/>
  <c r="H149" i="7"/>
  <c r="H150" i="7"/>
  <c r="H151" i="7"/>
  <c r="H152" i="7"/>
  <c r="H153" i="7"/>
  <c r="H154" i="7"/>
  <c r="H155" i="7"/>
  <c r="H156" i="7"/>
  <c r="H157" i="7"/>
  <c r="H158" i="7"/>
  <c r="H159" i="7"/>
  <c r="H160" i="7"/>
  <c r="H161" i="7"/>
  <c r="H162" i="7"/>
  <c r="H163" i="7"/>
  <c r="H164" i="7"/>
  <c r="H165" i="7"/>
  <c r="H166" i="7"/>
  <c r="H167" i="7"/>
  <c r="H168" i="7"/>
  <c r="H169" i="7"/>
  <c r="H170" i="7"/>
  <c r="H171" i="7"/>
  <c r="H172" i="7"/>
  <c r="H173" i="7"/>
  <c r="H174" i="7"/>
  <c r="H175" i="7"/>
  <c r="H176" i="7"/>
  <c r="H177" i="7"/>
  <c r="H178" i="7"/>
  <c r="H179" i="7"/>
  <c r="H180" i="7"/>
  <c r="H181" i="7"/>
  <c r="H182" i="7"/>
  <c r="H183" i="7"/>
  <c r="H184" i="7"/>
  <c r="H185" i="7"/>
  <c r="H186" i="7"/>
  <c r="H187" i="7"/>
  <c r="H188" i="7"/>
  <c r="H189" i="7"/>
  <c r="H190" i="7"/>
  <c r="H191" i="7"/>
  <c r="H192" i="7"/>
  <c r="H193" i="7"/>
  <c r="H194" i="7"/>
  <c r="H195" i="7"/>
  <c r="H196" i="7"/>
  <c r="H197" i="7"/>
  <c r="H198" i="7"/>
  <c r="H199" i="7"/>
  <c r="H200" i="7"/>
  <c r="H201" i="7"/>
  <c r="H202" i="7"/>
  <c r="H203" i="7"/>
  <c r="H204" i="7"/>
  <c r="H205" i="7"/>
  <c r="H206" i="7"/>
  <c r="H207" i="7"/>
  <c r="H208" i="7"/>
  <c r="H209" i="7"/>
  <c r="H210" i="7"/>
  <c r="H211" i="7"/>
  <c r="H212" i="7"/>
  <c r="H213" i="7"/>
  <c r="H214" i="7"/>
  <c r="H215" i="7"/>
  <c r="H216" i="7"/>
  <c r="H217" i="7"/>
  <c r="H218" i="7"/>
  <c r="H219" i="7"/>
  <c r="H220" i="7"/>
  <c r="H221" i="7"/>
  <c r="H222" i="7"/>
  <c r="H223" i="7"/>
  <c r="H63" i="7"/>
  <c r="G61" i="7"/>
  <c r="D59" i="7"/>
  <c r="B123" i="13"/>
  <c r="B118" i="13"/>
  <c r="E65" i="25" l="1"/>
  <c r="E58" i="27"/>
  <c r="E50" i="27"/>
  <c r="E16" i="25"/>
  <c r="E78" i="27"/>
  <c r="E69" i="27"/>
  <c r="E35" i="27"/>
  <c r="E57" i="25"/>
  <c r="E85" i="27"/>
  <c r="E77" i="27"/>
  <c r="E9" i="25"/>
  <c r="E51" i="27"/>
  <c r="E59" i="27"/>
  <c r="E17" i="25"/>
  <c r="E66" i="27"/>
  <c r="E40" i="25"/>
  <c r="E24" i="25"/>
  <c r="E45" i="27"/>
  <c r="E33" i="25"/>
  <c r="E75" i="27"/>
  <c r="E56" i="25"/>
  <c r="E53" i="27"/>
  <c r="E83" i="27"/>
  <c r="E41" i="25"/>
  <c r="E19" i="27"/>
  <c r="E18" i="27"/>
  <c r="E37" i="27"/>
  <c r="E25" i="25"/>
  <c r="E22" i="24"/>
  <c r="E82" i="27"/>
  <c r="E10" i="27"/>
  <c r="E48" i="25"/>
  <c r="E21" i="24"/>
  <c r="E61" i="27"/>
  <c r="E27" i="27"/>
  <c r="E49" i="25"/>
  <c r="E14" i="24"/>
  <c r="E42" i="27"/>
  <c r="E34" i="27"/>
  <c r="E26" i="27"/>
  <c r="E13" i="24"/>
  <c r="E11" i="27"/>
  <c r="E54" i="27"/>
  <c r="E32" i="25"/>
  <c r="E8" i="24"/>
  <c r="E84" i="27"/>
  <c r="E43" i="27"/>
  <c r="E27" i="25"/>
  <c r="E29" i="27"/>
  <c r="E21" i="27"/>
  <c r="E13" i="27"/>
  <c r="E67" i="25"/>
  <c r="E59" i="25"/>
  <c r="E51" i="25"/>
  <c r="E43" i="25"/>
  <c r="E35" i="25"/>
  <c r="E19" i="25"/>
  <c r="E11" i="25"/>
  <c r="E24" i="24"/>
  <c r="E16" i="24"/>
  <c r="E8" i="27"/>
  <c r="E8" i="25"/>
  <c r="E68" i="27"/>
  <c r="E60" i="27"/>
  <c r="E52" i="27"/>
  <c r="E44" i="27"/>
  <c r="E36" i="27"/>
  <c r="E28" i="27"/>
  <c r="E20" i="27"/>
  <c r="E66" i="25"/>
  <c r="E58" i="25"/>
  <c r="E50" i="25"/>
  <c r="E42" i="25"/>
  <c r="E34" i="25"/>
  <c r="E26" i="25"/>
  <c r="E18" i="25"/>
  <c r="E10" i="25"/>
  <c r="E23" i="24"/>
  <c r="E15" i="24"/>
  <c r="E67" i="27"/>
  <c r="E80" i="27"/>
  <c r="E40" i="27"/>
  <c r="E81" i="27"/>
  <c r="E49" i="27"/>
  <c r="E25" i="27"/>
  <c r="E17" i="27"/>
  <c r="E63" i="25"/>
  <c r="E47" i="25"/>
  <c r="E31" i="25"/>
  <c r="E15" i="25"/>
  <c r="E20" i="24"/>
  <c r="E72" i="27"/>
  <c r="E25" i="24"/>
  <c r="E22" i="25"/>
  <c r="E57" i="27"/>
  <c r="E33" i="27"/>
  <c r="E9" i="27"/>
  <c r="E55" i="25"/>
  <c r="E39" i="25"/>
  <c r="E23" i="25"/>
  <c r="E28" i="24"/>
  <c r="E12" i="24"/>
  <c r="E64" i="27"/>
  <c r="E48" i="27"/>
  <c r="E32" i="27"/>
  <c r="E24" i="27"/>
  <c r="E16" i="27"/>
  <c r="E62" i="25"/>
  <c r="E54" i="25"/>
  <c r="E46" i="25"/>
  <c r="E30" i="25"/>
  <c r="E27" i="24"/>
  <c r="E19" i="24"/>
  <c r="E11" i="24"/>
  <c r="E62" i="27"/>
  <c r="E55" i="27"/>
  <c r="E73" i="27"/>
  <c r="E71" i="27"/>
  <c r="E47" i="27"/>
  <c r="E31" i="27"/>
  <c r="E23" i="27"/>
  <c r="E15" i="27"/>
  <c r="E69" i="25"/>
  <c r="E61" i="25"/>
  <c r="E53" i="25"/>
  <c r="E45" i="25"/>
  <c r="E37" i="25"/>
  <c r="E29" i="25"/>
  <c r="E21" i="25"/>
  <c r="E13" i="25"/>
  <c r="E26" i="24"/>
  <c r="E18" i="24"/>
  <c r="E10" i="24"/>
  <c r="E56" i="27"/>
  <c r="E12" i="27"/>
  <c r="E74" i="27"/>
  <c r="E76" i="27"/>
  <c r="E65" i="27"/>
  <c r="E41" i="27"/>
  <c r="E79" i="27"/>
  <c r="E63" i="27"/>
  <c r="E39" i="27"/>
  <c r="E70" i="27"/>
  <c r="E46" i="27"/>
  <c r="E38" i="27"/>
  <c r="E30" i="27"/>
  <c r="E22" i="27"/>
  <c r="E14" i="27"/>
  <c r="E68" i="25"/>
  <c r="E60" i="25"/>
  <c r="E52" i="25"/>
  <c r="E44" i="25"/>
  <c r="E36" i="25"/>
  <c r="E28" i="25"/>
  <c r="E20" i="25"/>
  <c r="E12" i="25"/>
  <c r="E17" i="24"/>
  <c r="E9" i="24"/>
  <c r="E14" i="25"/>
  <c r="E64" i="25"/>
  <c r="E38" i="25"/>
  <c r="G41" i="25"/>
  <c r="G46" i="27"/>
  <c r="G65" i="27"/>
  <c r="G8" i="24"/>
  <c r="G28" i="27"/>
  <c r="G57" i="27"/>
  <c r="G14" i="24"/>
  <c r="G48" i="27"/>
  <c r="G56" i="27"/>
  <c r="G35" i="27"/>
  <c r="G38" i="25"/>
  <c r="G59" i="25"/>
  <c r="G72" i="27"/>
  <c r="G39" i="27"/>
  <c r="G9" i="24"/>
  <c r="G16" i="27"/>
  <c r="G47" i="25"/>
  <c r="G69" i="27"/>
  <c r="G33" i="27"/>
  <c r="G25" i="25"/>
  <c r="G23" i="25"/>
  <c r="G10" i="25"/>
  <c r="G37" i="25"/>
  <c r="G68" i="27"/>
  <c r="G24" i="27"/>
  <c r="G60" i="25"/>
  <c r="G45" i="25"/>
  <c r="G11" i="24"/>
  <c r="G74" i="27"/>
  <c r="G24" i="25"/>
  <c r="G44" i="27"/>
  <c r="G17" i="25"/>
  <c r="G9" i="25"/>
  <c r="G64" i="27"/>
  <c r="G15" i="25"/>
  <c r="G27" i="27"/>
  <c r="G18" i="25"/>
  <c r="G34" i="27"/>
  <c r="G56" i="25"/>
  <c r="G21" i="27"/>
  <c r="G20" i="25"/>
  <c r="G42" i="27"/>
  <c r="G26" i="24"/>
  <c r="G55" i="25"/>
  <c r="G18" i="27"/>
  <c r="G19" i="27"/>
  <c r="G83" i="27"/>
  <c r="G66" i="25"/>
  <c r="G34" i="25"/>
  <c r="G52" i="27"/>
  <c r="G37" i="27"/>
  <c r="G63" i="27"/>
  <c r="G28" i="25"/>
  <c r="G10" i="24"/>
  <c r="G52" i="25"/>
  <c r="G24" i="24"/>
  <c r="G49" i="27"/>
  <c r="G49" i="25"/>
  <c r="G22" i="24"/>
  <c r="G51" i="25"/>
  <c r="G23" i="27"/>
  <c r="G21" i="24"/>
  <c r="G25" i="27"/>
  <c r="G76" i="27"/>
  <c r="G38" i="27"/>
  <c r="G62" i="25"/>
  <c r="G30" i="25"/>
  <c r="G26" i="25"/>
  <c r="G30" i="27"/>
  <c r="G13" i="24"/>
  <c r="G70" i="27"/>
  <c r="G54" i="27"/>
  <c r="G58" i="25"/>
  <c r="G11" i="27"/>
  <c r="G20" i="24"/>
  <c r="G10" i="27"/>
  <c r="G32" i="27"/>
  <c r="G40" i="27"/>
  <c r="G14" i="25"/>
  <c r="G77" i="27"/>
  <c r="G55" i="27"/>
  <c r="G16" i="24"/>
  <c r="G44" i="25"/>
  <c r="G41" i="27"/>
  <c r="G18" i="24"/>
  <c r="G9" i="27"/>
  <c r="G67" i="27"/>
  <c r="G45" i="27"/>
  <c r="G43" i="25"/>
  <c r="G36" i="27"/>
  <c r="G12" i="25"/>
  <c r="G54" i="25"/>
  <c r="G62" i="27"/>
  <c r="G8" i="25"/>
  <c r="G48" i="25"/>
  <c r="G13" i="27"/>
  <c r="G8" i="27"/>
  <c r="G19" i="25"/>
  <c r="G40" i="25"/>
  <c r="G47" i="27"/>
  <c r="G65" i="25"/>
  <c r="G17" i="27"/>
  <c r="G84" i="27"/>
  <c r="G21" i="25"/>
  <c r="G39" i="25"/>
  <c r="G69" i="25"/>
  <c r="G22" i="25"/>
  <c r="G43" i="27"/>
  <c r="G28" i="24"/>
  <c r="G50" i="25"/>
  <c r="G26" i="27"/>
  <c r="G12" i="27"/>
  <c r="G11" i="25"/>
  <c r="G53" i="27"/>
  <c r="G80" i="27"/>
  <c r="G15" i="27"/>
  <c r="G85" i="27"/>
  <c r="G81" i="27"/>
  <c r="G16" i="25"/>
  <c r="G25" i="24"/>
  <c r="G14" i="27"/>
  <c r="G58" i="27"/>
  <c r="G68" i="25"/>
  <c r="G36" i="25"/>
  <c r="G53" i="25"/>
  <c r="G23" i="24"/>
  <c r="G22" i="27"/>
  <c r="G78" i="27"/>
  <c r="G67" i="25"/>
  <c r="G35" i="25"/>
  <c r="G50" i="27"/>
  <c r="G51" i="27"/>
  <c r="G27" i="25"/>
  <c r="G12" i="24"/>
  <c r="G46" i="25"/>
  <c r="G31" i="27"/>
  <c r="G27" i="24"/>
  <c r="G20" i="27"/>
  <c r="G82" i="27"/>
  <c r="G61" i="27"/>
  <c r="G73" i="27"/>
  <c r="G57" i="25"/>
  <c r="G17" i="24"/>
  <c r="G79" i="27"/>
  <c r="G64" i="25"/>
  <c r="G32" i="25"/>
  <c r="G66" i="27"/>
  <c r="G29" i="25"/>
  <c r="G15" i="24"/>
  <c r="G29" i="27"/>
  <c r="G71" i="27"/>
  <c r="G63" i="25"/>
  <c r="G31" i="25"/>
  <c r="G59" i="27"/>
  <c r="G60" i="27"/>
  <c r="G61" i="25"/>
  <c r="G13" i="25"/>
  <c r="G42" i="25"/>
  <c r="G33" i="25"/>
  <c r="G19" i="24"/>
  <c r="G75" i="27"/>
  <c r="B98" i="13"/>
  <c r="B97" i="13"/>
  <c r="B99" i="13"/>
  <c r="B96" i="13"/>
  <c r="B49" i="13" l="1"/>
  <c r="B95" i="13"/>
  <c r="B92" i="13"/>
  <c r="B90" i="13"/>
  <c r="B89" i="13"/>
  <c r="B88" i="13"/>
  <c r="B65" i="13"/>
  <c r="B52" i="13"/>
  <c r="B50" i="13"/>
  <c r="B48" i="13"/>
  <c r="B47" i="13"/>
  <c r="B46" i="13"/>
  <c r="B45" i="13" l="1"/>
  <c r="B44" i="13"/>
  <c r="B43" i="13"/>
  <c r="B42" i="13"/>
  <c r="B41" i="13"/>
  <c r="B40" i="13"/>
  <c r="B39" i="13"/>
  <c r="B38" i="13"/>
  <c r="B37" i="13"/>
  <c r="B36" i="13"/>
  <c r="B35" i="13"/>
  <c r="B34" i="13"/>
  <c r="B33" i="13"/>
  <c r="B19" i="13" l="1"/>
  <c r="Q18" i="13" l="1"/>
  <c r="Q17" i="13"/>
  <c r="E89" i="13"/>
  <c r="F89" i="13"/>
  <c r="E90" i="13"/>
  <c r="F90" i="13"/>
  <c r="E91" i="13"/>
  <c r="F91" i="13"/>
  <c r="E92" i="13"/>
  <c r="F92" i="13"/>
  <c r="E94" i="13"/>
  <c r="F94" i="13"/>
  <c r="E95" i="13"/>
  <c r="F95" i="13"/>
  <c r="E96" i="13"/>
  <c r="F96" i="13"/>
  <c r="E97" i="13"/>
  <c r="F97" i="13"/>
  <c r="E98" i="13"/>
  <c r="F98" i="13"/>
  <c r="E99" i="13"/>
  <c r="F99" i="13"/>
  <c r="E66" i="13"/>
  <c r="E67" i="13"/>
  <c r="E75" i="13"/>
  <c r="F75" i="13"/>
  <c r="E38" i="13"/>
  <c r="F38" i="13"/>
  <c r="E39" i="13"/>
  <c r="F39" i="13"/>
  <c r="E40" i="13"/>
  <c r="F40" i="13"/>
  <c r="E41" i="13"/>
  <c r="F41" i="13"/>
  <c r="E42" i="13"/>
  <c r="F42" i="13"/>
  <c r="E43" i="13"/>
  <c r="F43" i="13"/>
  <c r="E44" i="13"/>
  <c r="F44" i="13"/>
  <c r="E45" i="13"/>
  <c r="F45" i="13"/>
  <c r="E46" i="13"/>
  <c r="F46" i="13"/>
  <c r="E47" i="13"/>
  <c r="F47" i="13"/>
  <c r="E48" i="13"/>
  <c r="F48" i="13"/>
  <c r="E49" i="13"/>
  <c r="F49" i="13"/>
  <c r="E50" i="13"/>
  <c r="F50" i="13"/>
  <c r="E51" i="13"/>
  <c r="F51" i="13"/>
  <c r="E52" i="13"/>
  <c r="F52" i="13"/>
  <c r="P28" i="4" l="1"/>
  <c r="P72" i="4" l="1"/>
  <c r="P23" i="4"/>
  <c r="Q23" i="4"/>
  <c r="P22" i="4"/>
  <c r="P109" i="4"/>
  <c r="P8" i="4"/>
  <c r="D7" i="3" l="1"/>
  <c r="D8" i="3" s="1"/>
  <c r="B3" i="7" l="1"/>
  <c r="D37" i="3"/>
  <c r="D38" i="3"/>
  <c r="D39" i="3"/>
  <c r="D40" i="3"/>
  <c r="P88" i="4" l="1"/>
  <c r="P84" i="4"/>
  <c r="Q84" i="4"/>
  <c r="P73" i="4"/>
  <c r="P74" i="4"/>
  <c r="P75" i="4"/>
  <c r="P76" i="4"/>
  <c r="P77" i="4"/>
  <c r="P80" i="4"/>
  <c r="P81" i="4"/>
  <c r="Q73" i="4"/>
  <c r="Q74" i="4"/>
  <c r="Q75" i="4"/>
  <c r="Q76" i="4"/>
  <c r="Q77" i="4"/>
  <c r="Q80" i="4"/>
  <c r="Q81" i="4"/>
  <c r="P86" i="4"/>
  <c r="P87" i="4"/>
  <c r="P89" i="4"/>
  <c r="P90" i="4"/>
  <c r="P103" i="4"/>
  <c r="P104" i="4"/>
  <c r="P105" i="4"/>
  <c r="Q89" i="4"/>
  <c r="Q90" i="4"/>
  <c r="Q103" i="4"/>
  <c r="Q104" i="4"/>
  <c r="Q105" i="4"/>
  <c r="U55" i="4"/>
  <c r="F47" i="39" s="1"/>
  <c r="U54" i="4"/>
  <c r="F46" i="39" s="1"/>
  <c r="F46" i="35" l="1"/>
  <c r="F70" i="37"/>
  <c r="F47" i="35"/>
  <c r="F71" i="37"/>
  <c r="F46" i="21"/>
  <c r="F65" i="34"/>
  <c r="F47" i="21"/>
  <c r="F66" i="34"/>
  <c r="F66" i="13"/>
  <c r="F48" i="21"/>
  <c r="P39" i="4"/>
  <c r="Q39" i="4"/>
  <c r="P27" i="4"/>
  <c r="P29" i="4"/>
  <c r="P30" i="4"/>
  <c r="P31" i="4"/>
  <c r="P32" i="4"/>
  <c r="P33" i="4"/>
  <c r="P34" i="4"/>
  <c r="P35" i="4"/>
  <c r="P37" i="4"/>
  <c r="P38" i="4"/>
  <c r="P40" i="4"/>
  <c r="P41" i="4"/>
  <c r="P43" i="4"/>
  <c r="P44" i="4"/>
  <c r="P45" i="4"/>
  <c r="P46" i="4"/>
  <c r="P47" i="4"/>
  <c r="P48" i="4"/>
  <c r="P49" i="4"/>
  <c r="P14" i="4"/>
  <c r="P54" i="4"/>
  <c r="P55" i="4"/>
  <c r="P56" i="4"/>
  <c r="P108" i="4"/>
  <c r="P82" i="4"/>
  <c r="P83" i="4"/>
  <c r="P85" i="4"/>
  <c r="Q27" i="4"/>
  <c r="Q29" i="4"/>
  <c r="Q31" i="4"/>
  <c r="Q32" i="4"/>
  <c r="Q33" i="4"/>
  <c r="Q34" i="4"/>
  <c r="Q37" i="4"/>
  <c r="Q38" i="4"/>
  <c r="Q40" i="4"/>
  <c r="Q43" i="4"/>
  <c r="Q44" i="4"/>
  <c r="Q45" i="4"/>
  <c r="Q46" i="4"/>
  <c r="Q47" i="4"/>
  <c r="Q48" i="4"/>
  <c r="Q49" i="4"/>
  <c r="Q54" i="4"/>
  <c r="Q55" i="4"/>
  <c r="Q56" i="4"/>
  <c r="Q108" i="4"/>
  <c r="Q83" i="4"/>
  <c r="Q85" i="4"/>
  <c r="P24" i="4"/>
  <c r="P25" i="4"/>
  <c r="P26" i="4"/>
  <c r="Q25" i="4"/>
  <c r="Q26" i="4"/>
  <c r="C24" i="11"/>
  <c r="J2" i="29"/>
  <c r="F2" i="27" l="1"/>
  <c r="I2" i="28"/>
  <c r="F2" i="25"/>
  <c r="F2" i="24"/>
  <c r="K2" i="23"/>
  <c r="F67" i="13"/>
  <c r="P10" i="4"/>
  <c r="B124" i="13" l="1"/>
  <c r="B76" i="13"/>
  <c r="B53" i="13"/>
  <c r="B20" i="13"/>
  <c r="D48" i="3" l="1"/>
  <c r="B22" i="11" s="1"/>
  <c r="D46" i="3"/>
  <c r="B20" i="11" s="1"/>
  <c r="D44" i="3"/>
  <c r="B18" i="11" s="1"/>
  <c r="D42" i="3"/>
  <c r="B16" i="11" s="1"/>
  <c r="D43" i="3"/>
  <c r="B17" i="11" s="1"/>
  <c r="B14" i="11"/>
  <c r="B12" i="11"/>
  <c r="D47" i="3"/>
  <c r="B21" i="11" s="1"/>
  <c r="D23" i="11" s="1"/>
  <c r="C23" i="11" s="1"/>
  <c r="D45" i="3"/>
  <c r="B19" i="11" s="1"/>
  <c r="D41" i="3"/>
  <c r="B15" i="11" s="1"/>
  <c r="B13" i="11"/>
  <c r="B11" i="11"/>
  <c r="B29" i="13"/>
  <c r="N17" i="13" s="1"/>
  <c r="D22" i="11" l="1"/>
  <c r="C22" i="11" s="1"/>
  <c r="D21" i="11"/>
  <c r="C21" i="11" s="1"/>
  <c r="D20" i="11"/>
  <c r="C20" i="11" s="1"/>
  <c r="D19" i="11"/>
  <c r="C19" i="11" s="1"/>
  <c r="D18" i="11"/>
  <c r="C18" i="11" s="1"/>
  <c r="I45" i="13" l="1"/>
  <c r="I65" i="13"/>
  <c r="I76" i="13"/>
  <c r="I26" i="13"/>
  <c r="I19" i="13"/>
  <c r="I17" i="13"/>
  <c r="I18" i="13"/>
  <c r="I21" i="13"/>
  <c r="F123" i="13"/>
  <c r="E123" i="13"/>
  <c r="F119" i="13"/>
  <c r="E119" i="13"/>
  <c r="F118" i="13"/>
  <c r="E118" i="13"/>
  <c r="F117" i="13"/>
  <c r="E117" i="13"/>
  <c r="F116" i="13"/>
  <c r="E116" i="13"/>
  <c r="F114" i="13"/>
  <c r="E114" i="13"/>
  <c r="F113" i="13"/>
  <c r="E113" i="13"/>
  <c r="F112" i="13"/>
  <c r="E112" i="13"/>
  <c r="F88" i="13"/>
  <c r="E88" i="13"/>
  <c r="F65" i="13"/>
  <c r="E65" i="13"/>
  <c r="E32" i="13"/>
  <c r="F32" i="13"/>
  <c r="E33" i="13"/>
  <c r="F33" i="13"/>
  <c r="E34" i="13"/>
  <c r="F34" i="13"/>
  <c r="E35" i="13"/>
  <c r="F35" i="13"/>
  <c r="E36" i="13"/>
  <c r="F36" i="13"/>
  <c r="E37" i="13"/>
  <c r="F37" i="13"/>
  <c r="P16" i="4"/>
  <c r="Q16" i="4"/>
  <c r="V9" i="4"/>
  <c r="K9" i="4" s="1"/>
  <c r="P9" i="4"/>
  <c r="M9" i="4"/>
  <c r="O9" i="4" s="1"/>
  <c r="X9" i="4" l="1"/>
  <c r="N9" i="4"/>
  <c r="P4" i="4" l="1"/>
  <c r="P5" i="4"/>
  <c r="P6" i="4"/>
  <c r="P7" i="4"/>
  <c r="M3" i="4"/>
  <c r="F31" i="13"/>
  <c r="F19" i="13"/>
  <c r="E31" i="13"/>
  <c r="E19" i="13"/>
  <c r="O3" i="4" l="1"/>
  <c r="X3" i="4"/>
  <c r="N3" i="4"/>
  <c r="Q20" i="4" l="1"/>
  <c r="Q21" i="4"/>
  <c r="Q15" i="4"/>
  <c r="B7" i="13"/>
  <c r="Q13" i="4"/>
  <c r="R13" i="13"/>
  <c r="N13" i="13"/>
  <c r="J13" i="13"/>
  <c r="H11" i="4" l="1"/>
  <c r="G46" i="4"/>
  <c r="G135" i="4"/>
  <c r="G127" i="4"/>
  <c r="G95" i="4"/>
  <c r="G133" i="4"/>
  <c r="G106" i="4"/>
  <c r="G54" i="4"/>
  <c r="G137" i="4"/>
  <c r="G111" i="4"/>
  <c r="G33" i="4"/>
  <c r="G32" i="4"/>
  <c r="G77" i="4"/>
  <c r="G47" i="4"/>
  <c r="G20" i="4"/>
  <c r="G136" i="4"/>
  <c r="G107" i="4"/>
  <c r="G45" i="4"/>
  <c r="G16" i="4"/>
  <c r="G134" i="4"/>
  <c r="G84" i="4"/>
  <c r="G75" i="4"/>
  <c r="G34" i="4"/>
  <c r="G13" i="4"/>
  <c r="G87" i="4"/>
  <c r="G38" i="4"/>
  <c r="G56" i="4" l="1"/>
  <c r="E73" i="4"/>
  <c r="G98" i="4"/>
  <c r="E104" i="4"/>
  <c r="E88" i="4"/>
  <c r="E75" i="4"/>
  <c r="E90" i="4"/>
  <c r="E76" i="4"/>
  <c r="E74" i="4"/>
  <c r="G89" i="4"/>
  <c r="K11" i="23"/>
  <c r="G108" i="4"/>
  <c r="H20" i="4"/>
  <c r="B121" i="37" l="1"/>
  <c r="I98" i="37"/>
  <c r="B123" i="34"/>
  <c r="B130" i="37"/>
  <c r="I93" i="34"/>
  <c r="B114" i="34"/>
  <c r="G92" i="4"/>
  <c r="I93" i="13"/>
  <c r="B122" i="13"/>
  <c r="S11" i="4"/>
  <c r="V11" i="4" s="1"/>
  <c r="I11" i="4"/>
  <c r="K11" i="4" l="1"/>
  <c r="L11" i="4" l="1"/>
  <c r="M11" i="4"/>
  <c r="G72" i="4"/>
  <c r="G23" i="4"/>
  <c r="G109" i="4"/>
  <c r="G39" i="4"/>
  <c r="A2" i="17" l="1"/>
  <c r="A2" i="20"/>
  <c r="D3" i="3"/>
  <c r="A2" i="18"/>
  <c r="I72" i="4"/>
  <c r="S72" i="4"/>
  <c r="V72" i="4" s="1"/>
  <c r="K72" i="4" s="1"/>
  <c r="I23" i="4"/>
  <c r="S23" i="4"/>
  <c r="V23" i="4" s="1"/>
  <c r="I22" i="4"/>
  <c r="S22" i="4"/>
  <c r="V22" i="4" s="1"/>
  <c r="K22" i="4" s="1"/>
  <c r="I109" i="4"/>
  <c r="S109" i="4"/>
  <c r="V109" i="4" s="1"/>
  <c r="I8" i="4"/>
  <c r="S8" i="4"/>
  <c r="V8" i="4" s="1"/>
  <c r="K8" i="4" s="1"/>
  <c r="G85" i="4"/>
  <c r="S84" i="4"/>
  <c r="V84" i="4" s="1"/>
  <c r="I84" i="4"/>
  <c r="I39" i="4"/>
  <c r="S39" i="4"/>
  <c r="V39" i="4" s="1"/>
  <c r="K39" i="4" s="1"/>
  <c r="M10" i="4"/>
  <c r="X11" i="4"/>
  <c r="N11" i="4"/>
  <c r="O11" i="4"/>
  <c r="G21" i="4"/>
  <c r="G104" i="4"/>
  <c r="G37" i="4"/>
  <c r="G15" i="4"/>
  <c r="G76" i="4"/>
  <c r="G26" i="4"/>
  <c r="G80" i="4"/>
  <c r="G31" i="4"/>
  <c r="G74" i="4"/>
  <c r="G110" i="4"/>
  <c r="G25" i="4"/>
  <c r="G27" i="4"/>
  <c r="G48" i="4"/>
  <c r="G14" i="4"/>
  <c r="G90" i="4"/>
  <c r="G43" i="4"/>
  <c r="G40" i="4"/>
  <c r="G82" i="4"/>
  <c r="G44" i="4"/>
  <c r="G83" i="4"/>
  <c r="G113" i="4"/>
  <c r="G73" i="4"/>
  <c r="G49" i="4"/>
  <c r="G30" i="4"/>
  <c r="G86" i="4"/>
  <c r="G24" i="4"/>
  <c r="G29" i="4"/>
  <c r="G81" i="4"/>
  <c r="C84" i="13" l="1"/>
  <c r="B65" i="37"/>
  <c r="B115" i="37"/>
  <c r="B98" i="4"/>
  <c r="B61" i="34"/>
  <c r="B108" i="34"/>
  <c r="G88" i="4"/>
  <c r="B108" i="13"/>
  <c r="B61" i="13"/>
  <c r="H109" i="4"/>
  <c r="K109" i="4" s="1"/>
  <c r="L109" i="4" s="1"/>
  <c r="AQ2" i="5" s="1"/>
  <c r="D4" i="3"/>
  <c r="I113" i="4"/>
  <c r="S113" i="4"/>
  <c r="V113" i="4" s="1"/>
  <c r="K113" i="4" s="1"/>
  <c r="I110" i="4"/>
  <c r="S110" i="4"/>
  <c r="V110" i="4" s="1"/>
  <c r="K110" i="4" s="1"/>
  <c r="G28" i="4"/>
  <c r="H77" i="4"/>
  <c r="G91" i="4" s="1"/>
  <c r="G94" i="4" s="1"/>
  <c r="H47" i="4"/>
  <c r="L22" i="4"/>
  <c r="AR2" i="5" s="1"/>
  <c r="L72" i="4"/>
  <c r="P2" i="20" s="1"/>
  <c r="L8" i="4"/>
  <c r="L39" i="4"/>
  <c r="R2" i="5" s="1"/>
  <c r="H23" i="4"/>
  <c r="K23" i="4" s="1"/>
  <c r="M23" i="4" s="1"/>
  <c r="M72" i="4"/>
  <c r="D75" i="13" s="1"/>
  <c r="M22" i="4"/>
  <c r="M8" i="4"/>
  <c r="I76" i="4"/>
  <c r="S76" i="4"/>
  <c r="V76" i="4" s="1"/>
  <c r="I73" i="4"/>
  <c r="S73" i="4"/>
  <c r="V73" i="4" s="1"/>
  <c r="I77" i="4"/>
  <c r="S77" i="4"/>
  <c r="V77" i="4" s="1"/>
  <c r="I80" i="4"/>
  <c r="S80" i="4"/>
  <c r="V80" i="4" s="1"/>
  <c r="K80" i="4" s="1"/>
  <c r="I74" i="4"/>
  <c r="S74" i="4"/>
  <c r="V74" i="4" s="1"/>
  <c r="I81" i="4"/>
  <c r="S81" i="4"/>
  <c r="V81" i="4" s="1"/>
  <c r="K81" i="4" s="1"/>
  <c r="I75" i="4"/>
  <c r="S75" i="4"/>
  <c r="V75" i="4" s="1"/>
  <c r="I104" i="4"/>
  <c r="S104" i="4"/>
  <c r="V104" i="4" s="1"/>
  <c r="I86" i="4"/>
  <c r="S86" i="4"/>
  <c r="V86" i="4" s="1"/>
  <c r="K86" i="4" s="1"/>
  <c r="S87" i="4"/>
  <c r="V87" i="4" s="1"/>
  <c r="K87" i="4" s="1"/>
  <c r="I87" i="4"/>
  <c r="I90" i="4"/>
  <c r="H90" i="4" s="1"/>
  <c r="S90" i="4"/>
  <c r="V90" i="4" s="1"/>
  <c r="H46" i="4"/>
  <c r="I27" i="4"/>
  <c r="S27" i="4"/>
  <c r="V27" i="4" s="1"/>
  <c r="K27" i="4" s="1"/>
  <c r="I38" i="4"/>
  <c r="S38" i="4"/>
  <c r="V38" i="4" s="1"/>
  <c r="K38" i="4" s="1"/>
  <c r="I29" i="4"/>
  <c r="S29" i="4"/>
  <c r="V29" i="4" s="1"/>
  <c r="K29" i="4" s="1"/>
  <c r="I48" i="4"/>
  <c r="S48" i="4"/>
  <c r="V48" i="4" s="1"/>
  <c r="K48" i="4" s="1"/>
  <c r="I83" i="4"/>
  <c r="S83" i="4"/>
  <c r="V83" i="4" s="1"/>
  <c r="K83" i="4" s="1"/>
  <c r="I46" i="4"/>
  <c r="S46" i="4"/>
  <c r="V46" i="4" s="1"/>
  <c r="I35" i="4"/>
  <c r="H35" i="4" s="1"/>
  <c r="S35" i="4"/>
  <c r="V35" i="4" s="1"/>
  <c r="I82" i="4"/>
  <c r="S82" i="4"/>
  <c r="V82" i="4" s="1"/>
  <c r="K82" i="4" s="1"/>
  <c r="I34" i="4"/>
  <c r="S34" i="4"/>
  <c r="V34" i="4" s="1"/>
  <c r="I47" i="4"/>
  <c r="S47" i="4"/>
  <c r="V47" i="4" s="1"/>
  <c r="I30" i="4"/>
  <c r="S30" i="4"/>
  <c r="V30" i="4" s="1"/>
  <c r="K30" i="4" s="1"/>
  <c r="I41" i="4"/>
  <c r="S41" i="4"/>
  <c r="V41" i="4" s="1"/>
  <c r="I40" i="4"/>
  <c r="S40" i="4"/>
  <c r="V40" i="4" s="1"/>
  <c r="I49" i="4"/>
  <c r="S49" i="4"/>
  <c r="V49" i="4" s="1"/>
  <c r="K49" i="4" s="1"/>
  <c r="I85" i="4"/>
  <c r="S85" i="4"/>
  <c r="V85" i="4" s="1"/>
  <c r="S31" i="4"/>
  <c r="V31" i="4" s="1"/>
  <c r="K31" i="4" s="1"/>
  <c r="I31" i="4"/>
  <c r="I14" i="4"/>
  <c r="S14" i="4"/>
  <c r="V14" i="4" s="1"/>
  <c r="K14" i="4" s="1"/>
  <c r="I37" i="4"/>
  <c r="S37" i="4"/>
  <c r="V37" i="4" s="1"/>
  <c r="K37" i="4" s="1"/>
  <c r="I44" i="4"/>
  <c r="S44" i="4"/>
  <c r="V44" i="4" s="1"/>
  <c r="K44" i="4" s="1"/>
  <c r="S33" i="4"/>
  <c r="V33" i="4" s="1"/>
  <c r="K33" i="4" s="1"/>
  <c r="I33" i="4"/>
  <c r="S55" i="4"/>
  <c r="V55" i="4" s="1"/>
  <c r="I55" i="4"/>
  <c r="I45" i="4"/>
  <c r="S45" i="4"/>
  <c r="V45" i="4" s="1"/>
  <c r="K45" i="4" s="1"/>
  <c r="I32" i="4"/>
  <c r="S32" i="4"/>
  <c r="V32" i="4" s="1"/>
  <c r="K32" i="4" s="1"/>
  <c r="I43" i="4"/>
  <c r="S43" i="4"/>
  <c r="V43" i="4" s="1"/>
  <c r="K43" i="4" s="1"/>
  <c r="I54" i="4"/>
  <c r="S54" i="4"/>
  <c r="V54" i="4" s="1"/>
  <c r="S25" i="4"/>
  <c r="V25" i="4" s="1"/>
  <c r="K25" i="4" s="1"/>
  <c r="I25" i="4"/>
  <c r="I26" i="4"/>
  <c r="S26" i="4"/>
  <c r="V26" i="4" s="1"/>
  <c r="K26" i="4" s="1"/>
  <c r="I24" i="4"/>
  <c r="S24" i="4"/>
  <c r="V24" i="4" s="1"/>
  <c r="K24" i="4" s="1"/>
  <c r="I10" i="4"/>
  <c r="S10" i="4"/>
  <c r="V10" i="4" s="1"/>
  <c r="K10" i="4" s="1"/>
  <c r="N10" i="4"/>
  <c r="X10" i="4"/>
  <c r="O10" i="4"/>
  <c r="I13" i="4"/>
  <c r="I16" i="4"/>
  <c r="S16" i="4"/>
  <c r="V16" i="4" s="1"/>
  <c r="K16" i="4" s="1"/>
  <c r="M4" i="4"/>
  <c r="X4" i="4" s="1"/>
  <c r="M6" i="4"/>
  <c r="X6" i="4" s="1"/>
  <c r="M7" i="4"/>
  <c r="X7" i="4" s="1"/>
  <c r="I21" i="4"/>
  <c r="S21" i="4"/>
  <c r="S13" i="4"/>
  <c r="S15" i="4"/>
  <c r="I15" i="4"/>
  <c r="S20" i="4"/>
  <c r="I20" i="4"/>
  <c r="G115" i="4"/>
  <c r="G116" i="4"/>
  <c r="G79" i="4"/>
  <c r="G18" i="4"/>
  <c r="G118" i="4"/>
  <c r="G129" i="4"/>
  <c r="G123" i="4"/>
  <c r="G142" i="4"/>
  <c r="B85" i="13" l="1"/>
  <c r="B86" i="13" s="1"/>
  <c r="N19" i="13" s="1"/>
  <c r="X54" i="13"/>
  <c r="B88" i="39"/>
  <c r="C88" i="39" s="1"/>
  <c r="B72" i="37"/>
  <c r="B48" i="39"/>
  <c r="B120" i="37"/>
  <c r="B45" i="38"/>
  <c r="W72" i="37"/>
  <c r="C115" i="37"/>
  <c r="B8" i="34"/>
  <c r="I3" i="34" s="1"/>
  <c r="B8" i="37"/>
  <c r="I3" i="37" s="1"/>
  <c r="W28" i="37"/>
  <c r="C65" i="37"/>
  <c r="B48" i="35"/>
  <c r="S68" i="4"/>
  <c r="V68" i="4" s="1"/>
  <c r="K68" i="4" s="1"/>
  <c r="I68" i="4"/>
  <c r="B113" i="34"/>
  <c r="B45" i="36"/>
  <c r="B88" i="35"/>
  <c r="C88" i="35" s="1"/>
  <c r="B48" i="21"/>
  <c r="B67" i="34"/>
  <c r="W67" i="34"/>
  <c r="C108" i="34"/>
  <c r="W28" i="34"/>
  <c r="C61" i="34"/>
  <c r="I98" i="4"/>
  <c r="S98" i="4"/>
  <c r="V98" i="4" s="1"/>
  <c r="K98" i="4" s="1"/>
  <c r="I12" i="4"/>
  <c r="S12" i="4"/>
  <c r="V12" i="4" s="1"/>
  <c r="K12" i="4" s="1"/>
  <c r="I95" i="4"/>
  <c r="S95" i="4"/>
  <c r="V95" i="4" s="1"/>
  <c r="G93" i="4"/>
  <c r="I92" i="4"/>
  <c r="S92" i="4"/>
  <c r="V92" i="4" s="1"/>
  <c r="K92" i="4" s="1"/>
  <c r="I91" i="4"/>
  <c r="S91" i="4"/>
  <c r="V91" i="4" s="1"/>
  <c r="K91" i="4" s="1"/>
  <c r="I79" i="4"/>
  <c r="S79" i="4"/>
  <c r="V79" i="4" s="1"/>
  <c r="K79" i="4" s="1"/>
  <c r="D9" i="23"/>
  <c r="K90" i="4"/>
  <c r="L90" i="4" s="1"/>
  <c r="G42" i="4"/>
  <c r="G36" i="4"/>
  <c r="B150" i="13"/>
  <c r="V19" i="13" s="1"/>
  <c r="B45" i="19"/>
  <c r="I18" i="4"/>
  <c r="S18" i="4"/>
  <c r="V18" i="4" s="1"/>
  <c r="K18" i="4" s="1"/>
  <c r="B113" i="13"/>
  <c r="G78" i="4"/>
  <c r="F9" i="23" s="1"/>
  <c r="I118" i="4"/>
  <c r="S118" i="4"/>
  <c r="V118" i="4" s="1"/>
  <c r="W67" i="13"/>
  <c r="C108" i="13"/>
  <c r="B109" i="13" s="1"/>
  <c r="B88" i="21"/>
  <c r="C61" i="13"/>
  <c r="W28" i="13"/>
  <c r="M109" i="4"/>
  <c r="Y109" i="4" s="1"/>
  <c r="G114" i="4"/>
  <c r="E144" i="4"/>
  <c r="E143" i="4"/>
  <c r="E132" i="4"/>
  <c r="E131" i="4"/>
  <c r="E130" i="4"/>
  <c r="E135" i="4"/>
  <c r="E134" i="4"/>
  <c r="I142" i="4"/>
  <c r="S142" i="4"/>
  <c r="V142" i="4" s="1"/>
  <c r="K142" i="4" s="1"/>
  <c r="I133" i="4"/>
  <c r="S133" i="4"/>
  <c r="V133" i="4" s="1"/>
  <c r="K133" i="4" s="1"/>
  <c r="I129" i="4"/>
  <c r="S129" i="4"/>
  <c r="V129" i="4" s="1"/>
  <c r="K129" i="4" s="1"/>
  <c r="I123" i="4"/>
  <c r="S123" i="4"/>
  <c r="V123" i="4" s="1"/>
  <c r="K123" i="4" s="1"/>
  <c r="I116" i="4"/>
  <c r="S116" i="4"/>
  <c r="V116" i="4" s="1"/>
  <c r="K116" i="4" s="1"/>
  <c r="S115" i="4"/>
  <c r="V115" i="4" s="1"/>
  <c r="K115" i="4" s="1"/>
  <c r="I115" i="4"/>
  <c r="L87" i="4"/>
  <c r="AT2" i="5"/>
  <c r="N2" i="17"/>
  <c r="L113" i="4"/>
  <c r="M113" i="4"/>
  <c r="L24" i="4"/>
  <c r="L14" i="4"/>
  <c r="L110" i="4"/>
  <c r="M110" i="4"/>
  <c r="B8" i="13"/>
  <c r="K77" i="4"/>
  <c r="L77" i="4" s="1"/>
  <c r="AF2" i="5" s="1"/>
  <c r="L82" i="4"/>
  <c r="L86" i="4"/>
  <c r="AK2" i="5" s="1"/>
  <c r="L30" i="4"/>
  <c r="AV2" i="5" s="1"/>
  <c r="L10" i="4"/>
  <c r="C2" i="20" s="1"/>
  <c r="I89" i="4"/>
  <c r="B114" i="13"/>
  <c r="K47" i="4"/>
  <c r="L47" i="4" s="1"/>
  <c r="W2" i="5" s="1"/>
  <c r="S56" i="4"/>
  <c r="V56" i="4" s="1"/>
  <c r="B67" i="13"/>
  <c r="L25" i="4"/>
  <c r="J2" i="5" s="1"/>
  <c r="L33" i="4"/>
  <c r="O2" i="5" s="1"/>
  <c r="L31" i="4"/>
  <c r="M2" i="5" s="1"/>
  <c r="L16" i="4"/>
  <c r="L44" i="4"/>
  <c r="T2" i="5" s="1"/>
  <c r="H85" i="4"/>
  <c r="H84" i="4" s="1"/>
  <c r="K84" i="4" s="1"/>
  <c r="L84" i="4" s="1"/>
  <c r="L29" i="4"/>
  <c r="AU2" i="5" s="1"/>
  <c r="H54" i="4"/>
  <c r="K54" i="4" s="1"/>
  <c r="L54" i="4" s="1"/>
  <c r="L45" i="4"/>
  <c r="U2" i="5" s="1"/>
  <c r="L37" i="4"/>
  <c r="P2" i="5" s="1"/>
  <c r="L49" i="4"/>
  <c r="Y2" i="5" s="1"/>
  <c r="L38" i="4"/>
  <c r="Q2" i="5" s="1"/>
  <c r="L81" i="4"/>
  <c r="AH2" i="5" s="1"/>
  <c r="H55" i="4"/>
  <c r="K55" i="4" s="1"/>
  <c r="L55" i="4" s="1"/>
  <c r="L23" i="4"/>
  <c r="AS2" i="5" s="1"/>
  <c r="L83" i="4"/>
  <c r="AI2" i="5" s="1"/>
  <c r="L27" i="4"/>
  <c r="L2" i="20" s="1"/>
  <c r="L43" i="4"/>
  <c r="S2" i="5" s="1"/>
  <c r="L26" i="4"/>
  <c r="K2" i="20" s="1"/>
  <c r="L32" i="4"/>
  <c r="N2" i="5" s="1"/>
  <c r="L48" i="4"/>
  <c r="X2" i="5" s="1"/>
  <c r="L80" i="4"/>
  <c r="AG2" i="5" s="1"/>
  <c r="S28" i="4"/>
  <c r="V28" i="4" s="1"/>
  <c r="K28" i="4" s="1"/>
  <c r="I28" i="4"/>
  <c r="N72" i="4"/>
  <c r="X72" i="4"/>
  <c r="C49" i="39" s="1"/>
  <c r="G49" i="39" s="1"/>
  <c r="X36" i="39" s="1"/>
  <c r="O72" i="4"/>
  <c r="N23" i="4"/>
  <c r="O23" i="4"/>
  <c r="X23" i="4"/>
  <c r="O22" i="4"/>
  <c r="N22" i="4"/>
  <c r="X22" i="4"/>
  <c r="O8" i="4"/>
  <c r="N8" i="4"/>
  <c r="X8" i="4"/>
  <c r="S89" i="4"/>
  <c r="V89" i="4" s="1"/>
  <c r="K89" i="4" s="1"/>
  <c r="I88" i="4"/>
  <c r="H88" i="4" s="1"/>
  <c r="S88" i="4"/>
  <c r="V88" i="4" s="1"/>
  <c r="I56" i="4"/>
  <c r="H56" i="4" s="1"/>
  <c r="M80" i="4"/>
  <c r="D94" i="13" s="1"/>
  <c r="M81" i="4"/>
  <c r="D95" i="13" s="1"/>
  <c r="M87" i="4"/>
  <c r="D112" i="13" s="1"/>
  <c r="M86" i="4"/>
  <c r="D99" i="13" s="1"/>
  <c r="K46" i="4"/>
  <c r="L46" i="4" s="1"/>
  <c r="M49" i="4"/>
  <c r="D52" i="13" s="1"/>
  <c r="M29" i="4"/>
  <c r="M14" i="4"/>
  <c r="M31" i="4"/>
  <c r="D38" i="13" s="1"/>
  <c r="M45" i="4"/>
  <c r="D48" i="13" s="1"/>
  <c r="M44" i="4"/>
  <c r="D47" i="13" s="1"/>
  <c r="M83" i="4"/>
  <c r="D97" i="13" s="1"/>
  <c r="M27" i="4"/>
  <c r="M43" i="4"/>
  <c r="D46" i="13" s="1"/>
  <c r="M37" i="4"/>
  <c r="D42" i="13" s="1"/>
  <c r="M30" i="4"/>
  <c r="M82" i="4"/>
  <c r="D96" i="13" s="1"/>
  <c r="M48" i="4"/>
  <c r="D51" i="13" s="1"/>
  <c r="M25" i="4"/>
  <c r="M24" i="4"/>
  <c r="M26" i="4"/>
  <c r="M16" i="4"/>
  <c r="A2" i="5"/>
  <c r="O4" i="4"/>
  <c r="N4" i="4"/>
  <c r="M5" i="4"/>
  <c r="X5" i="4" s="1"/>
  <c r="O6" i="4"/>
  <c r="N6" i="4"/>
  <c r="O7" i="4"/>
  <c r="N7" i="4"/>
  <c r="V13" i="4"/>
  <c r="V20" i="4"/>
  <c r="K20" i="4" s="1"/>
  <c r="L20" i="4" s="1"/>
  <c r="V15" i="4"/>
  <c r="K15" i="4" s="1"/>
  <c r="L15" i="4" s="1"/>
  <c r="V21" i="4"/>
  <c r="K21" i="4" s="1"/>
  <c r="H95" i="4"/>
  <c r="G125" i="4"/>
  <c r="G126" i="4"/>
  <c r="G51" i="4"/>
  <c r="G17" i="4"/>
  <c r="G132" i="4"/>
  <c r="G117" i="4"/>
  <c r="G144" i="4"/>
  <c r="G19" i="4"/>
  <c r="G140" i="4"/>
  <c r="G143" i="4"/>
  <c r="G141" i="4"/>
  <c r="G122" i="4"/>
  <c r="G112" i="4"/>
  <c r="G124" i="4"/>
  <c r="G131" i="4"/>
  <c r="G138" i="4"/>
  <c r="G139" i="4"/>
  <c r="G130" i="4"/>
  <c r="I120" i="4" l="1"/>
  <c r="S120" i="4"/>
  <c r="V120" i="4" s="1"/>
  <c r="K120" i="4" s="1"/>
  <c r="G53" i="4"/>
  <c r="B56" i="37" s="1"/>
  <c r="I50" i="4"/>
  <c r="S50" i="4"/>
  <c r="V50" i="4" s="1"/>
  <c r="I51" i="4"/>
  <c r="S51" i="4"/>
  <c r="V51" i="4" s="1"/>
  <c r="I52" i="4"/>
  <c r="S52" i="4"/>
  <c r="V52" i="4" s="1"/>
  <c r="B86" i="39"/>
  <c r="B89" i="39"/>
  <c r="C89" i="39" s="1"/>
  <c r="B8" i="38"/>
  <c r="I3" i="38" s="1"/>
  <c r="B8" i="39"/>
  <c r="I3" i="39" s="1"/>
  <c r="C82" i="37"/>
  <c r="G82" i="37" s="1"/>
  <c r="X67" i="37" s="1"/>
  <c r="C33" i="38"/>
  <c r="G33" i="38" s="1"/>
  <c r="X38" i="38" s="1"/>
  <c r="D124" i="34"/>
  <c r="U82" i="34" s="1"/>
  <c r="D131" i="37"/>
  <c r="U87" i="37" s="1"/>
  <c r="X28" i="37"/>
  <c r="X72" i="37"/>
  <c r="B116" i="37"/>
  <c r="B117" i="37" s="1"/>
  <c r="V17" i="37" s="1"/>
  <c r="C31" i="34"/>
  <c r="G31" i="34" s="1"/>
  <c r="C31" i="37"/>
  <c r="C32" i="34"/>
  <c r="G32" i="34" s="1"/>
  <c r="C32" i="37"/>
  <c r="G32" i="37" s="1"/>
  <c r="S69" i="4"/>
  <c r="V69" i="4" s="1"/>
  <c r="K69" i="4" s="1"/>
  <c r="S70" i="4"/>
  <c r="V70" i="4" s="1"/>
  <c r="K70" i="4" s="1"/>
  <c r="S71" i="4"/>
  <c r="V71" i="4" s="1"/>
  <c r="K71" i="4" s="1"/>
  <c r="I71" i="4"/>
  <c r="L68" i="4"/>
  <c r="BG2" i="5" s="1"/>
  <c r="M68" i="4"/>
  <c r="E65" i="4"/>
  <c r="E63" i="4"/>
  <c r="E61" i="4"/>
  <c r="E59" i="4"/>
  <c r="E58" i="4"/>
  <c r="I60" i="4"/>
  <c r="H60" i="4" s="1"/>
  <c r="S60" i="4"/>
  <c r="V60" i="4" s="1"/>
  <c r="S64" i="4"/>
  <c r="V64" i="4" s="1"/>
  <c r="I64" i="4"/>
  <c r="H64" i="4" s="1"/>
  <c r="S63" i="4"/>
  <c r="V63" i="4" s="1"/>
  <c r="I63" i="4"/>
  <c r="I61" i="4"/>
  <c r="S61" i="4"/>
  <c r="V61" i="4" s="1"/>
  <c r="S62" i="4"/>
  <c r="V62" i="4" s="1"/>
  <c r="I62" i="4"/>
  <c r="H62" i="4" s="1"/>
  <c r="I58" i="4"/>
  <c r="H58" i="4" s="1"/>
  <c r="S58" i="4"/>
  <c r="V58" i="4" s="1"/>
  <c r="I57" i="4"/>
  <c r="S57" i="4"/>
  <c r="V57" i="4" s="1"/>
  <c r="K57" i="4" s="1"/>
  <c r="I59" i="4"/>
  <c r="S59" i="4"/>
  <c r="V59" i="4" s="1"/>
  <c r="C49" i="35"/>
  <c r="G49" i="35" s="1"/>
  <c r="X36" i="35" s="1"/>
  <c r="C33" i="36"/>
  <c r="G33" i="36" s="1"/>
  <c r="X38" i="36" s="1"/>
  <c r="B86" i="35"/>
  <c r="B89" i="35"/>
  <c r="C89" i="35" s="1"/>
  <c r="C49" i="21"/>
  <c r="G49" i="21" s="1"/>
  <c r="X36" i="21" s="1"/>
  <c r="C75" i="34"/>
  <c r="G75" i="34" s="1"/>
  <c r="B8" i="36"/>
  <c r="I3" i="36" s="1"/>
  <c r="B8" i="35"/>
  <c r="I3" i="35" s="1"/>
  <c r="X28" i="34"/>
  <c r="B62" i="34"/>
  <c r="X67" i="34"/>
  <c r="B109" i="34"/>
  <c r="B110" i="34" s="1"/>
  <c r="V17" i="34" s="1"/>
  <c r="L98" i="4"/>
  <c r="M98" i="4"/>
  <c r="L12" i="4"/>
  <c r="M12" i="4"/>
  <c r="G97" i="4"/>
  <c r="K95" i="4"/>
  <c r="L95" i="4" s="1"/>
  <c r="I94" i="4"/>
  <c r="S94" i="4"/>
  <c r="V94" i="4" s="1"/>
  <c r="K94" i="4" s="1"/>
  <c r="I93" i="4"/>
  <c r="S93" i="4"/>
  <c r="V93" i="4" s="1"/>
  <c r="K93" i="4" s="1"/>
  <c r="L92" i="4"/>
  <c r="M92" i="4"/>
  <c r="L91" i="4"/>
  <c r="M91" i="4"/>
  <c r="L79" i="4"/>
  <c r="BF2" i="5" s="1"/>
  <c r="M79" i="4"/>
  <c r="M90" i="4"/>
  <c r="D116" i="13" s="1"/>
  <c r="L18" i="4"/>
  <c r="X2" i="17" s="1"/>
  <c r="M18" i="4"/>
  <c r="I17" i="4"/>
  <c r="S17" i="4"/>
  <c r="V17" i="4" s="1"/>
  <c r="K17" i="4" s="1"/>
  <c r="I19" i="4"/>
  <c r="S19" i="4"/>
  <c r="V19" i="4" s="1"/>
  <c r="K19" i="4" s="1"/>
  <c r="I9" i="23"/>
  <c r="AM2" i="5"/>
  <c r="U2" i="17"/>
  <c r="E112" i="4"/>
  <c r="I112" i="4"/>
  <c r="S112" i="4"/>
  <c r="V112" i="4" s="1"/>
  <c r="I111" i="4"/>
  <c r="S111" i="4"/>
  <c r="V111" i="4" s="1"/>
  <c r="K111" i="4" s="1"/>
  <c r="E118" i="4"/>
  <c r="W53" i="39" s="1"/>
  <c r="B110" i="13"/>
  <c r="V17" i="13" s="1"/>
  <c r="X67" i="13"/>
  <c r="B89" i="21"/>
  <c r="C89" i="21" s="1"/>
  <c r="C88" i="21"/>
  <c r="B86" i="21"/>
  <c r="B62" i="13"/>
  <c r="B63" i="13" s="1"/>
  <c r="N18" i="13" s="1"/>
  <c r="X28" i="13"/>
  <c r="E33" i="4"/>
  <c r="M33" i="4" s="1"/>
  <c r="D40" i="13" s="1"/>
  <c r="E34" i="4"/>
  <c r="H34" i="4" s="1"/>
  <c r="K34" i="4" s="1"/>
  <c r="L34" i="4" s="1"/>
  <c r="AW2" i="5" s="1"/>
  <c r="E32" i="4"/>
  <c r="M32" i="4" s="1"/>
  <c r="E40" i="4"/>
  <c r="H40" i="4" s="1"/>
  <c r="K40" i="4" s="1"/>
  <c r="L40" i="4" s="1"/>
  <c r="AY2" i="5" s="1"/>
  <c r="E38" i="4"/>
  <c r="M38" i="4" s="1"/>
  <c r="D43" i="13" s="1"/>
  <c r="E39" i="4"/>
  <c r="M39" i="4" s="1"/>
  <c r="I42" i="4"/>
  <c r="S42" i="4"/>
  <c r="I36" i="4"/>
  <c r="S36" i="4"/>
  <c r="V36" i="4" s="1"/>
  <c r="K36" i="4" s="1"/>
  <c r="S78" i="4"/>
  <c r="V78" i="4" s="1"/>
  <c r="K78" i="4" s="1"/>
  <c r="I78" i="4"/>
  <c r="E107" i="4"/>
  <c r="I106" i="4"/>
  <c r="S106" i="4"/>
  <c r="V106" i="4" s="1"/>
  <c r="K106" i="4" s="1"/>
  <c r="I107" i="4"/>
  <c r="S107" i="4"/>
  <c r="V107" i="4" s="1"/>
  <c r="K56" i="4"/>
  <c r="M56" i="4" s="1"/>
  <c r="D123" i="13"/>
  <c r="U82" i="13" s="1"/>
  <c r="BA2" i="5"/>
  <c r="M2" i="20"/>
  <c r="BB2" i="5"/>
  <c r="N2" i="20"/>
  <c r="N109" i="4"/>
  <c r="O109" i="4"/>
  <c r="X109" i="4"/>
  <c r="B8" i="19"/>
  <c r="I3" i="19" s="1"/>
  <c r="B8" i="21"/>
  <c r="I3" i="21" s="1"/>
  <c r="H2" i="17"/>
  <c r="H2" i="20"/>
  <c r="M2" i="17"/>
  <c r="J2" i="17"/>
  <c r="J2" i="20"/>
  <c r="F2" i="17"/>
  <c r="F2" i="20"/>
  <c r="G2" i="17"/>
  <c r="G2" i="20"/>
  <c r="G128" i="4"/>
  <c r="I128" i="4" s="1"/>
  <c r="L142" i="4"/>
  <c r="M142" i="4"/>
  <c r="L133" i="4"/>
  <c r="M133" i="4"/>
  <c r="L129" i="4"/>
  <c r="M129" i="4"/>
  <c r="I130" i="4"/>
  <c r="H130" i="4" s="1"/>
  <c r="S130" i="4"/>
  <c r="V130" i="4" s="1"/>
  <c r="S127" i="4"/>
  <c r="V127" i="4" s="1"/>
  <c r="K127" i="4" s="1"/>
  <c r="I127" i="4"/>
  <c r="I126" i="4"/>
  <c r="S126" i="4"/>
  <c r="V126" i="4" s="1"/>
  <c r="K126" i="4" s="1"/>
  <c r="I135" i="4"/>
  <c r="H135" i="4" s="1"/>
  <c r="S135" i="4"/>
  <c r="V135" i="4" s="1"/>
  <c r="I138" i="4"/>
  <c r="S138" i="4"/>
  <c r="V138" i="4" s="1"/>
  <c r="S139" i="4"/>
  <c r="V139" i="4" s="1"/>
  <c r="I139" i="4"/>
  <c r="I141" i="4"/>
  <c r="S141" i="4"/>
  <c r="V141" i="4" s="1"/>
  <c r="I143" i="4"/>
  <c r="H143" i="4" s="1"/>
  <c r="S143" i="4"/>
  <c r="V143" i="4" s="1"/>
  <c r="I136" i="4"/>
  <c r="S136" i="4"/>
  <c r="V136" i="4" s="1"/>
  <c r="S137" i="4"/>
  <c r="V137" i="4" s="1"/>
  <c r="I137" i="4"/>
  <c r="S131" i="4"/>
  <c r="V131" i="4" s="1"/>
  <c r="I131" i="4"/>
  <c r="H131" i="4" s="1"/>
  <c r="I140" i="4"/>
  <c r="S140" i="4"/>
  <c r="V140" i="4" s="1"/>
  <c r="I125" i="4"/>
  <c r="S125" i="4"/>
  <c r="V125" i="4" s="1"/>
  <c r="K125" i="4" s="1"/>
  <c r="I134" i="4"/>
  <c r="H134" i="4" s="1"/>
  <c r="S134" i="4"/>
  <c r="V134" i="4" s="1"/>
  <c r="I144" i="4"/>
  <c r="H144" i="4" s="1"/>
  <c r="S144" i="4"/>
  <c r="V144" i="4" s="1"/>
  <c r="I132" i="4"/>
  <c r="H132" i="4" s="1"/>
  <c r="S132" i="4"/>
  <c r="V132" i="4" s="1"/>
  <c r="I124" i="4"/>
  <c r="S124" i="4"/>
  <c r="V124" i="4" s="1"/>
  <c r="K124" i="4" s="1"/>
  <c r="L123" i="4"/>
  <c r="V2" i="20" s="1"/>
  <c r="M123" i="4"/>
  <c r="I122" i="4"/>
  <c r="S122" i="4"/>
  <c r="V122" i="4" s="1"/>
  <c r="K122" i="4" s="1"/>
  <c r="I117" i="4"/>
  <c r="H117" i="4" s="1"/>
  <c r="S117" i="4"/>
  <c r="V117" i="4" s="1"/>
  <c r="L116" i="4"/>
  <c r="R2" i="20" s="1"/>
  <c r="M116" i="4"/>
  <c r="L115" i="4"/>
  <c r="Q2" i="20" s="1"/>
  <c r="M115" i="4"/>
  <c r="I114" i="4"/>
  <c r="S114" i="4"/>
  <c r="V114" i="4" s="1"/>
  <c r="K114" i="4" s="1"/>
  <c r="C75" i="13"/>
  <c r="G75" i="13" s="1"/>
  <c r="X62" i="13" s="1"/>
  <c r="C2" i="5"/>
  <c r="C2" i="18"/>
  <c r="C2" i="17"/>
  <c r="K2" i="5"/>
  <c r="K2" i="17"/>
  <c r="L2" i="5"/>
  <c r="L2" i="17"/>
  <c r="G2" i="5"/>
  <c r="O113" i="4"/>
  <c r="N113" i="4"/>
  <c r="X113" i="4"/>
  <c r="O110" i="4"/>
  <c r="D34" i="19"/>
  <c r="N110" i="4"/>
  <c r="X110" i="4"/>
  <c r="L28" i="4"/>
  <c r="M77" i="4"/>
  <c r="D92" i="13" s="1"/>
  <c r="L89" i="4"/>
  <c r="AL2" i="5" s="1"/>
  <c r="M84" i="4"/>
  <c r="N84" i="4" s="1"/>
  <c r="M47" i="4"/>
  <c r="D50" i="13" s="1"/>
  <c r="M89" i="4"/>
  <c r="D114" i="13" s="1"/>
  <c r="M55" i="4"/>
  <c r="D66" i="13" s="1"/>
  <c r="M54" i="4"/>
  <c r="N54" i="4" s="1"/>
  <c r="D98" i="13"/>
  <c r="K85" i="4"/>
  <c r="L21" i="4"/>
  <c r="F2" i="5"/>
  <c r="V2" i="5"/>
  <c r="K88" i="4"/>
  <c r="L88" i="4" s="1"/>
  <c r="H2" i="5"/>
  <c r="M46" i="4"/>
  <c r="M28" i="4"/>
  <c r="N81" i="4"/>
  <c r="X81" i="4"/>
  <c r="O81" i="4"/>
  <c r="O80" i="4"/>
  <c r="N80" i="4"/>
  <c r="X80" i="4"/>
  <c r="N87" i="4"/>
  <c r="X87" i="4"/>
  <c r="O87" i="4"/>
  <c r="N86" i="4"/>
  <c r="X86" i="4"/>
  <c r="O86" i="4"/>
  <c r="O30" i="4"/>
  <c r="N30" i="4"/>
  <c r="X30" i="4"/>
  <c r="O43" i="4"/>
  <c r="N43" i="4"/>
  <c r="X43" i="4"/>
  <c r="O31" i="4"/>
  <c r="N31" i="4"/>
  <c r="X31" i="4"/>
  <c r="O49" i="4"/>
  <c r="N49" i="4"/>
  <c r="X49" i="4"/>
  <c r="O27" i="4"/>
  <c r="N27" i="4"/>
  <c r="X27" i="4"/>
  <c r="C34" i="39" s="1"/>
  <c r="G34" i="39" s="1"/>
  <c r="X29" i="39" s="1"/>
  <c r="O44" i="4"/>
  <c r="N44" i="4"/>
  <c r="X44" i="4"/>
  <c r="O14" i="4"/>
  <c r="N14" i="4"/>
  <c r="X14" i="4"/>
  <c r="O29" i="4"/>
  <c r="N29" i="4"/>
  <c r="X29" i="4"/>
  <c r="O48" i="4"/>
  <c r="N48" i="4"/>
  <c r="X48" i="4"/>
  <c r="N37" i="4"/>
  <c r="X37" i="4"/>
  <c r="O37" i="4"/>
  <c r="O83" i="4"/>
  <c r="X83" i="4"/>
  <c r="N83" i="4"/>
  <c r="N45" i="4"/>
  <c r="X45" i="4"/>
  <c r="O45" i="4"/>
  <c r="O82" i="4"/>
  <c r="N82" i="4"/>
  <c r="X82" i="4"/>
  <c r="O24" i="4"/>
  <c r="N24" i="4"/>
  <c r="X24" i="4"/>
  <c r="O26" i="4"/>
  <c r="N26" i="4"/>
  <c r="X26" i="4"/>
  <c r="C33" i="39" s="1"/>
  <c r="G33" i="39" s="1"/>
  <c r="R29" i="39" s="1"/>
  <c r="O25" i="4"/>
  <c r="N25" i="4"/>
  <c r="X25" i="4"/>
  <c r="D34" i="13"/>
  <c r="D35" i="13"/>
  <c r="X16" i="4"/>
  <c r="D36" i="13"/>
  <c r="D65" i="13"/>
  <c r="D37" i="13"/>
  <c r="D32" i="13"/>
  <c r="D33" i="13"/>
  <c r="K13" i="4"/>
  <c r="M15" i="4"/>
  <c r="O16" i="4"/>
  <c r="N16" i="4"/>
  <c r="O5" i="4"/>
  <c r="N5" i="4"/>
  <c r="M21" i="4"/>
  <c r="M20" i="4"/>
  <c r="Y20" i="4" s="1"/>
  <c r="D119" i="39" s="1"/>
  <c r="I118" i="39" s="1"/>
  <c r="G100" i="4" a="1"/>
  <c r="L120" i="4" l="1"/>
  <c r="M120" i="4"/>
  <c r="K117" i="4"/>
  <c r="L117" i="4" s="1"/>
  <c r="S2" i="20" s="1"/>
  <c r="H53" i="4"/>
  <c r="I53" i="4"/>
  <c r="S53" i="4"/>
  <c r="V53" i="4" s="1"/>
  <c r="H61" i="4"/>
  <c r="K61" i="4" s="1"/>
  <c r="K58" i="4"/>
  <c r="C35" i="38"/>
  <c r="G35" i="38" s="1"/>
  <c r="L28" i="38" s="1"/>
  <c r="C32" i="39"/>
  <c r="C20" i="35"/>
  <c r="G20" i="35" s="1"/>
  <c r="C20" i="39"/>
  <c r="G20" i="39" s="1"/>
  <c r="C86" i="39"/>
  <c r="C36" i="37"/>
  <c r="G36" i="37" s="1"/>
  <c r="V34" i="37" s="1"/>
  <c r="C32" i="38"/>
  <c r="G32" i="38" s="1"/>
  <c r="X28" i="38" s="1"/>
  <c r="C35" i="37"/>
  <c r="G35" i="37" s="1"/>
  <c r="P34" i="37" s="1"/>
  <c r="C31" i="38"/>
  <c r="C119" i="37"/>
  <c r="G119" i="37" s="1"/>
  <c r="C44" i="38"/>
  <c r="G44" i="38" s="1"/>
  <c r="C34" i="36"/>
  <c r="G34" i="36" s="1"/>
  <c r="X30" i="36" s="1"/>
  <c r="C34" i="38"/>
  <c r="G34" i="38" s="1"/>
  <c r="X30" i="38" s="1"/>
  <c r="D147" i="37"/>
  <c r="I139" i="37" s="1"/>
  <c r="D60" i="38"/>
  <c r="I88" i="38" s="1"/>
  <c r="I69" i="4"/>
  <c r="L69" i="4" s="1"/>
  <c r="BH2" i="5" s="1"/>
  <c r="C33" i="34"/>
  <c r="G33" i="34" s="1"/>
  <c r="X29" i="34" s="1"/>
  <c r="C33" i="37"/>
  <c r="C52" i="34"/>
  <c r="G52" i="34" s="1"/>
  <c r="X43" i="34" s="1"/>
  <c r="C52" i="37"/>
  <c r="G52" i="37" s="1"/>
  <c r="X43" i="37" s="1"/>
  <c r="C48" i="34"/>
  <c r="G48" i="34" s="1"/>
  <c r="V41" i="34" s="1"/>
  <c r="C48" i="37"/>
  <c r="G48" i="37" s="1"/>
  <c r="V41" i="37" s="1"/>
  <c r="C34" i="34"/>
  <c r="G34" i="34" s="1"/>
  <c r="L34" i="34" s="1"/>
  <c r="C34" i="37"/>
  <c r="G34" i="37" s="1"/>
  <c r="L34" i="37" s="1"/>
  <c r="C95" i="34"/>
  <c r="G95" i="34" s="1"/>
  <c r="X71" i="34" s="1"/>
  <c r="C102" i="37"/>
  <c r="G102" i="37" s="1"/>
  <c r="X76" i="37" s="1"/>
  <c r="G31" i="37"/>
  <c r="C42" i="34"/>
  <c r="G42" i="34" s="1"/>
  <c r="L36" i="34" s="1"/>
  <c r="C42" i="37"/>
  <c r="G42" i="37" s="1"/>
  <c r="L36" i="37" s="1"/>
  <c r="C124" i="34"/>
  <c r="G124" i="34" s="1"/>
  <c r="X81" i="34" s="1"/>
  <c r="C131" i="37"/>
  <c r="G131" i="37" s="1"/>
  <c r="X86" i="37" s="1"/>
  <c r="C38" i="34"/>
  <c r="G38" i="34" s="1"/>
  <c r="L35" i="34" s="1"/>
  <c r="C38" i="37"/>
  <c r="G38" i="37" s="1"/>
  <c r="L35" i="37" s="1"/>
  <c r="C97" i="34"/>
  <c r="G97" i="34" s="1"/>
  <c r="L74" i="34" s="1"/>
  <c r="C104" i="37"/>
  <c r="G104" i="37" s="1"/>
  <c r="L79" i="37" s="1"/>
  <c r="C51" i="34"/>
  <c r="G51" i="34" s="1"/>
  <c r="T43" i="34" s="1"/>
  <c r="C51" i="37"/>
  <c r="G51" i="37" s="1"/>
  <c r="T43" i="37" s="1"/>
  <c r="C99" i="34"/>
  <c r="G99" i="34" s="1"/>
  <c r="X74" i="34" s="1"/>
  <c r="C106" i="37"/>
  <c r="G106" i="37" s="1"/>
  <c r="X79" i="37" s="1"/>
  <c r="C96" i="34"/>
  <c r="G96" i="34" s="1"/>
  <c r="T74" i="34" s="1"/>
  <c r="C103" i="37"/>
  <c r="G103" i="37" s="1"/>
  <c r="T79" i="37" s="1"/>
  <c r="C46" i="34"/>
  <c r="G46" i="34" s="1"/>
  <c r="P41" i="34" s="1"/>
  <c r="C46" i="37"/>
  <c r="G46" i="37" s="1"/>
  <c r="C94" i="34"/>
  <c r="G94" i="34" s="1"/>
  <c r="T71" i="34" s="1"/>
  <c r="C101" i="37"/>
  <c r="G101" i="37" s="1"/>
  <c r="T76" i="37" s="1"/>
  <c r="C47" i="34"/>
  <c r="G47" i="34" s="1"/>
  <c r="T41" i="34" s="1"/>
  <c r="C47" i="37"/>
  <c r="G47" i="37" s="1"/>
  <c r="T41" i="37" s="1"/>
  <c r="C37" i="34"/>
  <c r="G37" i="34" s="1"/>
  <c r="X34" i="34" s="1"/>
  <c r="C37" i="37"/>
  <c r="G37" i="37" s="1"/>
  <c r="X34" i="37" s="1"/>
  <c r="X62" i="34"/>
  <c r="H63" i="4"/>
  <c r="K63" i="4" s="1"/>
  <c r="H59" i="4"/>
  <c r="K59" i="4" s="1"/>
  <c r="L59" i="4" s="1"/>
  <c r="K64" i="4"/>
  <c r="L64" i="4" s="1"/>
  <c r="K62" i="4"/>
  <c r="L62" i="4" s="1"/>
  <c r="K60" i="4"/>
  <c r="L60" i="4" s="1"/>
  <c r="I70" i="4"/>
  <c r="L70" i="4" s="1"/>
  <c r="BI2" i="5" s="1"/>
  <c r="L71" i="4"/>
  <c r="BJ2" i="5" s="1"/>
  <c r="M71" i="4"/>
  <c r="O68" i="4"/>
  <c r="N68" i="4"/>
  <c r="Y68" i="4"/>
  <c r="X68" i="4"/>
  <c r="M62" i="4"/>
  <c r="L57" i="4"/>
  <c r="M57" i="4"/>
  <c r="C33" i="35"/>
  <c r="G33" i="35" s="1"/>
  <c r="R29" i="35" s="1"/>
  <c r="C31" i="36"/>
  <c r="C112" i="34"/>
  <c r="G112" i="34" s="1"/>
  <c r="C44" i="36"/>
  <c r="G44" i="36" s="1"/>
  <c r="D119" i="35"/>
  <c r="I118" i="35" s="1"/>
  <c r="D60" i="36"/>
  <c r="I88" i="36" s="1"/>
  <c r="C32" i="35"/>
  <c r="G32" i="35" s="1"/>
  <c r="L29" i="35" s="1"/>
  <c r="C35" i="36"/>
  <c r="G35" i="36" s="1"/>
  <c r="L28" i="36" s="1"/>
  <c r="C34" i="35"/>
  <c r="G34" i="35" s="1"/>
  <c r="X29" i="35" s="1"/>
  <c r="C32" i="36"/>
  <c r="G32" i="36" s="1"/>
  <c r="X28" i="36" s="1"/>
  <c r="C34" i="21"/>
  <c r="G34" i="21" s="1"/>
  <c r="X29" i="21" s="1"/>
  <c r="C36" i="34"/>
  <c r="G36" i="34" s="1"/>
  <c r="V34" i="34" s="1"/>
  <c r="D60" i="19"/>
  <c r="I90" i="19" s="1"/>
  <c r="D140" i="34"/>
  <c r="I134" i="34" s="1"/>
  <c r="C33" i="21"/>
  <c r="G33" i="21" s="1"/>
  <c r="R29" i="21" s="1"/>
  <c r="C35" i="34"/>
  <c r="W53" i="21"/>
  <c r="W53" i="35"/>
  <c r="B63" i="34"/>
  <c r="N18" i="34" s="1"/>
  <c r="C86" i="35"/>
  <c r="G101" i="4"/>
  <c r="G100" i="4"/>
  <c r="N98" i="4"/>
  <c r="O98" i="4"/>
  <c r="Y98" i="4"/>
  <c r="X98" i="4"/>
  <c r="N12" i="4"/>
  <c r="O12" i="4"/>
  <c r="X12" i="4"/>
  <c r="Y12" i="4"/>
  <c r="G96" i="4" a="1"/>
  <c r="G96" i="4" s="1"/>
  <c r="I96" i="4" s="1"/>
  <c r="S97" i="4"/>
  <c r="V97" i="4" s="1"/>
  <c r="K97" i="4" s="1"/>
  <c r="I97" i="4"/>
  <c r="M95" i="4"/>
  <c r="Y95" i="4" s="1"/>
  <c r="D122" i="37" s="1"/>
  <c r="L93" i="4"/>
  <c r="M93" i="4"/>
  <c r="L94" i="4"/>
  <c r="M94" i="4"/>
  <c r="N92" i="4"/>
  <c r="X92" i="4"/>
  <c r="O92" i="4"/>
  <c r="Y92" i="4"/>
  <c r="X91" i="4"/>
  <c r="O91" i="4"/>
  <c r="N91" i="4"/>
  <c r="Y91" i="4"/>
  <c r="O79" i="4"/>
  <c r="Y79" i="4"/>
  <c r="D100" i="37" s="1"/>
  <c r="N79" i="4"/>
  <c r="X79" i="4"/>
  <c r="C100" i="37" s="1"/>
  <c r="G100" i="37" s="1"/>
  <c r="P76" i="37" s="1"/>
  <c r="X90" i="4"/>
  <c r="C42" i="38" s="1"/>
  <c r="G42" i="38" s="1"/>
  <c r="R51" i="38" s="1"/>
  <c r="N90" i="4"/>
  <c r="O90" i="4"/>
  <c r="D139" i="13"/>
  <c r="I137" i="13" s="1"/>
  <c r="D119" i="21"/>
  <c r="I120" i="21" s="1"/>
  <c r="C44" i="19"/>
  <c r="G44" i="19" s="1"/>
  <c r="C123" i="13"/>
  <c r="G123" i="13" s="1"/>
  <c r="X81" i="13" s="1"/>
  <c r="BD2" i="5"/>
  <c r="AQ2" i="20"/>
  <c r="Y18" i="4"/>
  <c r="N18" i="4"/>
  <c r="X18" i="4"/>
  <c r="O18" i="4"/>
  <c r="L19" i="4"/>
  <c r="Y2" i="17" s="1"/>
  <c r="M19" i="4"/>
  <c r="L17" i="4"/>
  <c r="W2" i="17" s="1"/>
  <c r="M17" i="4"/>
  <c r="H76" i="4"/>
  <c r="K76" i="4" s="1"/>
  <c r="L76" i="4" s="1"/>
  <c r="H75" i="4"/>
  <c r="K75" i="4" s="1"/>
  <c r="L75" i="4" s="1"/>
  <c r="H74" i="4"/>
  <c r="K74" i="4" s="1"/>
  <c r="L74" i="4" s="1"/>
  <c r="H73" i="4"/>
  <c r="K73" i="4" s="1"/>
  <c r="L73" i="4" s="1"/>
  <c r="H112" i="4"/>
  <c r="K112" i="4" s="1"/>
  <c r="L112" i="4" s="1"/>
  <c r="P2" i="17" s="1"/>
  <c r="D88" i="13"/>
  <c r="L111" i="4"/>
  <c r="O2" i="17" s="1"/>
  <c r="M111" i="4"/>
  <c r="H118" i="4"/>
  <c r="K118" i="4" s="1"/>
  <c r="L118" i="4" s="1"/>
  <c r="AO2" i="20" s="1"/>
  <c r="L36" i="4"/>
  <c r="K35" i="4"/>
  <c r="L35" i="4" s="1"/>
  <c r="AX2" i="5" s="1"/>
  <c r="H41" i="4"/>
  <c r="K41" i="4" s="1"/>
  <c r="L41" i="4" s="1"/>
  <c r="AZ2" i="5" s="1"/>
  <c r="C86" i="21"/>
  <c r="M40" i="4"/>
  <c r="X40" i="4" s="1"/>
  <c r="X38" i="4"/>
  <c r="C43" i="37" s="1"/>
  <c r="G43" i="37" s="1"/>
  <c r="P36" i="37" s="1"/>
  <c r="N38" i="4"/>
  <c r="O38" i="4"/>
  <c r="D39" i="13"/>
  <c r="N32" i="4"/>
  <c r="M34" i="4"/>
  <c r="X34" i="4" s="1"/>
  <c r="D44" i="13"/>
  <c r="N39" i="4"/>
  <c r="X39" i="4"/>
  <c r="C44" i="37" s="1"/>
  <c r="G44" i="37" s="1"/>
  <c r="O39" i="4"/>
  <c r="X32" i="4"/>
  <c r="C39" i="37" s="1"/>
  <c r="G39" i="37" s="1"/>
  <c r="P35" i="37" s="1"/>
  <c r="O32" i="4"/>
  <c r="L42" i="4"/>
  <c r="M42" i="4"/>
  <c r="X33" i="4"/>
  <c r="C40" i="37" s="1"/>
  <c r="G40" i="37" s="1"/>
  <c r="V35" i="37" s="1"/>
  <c r="O33" i="4"/>
  <c r="M36" i="4"/>
  <c r="N36" i="4" s="1"/>
  <c r="N33" i="4"/>
  <c r="L78" i="4"/>
  <c r="M78" i="4"/>
  <c r="N78" i="4" s="1"/>
  <c r="H107" i="4"/>
  <c r="K107" i="4" s="1"/>
  <c r="L56" i="4"/>
  <c r="O2" i="20" s="1"/>
  <c r="S108" i="4"/>
  <c r="V108" i="4" s="1"/>
  <c r="K108" i="4" s="1"/>
  <c r="I108" i="4"/>
  <c r="L106" i="4"/>
  <c r="M106" i="4"/>
  <c r="Y56" i="4"/>
  <c r="D48" i="39" s="1"/>
  <c r="Q35" i="39" s="1"/>
  <c r="H138" i="4"/>
  <c r="E139" i="4" s="1"/>
  <c r="H139" i="4" s="1"/>
  <c r="K139" i="4" s="1"/>
  <c r="H140" i="4"/>
  <c r="E141" i="4" s="1"/>
  <c r="H141" i="4" s="1"/>
  <c r="K141" i="4" s="1"/>
  <c r="L141" i="4" s="1"/>
  <c r="AL2" i="20" s="1"/>
  <c r="H136" i="4"/>
  <c r="E137" i="4" s="1"/>
  <c r="H137" i="4" s="1"/>
  <c r="K137" i="4" s="1"/>
  <c r="L137" i="4" s="1"/>
  <c r="AH2" i="20" s="1"/>
  <c r="D35" i="19"/>
  <c r="D32" i="21"/>
  <c r="C33" i="19"/>
  <c r="G33" i="19" s="1"/>
  <c r="X38" i="19" s="1"/>
  <c r="C32" i="21"/>
  <c r="C20" i="21"/>
  <c r="G20" i="21" s="1"/>
  <c r="I2" i="17"/>
  <c r="I2" i="20"/>
  <c r="S128" i="4"/>
  <c r="V128" i="4" s="1"/>
  <c r="K128" i="4" s="1"/>
  <c r="L128" i="4" s="1"/>
  <c r="AA2" i="20" s="1"/>
  <c r="K132" i="4"/>
  <c r="L132" i="4" s="1"/>
  <c r="AD2" i="20" s="1"/>
  <c r="K131" i="4"/>
  <c r="L131" i="4" s="1"/>
  <c r="AC2" i="20" s="1"/>
  <c r="K130" i="4"/>
  <c r="L130" i="4" s="1"/>
  <c r="AB2" i="20" s="1"/>
  <c r="K143" i="4"/>
  <c r="L143" i="4" s="1"/>
  <c r="AM2" i="20" s="1"/>
  <c r="K144" i="4"/>
  <c r="L144" i="4" s="1"/>
  <c r="AN2" i="20" s="1"/>
  <c r="K135" i="4"/>
  <c r="L135" i="4" s="1"/>
  <c r="AF2" i="20" s="1"/>
  <c r="K134" i="4"/>
  <c r="L134" i="4" s="1"/>
  <c r="AE2" i="20" s="1"/>
  <c r="N142" i="4"/>
  <c r="X142" i="4"/>
  <c r="C102" i="39" s="1"/>
  <c r="G102" i="39" s="1"/>
  <c r="X74" i="39" s="1"/>
  <c r="O142" i="4"/>
  <c r="D102" i="21"/>
  <c r="D93" i="21"/>
  <c r="N133" i="4"/>
  <c r="X133" i="4"/>
  <c r="C93" i="39" s="1"/>
  <c r="O133" i="4"/>
  <c r="X129" i="4"/>
  <c r="C74" i="39" s="1"/>
  <c r="G74" i="39" s="1"/>
  <c r="X66" i="39" s="1"/>
  <c r="O129" i="4"/>
  <c r="D74" i="21"/>
  <c r="N129" i="4"/>
  <c r="L126" i="4"/>
  <c r="Y2" i="20" s="1"/>
  <c r="M126" i="4"/>
  <c r="L127" i="4"/>
  <c r="Z2" i="20" s="1"/>
  <c r="M127" i="4"/>
  <c r="L125" i="4"/>
  <c r="X2" i="20" s="1"/>
  <c r="M125" i="4"/>
  <c r="M128" i="4"/>
  <c r="C34" i="19"/>
  <c r="G34" i="19" s="1"/>
  <c r="X30" i="19" s="1"/>
  <c r="L124" i="4"/>
  <c r="W2" i="20" s="1"/>
  <c r="M124" i="4"/>
  <c r="O123" i="4"/>
  <c r="N123" i="4"/>
  <c r="X123" i="4"/>
  <c r="D69" i="21"/>
  <c r="L122" i="4"/>
  <c r="U2" i="20" s="1"/>
  <c r="M122" i="4"/>
  <c r="D67" i="21"/>
  <c r="N116" i="4"/>
  <c r="X116" i="4"/>
  <c r="O116" i="4"/>
  <c r="D62" i="21"/>
  <c r="O115" i="4"/>
  <c r="N115" i="4"/>
  <c r="X115" i="4"/>
  <c r="C61" i="39" s="1"/>
  <c r="D61" i="21"/>
  <c r="C35" i="19"/>
  <c r="G35" i="19" s="1"/>
  <c r="C31" i="19"/>
  <c r="G31" i="19" s="1"/>
  <c r="C32" i="19"/>
  <c r="G32" i="19" s="1"/>
  <c r="X28" i="19" s="1"/>
  <c r="L114" i="4"/>
  <c r="M114" i="4"/>
  <c r="C42" i="13"/>
  <c r="G42" i="13" s="1"/>
  <c r="L36" i="13" s="1"/>
  <c r="C99" i="13"/>
  <c r="G99" i="13" s="1"/>
  <c r="X74" i="13" s="1"/>
  <c r="C94" i="13"/>
  <c r="G94" i="13" s="1"/>
  <c r="C95" i="13"/>
  <c r="G95" i="13" s="1"/>
  <c r="X71" i="13" s="1"/>
  <c r="C48" i="13"/>
  <c r="G48" i="13" s="1"/>
  <c r="V41" i="13" s="1"/>
  <c r="C51" i="13"/>
  <c r="G51" i="13" s="1"/>
  <c r="T43" i="13" s="1"/>
  <c r="C38" i="13"/>
  <c r="G38" i="13" s="1"/>
  <c r="C112" i="13"/>
  <c r="C52" i="13"/>
  <c r="G52" i="13" s="1"/>
  <c r="X43" i="13" s="1"/>
  <c r="C97" i="13"/>
  <c r="G97" i="13" s="1"/>
  <c r="L74" i="13" s="1"/>
  <c r="C46" i="13"/>
  <c r="G46" i="13" s="1"/>
  <c r="P41" i="13" s="1"/>
  <c r="C47" i="13"/>
  <c r="G47" i="13" s="1"/>
  <c r="T41" i="13" s="1"/>
  <c r="I2" i="5"/>
  <c r="X77" i="4"/>
  <c r="O77" i="4"/>
  <c r="N77" i="4"/>
  <c r="N89" i="4"/>
  <c r="X84" i="4"/>
  <c r="O84" i="4"/>
  <c r="M88" i="4"/>
  <c r="Y88" i="4" s="1"/>
  <c r="O55" i="4"/>
  <c r="X47" i="4"/>
  <c r="N47" i="4"/>
  <c r="O47" i="4"/>
  <c r="X54" i="4"/>
  <c r="C46" i="39" s="1"/>
  <c r="X89" i="4"/>
  <c r="O89" i="4"/>
  <c r="O54" i="4"/>
  <c r="X55" i="4"/>
  <c r="C47" i="39" s="1"/>
  <c r="G47" i="39" s="1"/>
  <c r="N55" i="4"/>
  <c r="D41" i="13"/>
  <c r="O46" i="4"/>
  <c r="D49" i="13"/>
  <c r="D45" i="13"/>
  <c r="O56" i="4"/>
  <c r="L13" i="4"/>
  <c r="M85" i="4"/>
  <c r="L85" i="4"/>
  <c r="AJ2" i="5" s="1"/>
  <c r="C96" i="13"/>
  <c r="G96" i="13" s="1"/>
  <c r="T74" i="13" s="1"/>
  <c r="N46" i="4"/>
  <c r="X46" i="4"/>
  <c r="O28" i="4"/>
  <c r="N28" i="4"/>
  <c r="X28" i="4"/>
  <c r="N56" i="4"/>
  <c r="X56" i="4"/>
  <c r="C48" i="39" s="1"/>
  <c r="G48" i="39" s="1"/>
  <c r="I3" i="13"/>
  <c r="C33" i="13"/>
  <c r="G33" i="13" s="1"/>
  <c r="C32" i="13"/>
  <c r="G32" i="13" s="1"/>
  <c r="C37" i="13"/>
  <c r="G37" i="13" s="1"/>
  <c r="X34" i="13" s="1"/>
  <c r="C35" i="13"/>
  <c r="G35" i="13" s="1"/>
  <c r="C34" i="13"/>
  <c r="G34" i="13" s="1"/>
  <c r="L34" i="13" s="1"/>
  <c r="C36" i="13"/>
  <c r="G36" i="13" s="1"/>
  <c r="M13" i="4"/>
  <c r="X15" i="4"/>
  <c r="X21" i="4"/>
  <c r="X20" i="4"/>
  <c r="C119" i="39" s="1"/>
  <c r="G119" i="39" s="1"/>
  <c r="R117" i="39" s="1"/>
  <c r="D31" i="13"/>
  <c r="O15" i="4"/>
  <c r="N15" i="4"/>
  <c r="N21" i="4"/>
  <c r="O21" i="4"/>
  <c r="N20" i="4"/>
  <c r="O20" i="4"/>
  <c r="G99" i="4" a="1"/>
  <c r="B37" i="21"/>
  <c r="B38" i="21"/>
  <c r="B36" i="35"/>
  <c r="G119" i="4"/>
  <c r="B51" i="39"/>
  <c r="B36" i="39"/>
  <c r="B53" i="39"/>
  <c r="B36" i="21"/>
  <c r="B52" i="39"/>
  <c r="B37" i="39"/>
  <c r="B38" i="35"/>
  <c r="B38" i="39"/>
  <c r="B37" i="35"/>
  <c r="G121" i="4" l="1"/>
  <c r="B67" i="39" s="1"/>
  <c r="W49" i="39" s="1"/>
  <c r="I119" i="4"/>
  <c r="S119" i="4"/>
  <c r="V119" i="4" s="1"/>
  <c r="K119" i="4" s="1"/>
  <c r="G105" i="4"/>
  <c r="B127" i="37" s="1"/>
  <c r="W101" i="37" s="1"/>
  <c r="X120" i="4"/>
  <c r="D66" i="35"/>
  <c r="N120" i="4"/>
  <c r="O120" i="4"/>
  <c r="D65" i="35"/>
  <c r="M117" i="4"/>
  <c r="Y117" i="4" s="1"/>
  <c r="D63" i="39" s="1"/>
  <c r="O52" i="39" s="1"/>
  <c r="K50" i="4"/>
  <c r="H51" i="4"/>
  <c r="K51" i="4" s="1"/>
  <c r="H52" i="4"/>
  <c r="K52" i="4" s="1"/>
  <c r="L52" i="4" s="1"/>
  <c r="BL2" i="5" s="1"/>
  <c r="K53" i="4"/>
  <c r="L53" i="4" s="1"/>
  <c r="P41" i="37"/>
  <c r="V36" i="37"/>
  <c r="M60" i="4"/>
  <c r="Y60" i="4" s="1"/>
  <c r="M64" i="4"/>
  <c r="O64" i="4" s="1"/>
  <c r="L61" i="4"/>
  <c r="M61" i="4"/>
  <c r="O61" i="4" s="1"/>
  <c r="D55" i="37"/>
  <c r="L58" i="4"/>
  <c r="M58" i="4"/>
  <c r="Y58" i="4" s="1"/>
  <c r="M59" i="4"/>
  <c r="X59" i="4" s="1"/>
  <c r="B54" i="39"/>
  <c r="B56" i="39" s="1"/>
  <c r="P19" i="39" s="1"/>
  <c r="B39" i="39"/>
  <c r="B40" i="39" s="1"/>
  <c r="G93" i="39"/>
  <c r="X81" i="39" s="1"/>
  <c r="D58" i="38"/>
  <c r="D117" i="39"/>
  <c r="G61" i="39"/>
  <c r="L45" i="39" s="1"/>
  <c r="C62" i="35"/>
  <c r="G62" i="35" s="1"/>
  <c r="X50" i="35" s="1"/>
  <c r="C62" i="39"/>
  <c r="C58" i="38"/>
  <c r="G58" i="38" s="1"/>
  <c r="T85" i="38" s="1"/>
  <c r="C117" i="39"/>
  <c r="G117" i="39" s="1"/>
  <c r="T115" i="39" s="1"/>
  <c r="G46" i="39"/>
  <c r="X34" i="39" s="1"/>
  <c r="C61" i="38"/>
  <c r="G61" i="38" s="1"/>
  <c r="X87" i="38" s="1"/>
  <c r="C120" i="39"/>
  <c r="G120" i="39" s="1"/>
  <c r="X117" i="39" s="1"/>
  <c r="G32" i="39"/>
  <c r="L29" i="39" s="1"/>
  <c r="C69" i="35"/>
  <c r="G69" i="35" s="1"/>
  <c r="X61" i="35" s="1"/>
  <c r="C69" i="39"/>
  <c r="G69" i="39" s="1"/>
  <c r="X61" i="39" s="1"/>
  <c r="G31" i="38"/>
  <c r="R28" i="38" s="1"/>
  <c r="M69" i="4"/>
  <c r="Y69" i="4" s="1"/>
  <c r="C147" i="37"/>
  <c r="G147" i="37" s="1"/>
  <c r="R138" i="37" s="1"/>
  <c r="C60" i="38"/>
  <c r="G60" i="38" s="1"/>
  <c r="R87" i="38" s="1"/>
  <c r="D120" i="37"/>
  <c r="M97" i="37" s="1"/>
  <c r="D45" i="38"/>
  <c r="M57" i="38" s="1"/>
  <c r="C49" i="34"/>
  <c r="G49" i="34" s="1"/>
  <c r="X41" i="34" s="1"/>
  <c r="C49" i="37"/>
  <c r="G49" i="37" s="1"/>
  <c r="X41" i="37" s="1"/>
  <c r="C61" i="36"/>
  <c r="G61" i="36" s="1"/>
  <c r="X87" i="36" s="1"/>
  <c r="C148" i="37"/>
  <c r="G148" i="37" s="1"/>
  <c r="X138" i="37" s="1"/>
  <c r="C58" i="36"/>
  <c r="G58" i="36" s="1"/>
  <c r="T85" i="36" s="1"/>
  <c r="C145" i="37"/>
  <c r="G145" i="37" s="1"/>
  <c r="T136" i="37" s="1"/>
  <c r="C114" i="34"/>
  <c r="G114" i="34" s="1"/>
  <c r="C121" i="37"/>
  <c r="G121" i="37" s="1"/>
  <c r="C47" i="35"/>
  <c r="G47" i="35" s="1"/>
  <c r="C71" i="37"/>
  <c r="G71" i="37" s="1"/>
  <c r="C46" i="35"/>
  <c r="G46" i="35" s="1"/>
  <c r="X34" i="35" s="1"/>
  <c r="C70" i="37"/>
  <c r="D48" i="35"/>
  <c r="Q35" i="35" s="1"/>
  <c r="D72" i="37"/>
  <c r="Q53" i="37" s="1"/>
  <c r="C92" i="34"/>
  <c r="G92" i="34" s="1"/>
  <c r="L71" i="34" s="1"/>
  <c r="C99" i="37"/>
  <c r="G99" i="37" s="1"/>
  <c r="L76" i="37" s="1"/>
  <c r="C50" i="34"/>
  <c r="G50" i="34" s="1"/>
  <c r="P43" i="34" s="1"/>
  <c r="C50" i="37"/>
  <c r="G50" i="37" s="1"/>
  <c r="P43" i="37" s="1"/>
  <c r="C48" i="35"/>
  <c r="G48" i="35" s="1"/>
  <c r="C72" i="37"/>
  <c r="G72" i="37" s="1"/>
  <c r="C45" i="34"/>
  <c r="G45" i="34" s="1"/>
  <c r="X36" i="34" s="1"/>
  <c r="C45" i="37"/>
  <c r="G45" i="37" s="1"/>
  <c r="X36" i="37" s="1"/>
  <c r="C42" i="36"/>
  <c r="G42" i="36" s="1"/>
  <c r="R51" i="36" s="1"/>
  <c r="C123" i="37"/>
  <c r="G123" i="37" s="1"/>
  <c r="J101" i="37" s="1"/>
  <c r="C41" i="34"/>
  <c r="G41" i="34" s="1"/>
  <c r="X35" i="34" s="1"/>
  <c r="C41" i="37"/>
  <c r="C98" i="34"/>
  <c r="G98" i="34" s="1"/>
  <c r="P74" i="34" s="1"/>
  <c r="C105" i="37"/>
  <c r="G105" i="37" s="1"/>
  <c r="P79" i="37" s="1"/>
  <c r="G33" i="37"/>
  <c r="X29" i="37" s="1"/>
  <c r="D58" i="36"/>
  <c r="D145" i="37"/>
  <c r="L63" i="4"/>
  <c r="M63" i="4"/>
  <c r="X63" i="4" s="1"/>
  <c r="M70" i="4"/>
  <c r="Y70" i="4" s="1"/>
  <c r="X71" i="4"/>
  <c r="Y71" i="4"/>
  <c r="N71" i="4"/>
  <c r="O71" i="4"/>
  <c r="N62" i="4"/>
  <c r="O62" i="4"/>
  <c r="X62" i="4"/>
  <c r="N57" i="4"/>
  <c r="O57" i="4"/>
  <c r="X57" i="4"/>
  <c r="C73" i="37" s="1"/>
  <c r="G73" i="37" s="1"/>
  <c r="X54" i="37" s="1"/>
  <c r="B39" i="35"/>
  <c r="B41" i="35" s="1"/>
  <c r="P18" i="35" s="1"/>
  <c r="D113" i="34"/>
  <c r="M92" i="34" s="1"/>
  <c r="D45" i="36"/>
  <c r="M57" i="36" s="1"/>
  <c r="C119" i="35"/>
  <c r="G119" i="35" s="1"/>
  <c r="R117" i="35" s="1"/>
  <c r="C60" i="36"/>
  <c r="G60" i="36" s="1"/>
  <c r="R87" i="36" s="1"/>
  <c r="G31" i="36"/>
  <c r="R28" i="36" s="1"/>
  <c r="C61" i="21"/>
  <c r="G61" i="21" s="1"/>
  <c r="L45" i="21" s="1"/>
  <c r="C61" i="35"/>
  <c r="C141" i="34"/>
  <c r="G141" i="34" s="1"/>
  <c r="X133" i="34" s="1"/>
  <c r="C120" i="35"/>
  <c r="G120" i="35" s="1"/>
  <c r="X117" i="35" s="1"/>
  <c r="C138" i="34"/>
  <c r="G138" i="34" s="1"/>
  <c r="T131" i="34" s="1"/>
  <c r="C117" i="35"/>
  <c r="G117" i="35" s="1"/>
  <c r="T115" i="35" s="1"/>
  <c r="C74" i="21"/>
  <c r="G74" i="21" s="1"/>
  <c r="X66" i="21" s="1"/>
  <c r="C74" i="35"/>
  <c r="G74" i="35" s="1"/>
  <c r="X66" i="35" s="1"/>
  <c r="C102" i="21"/>
  <c r="G102" i="21" s="1"/>
  <c r="X74" i="21" s="1"/>
  <c r="C102" i="35"/>
  <c r="G102" i="35" s="1"/>
  <c r="X74" i="35" s="1"/>
  <c r="C93" i="21"/>
  <c r="G93" i="21" s="1"/>
  <c r="X81" i="21" s="1"/>
  <c r="C93" i="35"/>
  <c r="D138" i="34"/>
  <c r="D117" i="35"/>
  <c r="G99" i="4"/>
  <c r="I99" i="4" s="1"/>
  <c r="M99" i="4" s="1"/>
  <c r="O99" i="4" s="1"/>
  <c r="D48" i="21"/>
  <c r="Q35" i="21" s="1"/>
  <c r="D67" i="34"/>
  <c r="Q49" i="34" s="1"/>
  <c r="C43" i="13"/>
  <c r="G43" i="13" s="1"/>
  <c r="P36" i="13" s="1"/>
  <c r="C43" i="34"/>
  <c r="G43" i="34" s="1"/>
  <c r="P36" i="34" s="1"/>
  <c r="C93" i="13"/>
  <c r="G93" i="13" s="1"/>
  <c r="P71" i="13" s="1"/>
  <c r="C93" i="34"/>
  <c r="G93" i="34" s="1"/>
  <c r="P71" i="34" s="1"/>
  <c r="C48" i="21"/>
  <c r="G48" i="21" s="1"/>
  <c r="C67" i="34"/>
  <c r="G67" i="34" s="1"/>
  <c r="C40" i="13"/>
  <c r="G40" i="13" s="1"/>
  <c r="V35" i="13" s="1"/>
  <c r="C40" i="34"/>
  <c r="G40" i="34" s="1"/>
  <c r="V35" i="34" s="1"/>
  <c r="C39" i="13"/>
  <c r="G39" i="13" s="1"/>
  <c r="P35" i="13" s="1"/>
  <c r="C39" i="34"/>
  <c r="G35" i="34"/>
  <c r="P34" i="34" s="1"/>
  <c r="D93" i="13"/>
  <c r="D93" i="34"/>
  <c r="C47" i="21"/>
  <c r="G47" i="21" s="1"/>
  <c r="C66" i="34"/>
  <c r="G66" i="34" s="1"/>
  <c r="C44" i="13"/>
  <c r="G44" i="13" s="1"/>
  <c r="V36" i="13" s="1"/>
  <c r="C44" i="34"/>
  <c r="G44" i="34" s="1"/>
  <c r="V36" i="34" s="1"/>
  <c r="C42" i="19"/>
  <c r="G42" i="19" s="1"/>
  <c r="R51" i="19" s="1"/>
  <c r="C116" i="34"/>
  <c r="G116" i="34" s="1"/>
  <c r="J96" i="34" s="1"/>
  <c r="C60" i="19"/>
  <c r="G60" i="19" s="1"/>
  <c r="R89" i="19" s="1"/>
  <c r="C140" i="34"/>
  <c r="G140" i="34" s="1"/>
  <c r="R133" i="34" s="1"/>
  <c r="C46" i="21"/>
  <c r="C65" i="34"/>
  <c r="D115" i="13"/>
  <c r="D115" i="34"/>
  <c r="G103" i="4"/>
  <c r="B125" i="37" s="1"/>
  <c r="S101" i="37" s="1"/>
  <c r="I101" i="4"/>
  <c r="M101" i="4" s="1"/>
  <c r="S101" i="4"/>
  <c r="V101" i="4" s="1"/>
  <c r="K101" i="4" s="1"/>
  <c r="L97" i="4"/>
  <c r="I100" i="4"/>
  <c r="S100" i="4"/>
  <c r="V100" i="4" s="1"/>
  <c r="K100" i="4" s="1"/>
  <c r="S96" i="4"/>
  <c r="V96" i="4" s="1"/>
  <c r="K96" i="4" s="1"/>
  <c r="L96" i="4" s="1"/>
  <c r="M96" i="4"/>
  <c r="M97" i="4"/>
  <c r="Y97" i="4" s="1"/>
  <c r="O95" i="4"/>
  <c r="X95" i="4"/>
  <c r="C122" i="37" s="1"/>
  <c r="G122" i="37" s="1"/>
  <c r="X99" i="37" s="1"/>
  <c r="N95" i="4"/>
  <c r="O94" i="4"/>
  <c r="Y94" i="4"/>
  <c r="N94" i="4"/>
  <c r="X94" i="4"/>
  <c r="X93" i="4"/>
  <c r="O93" i="4"/>
  <c r="N93" i="4"/>
  <c r="Y93" i="4"/>
  <c r="C116" i="13"/>
  <c r="G116" i="13" s="1"/>
  <c r="L96" i="13" s="1"/>
  <c r="C120" i="21"/>
  <c r="G120" i="21" s="1"/>
  <c r="X119" i="21" s="1"/>
  <c r="C61" i="19"/>
  <c r="G61" i="19" s="1"/>
  <c r="X89" i="19" s="1"/>
  <c r="C117" i="21"/>
  <c r="G117" i="21" s="1"/>
  <c r="T117" i="21" s="1"/>
  <c r="C58" i="19"/>
  <c r="G58" i="19" s="1"/>
  <c r="T87" i="19" s="1"/>
  <c r="D117" i="21"/>
  <c r="D58" i="19"/>
  <c r="C139" i="13"/>
  <c r="G139" i="13" s="1"/>
  <c r="R136" i="13" s="1"/>
  <c r="C119" i="21"/>
  <c r="G119" i="21" s="1"/>
  <c r="R119" i="21" s="1"/>
  <c r="T71" i="13"/>
  <c r="D45" i="19"/>
  <c r="M57" i="19" s="1"/>
  <c r="D137" i="13"/>
  <c r="G112" i="13"/>
  <c r="BE2" i="5"/>
  <c r="AR2" i="20"/>
  <c r="BC2" i="5"/>
  <c r="AP2" i="20"/>
  <c r="N17" i="4"/>
  <c r="X17" i="4"/>
  <c r="O17" i="4"/>
  <c r="Y17" i="4"/>
  <c r="D116" i="39" s="1"/>
  <c r="Y19" i="4"/>
  <c r="D118" i="39" s="1"/>
  <c r="N19" i="4"/>
  <c r="X19" i="4"/>
  <c r="C118" i="39" s="1"/>
  <c r="G118" i="39" s="1"/>
  <c r="X115" i="39" s="1"/>
  <c r="O19" i="4"/>
  <c r="AE2" i="5"/>
  <c r="T2" i="17"/>
  <c r="M76" i="4"/>
  <c r="AD2" i="5"/>
  <c r="S2" i="17"/>
  <c r="M75" i="4"/>
  <c r="AC2" i="5"/>
  <c r="R2" i="17"/>
  <c r="M74" i="4"/>
  <c r="AB2" i="5"/>
  <c r="Q2" i="17"/>
  <c r="M73" i="4"/>
  <c r="M112" i="4"/>
  <c r="O40" i="4"/>
  <c r="O111" i="4"/>
  <c r="Y111" i="4"/>
  <c r="D36" i="38" s="1"/>
  <c r="N111" i="4"/>
  <c r="X111" i="4"/>
  <c r="C36" i="38" s="1"/>
  <c r="M118" i="4"/>
  <c r="M35" i="4"/>
  <c r="M41" i="4"/>
  <c r="N40" i="4"/>
  <c r="O34" i="4"/>
  <c r="N34" i="4"/>
  <c r="Y42" i="4"/>
  <c r="X42" i="4"/>
  <c r="O42" i="4"/>
  <c r="N42" i="4"/>
  <c r="Y36" i="4"/>
  <c r="O36" i="4"/>
  <c r="X36" i="4"/>
  <c r="D113" i="13"/>
  <c r="M92" i="13" s="1"/>
  <c r="O78" i="4"/>
  <c r="X78" i="4"/>
  <c r="Y78" i="4"/>
  <c r="L107" i="4"/>
  <c r="M107" i="4"/>
  <c r="N107" i="4" s="1"/>
  <c r="Z2" i="5"/>
  <c r="L108" i="4"/>
  <c r="AA2" i="5" s="1"/>
  <c r="M108" i="4"/>
  <c r="X108" i="4" s="1"/>
  <c r="D67" i="13"/>
  <c r="Q49" i="13" s="1"/>
  <c r="D120" i="13"/>
  <c r="N106" i="4"/>
  <c r="X106" i="4"/>
  <c r="O106" i="4"/>
  <c r="D121" i="13"/>
  <c r="M132" i="4"/>
  <c r="N132" i="4" s="1"/>
  <c r="K138" i="4"/>
  <c r="L138" i="4" s="1"/>
  <c r="AI2" i="20" s="1"/>
  <c r="L139" i="4"/>
  <c r="AJ2" i="20" s="1"/>
  <c r="M139" i="4"/>
  <c r="N139" i="4" s="1"/>
  <c r="M141" i="4"/>
  <c r="O141" i="4" s="1"/>
  <c r="K136" i="4"/>
  <c r="L136" i="4" s="1"/>
  <c r="AG2" i="20" s="1"/>
  <c r="M144" i="4"/>
  <c r="N144" i="4" s="1"/>
  <c r="M143" i="4"/>
  <c r="N143" i="4" s="1"/>
  <c r="K140" i="4"/>
  <c r="M134" i="4"/>
  <c r="D94" i="21" s="1"/>
  <c r="M131" i="4"/>
  <c r="X131" i="4" s="1"/>
  <c r="C76" i="39" s="1"/>
  <c r="G76" i="39" s="1"/>
  <c r="R69" i="39" s="1"/>
  <c r="M130" i="4"/>
  <c r="N130" i="4" s="1"/>
  <c r="C62" i="21"/>
  <c r="G62" i="21" s="1"/>
  <c r="X50" i="21" s="1"/>
  <c r="C69" i="21"/>
  <c r="G69" i="21" s="1"/>
  <c r="X61" i="21" s="1"/>
  <c r="B39" i="21"/>
  <c r="B40" i="21" s="1"/>
  <c r="G32" i="21"/>
  <c r="L29" i="21" s="1"/>
  <c r="E2" i="17"/>
  <c r="E2" i="20"/>
  <c r="M137" i="4"/>
  <c r="D97" i="21" s="1"/>
  <c r="M135" i="4"/>
  <c r="D95" i="21" s="1"/>
  <c r="O126" i="4"/>
  <c r="D72" i="21"/>
  <c r="N126" i="4"/>
  <c r="X126" i="4"/>
  <c r="C72" i="39" s="1"/>
  <c r="D103" i="21"/>
  <c r="D98" i="21"/>
  <c r="N127" i="4"/>
  <c r="X127" i="4"/>
  <c r="C73" i="39" s="1"/>
  <c r="G73" i="39" s="1"/>
  <c r="X45" i="39" s="1"/>
  <c r="O127" i="4"/>
  <c r="D73" i="21"/>
  <c r="D101" i="21"/>
  <c r="D100" i="21"/>
  <c r="D99" i="21"/>
  <c r="D104" i="21"/>
  <c r="N128" i="4"/>
  <c r="X128" i="4"/>
  <c r="O128" i="4"/>
  <c r="D77" i="21"/>
  <c r="O125" i="4"/>
  <c r="X125" i="4"/>
  <c r="D71" i="21"/>
  <c r="N125" i="4"/>
  <c r="N124" i="4"/>
  <c r="X124" i="4"/>
  <c r="O124" i="4"/>
  <c r="D70" i="21"/>
  <c r="N122" i="4"/>
  <c r="X122" i="4"/>
  <c r="O122" i="4"/>
  <c r="D68" i="21"/>
  <c r="R28" i="19"/>
  <c r="L28" i="19"/>
  <c r="N114" i="4"/>
  <c r="X114" i="4"/>
  <c r="O114" i="4"/>
  <c r="C114" i="13"/>
  <c r="G114" i="13" s="1"/>
  <c r="C98" i="13"/>
  <c r="G98" i="13" s="1"/>
  <c r="P74" i="13" s="1"/>
  <c r="C92" i="13"/>
  <c r="C65" i="13"/>
  <c r="G65" i="13" s="1"/>
  <c r="X48" i="13" s="1"/>
  <c r="C41" i="13"/>
  <c r="G41" i="13" s="1"/>
  <c r="X35" i="13" s="1"/>
  <c r="C50" i="13"/>
  <c r="G50" i="13" s="1"/>
  <c r="P43" i="13" s="1"/>
  <c r="C66" i="13"/>
  <c r="G66" i="13" s="1"/>
  <c r="C67" i="13"/>
  <c r="G67" i="13" s="1"/>
  <c r="C49" i="13"/>
  <c r="G49" i="13" s="1"/>
  <c r="X41" i="13" s="1"/>
  <c r="C45" i="13"/>
  <c r="G45" i="13" s="1"/>
  <c r="X36" i="13" s="1"/>
  <c r="E2" i="5"/>
  <c r="N88" i="4"/>
  <c r="X88" i="4"/>
  <c r="O88" i="4"/>
  <c r="L35" i="13"/>
  <c r="P34" i="13"/>
  <c r="V34" i="13"/>
  <c r="X29" i="13"/>
  <c r="O13" i="4"/>
  <c r="D19" i="13"/>
  <c r="X85" i="4"/>
  <c r="O85" i="4"/>
  <c r="N85" i="4"/>
  <c r="C31" i="13"/>
  <c r="G31" i="13" s="1"/>
  <c r="N13" i="4"/>
  <c r="X13" i="4"/>
  <c r="B55" i="34"/>
  <c r="B51" i="21"/>
  <c r="B56" i="34"/>
  <c r="B53" i="21"/>
  <c r="B53" i="35"/>
  <c r="B52" i="21"/>
  <c r="B54" i="34"/>
  <c r="B51" i="35"/>
  <c r="B52" i="35"/>
  <c r="G72" i="39" l="1"/>
  <c r="C66" i="35"/>
  <c r="G66" i="35" s="1"/>
  <c r="P47" i="35" s="1"/>
  <c r="C66" i="39"/>
  <c r="G66" i="39" s="1"/>
  <c r="P47" i="39" s="1"/>
  <c r="L119" i="4"/>
  <c r="M119" i="4"/>
  <c r="B67" i="21"/>
  <c r="W49" i="21" s="1"/>
  <c r="B67" i="35"/>
  <c r="W49" i="35" s="1"/>
  <c r="D65" i="21"/>
  <c r="D66" i="21"/>
  <c r="C66" i="21"/>
  <c r="G66" i="21" s="1"/>
  <c r="P47" i="21" s="1"/>
  <c r="B87" i="39"/>
  <c r="B87" i="21"/>
  <c r="I121" i="4"/>
  <c r="B87" i="35"/>
  <c r="S121" i="4"/>
  <c r="V121" i="4" s="1"/>
  <c r="K121" i="4" s="1"/>
  <c r="O117" i="4"/>
  <c r="X117" i="4"/>
  <c r="C63" i="39" s="1"/>
  <c r="G63" i="39" s="1"/>
  <c r="X51" i="39" s="1"/>
  <c r="D63" i="21"/>
  <c r="O52" i="21" s="1"/>
  <c r="D63" i="35"/>
  <c r="O52" i="35" s="1"/>
  <c r="N117" i="4"/>
  <c r="O112" i="4"/>
  <c r="Y112" i="4"/>
  <c r="M52" i="4"/>
  <c r="L50" i="4"/>
  <c r="M50" i="4"/>
  <c r="X50" i="4" s="1"/>
  <c r="C53" i="37" s="1"/>
  <c r="G53" i="37" s="1"/>
  <c r="D53" i="37"/>
  <c r="M53" i="4"/>
  <c r="X53" i="4" s="1"/>
  <c r="C56" i="37" s="1"/>
  <c r="B66" i="37" s="1"/>
  <c r="W45" i="37" s="1"/>
  <c r="L51" i="4"/>
  <c r="BK2" i="5" s="1"/>
  <c r="M51" i="4"/>
  <c r="D56" i="37"/>
  <c r="O60" i="4"/>
  <c r="D76" i="37"/>
  <c r="N58" i="4"/>
  <c r="D74" i="37"/>
  <c r="X60" i="4"/>
  <c r="C76" i="37" s="1"/>
  <c r="G76" i="37" s="1"/>
  <c r="T61" i="37" s="1"/>
  <c r="N60" i="4"/>
  <c r="X61" i="4"/>
  <c r="C77" i="37" s="1"/>
  <c r="G77" i="37" s="1"/>
  <c r="X61" i="37" s="1"/>
  <c r="N61" i="4"/>
  <c r="X64" i="4"/>
  <c r="C78" i="37" s="1"/>
  <c r="G78" i="37" s="1"/>
  <c r="T62" i="37" s="1"/>
  <c r="N64" i="4"/>
  <c r="N59" i="4"/>
  <c r="X58" i="4"/>
  <c r="C74" i="37" s="1"/>
  <c r="G74" i="37" s="1"/>
  <c r="T60" i="37" s="1"/>
  <c r="O58" i="4"/>
  <c r="O59" i="4"/>
  <c r="C75" i="37"/>
  <c r="G75" i="37" s="1"/>
  <c r="X26" i="39"/>
  <c r="O18" i="39"/>
  <c r="C71" i="35"/>
  <c r="G71" i="35" s="1"/>
  <c r="R45" i="35" s="1"/>
  <c r="C71" i="39"/>
  <c r="G71" i="39" s="1"/>
  <c r="R45" i="39" s="1"/>
  <c r="O69" i="4"/>
  <c r="G62" i="39"/>
  <c r="X50" i="39" s="1"/>
  <c r="N69" i="4"/>
  <c r="X69" i="4"/>
  <c r="B41" i="39"/>
  <c r="P18" i="39" s="1"/>
  <c r="C19" i="38"/>
  <c r="C19" i="39"/>
  <c r="C57" i="38"/>
  <c r="G57" i="38" s="1"/>
  <c r="N85" i="38" s="1"/>
  <c r="C116" i="39"/>
  <c r="C68" i="35"/>
  <c r="G68" i="35" s="1"/>
  <c r="X62" i="35" s="1"/>
  <c r="C68" i="39"/>
  <c r="G68" i="39" s="1"/>
  <c r="X62" i="39" s="1"/>
  <c r="B55" i="39"/>
  <c r="C70" i="35"/>
  <c r="G70" i="35" s="1"/>
  <c r="P45" i="35" s="1"/>
  <c r="C70" i="39"/>
  <c r="G70" i="39" s="1"/>
  <c r="P45" i="39" s="1"/>
  <c r="D146" i="37"/>
  <c r="D59" i="38"/>
  <c r="C146" i="37"/>
  <c r="G146" i="37" s="1"/>
  <c r="X136" i="37" s="1"/>
  <c r="C59" i="38"/>
  <c r="D144" i="37"/>
  <c r="D57" i="38"/>
  <c r="G36" i="38"/>
  <c r="X43" i="38" s="1"/>
  <c r="O63" i="4"/>
  <c r="N63" i="4"/>
  <c r="C120" i="37"/>
  <c r="G120" i="37" s="1"/>
  <c r="T96" i="37" s="1"/>
  <c r="C45" i="38"/>
  <c r="G45" i="38" s="1"/>
  <c r="T56" i="38" s="1"/>
  <c r="B54" i="35"/>
  <c r="B55" i="35" s="1"/>
  <c r="X31" i="35" s="1"/>
  <c r="C121" i="34"/>
  <c r="G121" i="34" s="1"/>
  <c r="T81" i="34" s="1"/>
  <c r="C128" i="37"/>
  <c r="G128" i="37" s="1"/>
  <c r="T86" i="37" s="1"/>
  <c r="C123" i="34"/>
  <c r="G123" i="34" s="1"/>
  <c r="C130" i="37"/>
  <c r="G130" i="37" s="1"/>
  <c r="G70" i="37"/>
  <c r="X52" i="37" s="1"/>
  <c r="G41" i="37"/>
  <c r="X35" i="37" s="1"/>
  <c r="C57" i="36"/>
  <c r="G57" i="36" s="1"/>
  <c r="N85" i="36" s="1"/>
  <c r="C144" i="37"/>
  <c r="C19" i="36"/>
  <c r="C19" i="37"/>
  <c r="C69" i="13"/>
  <c r="G69" i="13" s="1"/>
  <c r="T56" i="13" s="1"/>
  <c r="C69" i="34"/>
  <c r="G69" i="34" s="1"/>
  <c r="T56" i="34" s="1"/>
  <c r="C68" i="13"/>
  <c r="G68" i="13" s="1"/>
  <c r="X50" i="13" s="1"/>
  <c r="C68" i="34"/>
  <c r="C70" i="13"/>
  <c r="G70" i="13" s="1"/>
  <c r="X56" i="13" s="1"/>
  <c r="C70" i="34"/>
  <c r="G70" i="34" s="1"/>
  <c r="X56" i="34" s="1"/>
  <c r="N70" i="4"/>
  <c r="O70" i="4"/>
  <c r="X70" i="4"/>
  <c r="G102" i="4" a="1"/>
  <c r="G102" i="4" s="1"/>
  <c r="C118" i="35"/>
  <c r="G118" i="35" s="1"/>
  <c r="X115" i="35" s="1"/>
  <c r="C59" i="36"/>
  <c r="D36" i="19"/>
  <c r="D36" i="36"/>
  <c r="D118" i="35"/>
  <c r="D59" i="36"/>
  <c r="D116" i="35"/>
  <c r="D57" i="36"/>
  <c r="C36" i="19"/>
  <c r="G36" i="19" s="1"/>
  <c r="X43" i="19" s="1"/>
  <c r="C36" i="36"/>
  <c r="C113" i="34"/>
  <c r="G113" i="34" s="1"/>
  <c r="T91" i="34" s="1"/>
  <c r="C45" i="36"/>
  <c r="G45" i="36" s="1"/>
  <c r="T56" i="36" s="1"/>
  <c r="B40" i="35"/>
  <c r="C76" i="21"/>
  <c r="G76" i="21" s="1"/>
  <c r="R69" i="21" s="1"/>
  <c r="C76" i="35"/>
  <c r="G76" i="35" s="1"/>
  <c r="R69" i="35" s="1"/>
  <c r="C137" i="34"/>
  <c r="G137" i="34" s="1"/>
  <c r="N131" i="34" s="1"/>
  <c r="C116" i="35"/>
  <c r="C73" i="21"/>
  <c r="G73" i="21" s="1"/>
  <c r="X45" i="21" s="1"/>
  <c r="C73" i="35"/>
  <c r="G73" i="35" s="1"/>
  <c r="X45" i="35" s="1"/>
  <c r="C72" i="21"/>
  <c r="C72" i="35"/>
  <c r="G93" i="35"/>
  <c r="X81" i="35" s="1"/>
  <c r="C19" i="34"/>
  <c r="C19" i="35"/>
  <c r="S99" i="4"/>
  <c r="V99" i="4" s="1"/>
  <c r="K99" i="4" s="1"/>
  <c r="L99" i="4" s="1"/>
  <c r="G61" i="35"/>
  <c r="L45" i="35" s="1"/>
  <c r="B57" i="34"/>
  <c r="B59" i="34" s="1"/>
  <c r="P18" i="34" s="1"/>
  <c r="B54" i="21"/>
  <c r="B56" i="21" s="1"/>
  <c r="P19" i="21" s="1"/>
  <c r="C115" i="13"/>
  <c r="G115" i="13" s="1"/>
  <c r="X94" i="13" s="1"/>
  <c r="C115" i="34"/>
  <c r="G39" i="34"/>
  <c r="P35" i="34" s="1"/>
  <c r="D57" i="19"/>
  <c r="D137" i="34"/>
  <c r="D59" i="19"/>
  <c r="D139" i="34"/>
  <c r="G65" i="34"/>
  <c r="X48" i="34" s="1"/>
  <c r="C59" i="19"/>
  <c r="G59" i="19" s="1"/>
  <c r="X87" i="19" s="1"/>
  <c r="C139" i="34"/>
  <c r="G46" i="21"/>
  <c r="X34" i="21" s="1"/>
  <c r="B132" i="13"/>
  <c r="W85" i="13" s="1"/>
  <c r="B118" i="34"/>
  <c r="S96" i="34" s="1"/>
  <c r="O101" i="4"/>
  <c r="Y101" i="4"/>
  <c r="X101" i="4"/>
  <c r="N101" i="4"/>
  <c r="L101" i="4"/>
  <c r="N99" i="4"/>
  <c r="Y99" i="4"/>
  <c r="X99" i="4"/>
  <c r="L100" i="4"/>
  <c r="M100" i="4"/>
  <c r="X96" i="4"/>
  <c r="O96" i="4"/>
  <c r="Y96" i="4"/>
  <c r="N96" i="4"/>
  <c r="X97" i="4"/>
  <c r="O97" i="4"/>
  <c r="N97" i="4"/>
  <c r="C116" i="21"/>
  <c r="C57" i="19"/>
  <c r="D136" i="13"/>
  <c r="D116" i="21"/>
  <c r="D138" i="13"/>
  <c r="D118" i="21"/>
  <c r="C136" i="13"/>
  <c r="G136" i="13" s="1"/>
  <c r="N134" i="13" s="1"/>
  <c r="C138" i="13"/>
  <c r="G138" i="13" s="1"/>
  <c r="X134" i="13" s="1"/>
  <c r="C118" i="21"/>
  <c r="G118" i="21" s="1"/>
  <c r="X117" i="21" s="1"/>
  <c r="C45" i="19"/>
  <c r="G45" i="19" s="1"/>
  <c r="T56" i="19" s="1"/>
  <c r="C137" i="13"/>
  <c r="G137" i="13" s="1"/>
  <c r="T134" i="13" s="1"/>
  <c r="C120" i="13"/>
  <c r="G120" i="13" s="1"/>
  <c r="T81" i="13" s="1"/>
  <c r="D91" i="13"/>
  <c r="O76" i="4"/>
  <c r="N76" i="4"/>
  <c r="X76" i="4"/>
  <c r="C40" i="38" s="1"/>
  <c r="G40" i="38" s="1"/>
  <c r="X48" i="38" s="1"/>
  <c r="D90" i="13"/>
  <c r="N75" i="4"/>
  <c r="O75" i="4"/>
  <c r="X75" i="4"/>
  <c r="D89" i="13"/>
  <c r="X74" i="4"/>
  <c r="O74" i="4"/>
  <c r="N74" i="4"/>
  <c r="O73" i="4"/>
  <c r="N73" i="4"/>
  <c r="X73" i="4"/>
  <c r="X112" i="4"/>
  <c r="N112" i="4"/>
  <c r="O118" i="4"/>
  <c r="D64" i="21"/>
  <c r="X118" i="4"/>
  <c r="C64" i="39" s="1"/>
  <c r="N118" i="4"/>
  <c r="X35" i="4"/>
  <c r="N35" i="4"/>
  <c r="O35" i="4"/>
  <c r="X41" i="4"/>
  <c r="O41" i="4"/>
  <c r="N41" i="4"/>
  <c r="O107" i="4"/>
  <c r="X107" i="4"/>
  <c r="N108" i="4"/>
  <c r="C122" i="13"/>
  <c r="G122" i="13" s="1"/>
  <c r="O108" i="4"/>
  <c r="X132" i="4"/>
  <c r="C77" i="39" s="1"/>
  <c r="G77" i="39" s="1"/>
  <c r="X69" i="39" s="1"/>
  <c r="O132" i="4"/>
  <c r="M136" i="4"/>
  <c r="N136" i="4" s="1"/>
  <c r="O139" i="4"/>
  <c r="M138" i="4"/>
  <c r="X139" i="4"/>
  <c r="C99" i="39" s="1"/>
  <c r="G99" i="39" s="1"/>
  <c r="X86" i="39" s="1"/>
  <c r="N141" i="4"/>
  <c r="X141" i="4"/>
  <c r="C101" i="39" s="1"/>
  <c r="G101" i="39" s="1"/>
  <c r="X87" i="39" s="1"/>
  <c r="X144" i="4"/>
  <c r="C104" i="39" s="1"/>
  <c r="G104" i="39" s="1"/>
  <c r="X78" i="39" s="1"/>
  <c r="L140" i="4"/>
  <c r="AK2" i="20" s="1"/>
  <c r="M140" i="4"/>
  <c r="O144" i="4"/>
  <c r="X143" i="4"/>
  <c r="C103" i="39" s="1"/>
  <c r="G103" i="39" s="1"/>
  <c r="T78" i="39" s="1"/>
  <c r="O143" i="4"/>
  <c r="X134" i="4"/>
  <c r="C94" i="39" s="1"/>
  <c r="N134" i="4"/>
  <c r="O134" i="4"/>
  <c r="D76" i="21"/>
  <c r="N131" i="4"/>
  <c r="O131" i="4"/>
  <c r="X130" i="4"/>
  <c r="C75" i="39" s="1"/>
  <c r="G75" i="39" s="1"/>
  <c r="L69" i="39" s="1"/>
  <c r="D75" i="21"/>
  <c r="O130" i="4"/>
  <c r="C71" i="21"/>
  <c r="G71" i="21" s="1"/>
  <c r="R45" i="21" s="1"/>
  <c r="C70" i="21"/>
  <c r="G70" i="21" s="1"/>
  <c r="P45" i="21" s="1"/>
  <c r="C68" i="21"/>
  <c r="B41" i="21"/>
  <c r="P18" i="21" s="1"/>
  <c r="X26" i="21"/>
  <c r="O18" i="21"/>
  <c r="C19" i="19"/>
  <c r="G19" i="19" s="1"/>
  <c r="X23" i="19" s="1"/>
  <c r="C19" i="21"/>
  <c r="O135" i="4"/>
  <c r="X135" i="4"/>
  <c r="C95" i="39" s="1"/>
  <c r="G95" i="39" s="1"/>
  <c r="X84" i="39" s="1"/>
  <c r="O137" i="4"/>
  <c r="X137" i="4"/>
  <c r="C97" i="39" s="1"/>
  <c r="G97" i="39" s="1"/>
  <c r="X85" i="39" s="1"/>
  <c r="N137" i="4"/>
  <c r="N135" i="4"/>
  <c r="D96" i="21"/>
  <c r="C113" i="13"/>
  <c r="G92" i="13"/>
  <c r="L71" i="13" s="1"/>
  <c r="C19" i="13"/>
  <c r="B22" i="36"/>
  <c r="B23" i="21"/>
  <c r="B23" i="36"/>
  <c r="B21" i="38"/>
  <c r="B21" i="37"/>
  <c r="B22" i="34"/>
  <c r="B144" i="34"/>
  <c r="B54" i="13"/>
  <c r="B23" i="19"/>
  <c r="B23" i="35"/>
  <c r="B65" i="19"/>
  <c r="B23" i="38"/>
  <c r="B122" i="35"/>
  <c r="B23" i="13"/>
  <c r="B24" i="39"/>
  <c r="B63" i="36"/>
  <c r="B122" i="21"/>
  <c r="B151" i="37"/>
  <c r="B65" i="36"/>
  <c r="B64" i="19"/>
  <c r="B22" i="19"/>
  <c r="B22" i="37"/>
  <c r="B145" i="34"/>
  <c r="B64" i="36"/>
  <c r="B23" i="39"/>
  <c r="B124" i="21"/>
  <c r="B143" i="34"/>
  <c r="B63" i="19"/>
  <c r="B65" i="38"/>
  <c r="B124" i="39"/>
  <c r="B23" i="37"/>
  <c r="B55" i="13"/>
  <c r="B21" i="13"/>
  <c r="B123" i="39"/>
  <c r="B24" i="21"/>
  <c r="B22" i="13"/>
  <c r="B123" i="35"/>
  <c r="B21" i="36"/>
  <c r="B56" i="13"/>
  <c r="B21" i="19"/>
  <c r="B152" i="37"/>
  <c r="B63" i="38"/>
  <c r="B122" i="39"/>
  <c r="B123" i="21"/>
  <c r="B21" i="34"/>
  <c r="B22" i="38"/>
  <c r="B124" i="35"/>
  <c r="B22" i="35"/>
  <c r="B22" i="39"/>
  <c r="B150" i="37"/>
  <c r="B24" i="35"/>
  <c r="B23" i="34"/>
  <c r="B64" i="38"/>
  <c r="B22" i="21"/>
  <c r="T45" i="39" l="1"/>
  <c r="N119" i="4"/>
  <c r="O119" i="4"/>
  <c r="X119" i="4"/>
  <c r="C65" i="39" s="1"/>
  <c r="G65" i="39" s="1"/>
  <c r="L47" i="39" s="1"/>
  <c r="G72" i="35"/>
  <c r="C63" i="21"/>
  <c r="G63" i="21" s="1"/>
  <c r="X51" i="21" s="1"/>
  <c r="G72" i="21"/>
  <c r="T45" i="21" s="1"/>
  <c r="L121" i="4"/>
  <c r="T2" i="20" s="1"/>
  <c r="M121" i="4"/>
  <c r="C87" i="35"/>
  <c r="W42" i="35"/>
  <c r="C87" i="21"/>
  <c r="W42" i="21"/>
  <c r="C63" i="35"/>
  <c r="G63" i="35" s="1"/>
  <c r="X51" i="35" s="1"/>
  <c r="C87" i="39"/>
  <c r="W42" i="39"/>
  <c r="O50" i="4"/>
  <c r="N52" i="4"/>
  <c r="O52" i="4"/>
  <c r="X52" i="4"/>
  <c r="C55" i="37" s="1"/>
  <c r="G55" i="37" s="1"/>
  <c r="N50" i="4"/>
  <c r="N53" i="4"/>
  <c r="G56" i="37"/>
  <c r="C66" i="37"/>
  <c r="O53" i="4"/>
  <c r="N51" i="4"/>
  <c r="O51" i="4"/>
  <c r="X51" i="4"/>
  <c r="C54" i="37" s="1"/>
  <c r="D54" i="37"/>
  <c r="C71" i="13"/>
  <c r="G71" i="13" s="1"/>
  <c r="T57" i="13" s="1"/>
  <c r="C71" i="34"/>
  <c r="G71" i="34" s="1"/>
  <c r="T57" i="34" s="1"/>
  <c r="X60" i="37"/>
  <c r="B125" i="39"/>
  <c r="B127" i="39" s="1"/>
  <c r="X19" i="39" s="1"/>
  <c r="B25" i="39"/>
  <c r="B26" i="39" s="1"/>
  <c r="B24" i="38"/>
  <c r="B25" i="38" s="1"/>
  <c r="O17" i="38" s="1"/>
  <c r="O19" i="39"/>
  <c r="X31" i="39"/>
  <c r="G116" i="39"/>
  <c r="N115" i="39" s="1"/>
  <c r="G64" i="39"/>
  <c r="X54" i="39" s="1"/>
  <c r="G19" i="39"/>
  <c r="X24" i="39" s="1"/>
  <c r="G94" i="39"/>
  <c r="T84" i="39" s="1"/>
  <c r="G19" i="38"/>
  <c r="X23" i="38" s="1"/>
  <c r="B66" i="38"/>
  <c r="B68" i="38" s="1"/>
  <c r="X17" i="38" s="1"/>
  <c r="C95" i="37"/>
  <c r="G95" i="37" s="1"/>
  <c r="P74" i="37" s="1"/>
  <c r="C37" i="38"/>
  <c r="C96" i="37"/>
  <c r="G96" i="37" s="1"/>
  <c r="T74" i="37" s="1"/>
  <c r="C38" i="38"/>
  <c r="G38" i="38" s="1"/>
  <c r="T48" i="38" s="1"/>
  <c r="C97" i="37"/>
  <c r="G97" i="37" s="1"/>
  <c r="V74" i="37" s="1"/>
  <c r="C39" i="38"/>
  <c r="G39" i="38" s="1"/>
  <c r="V48" i="38" s="1"/>
  <c r="C41" i="36"/>
  <c r="G41" i="36" s="1"/>
  <c r="L51" i="36" s="1"/>
  <c r="C41" i="38"/>
  <c r="G41" i="38" s="1"/>
  <c r="L51" i="38" s="1"/>
  <c r="G59" i="38"/>
  <c r="X85" i="38" s="1"/>
  <c r="D41" i="36"/>
  <c r="D41" i="38"/>
  <c r="B56" i="35"/>
  <c r="P19" i="35" s="1"/>
  <c r="O19" i="35"/>
  <c r="B24" i="37"/>
  <c r="B26" i="37" s="1"/>
  <c r="P17" i="37" s="1"/>
  <c r="B24" i="36"/>
  <c r="B25" i="36" s="1"/>
  <c r="O17" i="36" s="1"/>
  <c r="B153" i="37"/>
  <c r="B155" i="37" s="1"/>
  <c r="X19" i="37" s="1"/>
  <c r="B117" i="34"/>
  <c r="O96" i="34" s="1"/>
  <c r="B124" i="37"/>
  <c r="O101" i="37" s="1"/>
  <c r="G19" i="37"/>
  <c r="X24" i="37" s="1"/>
  <c r="C40" i="36"/>
  <c r="G40" i="36" s="1"/>
  <c r="X48" i="36" s="1"/>
  <c r="C98" i="37"/>
  <c r="G144" i="37"/>
  <c r="N136" i="37" s="1"/>
  <c r="G19" i="36"/>
  <c r="X23" i="36" s="1"/>
  <c r="C122" i="34"/>
  <c r="G122" i="34" s="1"/>
  <c r="T83" i="34" s="1"/>
  <c r="C129" i="37"/>
  <c r="G129" i="37" s="1"/>
  <c r="T88" i="37" s="1"/>
  <c r="G68" i="34"/>
  <c r="X50" i="34" s="1"/>
  <c r="I102" i="4"/>
  <c r="S102" i="4"/>
  <c r="V102" i="4" s="1"/>
  <c r="K102" i="4" s="1"/>
  <c r="H104" i="4" a="1"/>
  <c r="H104" i="4" s="1"/>
  <c r="K104" i="4" s="1"/>
  <c r="L104" i="4" s="1"/>
  <c r="V2" i="17" s="1"/>
  <c r="B55" i="21"/>
  <c r="O19" i="21" s="1"/>
  <c r="D118" i="13"/>
  <c r="B66" i="36"/>
  <c r="B68" i="36" s="1"/>
  <c r="X17" i="36" s="1"/>
  <c r="C88" i="34"/>
  <c r="G88" i="34" s="1"/>
  <c r="P69" i="34" s="1"/>
  <c r="C37" i="36"/>
  <c r="C89" i="34"/>
  <c r="G89" i="34" s="1"/>
  <c r="T69" i="34" s="1"/>
  <c r="C38" i="36"/>
  <c r="G38" i="36" s="1"/>
  <c r="T48" i="36" s="1"/>
  <c r="G36" i="36"/>
  <c r="X43" i="36" s="1"/>
  <c r="C90" i="34"/>
  <c r="G90" i="34" s="1"/>
  <c r="V69" i="34" s="1"/>
  <c r="C39" i="36"/>
  <c r="G39" i="36" s="1"/>
  <c r="V48" i="36" s="1"/>
  <c r="G59" i="36"/>
  <c r="X85" i="36" s="1"/>
  <c r="O18" i="35"/>
  <c r="X26" i="35"/>
  <c r="B25" i="35"/>
  <c r="B26" i="35" s="1"/>
  <c r="B24" i="34"/>
  <c r="B25" i="34" s="1"/>
  <c r="O17" i="34" s="1"/>
  <c r="B125" i="35"/>
  <c r="B126" i="35" s="1"/>
  <c r="G19" i="35"/>
  <c r="X24" i="35" s="1"/>
  <c r="C94" i="21"/>
  <c r="G94" i="21" s="1"/>
  <c r="T84" i="21" s="1"/>
  <c r="C94" i="35"/>
  <c r="C104" i="21"/>
  <c r="G104" i="21" s="1"/>
  <c r="X78" i="21" s="1"/>
  <c r="C104" i="35"/>
  <c r="G104" i="35" s="1"/>
  <c r="X78" i="35" s="1"/>
  <c r="C64" i="21"/>
  <c r="C64" i="35"/>
  <c r="C101" i="21"/>
  <c r="G101" i="21" s="1"/>
  <c r="X87" i="21" s="1"/>
  <c r="C101" i="35"/>
  <c r="G101" i="35" s="1"/>
  <c r="X87" i="35" s="1"/>
  <c r="C99" i="21"/>
  <c r="G99" i="21" s="1"/>
  <c r="X86" i="21" s="1"/>
  <c r="C99" i="35"/>
  <c r="G99" i="35" s="1"/>
  <c r="X86" i="35" s="1"/>
  <c r="C103" i="21"/>
  <c r="G103" i="21" s="1"/>
  <c r="T78" i="21" s="1"/>
  <c r="C103" i="35"/>
  <c r="G103" i="35" s="1"/>
  <c r="T78" i="35" s="1"/>
  <c r="G19" i="34"/>
  <c r="X24" i="34" s="1"/>
  <c r="G116" i="35"/>
  <c r="N115" i="35" s="1"/>
  <c r="C97" i="21"/>
  <c r="G97" i="21" s="1"/>
  <c r="X85" i="21" s="1"/>
  <c r="C97" i="35"/>
  <c r="G97" i="35" s="1"/>
  <c r="X85" i="35" s="1"/>
  <c r="C77" i="21"/>
  <c r="G77" i="21" s="1"/>
  <c r="C77" i="35"/>
  <c r="G77" i="35" s="1"/>
  <c r="X69" i="35" s="1"/>
  <c r="C75" i="21"/>
  <c r="G75" i="21" s="1"/>
  <c r="L69" i="21" s="1"/>
  <c r="C75" i="35"/>
  <c r="G75" i="35" s="1"/>
  <c r="L69" i="35" s="1"/>
  <c r="C95" i="21"/>
  <c r="G95" i="21" s="1"/>
  <c r="X84" i="21" s="1"/>
  <c r="C95" i="35"/>
  <c r="G95" i="35" s="1"/>
  <c r="X84" i="35" s="1"/>
  <c r="B58" i="34"/>
  <c r="X26" i="34" s="1"/>
  <c r="B146" i="34"/>
  <c r="B148" i="34" s="1"/>
  <c r="X19" i="34" s="1"/>
  <c r="G139" i="34"/>
  <c r="X131" i="34" s="1"/>
  <c r="G115" i="34"/>
  <c r="X94" i="34" s="1"/>
  <c r="C91" i="13"/>
  <c r="G91" i="13" s="1"/>
  <c r="X69" i="13" s="1"/>
  <c r="C91" i="34"/>
  <c r="C132" i="13"/>
  <c r="X85" i="13" s="1"/>
  <c r="G3" i="4"/>
  <c r="B120" i="34"/>
  <c r="W96" i="34" s="1"/>
  <c r="N100" i="4"/>
  <c r="O100" i="4"/>
  <c r="X100" i="4"/>
  <c r="Y100" i="4"/>
  <c r="B66" i="19"/>
  <c r="B68" i="19" s="1"/>
  <c r="X17" i="19" s="1"/>
  <c r="G57" i="19"/>
  <c r="N87" i="19" s="1"/>
  <c r="B125" i="21"/>
  <c r="B126" i="21" s="1"/>
  <c r="G116" i="21"/>
  <c r="N117" i="21" s="1"/>
  <c r="G113" i="13"/>
  <c r="T91" i="13" s="1"/>
  <c r="C121" i="13"/>
  <c r="G121" i="13" s="1"/>
  <c r="T83" i="13" s="1"/>
  <c r="C90" i="13"/>
  <c r="G90" i="13" s="1"/>
  <c r="V69" i="13" s="1"/>
  <c r="C39" i="19"/>
  <c r="G39" i="19" s="1"/>
  <c r="V48" i="19" s="1"/>
  <c r="C38" i="19"/>
  <c r="G38" i="19" s="1"/>
  <c r="T48" i="19" s="1"/>
  <c r="C89" i="13"/>
  <c r="G89" i="13" s="1"/>
  <c r="T69" i="13" s="1"/>
  <c r="C88" i="13"/>
  <c r="C37" i="19"/>
  <c r="G37" i="19" s="1"/>
  <c r="P48" i="19" s="1"/>
  <c r="D40" i="19"/>
  <c r="D41" i="19"/>
  <c r="C40" i="19"/>
  <c r="G40" i="19" s="1"/>
  <c r="X48" i="19" s="1"/>
  <c r="C41" i="19"/>
  <c r="G41" i="19" s="1"/>
  <c r="L51" i="19" s="1"/>
  <c r="B57" i="13"/>
  <c r="B58" i="13" s="1"/>
  <c r="O18" i="13" s="1"/>
  <c r="X136" i="4"/>
  <c r="C96" i="39" s="1"/>
  <c r="O136" i="4"/>
  <c r="N138" i="4"/>
  <c r="X138" i="4"/>
  <c r="C98" i="39" s="1"/>
  <c r="G98" i="39" s="1"/>
  <c r="T86" i="39" s="1"/>
  <c r="O138" i="4"/>
  <c r="N140" i="4"/>
  <c r="X140" i="4"/>
  <c r="C100" i="39" s="1"/>
  <c r="G100" i="39" s="1"/>
  <c r="T87" i="39" s="1"/>
  <c r="O140" i="4"/>
  <c r="G68" i="21"/>
  <c r="X62" i="21" s="1"/>
  <c r="B25" i="21"/>
  <c r="B27" i="21" s="1"/>
  <c r="P17" i="21" s="1"/>
  <c r="B24" i="19"/>
  <c r="B25" i="19" s="1"/>
  <c r="O17" i="19" s="1"/>
  <c r="G19" i="21"/>
  <c r="X24" i="21" s="1"/>
  <c r="B24" i="13"/>
  <c r="B25" i="13" s="1"/>
  <c r="G19" i="13"/>
  <c r="X24" i="13" s="1"/>
  <c r="B102" i="13"/>
  <c r="B102" i="34"/>
  <c r="B109" i="37"/>
  <c r="B103" i="34"/>
  <c r="B103" i="13"/>
  <c r="B108" i="37"/>
  <c r="B59" i="37"/>
  <c r="B58" i="37"/>
  <c r="B110" i="37"/>
  <c r="B60" i="37"/>
  <c r="B107" i="39"/>
  <c r="B101" i="34"/>
  <c r="B108" i="39"/>
  <c r="B101" i="13"/>
  <c r="B106" i="39"/>
  <c r="C65" i="35" l="1"/>
  <c r="G65" i="35" s="1"/>
  <c r="L47" i="35" s="1"/>
  <c r="C65" i="21"/>
  <c r="T45" i="35"/>
  <c r="X42" i="39"/>
  <c r="B90" i="39"/>
  <c r="B90" i="21"/>
  <c r="X42" i="21"/>
  <c r="X42" i="35"/>
  <c r="B90" i="35"/>
  <c r="N121" i="4"/>
  <c r="X121" i="4"/>
  <c r="O121" i="4"/>
  <c r="B67" i="37"/>
  <c r="B68" i="37" s="1"/>
  <c r="N18" i="37" s="1"/>
  <c r="X45" i="37"/>
  <c r="X20" i="38"/>
  <c r="B61" i="37"/>
  <c r="B63" i="37" s="1"/>
  <c r="P18" i="37" s="1"/>
  <c r="G54" i="37"/>
  <c r="X47" i="37" s="1"/>
  <c r="B67" i="38"/>
  <c r="X59" i="38" s="1"/>
  <c r="B27" i="39"/>
  <c r="P17" i="39" s="1"/>
  <c r="B26" i="38"/>
  <c r="P17" i="38" s="1"/>
  <c r="B126" i="39"/>
  <c r="W19" i="39" s="1"/>
  <c r="B109" i="39"/>
  <c r="B111" i="39" s="1"/>
  <c r="X18" i="39" s="1"/>
  <c r="X21" i="39"/>
  <c r="O17" i="39"/>
  <c r="G96" i="39"/>
  <c r="T85" i="39" s="1"/>
  <c r="X20" i="36"/>
  <c r="G37" i="38"/>
  <c r="P48" i="38" s="1"/>
  <c r="B26" i="36"/>
  <c r="P17" i="36" s="1"/>
  <c r="B111" i="37"/>
  <c r="B113" i="37" s="1"/>
  <c r="X17" i="37" s="1"/>
  <c r="B154" i="37"/>
  <c r="B25" i="37"/>
  <c r="G98" i="37"/>
  <c r="X74" i="37" s="1"/>
  <c r="M102" i="4"/>
  <c r="O102" i="4" s="1"/>
  <c r="X31" i="21"/>
  <c r="L102" i="4"/>
  <c r="AN2" i="5"/>
  <c r="M104" i="4"/>
  <c r="N104" i="4" s="1"/>
  <c r="X21" i="34"/>
  <c r="B27" i="35"/>
  <c r="P17" i="35" s="1"/>
  <c r="B147" i="34"/>
  <c r="X102" i="34" s="1"/>
  <c r="B127" i="35"/>
  <c r="X19" i="35" s="1"/>
  <c r="O18" i="34"/>
  <c r="G37" i="36"/>
  <c r="P48" i="36" s="1"/>
  <c r="B67" i="36"/>
  <c r="B26" i="34"/>
  <c r="P17" i="34" s="1"/>
  <c r="C100" i="21"/>
  <c r="G100" i="21" s="1"/>
  <c r="T87" i="21" s="1"/>
  <c r="C100" i="35"/>
  <c r="G100" i="35" s="1"/>
  <c r="T87" i="35" s="1"/>
  <c r="G64" i="21"/>
  <c r="X54" i="21" s="1"/>
  <c r="G64" i="35"/>
  <c r="X54" i="35" s="1"/>
  <c r="C96" i="21"/>
  <c r="C96" i="35"/>
  <c r="C98" i="21"/>
  <c r="G98" i="21" s="1"/>
  <c r="T86" i="21" s="1"/>
  <c r="C98" i="35"/>
  <c r="G98" i="35" s="1"/>
  <c r="T86" i="35" s="1"/>
  <c r="W19" i="35"/>
  <c r="X89" i="35"/>
  <c r="G94" i="35"/>
  <c r="T84" i="35" s="1"/>
  <c r="O17" i="35"/>
  <c r="X21" i="35"/>
  <c r="B133" i="13"/>
  <c r="B134" i="13" s="1"/>
  <c r="V18" i="13" s="1"/>
  <c r="B104" i="34"/>
  <c r="B105" i="34" s="1"/>
  <c r="G91" i="34"/>
  <c r="X69" i="34" s="1"/>
  <c r="B67" i="19"/>
  <c r="X89" i="21"/>
  <c r="W19" i="21"/>
  <c r="B127" i="21"/>
  <c r="X19" i="21" s="1"/>
  <c r="B104" i="13"/>
  <c r="B105" i="13" s="1"/>
  <c r="G88" i="13"/>
  <c r="P69" i="13" s="1"/>
  <c r="B59" i="13"/>
  <c r="P18" i="13" s="1"/>
  <c r="X26" i="13"/>
  <c r="X69" i="21"/>
  <c r="X20" i="19"/>
  <c r="B26" i="19"/>
  <c r="P17" i="19" s="1"/>
  <c r="B26" i="21"/>
  <c r="B26" i="13"/>
  <c r="P17" i="13" s="1"/>
  <c r="O17" i="13"/>
  <c r="V4" i="4"/>
  <c r="K4" i="4" s="1"/>
  <c r="V5" i="4"/>
  <c r="K5" i="4" s="1"/>
  <c r="V6" i="4"/>
  <c r="K6" i="4" s="1"/>
  <c r="V7" i="4"/>
  <c r="K7" i="4" s="1"/>
  <c r="B107" i="21"/>
  <c r="B108" i="35"/>
  <c r="B106" i="35"/>
  <c r="B107" i="35"/>
  <c r="L47" i="21" l="1"/>
  <c r="G65" i="21"/>
  <c r="C67" i="21"/>
  <c r="C67" i="35"/>
  <c r="C67" i="39"/>
  <c r="B91" i="35"/>
  <c r="V17" i="35" s="1"/>
  <c r="B9" i="35"/>
  <c r="B10" i="35" s="1"/>
  <c r="B9" i="39"/>
  <c r="B10" i="39" s="1"/>
  <c r="B91" i="39"/>
  <c r="V17" i="39" s="1"/>
  <c r="B91" i="21"/>
  <c r="V17" i="21" s="1"/>
  <c r="B9" i="21"/>
  <c r="B10" i="21" s="1"/>
  <c r="B62" i="37"/>
  <c r="X89" i="39"/>
  <c r="W17" i="38"/>
  <c r="B110" i="39"/>
  <c r="B112" i="37"/>
  <c r="X70" i="37" s="1"/>
  <c r="X107" i="37"/>
  <c r="W19" i="37"/>
  <c r="X21" i="37"/>
  <c r="O17" i="37"/>
  <c r="N102" i="4"/>
  <c r="Y102" i="4"/>
  <c r="X102" i="4"/>
  <c r="O104" i="4"/>
  <c r="X104" i="4"/>
  <c r="C43" i="38" s="1"/>
  <c r="W19" i="34"/>
  <c r="W17" i="36"/>
  <c r="X59" i="36"/>
  <c r="B109" i="35"/>
  <c r="B111" i="35" s="1"/>
  <c r="X18" i="35" s="1"/>
  <c r="G96" i="35"/>
  <c r="T85" i="35" s="1"/>
  <c r="G96" i="21"/>
  <c r="T85" i="21" s="1"/>
  <c r="B9" i="13"/>
  <c r="B106" i="34"/>
  <c r="X17" i="34" s="1"/>
  <c r="W17" i="34"/>
  <c r="X65" i="34"/>
  <c r="X59" i="19"/>
  <c r="W17" i="19"/>
  <c r="B106" i="13"/>
  <c r="X17" i="13" s="1"/>
  <c r="W17" i="13"/>
  <c r="X65" i="13"/>
  <c r="X21" i="21"/>
  <c r="O17" i="21"/>
  <c r="X21" i="13"/>
  <c r="B81" i="39"/>
  <c r="B79" i="39"/>
  <c r="B48" i="38"/>
  <c r="B79" i="35"/>
  <c r="B81" i="35"/>
  <c r="B49" i="38"/>
  <c r="B80" i="35"/>
  <c r="B80" i="21"/>
  <c r="B79" i="21"/>
  <c r="B80" i="39"/>
  <c r="B81" i="21"/>
  <c r="B47" i="38"/>
  <c r="B82" i="35" l="1"/>
  <c r="B84" i="35" s="1"/>
  <c r="X17" i="35" s="1"/>
  <c r="B82" i="39"/>
  <c r="B84" i="39" s="1"/>
  <c r="X17" i="39" s="1"/>
  <c r="B82" i="21"/>
  <c r="B84" i="21" s="1"/>
  <c r="X17" i="21" s="1"/>
  <c r="B12" i="21"/>
  <c r="I6" i="21" s="1"/>
  <c r="B11" i="21"/>
  <c r="H6" i="21" s="1"/>
  <c r="B12" i="35"/>
  <c r="I6" i="35" s="1"/>
  <c r="B11" i="35"/>
  <c r="H6" i="35" s="1"/>
  <c r="B12" i="39"/>
  <c r="I6" i="39" s="1"/>
  <c r="B11" i="39"/>
  <c r="H6" i="39" s="1"/>
  <c r="G67" i="35"/>
  <c r="X49" i="35" s="1"/>
  <c r="G67" i="39"/>
  <c r="X49" i="39" s="1"/>
  <c r="G67" i="21"/>
  <c r="X49" i="21" s="1"/>
  <c r="X26" i="37"/>
  <c r="O18" i="37"/>
  <c r="W18" i="39"/>
  <c r="X71" i="39"/>
  <c r="W17" i="37"/>
  <c r="B50" i="38"/>
  <c r="B52" i="38" s="1"/>
  <c r="P18" i="38" s="1"/>
  <c r="G43" i="38"/>
  <c r="X51" i="38" s="1"/>
  <c r="C117" i="34"/>
  <c r="G117" i="34" s="1"/>
  <c r="R96" i="34" s="1"/>
  <c r="C124" i="37"/>
  <c r="C118" i="13"/>
  <c r="G118" i="13" s="1"/>
  <c r="P96" i="13" s="1"/>
  <c r="C126" i="37"/>
  <c r="D117" i="34"/>
  <c r="D124" i="37"/>
  <c r="C119" i="34"/>
  <c r="B133" i="34" s="1"/>
  <c r="W85" i="34" s="1"/>
  <c r="C43" i="19"/>
  <c r="C43" i="36"/>
  <c r="B110" i="35"/>
  <c r="W18" i="35" s="1"/>
  <c r="B10" i="13"/>
  <c r="B12" i="13" s="1"/>
  <c r="B48" i="36"/>
  <c r="B47" i="36"/>
  <c r="B49" i="36"/>
  <c r="B49" i="19"/>
  <c r="B47" i="19"/>
  <c r="B48" i="19"/>
  <c r="B83" i="35" l="1"/>
  <c r="W17" i="35" s="1"/>
  <c r="B83" i="21"/>
  <c r="B83" i="39"/>
  <c r="B51" i="38"/>
  <c r="O18" i="38" s="1"/>
  <c r="G124" i="37"/>
  <c r="R101" i="37" s="1"/>
  <c r="G126" i="37"/>
  <c r="N101" i="37" s="1"/>
  <c r="B140" i="37"/>
  <c r="C133" i="34"/>
  <c r="X85" i="34" s="1"/>
  <c r="G119" i="34"/>
  <c r="N96" i="34" s="1"/>
  <c r="B50" i="36"/>
  <c r="B52" i="36" s="1"/>
  <c r="P18" i="36" s="1"/>
  <c r="B50" i="19"/>
  <c r="B51" i="19" s="1"/>
  <c r="O18" i="19" s="1"/>
  <c r="G43" i="36"/>
  <c r="X51" i="36" s="1"/>
  <c r="G43" i="19"/>
  <c r="X51" i="19" s="1"/>
  <c r="X71" i="35"/>
  <c r="I6" i="13"/>
  <c r="B11" i="13"/>
  <c r="H6" i="13" s="1"/>
  <c r="D117" i="13"/>
  <c r="D119" i="13"/>
  <c r="S103" i="4"/>
  <c r="V103" i="4" s="1"/>
  <c r="K103" i="4" s="1"/>
  <c r="X39" i="35" l="1"/>
  <c r="X39" i="39"/>
  <c r="W17" i="39"/>
  <c r="W17" i="21"/>
  <c r="X39" i="21"/>
  <c r="X25" i="38"/>
  <c r="W90" i="37"/>
  <c r="C140" i="37"/>
  <c r="B134" i="34"/>
  <c r="B9" i="34" s="1"/>
  <c r="B10" i="34" s="1"/>
  <c r="B52" i="19"/>
  <c r="P18" i="19" s="1"/>
  <c r="B51" i="36"/>
  <c r="O18" i="36" s="1"/>
  <c r="X25" i="19"/>
  <c r="S105" i="4"/>
  <c r="V105" i="4" s="1"/>
  <c r="K105" i="4" s="1"/>
  <c r="B119" i="13"/>
  <c r="U96" i="13" s="1"/>
  <c r="I105" i="4"/>
  <c r="B117" i="13"/>
  <c r="Q96" i="13" s="1"/>
  <c r="I103" i="4"/>
  <c r="L103" i="4" s="1"/>
  <c r="AO2" i="5" s="1"/>
  <c r="X90" i="37" l="1"/>
  <c r="B141" i="37"/>
  <c r="B135" i="34"/>
  <c r="V18" i="34" s="1"/>
  <c r="X25" i="36"/>
  <c r="B12" i="34"/>
  <c r="I6" i="34" s="1"/>
  <c r="B11" i="34"/>
  <c r="H6" i="34" s="1"/>
  <c r="M105" i="4"/>
  <c r="N105" i="4" s="1"/>
  <c r="I3" i="4"/>
  <c r="S3" i="4"/>
  <c r="V3" i="4" s="1"/>
  <c r="K3" i="4" s="1"/>
  <c r="L105" i="4"/>
  <c r="AP2" i="5" s="1"/>
  <c r="M103" i="4"/>
  <c r="B142" i="37" l="1"/>
  <c r="V18" i="37" s="1"/>
  <c r="B9" i="37"/>
  <c r="B10" i="37" s="1"/>
  <c r="O105" i="4"/>
  <c r="X105" i="4"/>
  <c r="L3" i="4"/>
  <c r="X103" i="4"/>
  <c r="C125" i="37" s="1"/>
  <c r="O103" i="4"/>
  <c r="N103" i="4"/>
  <c r="B108" i="21"/>
  <c r="B106" i="21"/>
  <c r="G125" i="37" l="1"/>
  <c r="V101" i="37" s="1"/>
  <c r="C120" i="34"/>
  <c r="G120" i="34" s="1"/>
  <c r="X96" i="34" s="1"/>
  <c r="C127" i="37"/>
  <c r="B12" i="37"/>
  <c r="I6" i="37" s="1"/>
  <c r="B11" i="37"/>
  <c r="H6" i="37" s="1"/>
  <c r="C140" i="13"/>
  <c r="G140" i="13" s="1"/>
  <c r="X136" i="13" s="1"/>
  <c r="C118" i="34"/>
  <c r="B109" i="21"/>
  <c r="B111" i="21" s="1"/>
  <c r="X18" i="21" s="1"/>
  <c r="B2" i="17"/>
  <c r="B2" i="20"/>
  <c r="C117" i="13"/>
  <c r="C119" i="13"/>
  <c r="G119" i="13" s="1"/>
  <c r="X96" i="13" s="1"/>
  <c r="B2" i="5"/>
  <c r="B2" i="18"/>
  <c r="B144" i="13"/>
  <c r="B135" i="37"/>
  <c r="B142" i="13"/>
  <c r="B128" i="34"/>
  <c r="B133" i="37"/>
  <c r="B126" i="34"/>
  <c r="B127" i="13"/>
  <c r="B143" i="13"/>
  <c r="B134" i="37"/>
  <c r="B127" i="34"/>
  <c r="B126" i="13"/>
  <c r="B125" i="13"/>
  <c r="B136" i="37" l="1"/>
  <c r="B137" i="37" s="1"/>
  <c r="G127" i="37"/>
  <c r="X101" i="37" s="1"/>
  <c r="B129" i="34"/>
  <c r="B131" i="34" s="1"/>
  <c r="X18" i="34" s="1"/>
  <c r="G118" i="34"/>
  <c r="V96" i="34" s="1"/>
  <c r="B145" i="13"/>
  <c r="B147" i="13" s="1"/>
  <c r="X19" i="13" s="1"/>
  <c r="G117" i="13"/>
  <c r="B110" i="21"/>
  <c r="B128" i="13"/>
  <c r="B130" i="13" s="1"/>
  <c r="X18" i="13" s="1"/>
  <c r="W18" i="37" l="1"/>
  <c r="X81" i="37"/>
  <c r="B138" i="37"/>
  <c r="X18" i="37" s="1"/>
  <c r="B130" i="34"/>
  <c r="W18" i="34" s="1"/>
  <c r="T96" i="13"/>
  <c r="B146" i="13"/>
  <c r="W18" i="21"/>
  <c r="X71" i="21"/>
  <c r="B129" i="13"/>
  <c r="X76" i="34" l="1"/>
  <c r="X102" i="13"/>
  <c r="W19" i="13"/>
  <c r="W18" i="13"/>
  <c r="X76" i="13"/>
  <c r="V67" i="4"/>
  <c r="G65" i="4"/>
  <c r="G66" i="4" l="1"/>
  <c r="S65" i="4"/>
  <c r="V65" i="4" s="1"/>
  <c r="I65" i="4"/>
  <c r="B73" i="34" l="1"/>
  <c r="U58" i="34" s="1"/>
  <c r="B80" i="37"/>
  <c r="U63" i="37" s="1"/>
  <c r="S66" i="4"/>
  <c r="V66" i="4" s="1"/>
  <c r="K66" i="4" s="1"/>
  <c r="G67" i="4"/>
  <c r="B73" i="13"/>
  <c r="U58" i="13" s="1"/>
  <c r="I66" i="4"/>
  <c r="H65" i="4"/>
  <c r="K65" i="4" s="1"/>
  <c r="L65" i="4" s="1"/>
  <c r="B74" i="34" l="1"/>
  <c r="U59" i="34" s="1"/>
  <c r="B81" i="37"/>
  <c r="U64" i="37" s="1"/>
  <c r="M65" i="4"/>
  <c r="O65" i="4" s="1"/>
  <c r="L66" i="4"/>
  <c r="M66" i="4"/>
  <c r="S67" i="4"/>
  <c r="B74" i="13"/>
  <c r="U59" i="13" s="1"/>
  <c r="I67" i="4"/>
  <c r="X65" i="4" l="1"/>
  <c r="C72" i="13" s="1"/>
  <c r="N65" i="4"/>
  <c r="H67" i="4"/>
  <c r="K67" i="4" s="1"/>
  <c r="L67" i="4" s="1"/>
  <c r="X66" i="4"/>
  <c r="C80" i="37" s="1"/>
  <c r="G80" i="37" s="1"/>
  <c r="N66" i="4"/>
  <c r="O66" i="4"/>
  <c r="C72" i="34" l="1"/>
  <c r="G72" i="34" s="1"/>
  <c r="X57" i="34" s="1"/>
  <c r="C79" i="37"/>
  <c r="C73" i="13"/>
  <c r="G73" i="13" s="1"/>
  <c r="C73" i="34"/>
  <c r="M67" i="4"/>
  <c r="N67" i="4" s="1"/>
  <c r="G72" i="13"/>
  <c r="X57" i="13" s="1"/>
  <c r="G6" i="4" l="1"/>
  <c r="I6" i="4" s="1"/>
  <c r="L6" i="4" s="1"/>
  <c r="G79" i="37"/>
  <c r="X62" i="37" s="1"/>
  <c r="X67" i="4"/>
  <c r="C74" i="13" s="1"/>
  <c r="Y67" i="4"/>
  <c r="O67" i="4"/>
  <c r="G73" i="34"/>
  <c r="B77" i="13"/>
  <c r="B78" i="13"/>
  <c r="B79" i="13"/>
  <c r="G5" i="4" l="1"/>
  <c r="S5" i="4" s="1"/>
  <c r="G4" i="4"/>
  <c r="S6" i="4"/>
  <c r="D74" i="13"/>
  <c r="I60" i="13" s="1"/>
  <c r="D81" i="37"/>
  <c r="I65" i="37" s="1"/>
  <c r="C74" i="34"/>
  <c r="G74" i="34" s="1"/>
  <c r="X59" i="34" s="1"/>
  <c r="C81" i="37"/>
  <c r="D74" i="34"/>
  <c r="I60" i="34" s="1"/>
  <c r="B80" i="13"/>
  <c r="B82" i="13" s="1"/>
  <c r="P19" i="13" s="1"/>
  <c r="G74" i="13"/>
  <c r="X59" i="13" s="1"/>
  <c r="B78" i="34"/>
  <c r="B85" i="37"/>
  <c r="B84" i="37"/>
  <c r="B77" i="34"/>
  <c r="B79" i="34"/>
  <c r="B86" i="37"/>
  <c r="G7" i="4" l="1"/>
  <c r="I7" i="4" s="1"/>
  <c r="L7" i="4" s="1"/>
  <c r="S3" i="39" s="1"/>
  <c r="I5" i="4"/>
  <c r="L5" i="4" s="1"/>
  <c r="S4" i="4"/>
  <c r="I4" i="4"/>
  <c r="L4" i="4" s="1"/>
  <c r="B80" i="34"/>
  <c r="B82" i="34" s="1"/>
  <c r="P19" i="34" s="1"/>
  <c r="B87" i="37"/>
  <c r="B88" i="37" s="1"/>
  <c r="G81" i="37"/>
  <c r="X64" i="37" s="1"/>
  <c r="B81" i="13"/>
  <c r="O19" i="13" s="1"/>
  <c r="S7" i="4" l="1"/>
  <c r="G9" i="4"/>
  <c r="T3" i="39" s="1"/>
  <c r="B81" i="34"/>
  <c r="O19" i="34" s="1"/>
  <c r="S3" i="35"/>
  <c r="S3" i="21"/>
  <c r="S3" i="37"/>
  <c r="S3" i="38"/>
  <c r="S3" i="19"/>
  <c r="S3" i="36"/>
  <c r="X45" i="13"/>
  <c r="O19" i="37"/>
  <c r="X49" i="37"/>
  <c r="B89" i="37"/>
  <c r="P19" i="37" s="1"/>
  <c r="S3" i="13"/>
  <c r="S3" i="34"/>
  <c r="S9" i="4" l="1"/>
  <c r="I9" i="4"/>
  <c r="L9" i="4" s="1"/>
  <c r="D2" i="20" s="1"/>
  <c r="T3" i="35"/>
  <c r="T3" i="21"/>
  <c r="T3" i="13"/>
  <c r="T3" i="36"/>
  <c r="T3" i="34"/>
  <c r="T3" i="19"/>
  <c r="T3" i="38"/>
  <c r="T3" i="37"/>
  <c r="X45" i="34"/>
  <c r="D2" i="5" l="1"/>
  <c r="D2" i="18"/>
  <c r="D2"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Jeff LeSauvage</author>
    <author>tc={0EC31153-46CF-4B93-87C2-1AAFE1C6EDE1}</author>
    <author>tc={CC86EC88-34D8-4002-8780-D617273D2EDA}</author>
    <author>tc={A285CBA1-6C45-475C-B448-932674149C3F}</author>
  </authors>
  <commentList>
    <comment ref="W1" authorId="0" shapeId="0" xr:uid="{00000000-0006-0000-0600-000001000000}">
      <text>
        <r>
          <rPr>
            <b/>
            <sz val="9"/>
            <color indexed="81"/>
            <rFont val="Tahoma"/>
            <family val="2"/>
          </rPr>
          <t>Tip:</t>
        </r>
        <r>
          <rPr>
            <sz val="9"/>
            <color indexed="81"/>
            <rFont val="Tahoma"/>
            <family val="2"/>
          </rPr>
          <t xml:space="preserve"> Most fields are flagged as '1' so that all status codes are utilized in %age complete calc.  However, some are ignored (such as </t>
        </r>
        <r>
          <rPr>
            <sz val="9"/>
            <color indexed="81"/>
            <rFont val="Tahoma"/>
            <family val="2"/>
          </rPr>
          <t xml:space="preserve">
PROJ_ID and APP_COMPLETE_FLAG since they are behind-the-scenes calcualtions that don't impact the progress of the app and thus we don't want any status indicators to be utilized in the %age complete. Others, such as Unit Group Totals are marked as '2', which means if an error exists (units exceed total ahp units, which is a stopping error), that error code of zero (0) will flow through and thus never allow the user to hit 100% complete (until the errors are cleared up)</t>
        </r>
      </text>
    </comment>
    <comment ref="G10" authorId="0" shapeId="0" xr:uid="{00000000-0006-0000-0600-000002000000}">
      <text>
        <r>
          <rPr>
            <b/>
            <sz val="9"/>
            <color indexed="81"/>
            <rFont val="Tahoma"/>
            <family val="2"/>
          </rPr>
          <t>Author:</t>
        </r>
        <r>
          <rPr>
            <sz val="9"/>
            <color indexed="81"/>
            <rFont val="Tahoma"/>
            <family val="2"/>
          </rPr>
          <t xml:space="preserve">
Since bank can change items (such as AMI) via the config tab without dev intervention, they need to be abel to increment the version # of the eForm so that the PMT can recognize dated versions of hte form(s).  We handle this by allowing Bank to update minor revision #s, with major &amp; sub-major controlled via hidden/read-only config to be updated by developer on major changes.
</t>
        </r>
      </text>
    </comment>
    <comment ref="G22" authorId="1" shapeId="0" xr:uid="{D17FA695-D106-4C45-B489-6F2444CCAEC6}">
      <text>
        <r>
          <rPr>
            <b/>
            <sz val="9"/>
            <color indexed="81"/>
            <rFont val="Tahoma"/>
            <family val="2"/>
          </rPr>
          <t>Jeff LeSauvage:</t>
        </r>
        <r>
          <rPr>
            <sz val="9"/>
            <color indexed="81"/>
            <rFont val="Tahoma"/>
            <family val="2"/>
          </rPr>
          <t xml:space="preserve">
DEFAULT TO 'FALSE' SO THAT VALUE OF 'N' IS REPRESENTED ON EXPORT. THIS IS TO ENSRUE PROPER IMPORT AFTER THIS FIELD REMOVED FROM EFORM (SINCE IT'S MAPPED TO A REQUIRED FIELD IN THE PMT)</t>
        </r>
      </text>
    </comment>
    <comment ref="G52" authorId="2" shapeId="0" xr:uid="{0EC31153-46CF-4B93-87C2-1AAFE1C6EDE1}">
      <text>
        <t>[Threaded comment]
Your version of Excel allows you to read this threaded comment; however, any edits to it will get removed if the file is opened in a newer version of Excel. Learn more: https://go.microsoft.com/fwlink/?linkid=870924
Comment:
    MAY 2026 - QUESTION REMOVED FROM RESERVATION REQUEST FORM -&gt; DEFAULTED TO ‘NO’ FOR PURPOSES OF IMPORT INTO PMT AND AHP SA SYSTEM (FOR REMAINDER OF 2026 ROUND, TBD IF FIELD ENTIRELY REMOVED FOR 2027 ROUND WHICH WOULD REQUIRE SYSTEM CHANGES)</t>
      </text>
    </comment>
    <comment ref="W52" authorId="3" shapeId="0" xr:uid="{CC86EC88-34D8-4002-8780-D617273D2EDA}">
      <text>
        <t>[Threaded comment]
Your version of Excel allows you to read this threaded comment; however, any edits to it will get removed if the file is opened in a newer version of Excel. Learn more: https://go.microsoft.com/fwlink/?linkid=870924
Comment:
    FIELD REMOVED FROM HDP WB RES REQ UI IN MAY 2026, LEFT IN DATA HAS HARDCODED TO FALSE/NO FOR REMAINDER OF 2026 ROUND.  TO AVOID SHOWING % COMPLETE &gt; 0 AT FIRST ENTRY TO FORM, IT HAS BEEN REMOVED FROM % COMPLETE CALCULATION (VIA SETTING THIS FIELD TO 0)</t>
      </text>
    </comment>
    <comment ref="H104" authorId="4" shapeId="0" xr:uid="{A285CBA1-6C45-475C-B448-932674149C3F}">
      <text>
        <t>[Threaded comment]
Your version of Excel allows you to read this threaded comment; however, any edits to it will get removed if the file is opened in a newer version of Excel. Learn more: https://go.microsoft.com/fwlink/?linkid=870924
Comment:
    For HDP, if income is over max allowable income, it is NOT a fatal error that prevents 100% completion (existing functionality).
For HDP+ and HDP WB, income outside of the allowable range IS a fatal error that prevents 100% completion</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<sst xmlns="http://schemas.openxmlformats.org/spreadsheetml/2006/main" count="40181" uniqueCount="9350">
  <si>
    <t>FIELD_ID</t>
  </si>
  <si>
    <t>FIELD_DESC</t>
  </si>
  <si>
    <t>FIELD_VALUE_RAW</t>
  </si>
  <si>
    <t>FIELD_VALUE_CLEAN</t>
  </si>
  <si>
    <t>FIELD_REQ_FLAG</t>
  </si>
  <si>
    <t>CONFIG_VAR</t>
  </si>
  <si>
    <t>CONFIG_DESC</t>
  </si>
  <si>
    <t>CONFIG_TYPE</t>
  </si>
  <si>
    <t>CONFIG_VALUE</t>
  </si>
  <si>
    <t>Text</t>
  </si>
  <si>
    <t>MAP:{$DB.EXPORT}</t>
  </si>
  <si>
    <t>a</t>
  </si>
  <si>
    <t>r</t>
  </si>
  <si>
    <t>Webdings</t>
  </si>
  <si>
    <t>FIELD_STATUS_CODE</t>
  </si>
  <si>
    <t>FIELD_STATUS_DISPLAY</t>
  </si>
  <si>
    <t>FIELD_STATUS_ICON</t>
  </si>
  <si>
    <t>Not Required, Empty</t>
  </si>
  <si>
    <t>Invalid</t>
  </si>
  <si>
    <t>Required, Empty</t>
  </si>
  <si>
    <t>Valid</t>
  </si>
  <si>
    <t>FIELD_STATUS_DESCRIPTION</t>
  </si>
  <si>
    <t>i</t>
  </si>
  <si>
    <t>FIELD_STATUS_ICON_FONT</t>
  </si>
  <si>
    <t>FIELD_STATUS_COMMENT</t>
  </si>
  <si>
    <t>Required</t>
  </si>
  <si>
    <t>Invalid Value</t>
  </si>
  <si>
    <t>OK</t>
  </si>
  <si>
    <t>Optional</t>
  </si>
  <si>
    <t>FIELD_EMPTY_FLAG</t>
  </si>
  <si>
    <t>FIELD_VALID_FLAG</t>
  </si>
  <si>
    <t>Date</t>
  </si>
  <si>
    <t>PAGE_BANNER_TITLE</t>
  </si>
  <si>
    <t>LOOKUP_CODE</t>
  </si>
  <si>
    <t>LOOKUP_VALUE</t>
  </si>
  <si>
    <t>SHEET_REF_CALC</t>
  </si>
  <si>
    <t>APPSTART_BUTTON_TEXT</t>
  </si>
  <si>
    <t>APPSTART_BUTTON_DEST</t>
  </si>
  <si>
    <t>Number</t>
  </si>
  <si>
    <t>FIELD_TYPE</t>
  </si>
  <si>
    <t>$DB.CONFIG.TBL_CONFIG_FIELDSTATUSCODES::[F|J]</t>
  </si>
  <si>
    <t>TRIM_TEXT_FLAG</t>
  </si>
  <si>
    <t>RANGE_VALUE_LEN</t>
  </si>
  <si>
    <t>RANGE_VALIDATION_ON_FLAG</t>
  </si>
  <si>
    <t>RANGE_VALIDATION_MIN</t>
  </si>
  <si>
    <t>RANGE_VALIDATION_MAX</t>
  </si>
  <si>
    <t>RANGE_VALIDATION_PASSED_FLAG</t>
  </si>
  <si>
    <t>FIELD_VALID_CUSTOM_LOGIC</t>
  </si>
  <si>
    <t>Custom Logic - Field Specific</t>
  </si>
  <si>
    <t>Custom Logic + Validation</t>
  </si>
  <si>
    <t>City</t>
  </si>
  <si>
    <t>State</t>
  </si>
  <si>
    <t>Zip Code</t>
  </si>
  <si>
    <t xml:space="preserve"> </t>
  </si>
  <si>
    <t>NY</t>
  </si>
  <si>
    <t>CT</t>
  </si>
  <si>
    <t>WY</t>
  </si>
  <si>
    <t>WI</t>
  </si>
  <si>
    <t>WV</t>
  </si>
  <si>
    <t>WA</t>
  </si>
  <si>
    <t>VA</t>
  </si>
  <si>
    <t>VT</t>
  </si>
  <si>
    <t>UT</t>
  </si>
  <si>
    <t>TX</t>
  </si>
  <si>
    <t>TN</t>
  </si>
  <si>
    <t>SD</t>
  </si>
  <si>
    <t>SC</t>
  </si>
  <si>
    <t>RI</t>
  </si>
  <si>
    <t>PR</t>
  </si>
  <si>
    <t>PA</t>
  </si>
  <si>
    <t>OR</t>
  </si>
  <si>
    <t>OH</t>
  </si>
  <si>
    <t>ND</t>
  </si>
  <si>
    <t>NC</t>
  </si>
  <si>
    <t>NM</t>
  </si>
  <si>
    <t>NJ</t>
  </si>
  <si>
    <t>NH</t>
  </si>
  <si>
    <t>NV</t>
  </si>
  <si>
    <t>NE</t>
  </si>
  <si>
    <t>MT</t>
  </si>
  <si>
    <t>MO</t>
  </si>
  <si>
    <t>MS</t>
  </si>
  <si>
    <t>MN</t>
  </si>
  <si>
    <t>MI</t>
  </si>
  <si>
    <t>MA</t>
  </si>
  <si>
    <t>MD</t>
  </si>
  <si>
    <t>ME</t>
  </si>
  <si>
    <t>LA</t>
  </si>
  <si>
    <t>KY</t>
  </si>
  <si>
    <t>KS</t>
  </si>
  <si>
    <t>IA</t>
  </si>
  <si>
    <t>IN</t>
  </si>
  <si>
    <t>IL</t>
  </si>
  <si>
    <t>ID</t>
  </si>
  <si>
    <t>HI</t>
  </si>
  <si>
    <t>GA</t>
  </si>
  <si>
    <t>FL</t>
  </si>
  <si>
    <t>DE</t>
  </si>
  <si>
    <t>CO</t>
  </si>
  <si>
    <t>CA</t>
  </si>
  <si>
    <t>AR</t>
  </si>
  <si>
    <t>AZ</t>
  </si>
  <si>
    <t>AK</t>
  </si>
  <si>
    <t>AL</t>
  </si>
  <si>
    <t>STATE_CODE</t>
  </si>
  <si>
    <t>County</t>
  </si>
  <si>
    <t>.</t>
  </si>
  <si>
    <t>RANGE_VALIDATION_FLAG</t>
  </si>
  <si>
    <t>APP_PROGRESS_DONE_COUNT</t>
  </si>
  <si>
    <t>APP_PROGRESS_TOTAL_COUNT</t>
  </si>
  <si>
    <t>APP_PROGRESS_ERROR_COUNT</t>
  </si>
  <si>
    <t>SECTION_1_DONE_COUNT</t>
  </si>
  <si>
    <t>SECTION_1_TOTAL_COUNT</t>
  </si>
  <si>
    <t>SECTION_1_ERROR_COUNT</t>
  </si>
  <si>
    <t>SECTION_1_PROGRESS_PERCENT</t>
  </si>
  <si>
    <t>SECTION_1_STATUS_TEXT</t>
  </si>
  <si>
    <t>SECTION_1_STATUS_CODE</t>
  </si>
  <si>
    <t>SECTION_1_RANGE</t>
  </si>
  <si>
    <t>SECTION_1</t>
  </si>
  <si>
    <t>SECTION_1_TOC_LABEL</t>
  </si>
  <si>
    <t>SECTION_2</t>
  </si>
  <si>
    <t>SECTION_2_RANGE</t>
  </si>
  <si>
    <t>SECTION_2_DONE_COUNT</t>
  </si>
  <si>
    <t>SECTION_2_TOTAL_COUNT</t>
  </si>
  <si>
    <t>SECTION_2_ERROR_COUNT</t>
  </si>
  <si>
    <t>SECTION_2_PROGRESS_PERCENT</t>
  </si>
  <si>
    <t>SECTION_2_STATUS_TEXT</t>
  </si>
  <si>
    <t>SECTION_2_STATUS_CODE</t>
  </si>
  <si>
    <t>SECTION_2_TOC_LABEL</t>
  </si>
  <si>
    <t>Member Name</t>
  </si>
  <si>
    <t>May Be Calculated Value</t>
  </si>
  <si>
    <t>$DB.CONFIG.TBL_CONFIG_APP::[A|D]</t>
  </si>
  <si>
    <t>Email Address</t>
  </si>
  <si>
    <t>FIELD_EXPORT_FLAG</t>
  </si>
  <si>
    <t>EFORM_REVISION_DATE</t>
  </si>
  <si>
    <t>Last eForm Revision Date</t>
  </si>
  <si>
    <t>APP_PROGRESS_PCT_COMPLETE</t>
  </si>
  <si>
    <t>Y/N</t>
  </si>
  <si>
    <t>N/A</t>
  </si>
  <si>
    <t>DEVELOPER_COMMENTS</t>
  </si>
  <si>
    <t>VI</t>
  </si>
  <si>
    <t>SECTION_3</t>
  </si>
  <si>
    <t>SECTION_3_RANGE</t>
  </si>
  <si>
    <t>SECTION_3_DONE_COUNT</t>
  </si>
  <si>
    <t>SECTION_3_TOTAL_COUNT</t>
  </si>
  <si>
    <t>SECTION_3_ERROR_COUNT</t>
  </si>
  <si>
    <t>SECTION_3_PROGRESS_PERCENT</t>
  </si>
  <si>
    <t>SECTION_3_STATUS_TEXT</t>
  </si>
  <si>
    <t>SECTION_3_STATUS_CODE</t>
  </si>
  <si>
    <t>SECTION_3_TOC_LABEL</t>
  </si>
  <si>
    <t>PCT_CALC_FIELD_STATUS_CODE</t>
  </si>
  <si>
    <t>PCT_CALC_SHOW_STATUS_CODE</t>
  </si>
  <si>
    <t>SECTION_4</t>
  </si>
  <si>
    <t>SECTION_4_RANGE</t>
  </si>
  <si>
    <t>SECTION_4_DONE_COUNT</t>
  </si>
  <si>
    <t>SECTION_4_TOTAL_COUNT</t>
  </si>
  <si>
    <t>SECTION_4_ERROR_COUNT</t>
  </si>
  <si>
    <t>SECTION_4_PROGRESS_PERCENT</t>
  </si>
  <si>
    <t>SECTION_4_STATUS_TEXT</t>
  </si>
  <si>
    <t>SECTION_4_STATUS_CODE</t>
  </si>
  <si>
    <t>SECTION_4_TOC_LABEL</t>
  </si>
  <si>
    <t>{0=No Status; 1=All Status;2=Error Only;}</t>
  </si>
  <si>
    <t>SECTION_5</t>
  </si>
  <si>
    <t>Not Used in UI; PCT_CALC version used instead</t>
  </si>
  <si>
    <t>SECTION_5_RANGE</t>
  </si>
  <si>
    <t>SECTION_5_DONE_COUNT</t>
  </si>
  <si>
    <t>SECTION_5_TOTAL_COUNT</t>
  </si>
  <si>
    <t>SECTION_5_ERROR_COUNT</t>
  </si>
  <si>
    <t>SECTION_5_PROGRESS_PERCENT</t>
  </si>
  <si>
    <t>SECTION_5_STATUS_TEXT</t>
  </si>
  <si>
    <t>SECTION_5_STATUS_CODE</t>
  </si>
  <si>
    <t>SECTION_5_TOC_LABEL</t>
  </si>
  <si>
    <t>ERROR_MESSAGE</t>
  </si>
  <si>
    <t>VMIN</t>
  </si>
  <si>
    <t>VMAX</t>
  </si>
  <si>
    <t>STATUS CODE</t>
  </si>
  <si>
    <t>ERR MESSAGE</t>
  </si>
  <si>
    <t>CELL STATUS CODE</t>
  </si>
  <si>
    <t>FIELD VALUE</t>
  </si>
  <si>
    <t>FIELD ID</t>
  </si>
  <si>
    <t>Yes</t>
  </si>
  <si>
    <t>No</t>
  </si>
  <si>
    <t>$DB.LOOKUP.RANGE_LOOKUP_YESNO</t>
  </si>
  <si>
    <t>HUD</t>
  </si>
  <si>
    <t>$DB.LOOKUP.RANGE_LOOKUP_YESNONA</t>
  </si>
  <si>
    <t>CI_SYSTEM_CODE</t>
  </si>
  <si>
    <t>Table of Contents</t>
  </si>
  <si>
    <t>Condominium</t>
  </si>
  <si>
    <t>Purchase Price</t>
  </si>
  <si>
    <t>EFORM_VERSION_NO</t>
  </si>
  <si>
    <t>VERSION_DISPLAY</t>
  </si>
  <si>
    <t>Round Maintenance &amp; Application Settings</t>
  </si>
  <si>
    <t>$DB.LOOKUP.RANGE_LOOKUP_COUNTY</t>
  </si>
  <si>
    <t>COUNTY_CODE</t>
  </si>
  <si>
    <t>Autauga</t>
  </si>
  <si>
    <t>Baldwin</t>
  </si>
  <si>
    <t>Barbour</t>
  </si>
  <si>
    <t>Bibb</t>
  </si>
  <si>
    <t>Blount</t>
  </si>
  <si>
    <t>Bullock</t>
  </si>
  <si>
    <t>Butler</t>
  </si>
  <si>
    <t>Calhoun</t>
  </si>
  <si>
    <t>Chambers</t>
  </si>
  <si>
    <t>Cherokee</t>
  </si>
  <si>
    <t>Chilton</t>
  </si>
  <si>
    <t>Choctaw</t>
  </si>
  <si>
    <t>Clarke</t>
  </si>
  <si>
    <t>Clay</t>
  </si>
  <si>
    <t>Cleburne</t>
  </si>
  <si>
    <t>Coffee</t>
  </si>
  <si>
    <t>Colbert</t>
  </si>
  <si>
    <t>Conecuh</t>
  </si>
  <si>
    <t>Coosa</t>
  </si>
  <si>
    <t>Covington</t>
  </si>
  <si>
    <t>Crenshaw</t>
  </si>
  <si>
    <t>Cullman</t>
  </si>
  <si>
    <t>Dale</t>
  </si>
  <si>
    <t>Dallas</t>
  </si>
  <si>
    <t>DeKalb</t>
  </si>
  <si>
    <t>Elmore</t>
  </si>
  <si>
    <t>Escambia</t>
  </si>
  <si>
    <t>Etowah</t>
  </si>
  <si>
    <t>Fayette</t>
  </si>
  <si>
    <t>Franklin</t>
  </si>
  <si>
    <t>Geneva</t>
  </si>
  <si>
    <t>Greene</t>
  </si>
  <si>
    <t>Hale</t>
  </si>
  <si>
    <t>Henry</t>
  </si>
  <si>
    <t>Houston</t>
  </si>
  <si>
    <t>Jackson</t>
  </si>
  <si>
    <t>Jefferson</t>
  </si>
  <si>
    <t>Lamar</t>
  </si>
  <si>
    <t>Lauderdale</t>
  </si>
  <si>
    <t>Lawrence</t>
  </si>
  <si>
    <t>Lee</t>
  </si>
  <si>
    <t>Limestone</t>
  </si>
  <si>
    <t>Lowndes</t>
  </si>
  <si>
    <t>Macon</t>
  </si>
  <si>
    <t>Madison</t>
  </si>
  <si>
    <t>Marengo</t>
  </si>
  <si>
    <t>Marion</t>
  </si>
  <si>
    <t>Marshall</t>
  </si>
  <si>
    <t>Mobile</t>
  </si>
  <si>
    <t>Monroe</t>
  </si>
  <si>
    <t>Montgomery</t>
  </si>
  <si>
    <t>Morgan</t>
  </si>
  <si>
    <t>Perry</t>
  </si>
  <si>
    <t>Pickens</t>
  </si>
  <si>
    <t>Pike</t>
  </si>
  <si>
    <t>Randolph</t>
  </si>
  <si>
    <t>Russell</t>
  </si>
  <si>
    <t>St. Clair</t>
  </si>
  <si>
    <t>Shelby</t>
  </si>
  <si>
    <t>Sumter</t>
  </si>
  <si>
    <t>Talladega</t>
  </si>
  <si>
    <t>Tallapoosa</t>
  </si>
  <si>
    <t>Tuscaloosa</t>
  </si>
  <si>
    <t>Walker</t>
  </si>
  <si>
    <t>Washington</t>
  </si>
  <si>
    <t>Wilcox</t>
  </si>
  <si>
    <t>Winston</t>
  </si>
  <si>
    <t>Aleutians East Borough</t>
  </si>
  <si>
    <t>Aleutians West Census Area</t>
  </si>
  <si>
    <t>Bethel Census Area</t>
  </si>
  <si>
    <t>Bristol Bay Borough</t>
  </si>
  <si>
    <t>Dillingham Census Area</t>
  </si>
  <si>
    <t>Fairbanks North Star Borough</t>
  </si>
  <si>
    <t>Haines Borough</t>
  </si>
  <si>
    <t>Kenai Peninsula Borough</t>
  </si>
  <si>
    <t>Ketchikan Gateway Borough</t>
  </si>
  <si>
    <t>Kodiak Island Borough</t>
  </si>
  <si>
    <t>Lake and Peninsula Borough</t>
  </si>
  <si>
    <t>Matanuska-Susitna Borough</t>
  </si>
  <si>
    <t>Nome Census Area</t>
  </si>
  <si>
    <t>North Slope Borough</t>
  </si>
  <si>
    <t>Northwest Arctic Borough</t>
  </si>
  <si>
    <t>Southeast Fairbanks Census Area</t>
  </si>
  <si>
    <t>Yukon-Koyukuk Census Area</t>
  </si>
  <si>
    <t>Apache</t>
  </si>
  <si>
    <t>Cochise</t>
  </si>
  <si>
    <t>Coconino</t>
  </si>
  <si>
    <t>Gila</t>
  </si>
  <si>
    <t>Graham</t>
  </si>
  <si>
    <t>Greenlee</t>
  </si>
  <si>
    <t>La Paz</t>
  </si>
  <si>
    <t>Maricopa</t>
  </si>
  <si>
    <t>Mohave</t>
  </si>
  <si>
    <t>Navajo</t>
  </si>
  <si>
    <t>Pima</t>
  </si>
  <si>
    <t>Pinal</t>
  </si>
  <si>
    <t>Santa Cruz</t>
  </si>
  <si>
    <t>Yavapai</t>
  </si>
  <si>
    <t>Yuma</t>
  </si>
  <si>
    <t>Arkansas</t>
  </si>
  <si>
    <t>Ashley</t>
  </si>
  <si>
    <t>Baxter</t>
  </si>
  <si>
    <t>Benton</t>
  </si>
  <si>
    <t>Boone</t>
  </si>
  <si>
    <t>Bradley</t>
  </si>
  <si>
    <t>Carroll</t>
  </si>
  <si>
    <t>Chicot</t>
  </si>
  <si>
    <t>Clark</t>
  </si>
  <si>
    <t>Cleveland</t>
  </si>
  <si>
    <t>Columbia</t>
  </si>
  <si>
    <t>Conway</t>
  </si>
  <si>
    <t>Craighead</t>
  </si>
  <si>
    <t>Crawford</t>
  </si>
  <si>
    <t>Crittenden</t>
  </si>
  <si>
    <t>Cross</t>
  </si>
  <si>
    <t>Desha</t>
  </si>
  <si>
    <t>Drew</t>
  </si>
  <si>
    <t>Faulkner</t>
  </si>
  <si>
    <t>Fulton</t>
  </si>
  <si>
    <t>Garland</t>
  </si>
  <si>
    <t>Grant</t>
  </si>
  <si>
    <t>Hempstead</t>
  </si>
  <si>
    <t>Hot Spring</t>
  </si>
  <si>
    <t>Howard</t>
  </si>
  <si>
    <t>Independence</t>
  </si>
  <si>
    <t>Izard</t>
  </si>
  <si>
    <t>Johnson</t>
  </si>
  <si>
    <t>Lafayette</t>
  </si>
  <si>
    <t>Lincoln</t>
  </si>
  <si>
    <t>Little River</t>
  </si>
  <si>
    <t>Logan</t>
  </si>
  <si>
    <t>Lonoke</t>
  </si>
  <si>
    <t>Miller</t>
  </si>
  <si>
    <t>Mississippi</t>
  </si>
  <si>
    <t>Nevada</t>
  </si>
  <si>
    <t>Newton</t>
  </si>
  <si>
    <t>Ouachita</t>
  </si>
  <si>
    <t>Phillips</t>
  </si>
  <si>
    <t>Poinsett</t>
  </si>
  <si>
    <t>Polk</t>
  </si>
  <si>
    <t>Pope</t>
  </si>
  <si>
    <t>Prairie</t>
  </si>
  <si>
    <t>Pulaski</t>
  </si>
  <si>
    <t>St. Francis</t>
  </si>
  <si>
    <t>Saline</t>
  </si>
  <si>
    <t>Scott</t>
  </si>
  <si>
    <t>Searcy</t>
  </si>
  <si>
    <t>Sebastian</t>
  </si>
  <si>
    <t>Sevier</t>
  </si>
  <si>
    <t>Sharp</t>
  </si>
  <si>
    <t>Stone</t>
  </si>
  <si>
    <t>Union</t>
  </si>
  <si>
    <t>Van Buren</t>
  </si>
  <si>
    <t>White</t>
  </si>
  <si>
    <t>Woodruff</t>
  </si>
  <si>
    <t>Yell</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</si>
  <si>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</si>
  <si>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</si>
  <si>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</si>
  <si>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</si>
  <si>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</si>
  <si>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</si>
  <si>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</si>
  <si>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</si>
  <si>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</si>
  <si>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</si>
  <si>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</si>
  <si>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</si>
  <si>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</si>
  <si>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</si>
  <si>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</si>
  <si>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</si>
  <si>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</si>
  <si>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</si>
  <si>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</si>
  <si>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</si>
  <si>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</si>
  <si>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</si>
  <si>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</si>
  <si>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</si>
  <si>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</si>
  <si>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</si>
  <si>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</si>
  <si>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</si>
  <si>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Orange</t>
  </si>
  <si>
    <t>Placer</t>
  </si>
  <si>
    <t>Plumas</t>
  </si>
  <si>
    <t>Riverside</t>
  </si>
  <si>
    <t>Sacramento</t>
  </si>
  <si>
    <t>San Benito</t>
  </si>
  <si>
    <t>San Bernardino</t>
  </si>
  <si>
    <t>San Diego</t>
  </si>
  <si>
    <t>San Francisco</t>
  </si>
  <si>
    <t>San Joaquin</t>
  </si>
  <si>
    <t>San Luis Obispo</t>
  </si>
  <si>
    <t>San Mateo</t>
  </si>
  <si>
    <t>Santa Barbara</t>
  </si>
  <si>
    <t>Santa Clara</t>
  </si>
  <si>
    <t>Shasta</t>
  </si>
  <si>
    <t>Sierra</t>
  </si>
  <si>
    <t>Siskiyou</t>
  </si>
  <si>
    <t>Solano</t>
  </si>
  <si>
    <t>Sonoma</t>
  </si>
  <si>
    <t>Stanislaus</t>
  </si>
  <si>
    <t>Sutter</t>
  </si>
  <si>
    <t>Tehama</t>
  </si>
  <si>
    <t>Trinity</t>
  </si>
  <si>
    <t>Tulare</t>
  </si>
  <si>
    <t>Tuolumne</t>
  </si>
  <si>
    <t>Ventura</t>
  </si>
  <si>
    <t>Yolo</t>
  </si>
  <si>
    <t>Yuba</t>
  </si>
  <si>
    <t>Adams</t>
  </si>
  <si>
    <t>Alamosa</t>
  </si>
  <si>
    <t>Arapahoe</t>
  </si>
  <si>
    <t>Archuleta</t>
  </si>
  <si>
    <t>Baca</t>
  </si>
  <si>
    <t>Bent</t>
  </si>
  <si>
    <t>Boulder</t>
  </si>
  <si>
    <t>Chaffee</t>
  </si>
  <si>
    <t>Cheyenne</t>
  </si>
  <si>
    <t>Clear Creek</t>
  </si>
  <si>
    <t>Conejos</t>
  </si>
  <si>
    <t>Costilla</t>
  </si>
  <si>
    <t>Crowley</t>
  </si>
  <si>
    <t>Custer</t>
  </si>
  <si>
    <t>Delta</t>
  </si>
  <si>
    <t>Denver</t>
  </si>
  <si>
    <t>Dolores</t>
  </si>
  <si>
    <t>Douglas</t>
  </si>
  <si>
    <t>Eagle</t>
  </si>
  <si>
    <t>Elbert</t>
  </si>
  <si>
    <t>El Paso</t>
  </si>
  <si>
    <t>Fremont</t>
  </si>
  <si>
    <t>Garfield</t>
  </si>
  <si>
    <t>Gilpin</t>
  </si>
  <si>
    <t>Grand</t>
  </si>
  <si>
    <t>Gunnison</t>
  </si>
  <si>
    <t>Hinsdale</t>
  </si>
  <si>
    <t>Huerfano</t>
  </si>
  <si>
    <t>Kiowa</t>
  </si>
  <si>
    <t>Kit Carson</t>
  </si>
  <si>
    <t>La Plata</t>
  </si>
  <si>
    <t>Larimer</t>
  </si>
  <si>
    <t>Las Animas</t>
  </si>
  <si>
    <t>Mesa</t>
  </si>
  <si>
    <t>Mineral</t>
  </si>
  <si>
    <t>Moffat</t>
  </si>
  <si>
    <t>Montezuma</t>
  </si>
  <si>
    <t>Montrose</t>
  </si>
  <si>
    <t>Otero</t>
  </si>
  <si>
    <t>Ouray</t>
  </si>
  <si>
    <t>Park</t>
  </si>
  <si>
    <t>Pitkin</t>
  </si>
  <si>
    <t>Prowers</t>
  </si>
  <si>
    <t>Pueblo</t>
  </si>
  <si>
    <t>Rio Blanco</t>
  </si>
  <si>
    <t>Rio Grande</t>
  </si>
  <si>
    <t>Routt</t>
  </si>
  <si>
    <t>Saguache</t>
  </si>
  <si>
    <t>San Juan</t>
  </si>
  <si>
    <t>San Miguel</t>
  </si>
  <si>
    <t>Sedgwick</t>
  </si>
  <si>
    <t>Summit</t>
  </si>
  <si>
    <t>Teller</t>
  </si>
  <si>
    <t>Weld</t>
  </si>
  <si>
    <t>Fairfield</t>
  </si>
  <si>
    <t>Hartford</t>
  </si>
  <si>
    <t>Litchfield</t>
  </si>
  <si>
    <t>Middlesex</t>
  </si>
  <si>
    <t>New Haven</t>
  </si>
  <si>
    <t>New London</t>
  </si>
  <si>
    <t>Tolland</t>
  </si>
  <si>
    <t>Windham</t>
  </si>
  <si>
    <t>Kent</t>
  </si>
  <si>
    <t>New Castle</t>
  </si>
  <si>
    <t>Sussex</t>
  </si>
  <si>
    <t>District of Columbia</t>
  </si>
  <si>
    <t>DC</t>
  </si>
  <si>
    <t>Alachua</t>
  </si>
  <si>
    <t>Baker</t>
  </si>
  <si>
    <t>Bay</t>
  </si>
  <si>
    <t>Bradford</t>
  </si>
  <si>
    <t>Brevard</t>
  </si>
  <si>
    <t>Broward</t>
  </si>
  <si>
    <t>Charlotte</t>
  </si>
  <si>
    <t>Citrus</t>
  </si>
  <si>
    <t>Collier</t>
  </si>
  <si>
    <t>Dade</t>
  </si>
  <si>
    <t>DeSoto</t>
  </si>
  <si>
    <t>Dixie</t>
  </si>
  <si>
    <t>Duval</t>
  </si>
  <si>
    <t>Flagler</t>
  </si>
  <si>
    <t>Gadsden</t>
  </si>
  <si>
    <t>Gilchrist</t>
  </si>
  <si>
    <t>Glades</t>
  </si>
  <si>
    <t>Gulf</t>
  </si>
  <si>
    <t>Hamilton</t>
  </si>
  <si>
    <t>Hardee</t>
  </si>
  <si>
    <t>Hendry</t>
  </si>
  <si>
    <t>Hernando</t>
  </si>
  <si>
    <t>Highlands</t>
  </si>
  <si>
    <t>Hillsborough</t>
  </si>
  <si>
    <t>Holmes</t>
  </si>
  <si>
    <t>Indian River</t>
  </si>
  <si>
    <t>Leon</t>
  </si>
  <si>
    <t>Levy</t>
  </si>
  <si>
    <t>Liberty</t>
  </si>
  <si>
    <t>Manatee</t>
  </si>
  <si>
    <t>Martin</t>
  </si>
  <si>
    <t>Nassau</t>
  </si>
  <si>
    <t>Okaloosa</t>
  </si>
  <si>
    <t>Okeechobee</t>
  </si>
  <si>
    <t>Osceola</t>
  </si>
  <si>
    <t>Palm Beach</t>
  </si>
  <si>
    <t>Pasco</t>
  </si>
  <si>
    <t>Pinellas</t>
  </si>
  <si>
    <t>Putnam</t>
  </si>
  <si>
    <t>St. Johns</t>
  </si>
  <si>
    <t>St. Lucie</t>
  </si>
  <si>
    <t>Santa Rosa</t>
  </si>
  <si>
    <t>Sarasota</t>
  </si>
  <si>
    <t>Seminole</t>
  </si>
  <si>
    <t>Suwannee</t>
  </si>
  <si>
    <t>Taylor</t>
  </si>
  <si>
    <t>Volusia</t>
  </si>
  <si>
    <t>Wakulla</t>
  </si>
  <si>
    <t>Walton</t>
  </si>
  <si>
    <t>Appling</t>
  </si>
  <si>
    <t>Atkinson</t>
  </si>
  <si>
    <t>Bacon</t>
  </si>
  <si>
    <t>Banks</t>
  </si>
  <si>
    <t>Barrow</t>
  </si>
  <si>
    <t>Bartow</t>
  </si>
  <si>
    <t>Ben Hill</t>
  </si>
  <si>
    <t>Berrien</t>
  </si>
  <si>
    <t>Bleckley</t>
  </si>
  <si>
    <t>Brantley</t>
  </si>
  <si>
    <t>Brooks</t>
  </si>
  <si>
    <t>Bryan</t>
  </si>
  <si>
    <t>Bulloch</t>
  </si>
  <si>
    <t>Burke</t>
  </si>
  <si>
    <t>Butts</t>
  </si>
  <si>
    <t>Camden</t>
  </si>
  <si>
    <t>Candler</t>
  </si>
  <si>
    <t>Catoosa</t>
  </si>
  <si>
    <t>Charlton</t>
  </si>
  <si>
    <t>Chatham</t>
  </si>
  <si>
    <t>Chattahoochee</t>
  </si>
  <si>
    <t>Chattooga</t>
  </si>
  <si>
    <t>Clayton</t>
  </si>
  <si>
    <t>Clinch</t>
  </si>
  <si>
    <t>Cobb</t>
  </si>
  <si>
    <t>Colquitt</t>
  </si>
  <si>
    <t>Cook</t>
  </si>
  <si>
    <t>Coweta</t>
  </si>
  <si>
    <t>Crisp</t>
  </si>
  <si>
    <t>Dawson</t>
  </si>
  <si>
    <t>Decatur</t>
  </si>
  <si>
    <t>De Kalb</t>
  </si>
  <si>
    <t>Dodge</t>
  </si>
  <si>
    <t>Dooly</t>
  </si>
  <si>
    <t>Dougherty</t>
  </si>
  <si>
    <t>Early</t>
  </si>
  <si>
    <t>Echols</t>
  </si>
  <si>
    <t>Effingham</t>
  </si>
  <si>
    <t>Emanuel</t>
  </si>
  <si>
    <t>Evans</t>
  </si>
  <si>
    <t>Fannin</t>
  </si>
  <si>
    <t>Floyd</t>
  </si>
  <si>
    <t>Forsyth</t>
  </si>
  <si>
    <t>Gilmer</t>
  </si>
  <si>
    <t>Glascock</t>
  </si>
  <si>
    <t>Glynn</t>
  </si>
  <si>
    <t>Gordon</t>
  </si>
  <si>
    <t>Grady</t>
  </si>
  <si>
    <t>Gwinnett</t>
  </si>
  <si>
    <t>Habersham</t>
  </si>
  <si>
    <t>Hall</t>
  </si>
  <si>
    <t>Hancock</t>
  </si>
  <si>
    <t>Haralson</t>
  </si>
  <si>
    <t>Harris</t>
  </si>
  <si>
    <t>Hart</t>
  </si>
  <si>
    <t>Heard</t>
  </si>
  <si>
    <t>Irwin</t>
  </si>
  <si>
    <t>Jasper</t>
  </si>
  <si>
    <t>Jeff Davis</t>
  </si>
  <si>
    <t>Jenkins</t>
  </si>
  <si>
    <t>Jones</t>
  </si>
  <si>
    <t>Lanier</t>
  </si>
  <si>
    <t>Laurens</t>
  </si>
  <si>
    <t>Long</t>
  </si>
  <si>
    <t>Lumpkin</t>
  </si>
  <si>
    <t>McDuffie</t>
  </si>
  <si>
    <t>McIntosh</t>
  </si>
  <si>
    <t>Meriwether</t>
  </si>
  <si>
    <t>Mitchell</t>
  </si>
  <si>
    <t>Murray</t>
  </si>
  <si>
    <t>Muscogee</t>
  </si>
  <si>
    <t>Oconee</t>
  </si>
  <si>
    <t>Oglethorpe</t>
  </si>
  <si>
    <t>Paulding</t>
  </si>
  <si>
    <t>Peach</t>
  </si>
  <si>
    <t>Pierce</t>
  </si>
  <si>
    <t>Quitman</t>
  </si>
  <si>
    <t>Rabun</t>
  </si>
  <si>
    <t>Richmond</t>
  </si>
  <si>
    <t>Rockdale</t>
  </si>
  <si>
    <t>Schley</t>
  </si>
  <si>
    <t>Screven</t>
  </si>
  <si>
    <t>Spalding</t>
  </si>
  <si>
    <t>Stephens</t>
  </si>
  <si>
    <t>Stewart</t>
  </si>
  <si>
    <t>Talbot</t>
  </si>
  <si>
    <t>Taliaferro</t>
  </si>
  <si>
    <t>Tattnall</t>
  </si>
  <si>
    <t>Telfair</t>
  </si>
  <si>
    <t>Terrell</t>
  </si>
  <si>
    <t>Thomas</t>
  </si>
  <si>
    <t>Tift</t>
  </si>
  <si>
    <t>Toombs</t>
  </si>
  <si>
    <t>Towns</t>
  </si>
  <si>
    <t>Treutlen</t>
  </si>
  <si>
    <t>Troup</t>
  </si>
  <si>
    <t>Turner</t>
  </si>
  <si>
    <t>Twiggs</t>
  </si>
  <si>
    <t>Upson</t>
  </si>
  <si>
    <t>Ware</t>
  </si>
  <si>
    <t>Warren</t>
  </si>
  <si>
    <t>Wayne</t>
  </si>
  <si>
    <t>Webster</t>
  </si>
  <si>
    <t>Wheeler</t>
  </si>
  <si>
    <t>Whitfield</t>
  </si>
  <si>
    <t>Wilkes</t>
  </si>
  <si>
    <t>Wilkinson</t>
  </si>
  <si>
    <t>Worth</t>
  </si>
  <si>
    <t>Hawaii</t>
  </si>
  <si>
    <t>Honolulu</t>
  </si>
  <si>
    <t>Kalawao</t>
  </si>
  <si>
    <t>Kauai</t>
  </si>
  <si>
    <t>Maui</t>
  </si>
  <si>
    <t>Ada</t>
  </si>
  <si>
    <t>Bannock</t>
  </si>
  <si>
    <t>Bear Lake</t>
  </si>
  <si>
    <t>Benewah</t>
  </si>
  <si>
    <t>Bingham</t>
  </si>
  <si>
    <t>Blaine</t>
  </si>
  <si>
    <t>Boise</t>
  </si>
  <si>
    <t>Bonner</t>
  </si>
  <si>
    <t>Bonneville</t>
  </si>
  <si>
    <t>Boundary</t>
  </si>
  <si>
    <t>Camas</t>
  </si>
  <si>
    <t>Canyon</t>
  </si>
  <si>
    <t>Caribou</t>
  </si>
  <si>
    <t>Cassia</t>
  </si>
  <si>
    <t>Clearwater</t>
  </si>
  <si>
    <t>Gem</t>
  </si>
  <si>
    <t>Gooding</t>
  </si>
  <si>
    <t>Idaho</t>
  </si>
  <si>
    <t>Jerome</t>
  </si>
  <si>
    <t>Kootenai</t>
  </si>
  <si>
    <t>Latah</t>
  </si>
  <si>
    <t>Lemhi</t>
  </si>
  <si>
    <t>Lewis</t>
  </si>
  <si>
    <t>Minidoka</t>
  </si>
  <si>
    <t>Nez Perce</t>
  </si>
  <si>
    <t>Oneida</t>
  </si>
  <si>
    <t>Owyhee</t>
  </si>
  <si>
    <t>Payette</t>
  </si>
  <si>
    <t>Power</t>
  </si>
  <si>
    <t>Shoshone</t>
  </si>
  <si>
    <t>Teton</t>
  </si>
  <si>
    <t>Twin Falls</t>
  </si>
  <si>
    <t>Valley</t>
  </si>
  <si>
    <t>Alexander</t>
  </si>
  <si>
    <t>Bond</t>
  </si>
  <si>
    <t>Brown</t>
  </si>
  <si>
    <t>Bureau</t>
  </si>
  <si>
    <t>Cass</t>
  </si>
  <si>
    <t>Champaign</t>
  </si>
  <si>
    <t>Christian</t>
  </si>
  <si>
    <t>Clinton</t>
  </si>
  <si>
    <t>Coles</t>
  </si>
  <si>
    <t>Cumberland</t>
  </si>
  <si>
    <t>De Witt</t>
  </si>
  <si>
    <t>Du Page</t>
  </si>
  <si>
    <t>Edgar</t>
  </si>
  <si>
    <t>Edwards</t>
  </si>
  <si>
    <t>Ford</t>
  </si>
  <si>
    <t>Gallatin</t>
  </si>
  <si>
    <t>Grundy</t>
  </si>
  <si>
    <t>Hardin</t>
  </si>
  <si>
    <t>Henderson</t>
  </si>
  <si>
    <t>Iroquois</t>
  </si>
  <si>
    <t>Jersey</t>
  </si>
  <si>
    <t>Jo Daviess</t>
  </si>
  <si>
    <t>Kane</t>
  </si>
  <si>
    <t>Kankakee</t>
  </si>
  <si>
    <t>Kendall</t>
  </si>
  <si>
    <t>Knox</t>
  </si>
  <si>
    <t>La Salle</t>
  </si>
  <si>
    <t>Livingston</t>
  </si>
  <si>
    <t>McDonough</t>
  </si>
  <si>
    <t>McHenry</t>
  </si>
  <si>
    <t>McLean</t>
  </si>
  <si>
    <t>Macoupin</t>
  </si>
  <si>
    <t>Mason</t>
  </si>
  <si>
    <t>Massac</t>
  </si>
  <si>
    <t>Menard</t>
  </si>
  <si>
    <t>Mercer</t>
  </si>
  <si>
    <t>Moultrie</t>
  </si>
  <si>
    <t>Ogle</t>
  </si>
  <si>
    <t>Peoria</t>
  </si>
  <si>
    <t>Piatt</t>
  </si>
  <si>
    <t>Richland</t>
  </si>
  <si>
    <t>Rock Island</t>
  </si>
  <si>
    <t>Sangamon</t>
  </si>
  <si>
    <t>Schuyler</t>
  </si>
  <si>
    <t>Stark</t>
  </si>
  <si>
    <t>Stephenson</t>
  </si>
  <si>
    <t>Tazewell</t>
  </si>
  <si>
    <t>Vermilion</t>
  </si>
  <si>
    <t>Wabash</t>
  </si>
  <si>
    <t>Whiteside</t>
  </si>
  <si>
    <t>Will</t>
  </si>
  <si>
    <t>Williamson</t>
  </si>
  <si>
    <t>Winnebago</t>
  </si>
  <si>
    <t>Woodford</t>
  </si>
  <si>
    <t>Allen</t>
  </si>
  <si>
    <t>Bartholomew</t>
  </si>
  <si>
    <t>Blackford</t>
  </si>
  <si>
    <t>Daviess</t>
  </si>
  <si>
    <t>Dearborn</t>
  </si>
  <si>
    <t>Delaware</t>
  </si>
  <si>
    <t>Dubois</t>
  </si>
  <si>
    <t>Elkhart</t>
  </si>
  <si>
    <t>Fountain</t>
  </si>
  <si>
    <t>Gibson</t>
  </si>
  <si>
    <t>Harrison</t>
  </si>
  <si>
    <t>Hendricks</t>
  </si>
  <si>
    <t>Huntington</t>
  </si>
  <si>
    <t>Jay</t>
  </si>
  <si>
    <t>Jennings</t>
  </si>
  <si>
    <t>Kosciusko</t>
  </si>
  <si>
    <t>Lagrange</t>
  </si>
  <si>
    <t>La Porte</t>
  </si>
  <si>
    <t>Miami</t>
  </si>
  <si>
    <t>Noble</t>
  </si>
  <si>
    <t>Ohio</t>
  </si>
  <si>
    <t>Owen</t>
  </si>
  <si>
    <t>Parke</t>
  </si>
  <si>
    <t>Porter</t>
  </si>
  <si>
    <t>Posey</t>
  </si>
  <si>
    <t>Ripley</t>
  </si>
  <si>
    <t>Rush</t>
  </si>
  <si>
    <t>St. Joseph</t>
  </si>
  <si>
    <t>Spencer</t>
  </si>
  <si>
    <t>Starke</t>
  </si>
  <si>
    <t>Steuben</t>
  </si>
  <si>
    <t>Sullivan</t>
  </si>
  <si>
    <t>Switzerland</t>
  </si>
  <si>
    <t>Tippecanoe</t>
  </si>
  <si>
    <t>Tipton</t>
  </si>
  <si>
    <t>Vanderburgh</t>
  </si>
  <si>
    <t>Vermillion</t>
  </si>
  <si>
    <t>Vigo</t>
  </si>
  <si>
    <t>Warrick</t>
  </si>
  <si>
    <t>Wells</t>
  </si>
  <si>
    <t>Whitley</t>
  </si>
  <si>
    <t>Adair</t>
  </si>
  <si>
    <t>Allamakee</t>
  </si>
  <si>
    <t>Appanoose</t>
  </si>
  <si>
    <t>Audubon</t>
  </si>
  <si>
    <t>Black Hawk</t>
  </si>
  <si>
    <t>Bremer</t>
  </si>
  <si>
    <t>Buchanan</t>
  </si>
  <si>
    <t>Buena Vista</t>
  </si>
  <si>
    <t>Cedar</t>
  </si>
  <si>
    <t>Cerro Gordo</t>
  </si>
  <si>
    <t>Chickasaw</t>
  </si>
  <si>
    <t>Davis</t>
  </si>
  <si>
    <t>Des Moines</t>
  </si>
  <si>
    <t>Dickinson</t>
  </si>
  <si>
    <t>Dubuque</t>
  </si>
  <si>
    <t>Emmet</t>
  </si>
  <si>
    <t>Guthrie</t>
  </si>
  <si>
    <t>Ida</t>
  </si>
  <si>
    <t>Iowa</t>
  </si>
  <si>
    <t>Keokuk</t>
  </si>
  <si>
    <t>Kossuth</t>
  </si>
  <si>
    <t>Linn</t>
  </si>
  <si>
    <t>Louisa</t>
  </si>
  <si>
    <t>Lucas</t>
  </si>
  <si>
    <t>Lyon</t>
  </si>
  <si>
    <t>Mahaska</t>
  </si>
  <si>
    <t>Mills</t>
  </si>
  <si>
    <t>Monona</t>
  </si>
  <si>
    <t>Muscatine</t>
  </si>
  <si>
    <t>O'Brien</t>
  </si>
  <si>
    <t>Page</t>
  </si>
  <si>
    <t>Palo Alto</t>
  </si>
  <si>
    <t>Plymouth</t>
  </si>
  <si>
    <t>Pocahontas</t>
  </si>
  <si>
    <t>Pottawattamie</t>
  </si>
  <si>
    <t>Poweshiek</t>
  </si>
  <si>
    <t>Ringgold</t>
  </si>
  <si>
    <t>Sac</t>
  </si>
  <si>
    <t>Sioux</t>
  </si>
  <si>
    <t>Story</t>
  </si>
  <si>
    <t>Tama</t>
  </si>
  <si>
    <t>Wapello</t>
  </si>
  <si>
    <t>Winneshiek</t>
  </si>
  <si>
    <t>Woodbury</t>
  </si>
  <si>
    <t>Wright</t>
  </si>
  <si>
    <t>Anderson</t>
  </si>
  <si>
    <t>Atchison</t>
  </si>
  <si>
    <t>Barber</t>
  </si>
  <si>
    <t>Barton</t>
  </si>
  <si>
    <t>Bourbon</t>
  </si>
  <si>
    <t>Chase</t>
  </si>
  <si>
    <t>Chautauqua</t>
  </si>
  <si>
    <t>Cloud</t>
  </si>
  <si>
    <t>Coffey</t>
  </si>
  <si>
    <t>Comanche</t>
  </si>
  <si>
    <t>Cowley</t>
  </si>
  <si>
    <t>Doniphan</t>
  </si>
  <si>
    <t>Elk</t>
  </si>
  <si>
    <t>Ellis</t>
  </si>
  <si>
    <t>Ellsworth</t>
  </si>
  <si>
    <t>Finney</t>
  </si>
  <si>
    <t>Geary</t>
  </si>
  <si>
    <t>Gove</t>
  </si>
  <si>
    <t>Gray</t>
  </si>
  <si>
    <t>Greeley</t>
  </si>
  <si>
    <t>Greenwood</t>
  </si>
  <si>
    <t>Harper</t>
  </si>
  <si>
    <t>Harvey</t>
  </si>
  <si>
    <t>Haskell</t>
  </si>
  <si>
    <t>Hodgeman</t>
  </si>
  <si>
    <t>Jewell</t>
  </si>
  <si>
    <t>Kearny</t>
  </si>
  <si>
    <t>Kingman</t>
  </si>
  <si>
    <t>Labette</t>
  </si>
  <si>
    <t>Lane</t>
  </si>
  <si>
    <t>Leavenworth</t>
  </si>
  <si>
    <t>McPherson</t>
  </si>
  <si>
    <t>Meade</t>
  </si>
  <si>
    <t>Morris</t>
  </si>
  <si>
    <t>Morton</t>
  </si>
  <si>
    <t>Nemaha</t>
  </si>
  <si>
    <t>Neosho</t>
  </si>
  <si>
    <t>Ness</t>
  </si>
  <si>
    <t>Norton</t>
  </si>
  <si>
    <t>Osage</t>
  </si>
  <si>
    <t>Osborne</t>
  </si>
  <si>
    <t>Ottawa</t>
  </si>
  <si>
    <t>Pawnee</t>
  </si>
  <si>
    <t>Pottawatomie</t>
  </si>
  <si>
    <t>Pratt</t>
  </si>
  <si>
    <t>Rawlins</t>
  </si>
  <si>
    <t>Reno</t>
  </si>
  <si>
    <t>Republic</t>
  </si>
  <si>
    <t>Rice</t>
  </si>
  <si>
    <t>Riley</t>
  </si>
  <si>
    <t>Rooks</t>
  </si>
  <si>
    <t>Seward</t>
  </si>
  <si>
    <t>Shawnee</t>
  </si>
  <si>
    <t>Sheridan</t>
  </si>
  <si>
    <t>Sherman</t>
  </si>
  <si>
    <t>Smith</t>
  </si>
  <si>
    <t>Stafford</t>
  </si>
  <si>
    <t>Stanton</t>
  </si>
  <si>
    <t>Stevens</t>
  </si>
  <si>
    <t>Sumner</t>
  </si>
  <si>
    <t>Trego</t>
  </si>
  <si>
    <t>Wabaunsee</t>
  </si>
  <si>
    <t>Wallace</t>
  </si>
  <si>
    <t>Wichita</t>
  </si>
  <si>
    <t>Wilson</t>
  </si>
  <si>
    <t>Woodson</t>
  </si>
  <si>
    <t>Wyandotte</t>
  </si>
  <si>
    <t>Ballard</t>
  </si>
  <si>
    <t>Barren</t>
  </si>
  <si>
    <t>Bath</t>
  </si>
  <si>
    <t>Bell</t>
  </si>
  <si>
    <t>Boyd</t>
  </si>
  <si>
    <t>Boyle</t>
  </si>
  <si>
    <t>Bracken</t>
  </si>
  <si>
    <t>Breathitt</t>
  </si>
  <si>
    <t>Breckinridge</t>
  </si>
  <si>
    <t>Bullitt</t>
  </si>
  <si>
    <t>Caldwell</t>
  </si>
  <si>
    <t>Calloway</t>
  </si>
  <si>
    <t>Campbell</t>
  </si>
  <si>
    <t>Carlisle</t>
  </si>
  <si>
    <t>Carter</t>
  </si>
  <si>
    <t>Casey</t>
  </si>
  <si>
    <t>Edmonson</t>
  </si>
  <si>
    <t>Elliott</t>
  </si>
  <si>
    <t>Estill</t>
  </si>
  <si>
    <t>Fleming</t>
  </si>
  <si>
    <t>Garrard</t>
  </si>
  <si>
    <t>Graves</t>
  </si>
  <si>
    <t>Grayson</t>
  </si>
  <si>
    <t>Green</t>
  </si>
  <si>
    <t>Greenup</t>
  </si>
  <si>
    <t>Harlan</t>
  </si>
  <si>
    <t>Hickman</t>
  </si>
  <si>
    <t>Hopkins</t>
  </si>
  <si>
    <t>Jessamine</t>
  </si>
  <si>
    <t>Kenton</t>
  </si>
  <si>
    <t>Knott</t>
  </si>
  <si>
    <t>Larue</t>
  </si>
  <si>
    <t>Laurel</t>
  </si>
  <si>
    <t>Leslie</t>
  </si>
  <si>
    <t>Letcher</t>
  </si>
  <si>
    <t>McCracken</t>
  </si>
  <si>
    <t>McCreary</t>
  </si>
  <si>
    <t>Magoffin</t>
  </si>
  <si>
    <t>Menifee</t>
  </si>
  <si>
    <t>Metcalfe</t>
  </si>
  <si>
    <t>Muhlenberg</t>
  </si>
  <si>
    <t>Nelson</t>
  </si>
  <si>
    <t>Nicholas</t>
  </si>
  <si>
    <t>Oldham</t>
  </si>
  <si>
    <t>Owsley</t>
  </si>
  <si>
    <t>Pendleton</t>
  </si>
  <si>
    <t>Powell</t>
  </si>
  <si>
    <t>Robertson</t>
  </si>
  <si>
    <t>Rockcastle</t>
  </si>
  <si>
    <t>Rowan</t>
  </si>
  <si>
    <t>Simpson</t>
  </si>
  <si>
    <t>Todd</t>
  </si>
  <si>
    <t>Trigg</t>
  </si>
  <si>
    <t>Trimble</t>
  </si>
  <si>
    <t>Wolfe</t>
  </si>
  <si>
    <t>Acadia Parish</t>
  </si>
  <si>
    <t>Allen Parish</t>
  </si>
  <si>
    <t>Ascension Parish</t>
  </si>
  <si>
    <t>Assumption Parish</t>
  </si>
  <si>
    <t>Avoyelles Parish</t>
  </si>
  <si>
    <t>Beauregard Parish</t>
  </si>
  <si>
    <t>Bienville Parish</t>
  </si>
  <si>
    <t>Bossier Parish</t>
  </si>
  <si>
    <t>Caddo Parish</t>
  </si>
  <si>
    <t>Calcasieu Parish</t>
  </si>
  <si>
    <t>Caldwell Parish</t>
  </si>
  <si>
    <t>Cameron Parish</t>
  </si>
  <si>
    <t>Catahoula Parish</t>
  </si>
  <si>
    <t>Claiborne Parish</t>
  </si>
  <si>
    <t>Concordia Parish</t>
  </si>
  <si>
    <t>De Soto Parish</t>
  </si>
  <si>
    <t>East Baton Rouge Parish</t>
  </si>
  <si>
    <t>East Carroll Parish</t>
  </si>
  <si>
    <t>East Feliciana Parish</t>
  </si>
  <si>
    <t>Evangeline Parish</t>
  </si>
  <si>
    <t>Franklin Parish</t>
  </si>
  <si>
    <t>Grant Parish</t>
  </si>
  <si>
    <t>Iberia Parish</t>
  </si>
  <si>
    <t>Iberville Parish</t>
  </si>
  <si>
    <t>Jackson Parish</t>
  </si>
  <si>
    <t>Jefferson Parish</t>
  </si>
  <si>
    <t>Jefferson Davis Parish</t>
  </si>
  <si>
    <t>Lafayette Parish</t>
  </si>
  <si>
    <t>Lafourche Parish</t>
  </si>
  <si>
    <t>La Salle Parish</t>
  </si>
  <si>
    <t>Lincoln Parish</t>
  </si>
  <si>
    <t>Livingston Parish</t>
  </si>
  <si>
    <t>Madison Parish</t>
  </si>
  <si>
    <t>Morehouse Parish</t>
  </si>
  <si>
    <t>Natchitoches Parish</t>
  </si>
  <si>
    <t>Orleans Parish</t>
  </si>
  <si>
    <t>Ouachita Parish</t>
  </si>
  <si>
    <t>Plaquemines Parish</t>
  </si>
  <si>
    <t>Pointe Coupee Parish</t>
  </si>
  <si>
    <t>Rapides Parish</t>
  </si>
  <si>
    <t>Red River Parish</t>
  </si>
  <si>
    <t>Richland Parish</t>
  </si>
  <si>
    <t>Sabine Parish</t>
  </si>
  <si>
    <t>St. Bernard Parish</t>
  </si>
  <si>
    <t>St. Charles Parish</t>
  </si>
  <si>
    <t>St. Helena Parish</t>
  </si>
  <si>
    <t>St. James Parish</t>
  </si>
  <si>
    <t>St. John the Baptist Parish</t>
  </si>
  <si>
    <t>St. Landry Parish</t>
  </si>
  <si>
    <t>St. Martin Parish</t>
  </si>
  <si>
    <t>St. Mary Parish</t>
  </si>
  <si>
    <t>St. Tammany Parish</t>
  </si>
  <si>
    <t>Tangipahoa Parish</t>
  </si>
  <si>
    <t>Tensas Parish</t>
  </si>
  <si>
    <t>Terrebonne Parish</t>
  </si>
  <si>
    <t>Union Parish</t>
  </si>
  <si>
    <t>Vermilion Parish</t>
  </si>
  <si>
    <t>Vernon Parish</t>
  </si>
  <si>
    <t>Washington Parish</t>
  </si>
  <si>
    <t>Webster Parish</t>
  </si>
  <si>
    <t>West Baton Rouge Parish</t>
  </si>
  <si>
    <t>West Carroll Parish</t>
  </si>
  <si>
    <t>West Feliciana Parish</t>
  </si>
  <si>
    <t>Winn Parish</t>
  </si>
  <si>
    <t>Androscoggin</t>
  </si>
  <si>
    <t>Aroostook</t>
  </si>
  <si>
    <t>Kennebec</t>
  </si>
  <si>
    <t>Oxford</t>
  </si>
  <si>
    <t>Penobscot</t>
  </si>
  <si>
    <t>Piscataquis</t>
  </si>
  <si>
    <t>Sagadahoc</t>
  </si>
  <si>
    <t>Somerset</t>
  </si>
  <si>
    <t>Waldo</t>
  </si>
  <si>
    <t>York</t>
  </si>
  <si>
    <t>Allegany</t>
  </si>
  <si>
    <t>Anne Arundel</t>
  </si>
  <si>
    <t>Baltimore</t>
  </si>
  <si>
    <t>Calvert</t>
  </si>
  <si>
    <t>Caroline</t>
  </si>
  <si>
    <t>Cecil</t>
  </si>
  <si>
    <t>Charles</t>
  </si>
  <si>
    <t>Dorchester</t>
  </si>
  <si>
    <t>Frederick</t>
  </si>
  <si>
    <t>Garrett</t>
  </si>
  <si>
    <t>Harford</t>
  </si>
  <si>
    <t>Prince George's</t>
  </si>
  <si>
    <t>Queen Anne's</t>
  </si>
  <si>
    <t>St. Mary's</t>
  </si>
  <si>
    <t>Wicomico</t>
  </si>
  <si>
    <t>Worcester</t>
  </si>
  <si>
    <t>Baltimore city</t>
  </si>
  <si>
    <t>Barnstable</t>
  </si>
  <si>
    <t>Berkshire</t>
  </si>
  <si>
    <t>Bristol</t>
  </si>
  <si>
    <t>Dukes</t>
  </si>
  <si>
    <t>Essex</t>
  </si>
  <si>
    <t>Hampden</t>
  </si>
  <si>
    <t>Hampshire</t>
  </si>
  <si>
    <t>Nantucket</t>
  </si>
  <si>
    <t>Norfolk</t>
  </si>
  <si>
    <t>Suffolk</t>
  </si>
  <si>
    <t>Alcona</t>
  </si>
  <si>
    <t>Alger</t>
  </si>
  <si>
    <t>Allegan</t>
  </si>
  <si>
    <t>Alpena</t>
  </si>
  <si>
    <t>Antrim</t>
  </si>
  <si>
    <t>Arenac</t>
  </si>
  <si>
    <t>Baraga</t>
  </si>
  <si>
    <t>Barry</t>
  </si>
  <si>
    <t>Benzie</t>
  </si>
  <si>
    <t>Branch</t>
  </si>
  <si>
    <t>Charlevoix</t>
  </si>
  <si>
    <t>Cheboygan</t>
  </si>
  <si>
    <t>Chippewa</t>
  </si>
  <si>
    <t>Clare</t>
  </si>
  <si>
    <t>Eaton</t>
  </si>
  <si>
    <t>Genesee</t>
  </si>
  <si>
    <t>Gladwin</t>
  </si>
  <si>
    <t>Gogebic</t>
  </si>
  <si>
    <t>Grand Traverse</t>
  </si>
  <si>
    <t>Gratiot</t>
  </si>
  <si>
    <t>Hillsdale</t>
  </si>
  <si>
    <t>Houghton</t>
  </si>
  <si>
    <t>Huron</t>
  </si>
  <si>
    <t>Ingham</t>
  </si>
  <si>
    <t>Ionia</t>
  </si>
  <si>
    <t>Iosco</t>
  </si>
  <si>
    <t>Iron</t>
  </si>
  <si>
    <t>Isabella</t>
  </si>
  <si>
    <t>Kalamazoo</t>
  </si>
  <si>
    <t>Kalkaska</t>
  </si>
  <si>
    <t>Keweenaw</t>
  </si>
  <si>
    <t>Lapeer</t>
  </si>
  <si>
    <t>Leelanau</t>
  </si>
  <si>
    <t>Lenawee</t>
  </si>
  <si>
    <t>Luce</t>
  </si>
  <si>
    <t>Mackinac</t>
  </si>
  <si>
    <t>Macomb</t>
  </si>
  <si>
    <t>Manistee</t>
  </si>
  <si>
    <t>Marquette</t>
  </si>
  <si>
    <t>Mecosta</t>
  </si>
  <si>
    <t>Menominee</t>
  </si>
  <si>
    <t>Midland</t>
  </si>
  <si>
    <t>Missaukee</t>
  </si>
  <si>
    <t>Montcalm</t>
  </si>
  <si>
    <t>Montmorency</t>
  </si>
  <si>
    <t>Muskegon</t>
  </si>
  <si>
    <t>Newaygo</t>
  </si>
  <si>
    <t>Oakland</t>
  </si>
  <si>
    <t>Oceana</t>
  </si>
  <si>
    <t>Ogemaw</t>
  </si>
  <si>
    <t>Ontonagon</t>
  </si>
  <si>
    <t>Oscoda</t>
  </si>
  <si>
    <t>Otsego</t>
  </si>
  <si>
    <t>Presque Isle</t>
  </si>
  <si>
    <t>Roscommon</t>
  </si>
  <si>
    <t>Saginaw</t>
  </si>
  <si>
    <t>Sanilac</t>
  </si>
  <si>
    <t>Schoolcraft</t>
  </si>
  <si>
    <t>Shiawassee</t>
  </si>
  <si>
    <t>Tuscola</t>
  </si>
  <si>
    <t>Washtenaw</t>
  </si>
  <si>
    <t>Wexford</t>
  </si>
  <si>
    <t>Aitkin</t>
  </si>
  <si>
    <t>Anoka</t>
  </si>
  <si>
    <t>Becker</t>
  </si>
  <si>
    <t>Beltrami</t>
  </si>
  <si>
    <t>Big Stone</t>
  </si>
  <si>
    <t>Blue Earth</t>
  </si>
  <si>
    <t>Carlton</t>
  </si>
  <si>
    <t>Carver</t>
  </si>
  <si>
    <t>Chisago</t>
  </si>
  <si>
    <t>Cottonwood</t>
  </si>
  <si>
    <t>Crow Wing</t>
  </si>
  <si>
    <t>Dakota</t>
  </si>
  <si>
    <t>Faribault</t>
  </si>
  <si>
    <t>Fillmore</t>
  </si>
  <si>
    <t>Freeborn</t>
  </si>
  <si>
    <t>Goodhue</t>
  </si>
  <si>
    <t>Hennepin</t>
  </si>
  <si>
    <t>Hubbard</t>
  </si>
  <si>
    <t>Isanti</t>
  </si>
  <si>
    <t>Itasca</t>
  </si>
  <si>
    <t>Kanabec</t>
  </si>
  <si>
    <t>Kandiyohi</t>
  </si>
  <si>
    <t>Kittson</t>
  </si>
  <si>
    <t>Koochiching</t>
  </si>
  <si>
    <t>Lac qui Parle</t>
  </si>
  <si>
    <t>Lake of the Woods</t>
  </si>
  <si>
    <t>Le Sueur</t>
  </si>
  <si>
    <t>McLeod</t>
  </si>
  <si>
    <t>Mahnomen</t>
  </si>
  <si>
    <t>Meeker</t>
  </si>
  <si>
    <t>Mille Lacs</t>
  </si>
  <si>
    <t>Morrison</t>
  </si>
  <si>
    <t>Mower</t>
  </si>
  <si>
    <t>Nicollet</t>
  </si>
  <si>
    <t>Nobles</t>
  </si>
  <si>
    <t>Norman</t>
  </si>
  <si>
    <t>Olmsted</t>
  </si>
  <si>
    <t>Otter Tail</t>
  </si>
  <si>
    <t>Pennington</t>
  </si>
  <si>
    <t>Pine</t>
  </si>
  <si>
    <t>Pipestone</t>
  </si>
  <si>
    <t>Ramsey</t>
  </si>
  <si>
    <t>Red Lake</t>
  </si>
  <si>
    <t>Redwood</t>
  </si>
  <si>
    <t>Renville</t>
  </si>
  <si>
    <t>Rock</t>
  </si>
  <si>
    <t>Roseau</t>
  </si>
  <si>
    <t>St. Louis</t>
  </si>
  <si>
    <t>Sherburne</t>
  </si>
  <si>
    <t>Sibley</t>
  </si>
  <si>
    <t>Stearns</t>
  </si>
  <si>
    <t>Steele</t>
  </si>
  <si>
    <t>Swift</t>
  </si>
  <si>
    <t>Traverse</t>
  </si>
  <si>
    <t>Wabasha</t>
  </si>
  <si>
    <t>Wadena</t>
  </si>
  <si>
    <t>Waseca</t>
  </si>
  <si>
    <t>Watonwan</t>
  </si>
  <si>
    <t>Wilkin</t>
  </si>
  <si>
    <t>Winona</t>
  </si>
  <si>
    <t>Yellow Medicine</t>
  </si>
  <si>
    <t>Alcorn</t>
  </si>
  <si>
    <t>Amite</t>
  </si>
  <si>
    <t>Attala</t>
  </si>
  <si>
    <t>Bolivar</t>
  </si>
  <si>
    <t>Claiborne</t>
  </si>
  <si>
    <t>Coahoma</t>
  </si>
  <si>
    <t>Copiah</t>
  </si>
  <si>
    <t>De Soto</t>
  </si>
  <si>
    <t>Forrest</t>
  </si>
  <si>
    <t>George</t>
  </si>
  <si>
    <t>Grenada</t>
  </si>
  <si>
    <t>Hinds</t>
  </si>
  <si>
    <t>Humphreys</t>
  </si>
  <si>
    <t>Issaquena</t>
  </si>
  <si>
    <t>Itawamba</t>
  </si>
  <si>
    <t>Jefferson Davis</t>
  </si>
  <si>
    <t>Kemper</t>
  </si>
  <si>
    <t>Leake</t>
  </si>
  <si>
    <t>Leflore</t>
  </si>
  <si>
    <t>Neshoba</t>
  </si>
  <si>
    <t>Noxubee</t>
  </si>
  <si>
    <t>Oktibbeha</t>
  </si>
  <si>
    <t>Panola</t>
  </si>
  <si>
    <t>Pearl River</t>
  </si>
  <si>
    <t>Pontotoc</t>
  </si>
  <si>
    <t>Prentiss</t>
  </si>
  <si>
    <t>Rankin</t>
  </si>
  <si>
    <t>Sharkey</t>
  </si>
  <si>
    <t>Sunflower</t>
  </si>
  <si>
    <t>Tallahatchie</t>
  </si>
  <si>
    <t>Tate</t>
  </si>
  <si>
    <t>Tippah</t>
  </si>
  <si>
    <t>Tishomingo</t>
  </si>
  <si>
    <t>Tunica</t>
  </si>
  <si>
    <t>Walthall</t>
  </si>
  <si>
    <t>Yalobusha</t>
  </si>
  <si>
    <t>Yazoo</t>
  </si>
  <si>
    <t>Andrew</t>
  </si>
  <si>
    <t>Audrain</t>
  </si>
  <si>
    <t>Bates</t>
  </si>
  <si>
    <t>Bollinger</t>
  </si>
  <si>
    <t>Callaway</t>
  </si>
  <si>
    <t>Cape Girardeau</t>
  </si>
  <si>
    <t>Chariton</t>
  </si>
  <si>
    <t>Cole</t>
  </si>
  <si>
    <t>Cooper</t>
  </si>
  <si>
    <t>Dent</t>
  </si>
  <si>
    <t>Dunklin</t>
  </si>
  <si>
    <t>Gasconade</t>
  </si>
  <si>
    <t>Gentry</t>
  </si>
  <si>
    <t>Hickory</t>
  </si>
  <si>
    <t>Holt</t>
  </si>
  <si>
    <t>Howell</t>
  </si>
  <si>
    <t>Laclede</t>
  </si>
  <si>
    <t>McDonald</t>
  </si>
  <si>
    <t>Maries</t>
  </si>
  <si>
    <t>Moniteau</t>
  </si>
  <si>
    <t>New Madrid</t>
  </si>
  <si>
    <t>Nodaway</t>
  </si>
  <si>
    <t>Oregon</t>
  </si>
  <si>
    <t>Ozark</t>
  </si>
  <si>
    <t>Pemiscot</t>
  </si>
  <si>
    <t>Pettis</t>
  </si>
  <si>
    <t>Phelps</t>
  </si>
  <si>
    <t>Platte</t>
  </si>
  <si>
    <t>Ralls</t>
  </si>
  <si>
    <t>Ray</t>
  </si>
  <si>
    <t>Reynolds</t>
  </si>
  <si>
    <t>St. Charles</t>
  </si>
  <si>
    <t>Ste. Genevieve</t>
  </si>
  <si>
    <t>St. Francois</t>
  </si>
  <si>
    <t>Scotland</t>
  </si>
  <si>
    <t>Shannon</t>
  </si>
  <si>
    <t>Stoddard</t>
  </si>
  <si>
    <t>Taney</t>
  </si>
  <si>
    <t>Texas</t>
  </si>
  <si>
    <t>Vernon</t>
  </si>
  <si>
    <t>St. Louis city</t>
  </si>
  <si>
    <t>Beaverhead</t>
  </si>
  <si>
    <t>Big Horn</t>
  </si>
  <si>
    <t>Broadwater</t>
  </si>
  <si>
    <t>Carbon</t>
  </si>
  <si>
    <t>Cascade</t>
  </si>
  <si>
    <t>Chouteau</t>
  </si>
  <si>
    <t>Daniels</t>
  </si>
  <si>
    <t>Deer Lodge</t>
  </si>
  <si>
    <t>Fallon</t>
  </si>
  <si>
    <t>Fergus</t>
  </si>
  <si>
    <t>Flathead</t>
  </si>
  <si>
    <t>Glacier</t>
  </si>
  <si>
    <t>Golden Valley</t>
  </si>
  <si>
    <t>Granite</t>
  </si>
  <si>
    <t>Hill</t>
  </si>
  <si>
    <t>Judith Basin</t>
  </si>
  <si>
    <t>Lewis and Clark</t>
  </si>
  <si>
    <t>McCone</t>
  </si>
  <si>
    <t>Meagher</t>
  </si>
  <si>
    <t>Missoula</t>
  </si>
  <si>
    <t>Musselshell</t>
  </si>
  <si>
    <t>Petroleum</t>
  </si>
  <si>
    <t>Pondera</t>
  </si>
  <si>
    <t>Powder River</t>
  </si>
  <si>
    <t>Ravalli</t>
  </si>
  <si>
    <t>Roosevelt</t>
  </si>
  <si>
    <t>Rosebud</t>
  </si>
  <si>
    <t>Sanders</t>
  </si>
  <si>
    <t>Silver Bow</t>
  </si>
  <si>
    <t>Stillwater</t>
  </si>
  <si>
    <t>Sweet Grass</t>
  </si>
  <si>
    <t>Toole</t>
  </si>
  <si>
    <t>Treasure</t>
  </si>
  <si>
    <t>Wheatland</t>
  </si>
  <si>
    <t>Wibaux</t>
  </si>
  <si>
    <t>Yellowstone</t>
  </si>
  <si>
    <t>Antelope</t>
  </si>
  <si>
    <t>Arthur</t>
  </si>
  <si>
    <t>Banner</t>
  </si>
  <si>
    <t>Box Butte</t>
  </si>
  <si>
    <t>Buffalo</t>
  </si>
  <si>
    <t>Burt</t>
  </si>
  <si>
    <t>Cherry</t>
  </si>
  <si>
    <t>Colfax</t>
  </si>
  <si>
    <t>Cuming</t>
  </si>
  <si>
    <t>Dawes</t>
  </si>
  <si>
    <t>Deuel</t>
  </si>
  <si>
    <t>Dixon</t>
  </si>
  <si>
    <t>Dundy</t>
  </si>
  <si>
    <t>Frontier</t>
  </si>
  <si>
    <t>Furnas</t>
  </si>
  <si>
    <t>Gage</t>
  </si>
  <si>
    <t>Garden</t>
  </si>
  <si>
    <t>Gosper</t>
  </si>
  <si>
    <t>Hayes</t>
  </si>
  <si>
    <t>Hitchcock</t>
  </si>
  <si>
    <t>Hooker</t>
  </si>
  <si>
    <t>Kearney</t>
  </si>
  <si>
    <t>Keith</t>
  </si>
  <si>
    <t>Keya Paha</t>
  </si>
  <si>
    <t>Kimball</t>
  </si>
  <si>
    <t>Lancaster</t>
  </si>
  <si>
    <t>Loup</t>
  </si>
  <si>
    <t>Merrick</t>
  </si>
  <si>
    <t>Morrill</t>
  </si>
  <si>
    <t>Nance</t>
  </si>
  <si>
    <t>Nuckolls</t>
  </si>
  <si>
    <t>Otoe</t>
  </si>
  <si>
    <t>Perkins</t>
  </si>
  <si>
    <t>Red Willow</t>
  </si>
  <si>
    <t>Richardson</t>
  </si>
  <si>
    <t>Sarpy</t>
  </si>
  <si>
    <t>Saunders</t>
  </si>
  <si>
    <t>Scotts Bluff</t>
  </si>
  <si>
    <t>Thayer</t>
  </si>
  <si>
    <t>Thurston</t>
  </si>
  <si>
    <t>Churchill</t>
  </si>
  <si>
    <t>Elko</t>
  </si>
  <si>
    <t>Esmeralda</t>
  </si>
  <si>
    <t>Eureka</t>
  </si>
  <si>
    <t>Lander</t>
  </si>
  <si>
    <t>Nye</t>
  </si>
  <si>
    <t>Pershing</t>
  </si>
  <si>
    <t>Storey</t>
  </si>
  <si>
    <t>Washoe</t>
  </si>
  <si>
    <t>White Pine</t>
  </si>
  <si>
    <t>Carson City</t>
  </si>
  <si>
    <t>Belknap</t>
  </si>
  <si>
    <t>Cheshire</t>
  </si>
  <si>
    <t>Coos</t>
  </si>
  <si>
    <t>Grafton</t>
  </si>
  <si>
    <t>Merrimack</t>
  </si>
  <si>
    <t>Rockingham</t>
  </si>
  <si>
    <t>Strafford</t>
  </si>
  <si>
    <t>Atlantic</t>
  </si>
  <si>
    <t>Bergen</t>
  </si>
  <si>
    <t>Burlington</t>
  </si>
  <si>
    <t>Cape May</t>
  </si>
  <si>
    <t>Gloucester</t>
  </si>
  <si>
    <t>Hudson</t>
  </si>
  <si>
    <t>Hunterdon</t>
  </si>
  <si>
    <t>Monmouth</t>
  </si>
  <si>
    <t>Ocean</t>
  </si>
  <si>
    <t>Passaic</t>
  </si>
  <si>
    <t>Salem</t>
  </si>
  <si>
    <t>Bernalillo</t>
  </si>
  <si>
    <t>Catron</t>
  </si>
  <si>
    <t>Chaves</t>
  </si>
  <si>
    <t>Cibola</t>
  </si>
  <si>
    <t>Curry</t>
  </si>
  <si>
    <t>DeBaca</t>
  </si>
  <si>
    <t>Dona Ana</t>
  </si>
  <si>
    <t>Eddy</t>
  </si>
  <si>
    <t>Guadalupe</t>
  </si>
  <si>
    <t>Harding</t>
  </si>
  <si>
    <t>Hidalgo</t>
  </si>
  <si>
    <t>Lea</t>
  </si>
  <si>
    <t>Los Alamos</t>
  </si>
  <si>
    <t>Luna</t>
  </si>
  <si>
    <t>McKinley</t>
  </si>
  <si>
    <t>Mora</t>
  </si>
  <si>
    <t>Quay</t>
  </si>
  <si>
    <t>Rio Arriba</t>
  </si>
  <si>
    <t>Sandoval</t>
  </si>
  <si>
    <t>Santa Fe</t>
  </si>
  <si>
    <t>Socorro</t>
  </si>
  <si>
    <t>Taos</t>
  </si>
  <si>
    <t>Torrance</t>
  </si>
  <si>
    <t>Valencia</t>
  </si>
  <si>
    <t>Albany</t>
  </si>
  <si>
    <t>Bronx</t>
  </si>
  <si>
    <t>Broome</t>
  </si>
  <si>
    <t>Cattaraugus</t>
  </si>
  <si>
    <t>Cayuga</t>
  </si>
  <si>
    <t>Chemung</t>
  </si>
  <si>
    <t>Chenango</t>
  </si>
  <si>
    <t>Cortland</t>
  </si>
  <si>
    <t>Dutchess</t>
  </si>
  <si>
    <t>Erie</t>
  </si>
  <si>
    <t>Herkimer</t>
  </si>
  <si>
    <t>New York</t>
  </si>
  <si>
    <t>Niagara</t>
  </si>
  <si>
    <t>Onondaga</t>
  </si>
  <si>
    <t>Ontario</t>
  </si>
  <si>
    <t>Orleans</t>
  </si>
  <si>
    <t>Oswego</t>
  </si>
  <si>
    <t>Queens</t>
  </si>
  <si>
    <t>Rensselaer</t>
  </si>
  <si>
    <t>Rockland</t>
  </si>
  <si>
    <t>St. Lawrence</t>
  </si>
  <si>
    <t>Saratoga</t>
  </si>
  <si>
    <t>Schenectady</t>
  </si>
  <si>
    <t>Schoharie</t>
  </si>
  <si>
    <t>Seneca</t>
  </si>
  <si>
    <t>Tioga</t>
  </si>
  <si>
    <t>Tompkins</t>
  </si>
  <si>
    <t>Ulster</t>
  </si>
  <si>
    <t>Westchester</t>
  </si>
  <si>
    <t>Wyoming</t>
  </si>
  <si>
    <t>Yates</t>
  </si>
  <si>
    <t>Alamance</t>
  </si>
  <si>
    <t>Alleghany</t>
  </si>
  <si>
    <t>Anson</t>
  </si>
  <si>
    <t>Ashe</t>
  </si>
  <si>
    <t>Avery</t>
  </si>
  <si>
    <t>Beaufort</t>
  </si>
  <si>
    <t>Bertie</t>
  </si>
  <si>
    <t>Bladen</t>
  </si>
  <si>
    <t>Brunswick</t>
  </si>
  <si>
    <t>Buncombe</t>
  </si>
  <si>
    <t>Cabarrus</t>
  </si>
  <si>
    <t>Carteret</t>
  </si>
  <si>
    <t>Caswell</t>
  </si>
  <si>
    <t>Catawba</t>
  </si>
  <si>
    <t>Chowan</t>
  </si>
  <si>
    <t>Columbus</t>
  </si>
  <si>
    <t>Craven</t>
  </si>
  <si>
    <t>Currituck</t>
  </si>
  <si>
    <t>Dare</t>
  </si>
  <si>
    <t>Davidson</t>
  </si>
  <si>
    <t>Davie</t>
  </si>
  <si>
    <t>Duplin</t>
  </si>
  <si>
    <t>Durham</t>
  </si>
  <si>
    <t>Edgecombe</t>
  </si>
  <si>
    <t>Gaston</t>
  </si>
  <si>
    <t>Gates</t>
  </si>
  <si>
    <t>Granville</t>
  </si>
  <si>
    <t>Guilford</t>
  </si>
  <si>
    <t>Halifax</t>
  </si>
  <si>
    <t>Harnett</t>
  </si>
  <si>
    <t>Haywood</t>
  </si>
  <si>
    <t>Hertford</t>
  </si>
  <si>
    <t>Hoke</t>
  </si>
  <si>
    <t>Hyde</t>
  </si>
  <si>
    <t>Iredell</t>
  </si>
  <si>
    <t>Johnston</t>
  </si>
  <si>
    <t>Lenoir</t>
  </si>
  <si>
    <t>McDowell</t>
  </si>
  <si>
    <t>Mecklenburg</t>
  </si>
  <si>
    <t>Moore</t>
  </si>
  <si>
    <t>Nash</t>
  </si>
  <si>
    <t>New Hanover</t>
  </si>
  <si>
    <t>Northampton</t>
  </si>
  <si>
    <t>Onslow</t>
  </si>
  <si>
    <t>Pamlico</t>
  </si>
  <si>
    <t>Pasquotank</t>
  </si>
  <si>
    <t>Pender</t>
  </si>
  <si>
    <t>Perquimans</t>
  </si>
  <si>
    <t>Person</t>
  </si>
  <si>
    <t>Pitt</t>
  </si>
  <si>
    <t>Robeson</t>
  </si>
  <si>
    <t>Rutherford</t>
  </si>
  <si>
    <t>Sampson</t>
  </si>
  <si>
    <t>Stanly</t>
  </si>
  <si>
    <t>Stokes</t>
  </si>
  <si>
    <t>Surry</t>
  </si>
  <si>
    <t>Swain</t>
  </si>
  <si>
    <t>Transylvania</t>
  </si>
  <si>
    <t>Tyrrell</t>
  </si>
  <si>
    <t>Vance</t>
  </si>
  <si>
    <t>Wake</t>
  </si>
  <si>
    <t>Watauga</t>
  </si>
  <si>
    <t>Yadkin</t>
  </si>
  <si>
    <t>Yancey</t>
  </si>
  <si>
    <t>Barnes</t>
  </si>
  <si>
    <t>Benson</t>
  </si>
  <si>
    <t>Billings</t>
  </si>
  <si>
    <t>Bottineau</t>
  </si>
  <si>
    <t>Bowman</t>
  </si>
  <si>
    <t>Burleigh</t>
  </si>
  <si>
    <t>Cavalier</t>
  </si>
  <si>
    <t>Dickey</t>
  </si>
  <si>
    <t>Divide</t>
  </si>
  <si>
    <t>Dunn</t>
  </si>
  <si>
    <t>Emmons</t>
  </si>
  <si>
    <t>Foster</t>
  </si>
  <si>
    <t>Grand Forks</t>
  </si>
  <si>
    <t>Griggs</t>
  </si>
  <si>
    <t>Hettinger</t>
  </si>
  <si>
    <t>Kidder</t>
  </si>
  <si>
    <t>LaMoure</t>
  </si>
  <si>
    <t>McKenzie</t>
  </si>
  <si>
    <t>Mountrail</t>
  </si>
  <si>
    <t>Oliver</t>
  </si>
  <si>
    <t>Pembina</t>
  </si>
  <si>
    <t>Ransom</t>
  </si>
  <si>
    <t>Rolette</t>
  </si>
  <si>
    <t>Sargent</t>
  </si>
  <si>
    <t>Slope</t>
  </si>
  <si>
    <t>Stutsman</t>
  </si>
  <si>
    <t>Towner</t>
  </si>
  <si>
    <t>Traill</t>
  </si>
  <si>
    <t>Walsh</t>
  </si>
  <si>
    <t>Ward</t>
  </si>
  <si>
    <t>Williams</t>
  </si>
  <si>
    <t>Ashland</t>
  </si>
  <si>
    <t>Ashtabula</t>
  </si>
  <si>
    <t>Athens</t>
  </si>
  <si>
    <t>Auglaize</t>
  </si>
  <si>
    <t>Belmont</t>
  </si>
  <si>
    <t>Clermont</t>
  </si>
  <si>
    <t>Columbiana</t>
  </si>
  <si>
    <t>Coshocton</t>
  </si>
  <si>
    <t>Cuyahoga</t>
  </si>
  <si>
    <t>Darke</t>
  </si>
  <si>
    <t>Defiance</t>
  </si>
  <si>
    <t>Gallia</t>
  </si>
  <si>
    <t>Geauga</t>
  </si>
  <si>
    <t>Guernsey</t>
  </si>
  <si>
    <t>Highland</t>
  </si>
  <si>
    <t>Hocking</t>
  </si>
  <si>
    <t>Licking</t>
  </si>
  <si>
    <t>Lorain</t>
  </si>
  <si>
    <t>Mahoning</t>
  </si>
  <si>
    <t>Medina</t>
  </si>
  <si>
    <t>Meigs</t>
  </si>
  <si>
    <t>Morrow</t>
  </si>
  <si>
    <t>Muskingum</t>
  </si>
  <si>
    <t>Pickaway</t>
  </si>
  <si>
    <t>Portage</t>
  </si>
  <si>
    <t>Preble</t>
  </si>
  <si>
    <t>Ross</t>
  </si>
  <si>
    <t>Sandusky</t>
  </si>
  <si>
    <t>Scioto</t>
  </si>
  <si>
    <t>Trumbull</t>
  </si>
  <si>
    <t>Tuscarawas</t>
  </si>
  <si>
    <t>Van Wert</t>
  </si>
  <si>
    <t>Vinton</t>
  </si>
  <si>
    <t>Wood</t>
  </si>
  <si>
    <t>Wyandot</t>
  </si>
  <si>
    <t>Alfalfa</t>
  </si>
  <si>
    <t>Atoka</t>
  </si>
  <si>
    <t>Beaver</t>
  </si>
  <si>
    <t>Beckham</t>
  </si>
  <si>
    <t>Caddo</t>
  </si>
  <si>
    <t>Canadian</t>
  </si>
  <si>
    <t>Cimarron</t>
  </si>
  <si>
    <t>Coal</t>
  </si>
  <si>
    <t>Cotton</t>
  </si>
  <si>
    <t>Craig</t>
  </si>
  <si>
    <t>Creek</t>
  </si>
  <si>
    <t>Dewey</t>
  </si>
  <si>
    <t>Garvin</t>
  </si>
  <si>
    <t>Greer</t>
  </si>
  <si>
    <t>Harmon</t>
  </si>
  <si>
    <t>Hughes</t>
  </si>
  <si>
    <t>Kay</t>
  </si>
  <si>
    <t>Kingfisher</t>
  </si>
  <si>
    <t>Latimer</t>
  </si>
  <si>
    <t>Le Flore</t>
  </si>
  <si>
    <t>Love</t>
  </si>
  <si>
    <t>McClain</t>
  </si>
  <si>
    <t>McCurtain</t>
  </si>
  <si>
    <t>Major</t>
  </si>
  <si>
    <t>Mayes</t>
  </si>
  <si>
    <t>Muskogee</t>
  </si>
  <si>
    <t>Nowata</t>
  </si>
  <si>
    <t>Okfuskee</t>
  </si>
  <si>
    <t>Oklahoma</t>
  </si>
  <si>
    <t>Okmulgee</t>
  </si>
  <si>
    <t>Payne</t>
  </si>
  <si>
    <t>Pittsburg</t>
  </si>
  <si>
    <t>Pushmataha</t>
  </si>
  <si>
    <t>Roger Mills</t>
  </si>
  <si>
    <t>Rogers</t>
  </si>
  <si>
    <t>Sequoyah</t>
  </si>
  <si>
    <t>Tillman</t>
  </si>
  <si>
    <t>Tulsa</t>
  </si>
  <si>
    <t>Wagoner</t>
  </si>
  <si>
    <t>Washita</t>
  </si>
  <si>
    <t>Woods</t>
  </si>
  <si>
    <t>Woodward</t>
  </si>
  <si>
    <t>Clackamas</t>
  </si>
  <si>
    <t>Clatsop</t>
  </si>
  <si>
    <t>Crook</t>
  </si>
  <si>
    <t>Deschutes</t>
  </si>
  <si>
    <t>Gilliam</t>
  </si>
  <si>
    <t>Harney</t>
  </si>
  <si>
    <t>Hood River</t>
  </si>
  <si>
    <t>Josephine</t>
  </si>
  <si>
    <t>Klamath</t>
  </si>
  <si>
    <t>Malheur</t>
  </si>
  <si>
    <t>Multnomah</t>
  </si>
  <si>
    <t>Tillamook</t>
  </si>
  <si>
    <t>Umatilla</t>
  </si>
  <si>
    <t>Wallowa</t>
  </si>
  <si>
    <t>Wasco</t>
  </si>
  <si>
    <t>Yamhill</t>
  </si>
  <si>
    <t>Allegheny</t>
  </si>
  <si>
    <t>Armstrong</t>
  </si>
  <si>
    <t>Bedford</t>
  </si>
  <si>
    <t>Berks</t>
  </si>
  <si>
    <t>Blair</t>
  </si>
  <si>
    <t>Bucks</t>
  </si>
  <si>
    <t>Cambria</t>
  </si>
  <si>
    <t>Cameron</t>
  </si>
  <si>
    <t>Centre</t>
  </si>
  <si>
    <t>Chester</t>
  </si>
  <si>
    <t>Clarion</t>
  </si>
  <si>
    <t>Clearfield</t>
  </si>
  <si>
    <t>Dauphin</t>
  </si>
  <si>
    <t>Forest</t>
  </si>
  <si>
    <t>Huntingdon</t>
  </si>
  <si>
    <t>Indiana</t>
  </si>
  <si>
    <t>Juniata</t>
  </si>
  <si>
    <t>Lackawanna</t>
  </si>
  <si>
    <t>Lebanon</t>
  </si>
  <si>
    <t>Lehigh</t>
  </si>
  <si>
    <t>Luzerne</t>
  </si>
  <si>
    <t>Lycoming</t>
  </si>
  <si>
    <t>Mc Kean</t>
  </si>
  <si>
    <t>Mifflin</t>
  </si>
  <si>
    <t>Montour</t>
  </si>
  <si>
    <t>Northumberland</t>
  </si>
  <si>
    <t>Philadelphia</t>
  </si>
  <si>
    <t>Potter</t>
  </si>
  <si>
    <t>Schuylkill</t>
  </si>
  <si>
    <t>Snyder</t>
  </si>
  <si>
    <t>Susquehanna</t>
  </si>
  <si>
    <t>Venango</t>
  </si>
  <si>
    <t>Westmoreland</t>
  </si>
  <si>
    <t>Newport</t>
  </si>
  <si>
    <t>Providence</t>
  </si>
  <si>
    <t>Abbeville</t>
  </si>
  <si>
    <t>Aiken</t>
  </si>
  <si>
    <t>Allendale</t>
  </si>
  <si>
    <t>Bamberg</t>
  </si>
  <si>
    <t>Barnwell</t>
  </si>
  <si>
    <t>Berkeley</t>
  </si>
  <si>
    <t>Charleston</t>
  </si>
  <si>
    <t>Chesterfield</t>
  </si>
  <si>
    <t>Clarendon</t>
  </si>
  <si>
    <t>Colleton</t>
  </si>
  <si>
    <t>Darlington</t>
  </si>
  <si>
    <t>Dillon</t>
  </si>
  <si>
    <t>Edgefield</t>
  </si>
  <si>
    <t>Florence</t>
  </si>
  <si>
    <t>Georgetown</t>
  </si>
  <si>
    <t>Greenville</t>
  </si>
  <si>
    <t>Hampton</t>
  </si>
  <si>
    <t>Horry</t>
  </si>
  <si>
    <t>Kershaw</t>
  </si>
  <si>
    <t>Lexington</t>
  </si>
  <si>
    <t>McCormick</t>
  </si>
  <si>
    <t>Marlboro</t>
  </si>
  <si>
    <t>Newberry</t>
  </si>
  <si>
    <t>Orangeburg</t>
  </si>
  <si>
    <t>Saluda</t>
  </si>
  <si>
    <t>Spartanburg</t>
  </si>
  <si>
    <t>Williamsburg</t>
  </si>
  <si>
    <t>Aurora</t>
  </si>
  <si>
    <t>Beadle</t>
  </si>
  <si>
    <t>Bennett</t>
  </si>
  <si>
    <t>Bon Homme</t>
  </si>
  <si>
    <t>Brookings</t>
  </si>
  <si>
    <t>Brule</t>
  </si>
  <si>
    <t>Charles Mix</t>
  </si>
  <si>
    <t>Codington</t>
  </si>
  <si>
    <t>Corson</t>
  </si>
  <si>
    <t>Davison</t>
  </si>
  <si>
    <t>Day</t>
  </si>
  <si>
    <t>Edmunds</t>
  </si>
  <si>
    <t>Fall River</t>
  </si>
  <si>
    <t>Faulk</t>
  </si>
  <si>
    <t>Gregory</t>
  </si>
  <si>
    <t>Haakon</t>
  </si>
  <si>
    <t>Hamlin</t>
  </si>
  <si>
    <t>Hand</t>
  </si>
  <si>
    <t>Hanson</t>
  </si>
  <si>
    <t>Hutchinson</t>
  </si>
  <si>
    <t>Jerauld</t>
  </si>
  <si>
    <t>Kingsbury</t>
  </si>
  <si>
    <t>Lyman</t>
  </si>
  <si>
    <t>McCook</t>
  </si>
  <si>
    <t>Mellette</t>
  </si>
  <si>
    <t>Miner</t>
  </si>
  <si>
    <t>Minnehaha</t>
  </si>
  <si>
    <t>Moody</t>
  </si>
  <si>
    <t>Roberts</t>
  </si>
  <si>
    <t>Sanborn</t>
  </si>
  <si>
    <t>Spink</t>
  </si>
  <si>
    <t>Stanley</t>
  </si>
  <si>
    <t>Sully</t>
  </si>
  <si>
    <t>Tripp</t>
  </si>
  <si>
    <t>Walworth</t>
  </si>
  <si>
    <t>Yankton</t>
  </si>
  <si>
    <t>Ziebach</t>
  </si>
  <si>
    <t>Bledsoe</t>
  </si>
  <si>
    <t>Cannon</t>
  </si>
  <si>
    <t>Cheatham</t>
  </si>
  <si>
    <t>Cocke</t>
  </si>
  <si>
    <t>Crockett</t>
  </si>
  <si>
    <t>Dickson</t>
  </si>
  <si>
    <t>Dyer</t>
  </si>
  <si>
    <t>Fentress</t>
  </si>
  <si>
    <t>Giles</t>
  </si>
  <si>
    <t>Grainger</t>
  </si>
  <si>
    <t>Hamblen</t>
  </si>
  <si>
    <t>Hardeman</t>
  </si>
  <si>
    <t>Hawkins</t>
  </si>
  <si>
    <t>Loudon</t>
  </si>
  <si>
    <t>McMinn</t>
  </si>
  <si>
    <t>McNairy</t>
  </si>
  <si>
    <t>Maury</t>
  </si>
  <si>
    <t>Obion</t>
  </si>
  <si>
    <t>Overton</t>
  </si>
  <si>
    <t>Pickett</t>
  </si>
  <si>
    <t>Rhea</t>
  </si>
  <si>
    <t>Roane</t>
  </si>
  <si>
    <t>Sequatchie</t>
  </si>
  <si>
    <t>Trousdale</t>
  </si>
  <si>
    <t>Unicoi</t>
  </si>
  <si>
    <t>Weakley</t>
  </si>
  <si>
    <t>Andrews</t>
  </si>
  <si>
    <t>Angelina</t>
  </si>
  <si>
    <t>Aransas</t>
  </si>
  <si>
    <t>Archer</t>
  </si>
  <si>
    <t>Atascosa</t>
  </si>
  <si>
    <t>Austin</t>
  </si>
  <si>
    <t>Bailey</t>
  </si>
  <si>
    <t>Bandera</t>
  </si>
  <si>
    <t>Bastrop</t>
  </si>
  <si>
    <t>Baylor</t>
  </si>
  <si>
    <t>Bee</t>
  </si>
  <si>
    <t>Bexar</t>
  </si>
  <si>
    <t>Blanco</t>
  </si>
  <si>
    <t>Borden</t>
  </si>
  <si>
    <t>Bosque</t>
  </si>
  <si>
    <t>Bowie</t>
  </si>
  <si>
    <t>Brazoria</t>
  </si>
  <si>
    <t>Brazos</t>
  </si>
  <si>
    <t>Brewster</t>
  </si>
  <si>
    <t>Briscoe</t>
  </si>
  <si>
    <t>Burleson</t>
  </si>
  <si>
    <t>Burnet</t>
  </si>
  <si>
    <t>Callahan</t>
  </si>
  <si>
    <t>Camp</t>
  </si>
  <si>
    <t>Carson</t>
  </si>
  <si>
    <t>Castro</t>
  </si>
  <si>
    <t>Childress</t>
  </si>
  <si>
    <t>Cochran</t>
  </si>
  <si>
    <t>Coke</t>
  </si>
  <si>
    <t>Coleman</t>
  </si>
  <si>
    <t>Collin</t>
  </si>
  <si>
    <t>Collingsworth</t>
  </si>
  <si>
    <t>Colorado</t>
  </si>
  <si>
    <t>Comal</t>
  </si>
  <si>
    <t>Concho</t>
  </si>
  <si>
    <t>Cooke</t>
  </si>
  <si>
    <t>Coryell</t>
  </si>
  <si>
    <t>Cottle</t>
  </si>
  <si>
    <t>Crane</t>
  </si>
  <si>
    <t>Crosby</t>
  </si>
  <si>
    <t>Culberson</t>
  </si>
  <si>
    <t>Dallam</t>
  </si>
  <si>
    <t>Deaf Smith</t>
  </si>
  <si>
    <t>Denton</t>
  </si>
  <si>
    <t>DeWitt</t>
  </si>
  <si>
    <t>Dickens</t>
  </si>
  <si>
    <t>Dimmit</t>
  </si>
  <si>
    <t>Donley</t>
  </si>
  <si>
    <t>Eastland</t>
  </si>
  <si>
    <t>Ector</t>
  </si>
  <si>
    <t>Erath</t>
  </si>
  <si>
    <t>Falls</t>
  </si>
  <si>
    <t>Fisher</t>
  </si>
  <si>
    <t>Foard</t>
  </si>
  <si>
    <t>Fort Bend</t>
  </si>
  <si>
    <t>Freestone</t>
  </si>
  <si>
    <t>Frio</t>
  </si>
  <si>
    <t>Gaines</t>
  </si>
  <si>
    <t>Galveston</t>
  </si>
  <si>
    <t>Garza</t>
  </si>
  <si>
    <t>Gillespie</t>
  </si>
  <si>
    <t>Glasscock</t>
  </si>
  <si>
    <t>Goliad</t>
  </si>
  <si>
    <t>Gonzales</t>
  </si>
  <si>
    <t>Gregg</t>
  </si>
  <si>
    <t>Grimes</t>
  </si>
  <si>
    <t>Hansford</t>
  </si>
  <si>
    <t>Hartley</t>
  </si>
  <si>
    <t>Hays</t>
  </si>
  <si>
    <t>Hemphill</t>
  </si>
  <si>
    <t>Hockley</t>
  </si>
  <si>
    <t>Hood</t>
  </si>
  <si>
    <t>Hudspeth</t>
  </si>
  <si>
    <t>Hunt</t>
  </si>
  <si>
    <t>Irion</t>
  </si>
  <si>
    <t>Jack</t>
  </si>
  <si>
    <t>Jim Hogg</t>
  </si>
  <si>
    <t>Jim Wells</t>
  </si>
  <si>
    <t>Karnes</t>
  </si>
  <si>
    <t>Kaufman</t>
  </si>
  <si>
    <t>Kenedy</t>
  </si>
  <si>
    <t>Kerr</t>
  </si>
  <si>
    <t>Kimble</t>
  </si>
  <si>
    <t>King</t>
  </si>
  <si>
    <t>Kinney</t>
  </si>
  <si>
    <t>Kleberg</t>
  </si>
  <si>
    <t>Lamb</t>
  </si>
  <si>
    <t>Lampasas</t>
  </si>
  <si>
    <t>Lavaca</t>
  </si>
  <si>
    <t>Lipscomb</t>
  </si>
  <si>
    <t>Live Oak</t>
  </si>
  <si>
    <t>Llano</t>
  </si>
  <si>
    <t>Loving</t>
  </si>
  <si>
    <t>Lubbock</t>
  </si>
  <si>
    <t>Lynn</t>
  </si>
  <si>
    <t>McCulloch</t>
  </si>
  <si>
    <t>McLennan</t>
  </si>
  <si>
    <t>McMullen</t>
  </si>
  <si>
    <t>Matagorda</t>
  </si>
  <si>
    <t>Maverick</t>
  </si>
  <si>
    <t>Milam</t>
  </si>
  <si>
    <t>Montague</t>
  </si>
  <si>
    <t>Motley</t>
  </si>
  <si>
    <t>Nacogdoches</t>
  </si>
  <si>
    <t>Navarro</t>
  </si>
  <si>
    <t>Nolan</t>
  </si>
  <si>
    <t>Nueces</t>
  </si>
  <si>
    <t>Ochiltree</t>
  </si>
  <si>
    <t>Palo Pinto</t>
  </si>
  <si>
    <t>Parker</t>
  </si>
  <si>
    <t>Parmer</t>
  </si>
  <si>
    <t>Pecos</t>
  </si>
  <si>
    <t>Presidio</t>
  </si>
  <si>
    <t>Rains</t>
  </si>
  <si>
    <t>Randall</t>
  </si>
  <si>
    <t>Reagan</t>
  </si>
  <si>
    <t>Real</t>
  </si>
  <si>
    <t>Red River</t>
  </si>
  <si>
    <t>Reeves</t>
  </si>
  <si>
    <t>Refugio</t>
  </si>
  <si>
    <t>Rockwall</t>
  </si>
  <si>
    <t>Runnels</t>
  </si>
  <si>
    <t>Rusk</t>
  </si>
  <si>
    <t>Sabine</t>
  </si>
  <si>
    <t>San Augustine</t>
  </si>
  <si>
    <t>San Jacinto</t>
  </si>
  <si>
    <t>San Patricio</t>
  </si>
  <si>
    <t>San Saba</t>
  </si>
  <si>
    <t>Schleicher</t>
  </si>
  <si>
    <t>Scurry</t>
  </si>
  <si>
    <t>Shackelford</t>
  </si>
  <si>
    <t>Somervell</t>
  </si>
  <si>
    <t>Starr</t>
  </si>
  <si>
    <t>Sterling</t>
  </si>
  <si>
    <t>Stonewall</t>
  </si>
  <si>
    <t>Sutton</t>
  </si>
  <si>
    <t>Swisher</t>
  </si>
  <si>
    <t>Tarrant</t>
  </si>
  <si>
    <t>Terry</t>
  </si>
  <si>
    <t>Throckmorton</t>
  </si>
  <si>
    <t>Titus</t>
  </si>
  <si>
    <t>Tom Green</t>
  </si>
  <si>
    <t>Travis</t>
  </si>
  <si>
    <t>Tyler</t>
  </si>
  <si>
    <t>Upshur</t>
  </si>
  <si>
    <t>Upton</t>
  </si>
  <si>
    <t>Uvalde</t>
  </si>
  <si>
    <t>Val Verde</t>
  </si>
  <si>
    <t>Van Zandt</t>
  </si>
  <si>
    <t>Victoria</t>
  </si>
  <si>
    <t>Waller</t>
  </si>
  <si>
    <t>Webb</t>
  </si>
  <si>
    <t>Wharton</t>
  </si>
  <si>
    <t>Wilbarger</t>
  </si>
  <si>
    <t>Willacy</t>
  </si>
  <si>
    <t>Winkler</t>
  </si>
  <si>
    <t>Wise</t>
  </si>
  <si>
    <t>Yoakum</t>
  </si>
  <si>
    <t>Young</t>
  </si>
  <si>
    <t>Zapata</t>
  </si>
  <si>
    <t>Zavala</t>
  </si>
  <si>
    <t>Box Elder</t>
  </si>
  <si>
    <t>Cache</t>
  </si>
  <si>
    <t>Daggett</t>
  </si>
  <si>
    <t>Duchesne</t>
  </si>
  <si>
    <t>Emery</t>
  </si>
  <si>
    <t>Juab</t>
  </si>
  <si>
    <t>Millard</t>
  </si>
  <si>
    <t>Piute</t>
  </si>
  <si>
    <t>Rich</t>
  </si>
  <si>
    <t>Salt Lake</t>
  </si>
  <si>
    <t>Sanpete</t>
  </si>
  <si>
    <t>Tooele</t>
  </si>
  <si>
    <t>Uintah</t>
  </si>
  <si>
    <t>Utah</t>
  </si>
  <si>
    <t>Wasatch</t>
  </si>
  <si>
    <t>Weber</t>
  </si>
  <si>
    <t>Addison</t>
  </si>
  <si>
    <t>Bennington</t>
  </si>
  <si>
    <t>Caledonia</t>
  </si>
  <si>
    <t>Chittenden</t>
  </si>
  <si>
    <t>Grand Isle</t>
  </si>
  <si>
    <t>Lamoille</t>
  </si>
  <si>
    <t>Rutland</t>
  </si>
  <si>
    <t>Windsor</t>
  </si>
  <si>
    <t>Accomack</t>
  </si>
  <si>
    <t>Albemarle</t>
  </si>
  <si>
    <t>Amelia</t>
  </si>
  <si>
    <t>Amherst</t>
  </si>
  <si>
    <t>Appomattox</t>
  </si>
  <si>
    <t>Arlington</t>
  </si>
  <si>
    <t>Augusta</t>
  </si>
  <si>
    <t>Bland</t>
  </si>
  <si>
    <t>Botetourt</t>
  </si>
  <si>
    <t>Buckingham</t>
  </si>
  <si>
    <t>Charles City</t>
  </si>
  <si>
    <t>Culpeper</t>
  </si>
  <si>
    <t>Dickenson</t>
  </si>
  <si>
    <t>Dinwiddie</t>
  </si>
  <si>
    <t>Fairfax</t>
  </si>
  <si>
    <t>Fauquier</t>
  </si>
  <si>
    <t>Fluvanna</t>
  </si>
  <si>
    <t>Goochland</t>
  </si>
  <si>
    <t>Greensville</t>
  </si>
  <si>
    <t>Hanover</t>
  </si>
  <si>
    <t>Henrico</t>
  </si>
  <si>
    <t>Isle of Wight</t>
  </si>
  <si>
    <t>James City</t>
  </si>
  <si>
    <t>King and Queen</t>
  </si>
  <si>
    <t>King George</t>
  </si>
  <si>
    <t>King William</t>
  </si>
  <si>
    <t>Loudoun</t>
  </si>
  <si>
    <t>Lunenburg</t>
  </si>
  <si>
    <t>Mathews</t>
  </si>
  <si>
    <t>New Kent</t>
  </si>
  <si>
    <t>Nottoway</t>
  </si>
  <si>
    <t>Patrick</t>
  </si>
  <si>
    <t>Pittsylvania</t>
  </si>
  <si>
    <t>Powhatan</t>
  </si>
  <si>
    <t>Prince Edward</t>
  </si>
  <si>
    <t>Prince George</t>
  </si>
  <si>
    <t>Prince William</t>
  </si>
  <si>
    <t>Rappahannock</t>
  </si>
  <si>
    <t>Roanoke</t>
  </si>
  <si>
    <t>Rockbridge</t>
  </si>
  <si>
    <t>Shenandoah</t>
  </si>
  <si>
    <t>Smyth</t>
  </si>
  <si>
    <t>Southampton</t>
  </si>
  <si>
    <t>Spotsylvania</t>
  </si>
  <si>
    <t>Wythe</t>
  </si>
  <si>
    <t>Alexandria city</t>
  </si>
  <si>
    <t>Bristol city</t>
  </si>
  <si>
    <t>Buena Vista city</t>
  </si>
  <si>
    <t>Charlottesville city</t>
  </si>
  <si>
    <t>Chesapeake city</t>
  </si>
  <si>
    <t>Colonial Heights city</t>
  </si>
  <si>
    <t>Covington city</t>
  </si>
  <si>
    <t>Danville city</t>
  </si>
  <si>
    <t>Emporia city</t>
  </si>
  <si>
    <t>Fairfax city</t>
  </si>
  <si>
    <t>Falls Church city</t>
  </si>
  <si>
    <t>Franklin city</t>
  </si>
  <si>
    <t>Fredericksburg city</t>
  </si>
  <si>
    <t>Galax city</t>
  </si>
  <si>
    <t>Hampton city</t>
  </si>
  <si>
    <t>Harrisonburg city</t>
  </si>
  <si>
    <t>Hopewell city</t>
  </si>
  <si>
    <t>Lexington city</t>
  </si>
  <si>
    <t>Lynchburg city</t>
  </si>
  <si>
    <t>Manassas city</t>
  </si>
  <si>
    <t>Manassas Park city</t>
  </si>
  <si>
    <t>Martinsville city</t>
  </si>
  <si>
    <t>Newport News city</t>
  </si>
  <si>
    <t>Norfolk city</t>
  </si>
  <si>
    <t>Norton city</t>
  </si>
  <si>
    <t>Petersburg city</t>
  </si>
  <si>
    <t>Poquoson city</t>
  </si>
  <si>
    <t>Portsmouth city</t>
  </si>
  <si>
    <t>Radford city</t>
  </si>
  <si>
    <t>Richmond city</t>
  </si>
  <si>
    <t>Roanoke city</t>
  </si>
  <si>
    <t>Salem city</t>
  </si>
  <si>
    <t>Staunton city</t>
  </si>
  <si>
    <t>Suffolk city</t>
  </si>
  <si>
    <t>Virginia Beach city</t>
  </si>
  <si>
    <t>Waynesboro city</t>
  </si>
  <si>
    <t>Williamsburg city</t>
  </si>
  <si>
    <t>Winchester city</t>
  </si>
  <si>
    <t>Asotin</t>
  </si>
  <si>
    <t>Chelan</t>
  </si>
  <si>
    <t>Clallam</t>
  </si>
  <si>
    <t>Cowlitz</t>
  </si>
  <si>
    <t>Ferry</t>
  </si>
  <si>
    <t>Grays Harbor</t>
  </si>
  <si>
    <t>Island</t>
  </si>
  <si>
    <t>Kitsap</t>
  </si>
  <si>
    <t>Kittitas</t>
  </si>
  <si>
    <t>Klickitat</t>
  </si>
  <si>
    <t>Okanogan</t>
  </si>
  <si>
    <t>Pacific</t>
  </si>
  <si>
    <t>Pend Oreille</t>
  </si>
  <si>
    <t>Skagit</t>
  </si>
  <si>
    <t>Skamania</t>
  </si>
  <si>
    <t>Snohomish</t>
  </si>
  <si>
    <t>Spokane</t>
  </si>
  <si>
    <t>Wahkiakum</t>
  </si>
  <si>
    <t>Walla Walla</t>
  </si>
  <si>
    <t>Whatcom</t>
  </si>
  <si>
    <t>Whitman</t>
  </si>
  <si>
    <t>Yakima</t>
  </si>
  <si>
    <t>Braxton</t>
  </si>
  <si>
    <t>Brooke</t>
  </si>
  <si>
    <t>Cabell</t>
  </si>
  <si>
    <t>Doddridge</t>
  </si>
  <si>
    <t>Greenbrier</t>
  </si>
  <si>
    <t>Hardy</t>
  </si>
  <si>
    <t>Kanawha</t>
  </si>
  <si>
    <t>Mingo</t>
  </si>
  <si>
    <t>Monongalia</t>
  </si>
  <si>
    <t>Pleasants</t>
  </si>
  <si>
    <t>Preston</t>
  </si>
  <si>
    <t>Raleigh</t>
  </si>
  <si>
    <t>Ritchie</t>
  </si>
  <si>
    <t>Summers</t>
  </si>
  <si>
    <t>Tucker</t>
  </si>
  <si>
    <t>Wetzel</t>
  </si>
  <si>
    <t>Wirt</t>
  </si>
  <si>
    <t>Barron</t>
  </si>
  <si>
    <t>Bayfield</t>
  </si>
  <si>
    <t>Burnett</t>
  </si>
  <si>
    <t>Calumet</t>
  </si>
  <si>
    <t>Dane</t>
  </si>
  <si>
    <t>Door</t>
  </si>
  <si>
    <t>Eau Claire</t>
  </si>
  <si>
    <t>Fond du Lac</t>
  </si>
  <si>
    <t>Green Lake</t>
  </si>
  <si>
    <t>Juneau</t>
  </si>
  <si>
    <t>Kenosha</t>
  </si>
  <si>
    <t>Kewaunee</t>
  </si>
  <si>
    <t>La Crosse</t>
  </si>
  <si>
    <t>Langlade</t>
  </si>
  <si>
    <t>Manitowoc</t>
  </si>
  <si>
    <t>Marathon</t>
  </si>
  <si>
    <t>Marinette</t>
  </si>
  <si>
    <t>Milwaukee</t>
  </si>
  <si>
    <t>Oconto</t>
  </si>
  <si>
    <t>Outagamie</t>
  </si>
  <si>
    <t>Ozaukee</t>
  </si>
  <si>
    <t>Pepin</t>
  </si>
  <si>
    <t>Price</t>
  </si>
  <si>
    <t>Racine</t>
  </si>
  <si>
    <t>St. Croix</t>
  </si>
  <si>
    <t>Sauk</t>
  </si>
  <si>
    <t>Sawyer</t>
  </si>
  <si>
    <t>Shawano</t>
  </si>
  <si>
    <t>Sheboygan</t>
  </si>
  <si>
    <t>Trempealeau</t>
  </si>
  <si>
    <t>Vilas</t>
  </si>
  <si>
    <t>Washburn</t>
  </si>
  <si>
    <t>Waukesha</t>
  </si>
  <si>
    <t>Waupaca</t>
  </si>
  <si>
    <t>Waushara</t>
  </si>
  <si>
    <t>Converse</t>
  </si>
  <si>
    <t>Goshen</t>
  </si>
  <si>
    <t>Hot Springs</t>
  </si>
  <si>
    <t>Laramie</t>
  </si>
  <si>
    <t>Natrona</t>
  </si>
  <si>
    <t>Niobrara</t>
  </si>
  <si>
    <t>Sublette</t>
  </si>
  <si>
    <t>Sweetwater</t>
  </si>
  <si>
    <t>Uinta</t>
  </si>
  <si>
    <t>Washakie</t>
  </si>
  <si>
    <t>Weston</t>
  </si>
  <si>
    <t>Adjuntas</t>
  </si>
  <si>
    <t>Aguada</t>
  </si>
  <si>
    <t>Aguadilla</t>
  </si>
  <si>
    <t>Aguas Buenas</t>
  </si>
  <si>
    <t>Aibonito</t>
  </si>
  <si>
    <t>Anasco</t>
  </si>
  <si>
    <t>Arecibo</t>
  </si>
  <si>
    <t>Arroyo</t>
  </si>
  <si>
    <t>Barceloneta</t>
  </si>
  <si>
    <t>Barranquitas</t>
  </si>
  <si>
    <t>Bayamon</t>
  </si>
  <si>
    <t>Cabo Rojo</t>
  </si>
  <si>
    <t>Caguas</t>
  </si>
  <si>
    <t>Camuy</t>
  </si>
  <si>
    <t>Canovanas</t>
  </si>
  <si>
    <t>Carolina</t>
  </si>
  <si>
    <t>Catano</t>
  </si>
  <si>
    <t>Cayey</t>
  </si>
  <si>
    <t>Ceiba</t>
  </si>
  <si>
    <t>Ciales</t>
  </si>
  <si>
    <t>Cidra</t>
  </si>
  <si>
    <t>Coama</t>
  </si>
  <si>
    <t>Comerio</t>
  </si>
  <si>
    <t>Corozal</t>
  </si>
  <si>
    <t>Culebra</t>
  </si>
  <si>
    <t>Dorado</t>
  </si>
  <si>
    <t>Fajardo</t>
  </si>
  <si>
    <t>Florida</t>
  </si>
  <si>
    <t>Guanica</t>
  </si>
  <si>
    <t>Guayama</t>
  </si>
  <si>
    <t>Guayanilla</t>
  </si>
  <si>
    <t>Guaynabo</t>
  </si>
  <si>
    <t>Gurabo</t>
  </si>
  <si>
    <t>Hatillo</t>
  </si>
  <si>
    <t>Hormigueros</t>
  </si>
  <si>
    <t>Humacao</t>
  </si>
  <si>
    <t>Isabela</t>
  </si>
  <si>
    <t>Jayuya</t>
  </si>
  <si>
    <t>Juana Diaz</t>
  </si>
  <si>
    <t>Juncos</t>
  </si>
  <si>
    <t>Lajas</t>
  </si>
  <si>
    <t>Lares</t>
  </si>
  <si>
    <t>Las Marias</t>
  </si>
  <si>
    <t>Las Piedras</t>
  </si>
  <si>
    <t>Loiza</t>
  </si>
  <si>
    <t>Luquillo</t>
  </si>
  <si>
    <t>Manati</t>
  </si>
  <si>
    <t>Maricao</t>
  </si>
  <si>
    <t>Maunabo</t>
  </si>
  <si>
    <t>Mayaguez</t>
  </si>
  <si>
    <t>Moca</t>
  </si>
  <si>
    <t>Morovis</t>
  </si>
  <si>
    <t>Naguabo</t>
  </si>
  <si>
    <t>Naranjito</t>
  </si>
  <si>
    <t>Orocovis</t>
  </si>
  <si>
    <t>Patillas</t>
  </si>
  <si>
    <t>Penuelas</t>
  </si>
  <si>
    <t>Ponce</t>
  </si>
  <si>
    <t>Quebradillas</t>
  </si>
  <si>
    <t>Rincon</t>
  </si>
  <si>
    <t>Sabana Grande</t>
  </si>
  <si>
    <t>Salinas</t>
  </si>
  <si>
    <t>San German</t>
  </si>
  <si>
    <t>San Lorenzo</t>
  </si>
  <si>
    <t>San Sebastian</t>
  </si>
  <si>
    <t>Santa Isabel</t>
  </si>
  <si>
    <t>Toa Alta</t>
  </si>
  <si>
    <t>Toa Baja</t>
  </si>
  <si>
    <t>Trujillo Alto</t>
  </si>
  <si>
    <t>Utuado</t>
  </si>
  <si>
    <t>Vega Alta</t>
  </si>
  <si>
    <t>Vega Baja</t>
  </si>
  <si>
    <t>Vieques</t>
  </si>
  <si>
    <t>Villalba</t>
  </si>
  <si>
    <t>Yabucoa</t>
  </si>
  <si>
    <t>Yauco</t>
  </si>
  <si>
    <t>St Croix</t>
  </si>
  <si>
    <t>St John</t>
  </si>
  <si>
    <t>St Thomas</t>
  </si>
  <si>
    <t>Select State First</t>
  </si>
  <si>
    <t>$DB.LOOKUP.RANGE_LOOKUP_COUNTY_PLACEHOLDER</t>
  </si>
  <si>
    <t>COUNTY_PLACEHOLDER</t>
  </si>
  <si>
    <t xml:space="preserve">% Complete (Required Fields) </t>
  </si>
  <si>
    <t>$DB.CONFIG.TBL_CONFIG_WARNINGMSGS::[L|M]</t>
  </si>
  <si>
    <t>WARNINGMSG_ID</t>
  </si>
  <si>
    <t>WARNINGMSG_TEXT</t>
  </si>
  <si>
    <t>SECTION_1_WARNING_COUNT</t>
  </si>
  <si>
    <t>SECTION_1_WARNING_FLAG</t>
  </si>
  <si>
    <t>SECTION_5_WARNING_COUNT</t>
  </si>
  <si>
    <t>SECTION_5_WARNING_FLAG</t>
  </si>
  <si>
    <t>SECTION_4_WARNING_COUNT</t>
  </si>
  <si>
    <t>SECTION_4_WARNING_FLAG</t>
  </si>
  <si>
    <t>SECTION_3_WARNING_COUNT</t>
  </si>
  <si>
    <t>SECTION_3_WARNING_FLAG</t>
  </si>
  <si>
    <t>SECTION_2_WARNING_COUNT</t>
  </si>
  <si>
    <t>SECTION_2_WARNING_FLAG</t>
  </si>
  <si>
    <t>TOTAL_WARNING_COUNT</t>
  </si>
  <si>
    <t>TOTAL_WARNING_FLAG</t>
  </si>
  <si>
    <t>TOTAL_WARNING_FLAG_ICON</t>
  </si>
  <si>
    <t>TOTAL_WARNING_MESSAGE</t>
  </si>
  <si>
    <r>
      <t xml:space="preserve">Telephone </t>
    </r>
    <r>
      <rPr>
        <sz val="8"/>
        <color theme="1"/>
        <rFont val="Calibri"/>
        <family val="2"/>
        <scheme val="minor"/>
      </rPr>
      <t xml:space="preserve"> (Including Area Code)</t>
    </r>
  </si>
  <si>
    <t>WELCOME_LINK_01_TEXT</t>
  </si>
  <si>
    <t>WELCOME_LINK_01_URL</t>
  </si>
  <si>
    <t>WELCOME_LINK_02_URL</t>
  </si>
  <si>
    <t>WELCOME_LINK_02_TEXT</t>
  </si>
  <si>
    <t>WELCOME_LINK_03_URL</t>
  </si>
  <si>
    <t>WELCOME_LINK_03_TEXT</t>
  </si>
  <si>
    <t>WELCOME_LINK_04_URL</t>
  </si>
  <si>
    <t>WELCOME_LINK_04_TEXT</t>
  </si>
  <si>
    <t>WELCOME_LINK_05_URL</t>
  </si>
  <si>
    <t>WELCOME_LINK_05_TEXT</t>
  </si>
  <si>
    <t>WELCOME_LINK_06_URL</t>
  </si>
  <si>
    <t>WELCOME_LINK_06_TEXT</t>
  </si>
  <si>
    <t>Link URL</t>
  </si>
  <si>
    <r>
      <t xml:space="preserve">Display Text </t>
    </r>
    <r>
      <rPr>
        <sz val="11"/>
        <color theme="1"/>
        <rFont val="Calibri"/>
        <family val="2"/>
        <scheme val="minor"/>
      </rPr>
      <t>(Optional)</t>
    </r>
  </si>
  <si>
    <t>Welcome Screen - Link URL - 1</t>
  </si>
  <si>
    <t>Welcome Screen - Link Text - 1</t>
  </si>
  <si>
    <t>Welcome Screen - Link URL - 2</t>
  </si>
  <si>
    <t>Welcome Screen - Link Text - 2</t>
  </si>
  <si>
    <t>Welcome Screen - Link URL - 3</t>
  </si>
  <si>
    <t>Welcome Screen - Link Text - 3</t>
  </si>
  <si>
    <t>Welcome Screen - Link URL - 4</t>
  </si>
  <si>
    <t>Welcome Screen - Link Text - 4</t>
  </si>
  <si>
    <t>Welcome Screen - Link URL - 5</t>
  </si>
  <si>
    <t>Welcome Screen - Link Text - 5</t>
  </si>
  <si>
    <t>Welcome Screen - Link URL - 6</t>
  </si>
  <si>
    <t>Welcome Screen - Link Text - 6</t>
  </si>
  <si>
    <t>Census Tract (xxxx.xx)</t>
  </si>
  <si>
    <t>Valid Entry</t>
  </si>
  <si>
    <t>Invalid Entry</t>
  </si>
  <si>
    <t>No Entry Required</t>
  </si>
  <si>
    <t>RES</t>
  </si>
  <si>
    <t>ADL</t>
  </si>
  <si>
    <t>DSB</t>
  </si>
  <si>
    <t>$DB.LOOKUP.RANGE_LOOKUP_PROPTY_BLDG_TYPE</t>
  </si>
  <si>
    <t>Single Family</t>
  </si>
  <si>
    <t>2-4 Family</t>
  </si>
  <si>
    <t>SingleFamily</t>
  </si>
  <si>
    <t>2to4Family</t>
  </si>
  <si>
    <t>$DB.DATA.TBL_DATA</t>
  </si>
  <si>
    <t>APPLICABLE_EFORM_LIST</t>
  </si>
  <si>
    <t>eForm Type Code</t>
  </si>
  <si>
    <t>EFORM_TYPE_CODE</t>
  </si>
  <si>
    <t>EFORM_ID</t>
  </si>
  <si>
    <t>eForm Unique ID</t>
  </si>
  <si>
    <t>EFORM_TYPE_DESC</t>
  </si>
  <si>
    <t>eForm Type Description</t>
  </si>
  <si>
    <t>PAGE_TITLE_RES</t>
  </si>
  <si>
    <t>Reservation - Page Title</t>
  </si>
  <si>
    <t>PAGE_TITLE_ADL</t>
  </si>
  <si>
    <t>PAGE_TITLE_DSB</t>
  </si>
  <si>
    <t>Additional Documentation - Page Title</t>
  </si>
  <si>
    <t>Disbursement - Page Title</t>
  </si>
  <si>
    <t>DOC_TITLE</t>
  </si>
  <si>
    <t>Document Title</t>
  </si>
  <si>
    <t>GRANT_AMT_MAX</t>
  </si>
  <si>
    <t>Max Grant Amount</t>
  </si>
  <si>
    <t>COUNSEL_AMT_MAX</t>
  </si>
  <si>
    <t>Max Counseling Cost Defrayment Amount</t>
  </si>
  <si>
    <t>eForm Version Number</t>
  </si>
  <si>
    <t>EFORM_DOC_ID_NAME</t>
  </si>
  <si>
    <t>eForm Document ID and Name</t>
  </si>
  <si>
    <t>Based on selected eForm ID and whether field exists on that eForm (APPLICABLE_EFORM_LIST)</t>
  </si>
  <si>
    <t>MEMBER_NAME</t>
  </si>
  <si>
    <t>MEMBER_CONTACT_FIRST_NAME</t>
  </si>
  <si>
    <t>MEMBER_CONTACT_LAST_NAME</t>
  </si>
  <si>
    <t>EFORM_COMPLETE_FLAG</t>
  </si>
  <si>
    <t>eForm Complete Flag</t>
  </si>
  <si>
    <t>eForm Progress - % Complete</t>
  </si>
  <si>
    <t>eForm Progress - Error Count</t>
  </si>
  <si>
    <t>eForm Progress - # Total Fields (OK, Req. + Error)</t>
  </si>
  <si>
    <t>eForm Progress - # Fields Completed (OK Only)</t>
  </si>
  <si>
    <t>MEMBER_CONTACT_EMAIL</t>
  </si>
  <si>
    <t>MEMBER_CONTACT_PHONE</t>
  </si>
  <si>
    <t xml:space="preserve">Member Contact - First Name </t>
  </si>
  <si>
    <t>Member Contact - Last Name</t>
  </si>
  <si>
    <t>Member Contact - Email Address</t>
  </si>
  <si>
    <t>Member Contact - Phone Number</t>
  </si>
  <si>
    <t>FIRST_TIME_HOMEBUYER_FLAG</t>
  </si>
  <si>
    <t>PRIM_BORW_PREFIX</t>
  </si>
  <si>
    <t>PRIM_BORW_FIRST_NAME</t>
  </si>
  <si>
    <t>PRIM_BORW_LAST_NAME</t>
  </si>
  <si>
    <t>PRIM_BORW_MARITAL_STATUS</t>
  </si>
  <si>
    <t>PRIM_BORW_STUDENT_FLAG</t>
  </si>
  <si>
    <t>CO_BORW_PREFIX</t>
  </si>
  <si>
    <t>CO_BORW_FIRST_NAME</t>
  </si>
  <si>
    <t>CO_BORW_LAST_NAME</t>
  </si>
  <si>
    <t>THRD_BORW_PREFIX</t>
  </si>
  <si>
    <t>THRD_BORW_FIRST_NAME</t>
  </si>
  <si>
    <t>CO_BORW_MARITAL_STATUS</t>
  </si>
  <si>
    <t>CO_BORW_STUDENT_FLAG</t>
  </si>
  <si>
    <t>THRD_BORW_MARITAL_STATUS</t>
  </si>
  <si>
    <t>THRD_BORW_STUDENT_FLAG</t>
  </si>
  <si>
    <t>THRD_BORW_LAST_NAME</t>
  </si>
  <si>
    <t>HSEHLD_ADDR</t>
  </si>
  <si>
    <t>HSEHLD_CITY_NAME</t>
  </si>
  <si>
    <t>HSEHLD_STATE_CODE</t>
  </si>
  <si>
    <t>HSEHLD_ZIP_CODE</t>
  </si>
  <si>
    <t>HSEHLD_CNTY_NAME</t>
  </si>
  <si>
    <t>HSEHLD_MSA_CODE</t>
  </si>
  <si>
    <t>HSEHLD_CENSUS_TRACT_CODE</t>
  </si>
  <si>
    <t>Household - First Time Homebuyer Flag</t>
  </si>
  <si>
    <t>Primary Borrower - Prefix (Salutation)</t>
  </si>
  <si>
    <t>Primary Borrower - First Name</t>
  </si>
  <si>
    <t>Primary Borrower - Last Name</t>
  </si>
  <si>
    <t>Co-Borrower - Prefix (Salutation)</t>
  </si>
  <si>
    <t>Co-Borrower - First Name</t>
  </si>
  <si>
    <t>Co-Borrower - Last Name</t>
  </si>
  <si>
    <t>3rd Borrower - Prefix (Salutation)</t>
  </si>
  <si>
    <t>3rd Borrower - First Name</t>
  </si>
  <si>
    <t>3rd Borrower - Last Name</t>
  </si>
  <si>
    <t>Household Address - Street</t>
  </si>
  <si>
    <t>Household Address - City</t>
  </si>
  <si>
    <t>Household Address - State</t>
  </si>
  <si>
    <t>Household Address - Zip Code</t>
  </si>
  <si>
    <t>Household Address - County</t>
  </si>
  <si>
    <t>Household Address - MSA</t>
  </si>
  <si>
    <t>Household Address - Census Tract</t>
  </si>
  <si>
    <t>Primary Borrower - Marital Status</t>
  </si>
  <si>
    <t>Primary Borrower - Student Flag</t>
  </si>
  <si>
    <t>Co-Borrower - Marital Status</t>
  </si>
  <si>
    <t>Co-Borrower - Student Flag</t>
  </si>
  <si>
    <t>3rd Borrower - Marital Status</t>
  </si>
  <si>
    <t>3rd Borrower - Student Flag</t>
  </si>
  <si>
    <t>RESERVATION_DATE</t>
  </si>
  <si>
    <t>GRANT_REQ_AMT</t>
  </si>
  <si>
    <t>COUSEL_DEFRAY_AMT</t>
  </si>
  <si>
    <t>TOTAL_GRANT_REQ_AMT</t>
  </si>
  <si>
    <t>Reservation Request Date</t>
  </si>
  <si>
    <t>Grant Request Amount</t>
  </si>
  <si>
    <t>Counseling Cost Defrayment Amount</t>
  </si>
  <si>
    <t>Total Requested Grant Amount</t>
  </si>
  <si>
    <t>NONPROF_AGCY_NAME</t>
  </si>
  <si>
    <t>PRIMARY_RESIDENCE_FLAG</t>
  </si>
  <si>
    <t>Primary Residence Flag</t>
  </si>
  <si>
    <t>PROPTY_ADDR</t>
  </si>
  <si>
    <t>PROPTY_CITY_NAME</t>
  </si>
  <si>
    <t>PROPTY_STATE_CODE</t>
  </si>
  <si>
    <t>PROPTY_ZIP_CODE</t>
  </si>
  <si>
    <t>PROPTY_CNTY_NAME</t>
  </si>
  <si>
    <t>PROPTY_MSA_CODE</t>
  </si>
  <si>
    <t>PROPTY_CENSUS_TRACT_CODE</t>
  </si>
  <si>
    <t>Property Address - Street</t>
  </si>
  <si>
    <t>Property Address - City</t>
  </si>
  <si>
    <t>Property Address - State</t>
  </si>
  <si>
    <t>Property Address - Zip Code</t>
  </si>
  <si>
    <t>Property Address - County</t>
  </si>
  <si>
    <t>Property Address - MSA</t>
  </si>
  <si>
    <t>Property Address - Census Tract</t>
  </si>
  <si>
    <t>PURCH_PRICE_AMT</t>
  </si>
  <si>
    <t>PROPTY_BLDG_TYPE</t>
  </si>
  <si>
    <t>MANUFACTURED_HOME</t>
  </si>
  <si>
    <t>Manufactured Home Flag</t>
  </si>
  <si>
    <t>PROPTY_BLDG_TYPE_UI</t>
  </si>
  <si>
    <t>Property Type (UI Selection)</t>
  </si>
  <si>
    <t>Property Type (Transformed for FHC DB)</t>
  </si>
  <si>
    <t>ICW_COMPLETE_FLAG</t>
  </si>
  <si>
    <t>ICW Complete Flag (User Clicked)</t>
  </si>
  <si>
    <t>ICW_PASS_FLAG</t>
  </si>
  <si>
    <t>ICW Pass/Fully Complete (Validation Check)</t>
  </si>
  <si>
    <t>INC_GUIDLN_CODE</t>
  </si>
  <si>
    <t>FAMILY_SIZE_NO</t>
  </si>
  <si>
    <t>HSEHLD_INC_AMT</t>
  </si>
  <si>
    <t>MAX_ALLOWABLE_INCOME</t>
  </si>
  <si>
    <t>MRB</t>
  </si>
  <si>
    <t>HSEHLD_INC_PCT_MFI</t>
  </si>
  <si>
    <t>Household Income Percent MFI</t>
  </si>
  <si>
    <t>Household Income Amount</t>
  </si>
  <si>
    <t>Max Allowable Income</t>
  </si>
  <si>
    <t>Family Size</t>
  </si>
  <si>
    <t>Income Guideline Code</t>
  </si>
  <si>
    <t>Additional Resources</t>
  </si>
  <si>
    <t>EFORM_VERSION_NO_MAJ</t>
  </si>
  <si>
    <t xml:space="preserve">eForm Version # (major, dev set) </t>
  </si>
  <si>
    <t>EFORM_VERSION_NO_REV</t>
  </si>
  <si>
    <t>eForm Version # (revision ID, config set)</t>
  </si>
  <si>
    <t>eForm Version # (Consolidated)</t>
  </si>
  <si>
    <t>eForm Last Revision Date</t>
  </si>
  <si>
    <t>Reservation Enrollment Period ID (Current) (Config)</t>
  </si>
  <si>
    <t>Maximum Counseling Cost Defrayment Amount</t>
  </si>
  <si>
    <t>ENROLL_PERD_ID</t>
  </si>
  <si>
    <t>ENROLL_PERD_DESC</t>
  </si>
  <si>
    <t>Current Enrollment Period Description</t>
  </si>
  <si>
    <t>Area Median Income Limits</t>
  </si>
  <si>
    <t>CNSLNG_COMPLETE_DATE</t>
  </si>
  <si>
    <t>Homeownership Counseling Completion Date</t>
  </si>
  <si>
    <t>FHC_ENROLLED_FLAG</t>
  </si>
  <si>
    <t>FHC Currently Enrolled Flag</t>
  </si>
  <si>
    <t>FHC_ENROLLED_HSEHLD_NO</t>
  </si>
  <si>
    <t>FHC Current Household Number</t>
  </si>
  <si>
    <t>FHA_LETTER_REQ_FLAG</t>
  </si>
  <si>
    <t>FHA Letter Request Flag</t>
  </si>
  <si>
    <t>HEADER_TITLE</t>
  </si>
  <si>
    <t>PAGE_BANNER_PRIMBORROWER</t>
  </si>
  <si>
    <t>PRIM_BORW_FULL_NAME</t>
  </si>
  <si>
    <t>Primary Borrower - Full Name (Once First+Last Populated)</t>
  </si>
  <si>
    <t>Instructions</t>
  </si>
  <si>
    <t>Household Information</t>
  </si>
  <si>
    <t>Grant Summary</t>
  </si>
  <si>
    <t>Purchase Property</t>
  </si>
  <si>
    <t>Household Qualification</t>
  </si>
  <si>
    <t>Co-Borrower</t>
  </si>
  <si>
    <t>First Name</t>
  </si>
  <si>
    <t>Last Name</t>
  </si>
  <si>
    <t>Does the household qualify as a first-time homebuyer?</t>
  </si>
  <si>
    <t>Borrower(s)</t>
  </si>
  <si>
    <t>Primary</t>
  </si>
  <si>
    <t>3rd Borrower</t>
  </si>
  <si>
    <t>Borrower</t>
  </si>
  <si>
    <t>Prefix</t>
  </si>
  <si>
    <t>$DB.LOOKUP.RANGE_LOOKUP_PREFIX</t>
  </si>
  <si>
    <t>Mr.</t>
  </si>
  <si>
    <t>Mrs.</t>
  </si>
  <si>
    <t>Ms.</t>
  </si>
  <si>
    <t>Marital Status</t>
  </si>
  <si>
    <t>$DB.LOOKUP.RANGE_LOOKUP_MARITALSTATUS</t>
  </si>
  <si>
    <t>Married</t>
  </si>
  <si>
    <t>Single</t>
  </si>
  <si>
    <t>Divorced</t>
  </si>
  <si>
    <t>Widowed</t>
  </si>
  <si>
    <t>Separated</t>
  </si>
  <si>
    <t>Current Household Address</t>
  </si>
  <si>
    <r>
      <t xml:space="preserve">Street Address </t>
    </r>
    <r>
      <rPr>
        <i/>
        <sz val="11"/>
        <color theme="1"/>
        <rFont val="Calibri"/>
        <family val="2"/>
        <scheme val="minor"/>
      </rPr>
      <t>(no P.O. Boxes)</t>
    </r>
  </si>
  <si>
    <t>Household requires a Federal Housing Administration ("FHA") Minimum Requirement Investment ("MRI") Letter?</t>
  </si>
  <si>
    <t>Street Address</t>
  </si>
  <si>
    <t>Manufactured Home</t>
  </si>
  <si>
    <t>Property Type</t>
  </si>
  <si>
    <t>Primary Residence</t>
  </si>
  <si>
    <t>Please check the following box once the Income Calculation Worksheet has been completed:</t>
  </si>
  <si>
    <t>Household Income</t>
  </si>
  <si>
    <t>% of MFI</t>
  </si>
  <si>
    <t>Max. Allowable Income</t>
  </si>
  <si>
    <t>MFI_PERCENTAGE</t>
  </si>
  <si>
    <t>MFI Percentage Used (typically 80%)</t>
  </si>
  <si>
    <t>80%</t>
  </si>
  <si>
    <t>New Jersey (MRB)</t>
  </si>
  <si>
    <t>New York (MRB)</t>
  </si>
  <si>
    <t>Puerto Rico (MRB)</t>
  </si>
  <si>
    <t>Virgin Islands (HUD)</t>
  </si>
  <si>
    <t>1-Person</t>
  </si>
  <si>
    <t>2-Person</t>
  </si>
  <si>
    <t>3-Person</t>
  </si>
  <si>
    <t>4-Person</t>
  </si>
  <si>
    <t>5-Person</t>
  </si>
  <si>
    <t>6-Person</t>
  </si>
  <si>
    <t>7-Person</t>
  </si>
  <si>
    <t>8-Person</t>
  </si>
  <si>
    <t>Guideline</t>
  </si>
  <si>
    <t xml:space="preserve">Adjuntas </t>
  </si>
  <si>
    <t xml:space="preserve">Aguada </t>
  </si>
  <si>
    <t xml:space="preserve">Aguadilla </t>
  </si>
  <si>
    <t xml:space="preserve">Aguas Buenas </t>
  </si>
  <si>
    <t xml:space="preserve">Aibonito </t>
  </si>
  <si>
    <t xml:space="preserve">Anasco </t>
  </si>
  <si>
    <t xml:space="preserve">Arecibo </t>
  </si>
  <si>
    <t xml:space="preserve">Arroyo </t>
  </si>
  <si>
    <t xml:space="preserve">Barceloneta </t>
  </si>
  <si>
    <t xml:space="preserve">Barranquitas </t>
  </si>
  <si>
    <t xml:space="preserve">Bayamon </t>
  </si>
  <si>
    <t xml:space="preserve">Cabo Rojo </t>
  </si>
  <si>
    <t xml:space="preserve">Caguas </t>
  </si>
  <si>
    <t xml:space="preserve">Camuy </t>
  </si>
  <si>
    <t xml:space="preserve">Canovanas </t>
  </si>
  <si>
    <t xml:space="preserve">Carolina </t>
  </si>
  <si>
    <t xml:space="preserve">Catano </t>
  </si>
  <si>
    <t xml:space="preserve">Cayey </t>
  </si>
  <si>
    <t xml:space="preserve">Ceiba </t>
  </si>
  <si>
    <t xml:space="preserve">Ciales </t>
  </si>
  <si>
    <t xml:space="preserve">Cidra </t>
  </si>
  <si>
    <t xml:space="preserve">Coamo </t>
  </si>
  <si>
    <t xml:space="preserve">Comerio </t>
  </si>
  <si>
    <t xml:space="preserve">Corozal </t>
  </si>
  <si>
    <t xml:space="preserve">Culebra </t>
  </si>
  <si>
    <t xml:space="preserve">Dorado </t>
  </si>
  <si>
    <t xml:space="preserve">Fajardo </t>
  </si>
  <si>
    <t xml:space="preserve">Florida </t>
  </si>
  <si>
    <t xml:space="preserve">Guanica </t>
  </si>
  <si>
    <t xml:space="preserve">Guayama </t>
  </si>
  <si>
    <t xml:space="preserve">Guayanilla </t>
  </si>
  <si>
    <t xml:space="preserve">Guaynabo </t>
  </si>
  <si>
    <t xml:space="preserve">Gurabo </t>
  </si>
  <si>
    <t xml:space="preserve">Hatillo </t>
  </si>
  <si>
    <t xml:space="preserve">Hormigueros </t>
  </si>
  <si>
    <t xml:space="preserve">Humacao </t>
  </si>
  <si>
    <t xml:space="preserve">Isabela </t>
  </si>
  <si>
    <t xml:space="preserve">Jayuya </t>
  </si>
  <si>
    <t xml:space="preserve">Juana Diaz </t>
  </si>
  <si>
    <t xml:space="preserve">Juncos </t>
  </si>
  <si>
    <t xml:space="preserve">Lajas </t>
  </si>
  <si>
    <t xml:space="preserve">Lares </t>
  </si>
  <si>
    <t xml:space="preserve">Las Marias </t>
  </si>
  <si>
    <t xml:space="preserve">Las Piedras </t>
  </si>
  <si>
    <t xml:space="preserve">Loiza </t>
  </si>
  <si>
    <t xml:space="preserve">Luquillo </t>
  </si>
  <si>
    <t xml:space="preserve">Maricao </t>
  </si>
  <si>
    <t xml:space="preserve">Maunabo </t>
  </si>
  <si>
    <t xml:space="preserve">Mayaguez </t>
  </si>
  <si>
    <t xml:space="preserve">Moca </t>
  </si>
  <si>
    <t xml:space="preserve">Morovis </t>
  </si>
  <si>
    <t xml:space="preserve">Naguabo </t>
  </si>
  <si>
    <t xml:space="preserve">Naranjito </t>
  </si>
  <si>
    <t xml:space="preserve">Orocovis </t>
  </si>
  <si>
    <t xml:space="preserve">Patillas </t>
  </si>
  <si>
    <t xml:space="preserve">Penuelas </t>
  </si>
  <si>
    <t xml:space="preserve">Ponce </t>
  </si>
  <si>
    <t xml:space="preserve">Quebradillas </t>
  </si>
  <si>
    <t xml:space="preserve">Rincon </t>
  </si>
  <si>
    <t xml:space="preserve">Rio Grande </t>
  </si>
  <si>
    <t xml:space="preserve">Sabana Grande </t>
  </si>
  <si>
    <t xml:space="preserve">Salinas </t>
  </si>
  <si>
    <t xml:space="preserve">San German </t>
  </si>
  <si>
    <t xml:space="preserve">San Juan </t>
  </si>
  <si>
    <t xml:space="preserve">San Lorenzo </t>
  </si>
  <si>
    <t xml:space="preserve">San Sebastian </t>
  </si>
  <si>
    <t xml:space="preserve">Santa Isabel </t>
  </si>
  <si>
    <t xml:space="preserve">Toa Alta </t>
  </si>
  <si>
    <t xml:space="preserve">Toa Baja </t>
  </si>
  <si>
    <t xml:space="preserve">Trujillo Alto </t>
  </si>
  <si>
    <t xml:space="preserve">Utuado </t>
  </si>
  <si>
    <t xml:space="preserve">Vega Alta </t>
  </si>
  <si>
    <t xml:space="preserve">Vega Baja </t>
  </si>
  <si>
    <t xml:space="preserve">Vieques </t>
  </si>
  <si>
    <t xml:space="preserve">Villalba </t>
  </si>
  <si>
    <t xml:space="preserve">Yabucoa </t>
  </si>
  <si>
    <t xml:space="preserve">Yauco </t>
  </si>
  <si>
    <t>Area &amp; Guideline Standard</t>
  </si>
  <si>
    <t>Round Description</t>
  </si>
  <si>
    <t>INC_AREA_NAME</t>
  </si>
  <si>
    <t>AMI Data As Of Year</t>
  </si>
  <si>
    <t>ADL_DESCRIPTION</t>
  </si>
  <si>
    <t>Additional Documentation - Description</t>
  </si>
  <si>
    <t>HSEHLD_NO</t>
  </si>
  <si>
    <t>Household #</t>
  </si>
  <si>
    <t>HSEHLD_BANNER</t>
  </si>
  <si>
    <t>Household Banner</t>
  </si>
  <si>
    <t>Household &amp; Submission Details</t>
  </si>
  <si>
    <t>Household ID</t>
  </si>
  <si>
    <t>Household First Name</t>
  </si>
  <si>
    <t>Household Last Name</t>
  </si>
  <si>
    <t>Documentation Submission Description</t>
  </si>
  <si>
    <t>CHAR_LIMIT_TEMPLATE</t>
  </si>
  <si>
    <t>CHAR_LIMIT_TEMPLATE_ERR</t>
  </si>
  <si>
    <t>Narrative Limit Template</t>
  </si>
  <si>
    <t>[diff] character(s) remaining</t>
  </si>
  <si>
    <t>Narrative Limit Template Error</t>
  </si>
  <si>
    <t>Error: [diff] character(s) over</t>
  </si>
  <si>
    <t>Value Option</t>
  </si>
  <si>
    <t>Format Options</t>
  </si>
  <si>
    <t>options: diff, limit, used</t>
  </si>
  <si>
    <t>[used] of [limit] character(s) used</t>
  </si>
  <si>
    <t>HOUSING_EXP_INC_RATIO</t>
  </si>
  <si>
    <t>TOTAL_DEBT_INC_RATIO</t>
  </si>
  <si>
    <t>LTV</t>
  </si>
  <si>
    <t>HSEHLD_CONTRIBUTION_AMT</t>
  </si>
  <si>
    <t>FIRST_MTG_LOAN_AMT</t>
  </si>
  <si>
    <t>DISBURSEMENT_DATE</t>
  </si>
  <si>
    <t>ORIG_CHARGES_AMT</t>
  </si>
  <si>
    <t>FIRST_MTG_LOAN_RATE</t>
  </si>
  <si>
    <t>FIRST_MTG_LOAN_TERM</t>
  </si>
  <si>
    <t>FIRST_MTG_LOAN_TYPE</t>
  </si>
  <si>
    <t>FIXED_MTG_LOAN_FLAG</t>
  </si>
  <si>
    <t>SECOND_MTG_LOAN_AMT</t>
  </si>
  <si>
    <t>SECOND_MTG_LOAN_RATE</t>
  </si>
  <si>
    <t>SECOND_MTG_LOAN_TERM</t>
  </si>
  <si>
    <t>FIRST_NON_FHLB_GRANT_SRC</t>
  </si>
  <si>
    <t>FIRST_NON_FHLB_GRANT_AMT</t>
  </si>
  <si>
    <t>SECOND_NON_FHLB_GRANT_SRC</t>
  </si>
  <si>
    <t>SECOND_NON_FHLB_GRANT_AMT</t>
  </si>
  <si>
    <t>THIRD_NON_FHLB_GRANT_SRC</t>
  </si>
  <si>
    <t>THIRD_NON_FHLB_GRANT_AMT</t>
  </si>
  <si>
    <t>FOURTH_NON_FHLB_GRANT_SRC</t>
  </si>
  <si>
    <t>FOURTH_NON_FHLB_GRANT_AMT</t>
  </si>
  <si>
    <t>OTHER_FHLB_GRANT_AMT</t>
  </si>
  <si>
    <t>OTHER_FHLB_GRANT_SRC</t>
  </si>
  <si>
    <t>SECOND_MTG_FLAG</t>
  </si>
  <si>
    <t>OTHER_NON_FHLB_GRANT_FLAG</t>
  </si>
  <si>
    <t>OTHER_FHLB_GRANT_FLAG</t>
  </si>
  <si>
    <t>Housing Expense to Income Ratio</t>
  </si>
  <si>
    <t>Total Debt to Income Ratio</t>
  </si>
  <si>
    <t>Household Contribution Amount</t>
  </si>
  <si>
    <t>Origination Charges</t>
  </si>
  <si>
    <t>First Mortgage Loan Amount</t>
  </si>
  <si>
    <t>Fixed or Variable</t>
  </si>
  <si>
    <t>Date of Disbursement (to Borrower) (Closing)</t>
  </si>
  <si>
    <t>First Mortgage Fixed Flag</t>
  </si>
  <si>
    <t>$DB.LOOKUP.RANGE_LOOKUP_MTG_TYPE</t>
  </si>
  <si>
    <t>Second Mortgage Flag</t>
  </si>
  <si>
    <t>Second Mortgage Loan Amount</t>
  </si>
  <si>
    <t>First Mortgage APR</t>
  </si>
  <si>
    <t>First Mortgage Term (Months)</t>
  </si>
  <si>
    <t>Other Non-FHLBNY Grant Flag</t>
  </si>
  <si>
    <t>Other FHLBNY Grant Flag</t>
  </si>
  <si>
    <t>Name of Grant or Secondary Financing - Other FHLB Grant</t>
  </si>
  <si>
    <t>Grant Amount</t>
  </si>
  <si>
    <t>Second Mortgage APR</t>
  </si>
  <si>
    <t>Second Mortgage Term (Months)</t>
  </si>
  <si>
    <t>First Non FHLB Grant - Source</t>
  </si>
  <si>
    <t>First Non FHLB Grant - Amount</t>
  </si>
  <si>
    <t>Second Non FHLB Grant - Source</t>
  </si>
  <si>
    <t>Second Non FHLB Grant - Amount</t>
  </si>
  <si>
    <t>Third Non FHLB Grant - Source</t>
  </si>
  <si>
    <t>Third Non FHLB Grant - Amount</t>
  </si>
  <si>
    <t>Fourth Non FHLB Grant - Source</t>
  </si>
  <si>
    <t>Fourth Non FHLB Grant - Amount</t>
  </si>
  <si>
    <t>SECTION_5_WARNING_01</t>
  </si>
  <si>
    <t>warning(s) in form; please review and address issues as necessary</t>
  </si>
  <si>
    <t>Mortgage Information</t>
  </si>
  <si>
    <t>Other Grants</t>
  </si>
  <si>
    <t>First Mortgage</t>
  </si>
  <si>
    <t>Date of Disbursement</t>
  </si>
  <si>
    <t>Amount</t>
  </si>
  <si>
    <t>APR</t>
  </si>
  <si>
    <t>Term (Months)</t>
  </si>
  <si>
    <t>Type</t>
  </si>
  <si>
    <t>Second Mortgage</t>
  </si>
  <si>
    <t>Name of Grant</t>
  </si>
  <si>
    <r>
      <t xml:space="preserve">Are there any other </t>
    </r>
    <r>
      <rPr>
        <u/>
        <sz val="11"/>
        <color theme="1"/>
        <rFont val="Calibri"/>
        <family val="2"/>
        <scheme val="minor"/>
      </rPr>
      <t>Non-FHLBNY grants</t>
    </r>
    <r>
      <rPr>
        <sz val="11"/>
        <color theme="1"/>
        <rFont val="Calibri"/>
        <family val="2"/>
        <scheme val="minor"/>
      </rPr>
      <t xml:space="preserve"> in the transaction?</t>
    </r>
  </si>
  <si>
    <t>Is there another FHLBNY grant in the transaction?</t>
  </si>
  <si>
    <t>Is there a second mortgage in the transaction?</t>
  </si>
  <si>
    <t>COUNSEL_DATE_AGE_MAX</t>
  </si>
  <si>
    <t>Responses In This Section Do Not Meet Eligibility Requirements</t>
  </si>
  <si>
    <t>$DB.LOOKUP.RANGE_LOOKUP_STATE_ALLSTATES</t>
  </si>
  <si>
    <t>Counseling Completion Date - Max. Allowable Age (in years, prior to reservation submission date)</t>
  </si>
  <si>
    <t>Maximum Age for Counseling Completion (in years, prior to reservation submission)</t>
  </si>
  <si>
    <t>Homeownership Counseling</t>
  </si>
  <si>
    <t>Counseling Completion Date</t>
  </si>
  <si>
    <t>AGENCY_NAME</t>
  </si>
  <si>
    <t>Abyssinian Develop. Corp.</t>
  </si>
  <si>
    <t>Affordable Housing Alliance</t>
  </si>
  <si>
    <t>AHP</t>
  </si>
  <si>
    <t>AHOME, Inc.</t>
  </si>
  <si>
    <t>ACRHA</t>
  </si>
  <si>
    <t>Albany Housing Partnership</t>
  </si>
  <si>
    <t>Alternatives Venture Fund</t>
  </si>
  <si>
    <t xml:space="preserve">Arbor Housing </t>
  </si>
  <si>
    <t>AAFE</t>
  </si>
  <si>
    <t>Bergen County American Dream</t>
  </si>
  <si>
    <t>BCHC</t>
  </si>
  <si>
    <t xml:space="preserve">Better Housing for Tompkins County </t>
  </si>
  <si>
    <t>BNI</t>
  </si>
  <si>
    <t>Bishop Sheen Ecumenical Housing Foundation</t>
  </si>
  <si>
    <t>Buffalo Urban League</t>
  </si>
  <si>
    <t>BCCAP</t>
  </si>
  <si>
    <t>CC of the Southern Tier</t>
  </si>
  <si>
    <t>CCNDV/ CVSHOC</t>
  </si>
  <si>
    <t>CJHRC</t>
  </si>
  <si>
    <t>CHRIC, Inc.</t>
  </si>
  <si>
    <t>Chautauqua Opportunities Inc.</t>
  </si>
  <si>
    <t>CHHAYA CDC</t>
  </si>
  <si>
    <t>Clearpoint CCS</t>
  </si>
  <si>
    <t>PRAB, Inc.</t>
  </si>
  <si>
    <t>CASH</t>
  </si>
  <si>
    <t>CDC of LI</t>
  </si>
  <si>
    <t>Community Housing Innovations</t>
  </si>
  <si>
    <t>CCBC</t>
  </si>
  <si>
    <t>CCCSBuffalo</t>
  </si>
  <si>
    <t>CCCSNJ</t>
  </si>
  <si>
    <t>CCCSPR</t>
  </si>
  <si>
    <t>CCCSRochester</t>
  </si>
  <si>
    <t>CCCS, a division of MMI</t>
  </si>
  <si>
    <t>Cornell Cooperative Extension Orange County</t>
  </si>
  <si>
    <t>Cornell Cooperative Extension Sullivan County</t>
  </si>
  <si>
    <t>CHAC</t>
  </si>
  <si>
    <t>Cypress Hills Local DC</t>
  </si>
  <si>
    <t>EOC of Suffolk, Inc.</t>
  </si>
  <si>
    <t>FHC</t>
  </si>
  <si>
    <t>Faith Fellowship CDC</t>
  </si>
  <si>
    <t>Genesee Valley Rural Preservation Council, Inc.</t>
  </si>
  <si>
    <t>GMI</t>
  </si>
  <si>
    <t xml:space="preserve">HASCO </t>
  </si>
  <si>
    <t>HCCI</t>
  </si>
  <si>
    <t>HOGAR, Inc.</t>
  </si>
  <si>
    <t xml:space="preserve">Holly City Development Corporation </t>
  </si>
  <si>
    <t>Home Headquarters Inc.</t>
  </si>
  <si>
    <t>Homefront Inc.</t>
  </si>
  <si>
    <t>UNHS Neighborworks</t>
  </si>
  <si>
    <t>HAC</t>
  </si>
  <si>
    <t>HAP of Essex County</t>
  </si>
  <si>
    <t>HCCJ</t>
  </si>
  <si>
    <t>HDF</t>
  </si>
  <si>
    <t xml:space="preserve">Housing Help, Inc. </t>
  </si>
  <si>
    <t>HP for Morris County</t>
  </si>
  <si>
    <t>Neighborworks HC</t>
  </si>
  <si>
    <t>HRCC</t>
  </si>
  <si>
    <t>Hudson River Housing, Inc.</t>
  </si>
  <si>
    <t>Hunter Foundation, Inc.</t>
  </si>
  <si>
    <t>Ibero- American Develop. Corp.</t>
  </si>
  <si>
    <t>Ithaca NHS</t>
  </si>
  <si>
    <t>Keuka Housing Council, Inc.</t>
  </si>
  <si>
    <t>Kiryas Joel CHD</t>
  </si>
  <si>
    <t>Lackawanna HDC</t>
  </si>
  <si>
    <t>LI Housing Partnership</t>
  </si>
  <si>
    <t>Margert CC</t>
  </si>
  <si>
    <t>MHA</t>
  </si>
  <si>
    <t>Metro Interfaith HMC</t>
  </si>
  <si>
    <t>MMI</t>
  </si>
  <si>
    <t>Nassau County, OHIA</t>
  </si>
  <si>
    <t>NHS of SI</t>
  </si>
  <si>
    <t>NHS of Bedford-Stuyvesant</t>
  </si>
  <si>
    <t>NHS of Camden</t>
  </si>
  <si>
    <t>NHS of East Flatbush/Richmond Hill</t>
  </si>
  <si>
    <t>NHS of Jamaica</t>
  </si>
  <si>
    <t>NHS of NYC</t>
  </si>
  <si>
    <t>NHS of North Bronx</t>
  </si>
  <si>
    <t>NHS of Northern Queens</t>
  </si>
  <si>
    <t>NHS of South Bronx</t>
  </si>
  <si>
    <t>NHS of South Buffalo</t>
  </si>
  <si>
    <t>NHN</t>
  </si>
  <si>
    <t>NW, Inc.</t>
  </si>
  <si>
    <t>Neighborworks Roc</t>
  </si>
  <si>
    <t>Niagara Falls NHS</t>
  </si>
  <si>
    <t>NJ Citizen Action</t>
  </si>
  <si>
    <t>Northfield Community LDC</t>
  </si>
  <si>
    <t>OCEAN Inc.</t>
  </si>
  <si>
    <t>OCRDAC</t>
  </si>
  <si>
    <t>Oswego HDC</t>
  </si>
  <si>
    <t>Pathstone Corp. - CEDD</t>
  </si>
  <si>
    <t>Pathstone Corp.-Genesee</t>
  </si>
  <si>
    <t>Pathstone Corp.-Ontario</t>
  </si>
  <si>
    <t>Pathstone Corp.-Orleans</t>
  </si>
  <si>
    <t>Pathstone Corp.-Wayne</t>
  </si>
  <si>
    <t>Pathstone Corp.-Wyoming</t>
  </si>
  <si>
    <t>Pathstone Corp- PR</t>
  </si>
  <si>
    <t>Ponce NHS</t>
  </si>
  <si>
    <t>PACC</t>
  </si>
  <si>
    <t>Providence Housing Dev. Corp.</t>
  </si>
  <si>
    <t>Putnam County HC</t>
  </si>
  <si>
    <t>Quaranta Homeownership  Ctr of OFC.</t>
  </si>
  <si>
    <t>Quaranta HS</t>
  </si>
  <si>
    <t>RUPCO</t>
  </si>
  <si>
    <t>San Juan NHS</t>
  </si>
  <si>
    <t>Seneca Housing Inc.</t>
  </si>
  <si>
    <t>Southern Hills Preservation Corp.</t>
  </si>
  <si>
    <t>The Housing Council  at Pathstone</t>
  </si>
  <si>
    <t>SALOC</t>
  </si>
  <si>
    <t>TRIP Neighborworks</t>
  </si>
  <si>
    <t>TRIP, Inc.</t>
  </si>
  <si>
    <t>Urban League of Roc</t>
  </si>
  <si>
    <t>West Side NHS</t>
  </si>
  <si>
    <t>Westchester ROI</t>
  </si>
  <si>
    <t>THA-Perth Amboy</t>
  </si>
  <si>
    <t>OSHA</t>
  </si>
  <si>
    <t>HPDC</t>
  </si>
  <si>
    <t>Neighbors of Watertown, Inc.</t>
  </si>
  <si>
    <t>Cooperative Federal</t>
  </si>
  <si>
    <t>Catholic Charities</t>
  </si>
  <si>
    <t>Vincere Group, Inc.</t>
  </si>
  <si>
    <t>Pathstone Corporation</t>
  </si>
  <si>
    <t>La Casa De Don Pedro</t>
  </si>
  <si>
    <t>HomeOwnership Centers at Home Headquarters</t>
  </si>
  <si>
    <t>Central Jersey Housing Resource Center</t>
  </si>
  <si>
    <t>HOMECORP</t>
  </si>
  <si>
    <t>Community Action Partnership</t>
  </si>
  <si>
    <t>RHAC</t>
  </si>
  <si>
    <t>Green Path Inc.</t>
  </si>
  <si>
    <t>HomeOwnership Centers</t>
  </si>
  <si>
    <t>Money Management International</t>
  </si>
  <si>
    <t>DMCC</t>
  </si>
  <si>
    <t>Bronx Neighborhood Housing and Services CDC</t>
  </si>
  <si>
    <t>Brooklyn Neighborhood Services</t>
  </si>
  <si>
    <t>Financial Wellness Intitute</t>
  </si>
  <si>
    <t>$DB.LOOKUP.RANGE_LOOKUP_COUNSELING_AGENCIES</t>
  </si>
  <si>
    <t>NONPROF_AGCY_NAME_SELECT</t>
  </si>
  <si>
    <t>NONPROF_AGCY_NAME_OTHER</t>
  </si>
  <si>
    <t>Counseling Agency - Selection (Dropdown)</t>
  </si>
  <si>
    <t>Counseling Agency - Other (if 'Other' Selected)</t>
  </si>
  <si>
    <t>Counseling Agency (Logic, Selection or Other)</t>
  </si>
  <si>
    <t>Other</t>
  </si>
  <si>
    <t>If 'Other' selected, type in Counseling Agency name:</t>
  </si>
  <si>
    <r>
      <t>Counseling Agency</t>
    </r>
    <r>
      <rPr>
        <i/>
        <sz val="10"/>
        <color theme="1"/>
        <rFont val="Calibri"/>
        <family val="2"/>
        <scheme val="minor"/>
      </rPr>
      <t xml:space="preserve"> (If Agency is not in list, select 'Other' and define below)</t>
    </r>
  </si>
  <si>
    <t>Other (Please Describe)</t>
  </si>
  <si>
    <t>Child #4</t>
  </si>
  <si>
    <t>Disability</t>
  </si>
  <si>
    <t>Child #3</t>
  </si>
  <si>
    <t>Public Assistance</t>
  </si>
  <si>
    <t>Unemployment</t>
  </si>
  <si>
    <t>Monthly</t>
  </si>
  <si>
    <t>Child #2</t>
  </si>
  <si>
    <t>Dividends</t>
  </si>
  <si>
    <t>Bi-Weekly</t>
  </si>
  <si>
    <t>Child #1</t>
  </si>
  <si>
    <t>Social Security</t>
  </si>
  <si>
    <t>Interest</t>
  </si>
  <si>
    <t>Weekly</t>
  </si>
  <si>
    <t>DEPENDENT_NAME</t>
  </si>
  <si>
    <t>SECTE_INCOMESOURCE</t>
  </si>
  <si>
    <t>SECTD_INCOMESOURCE</t>
  </si>
  <si>
    <t>PYMTS_PER_YEAR</t>
  </si>
  <si>
    <t>CHILDSUPPORT_PYMT_FREQ</t>
  </si>
  <si>
    <t>PAYSTUBS_PER_YEAR</t>
  </si>
  <si>
    <t>$DB.LOOKUP.RANGE_LOOKUP_DEPENDENTS</t>
  </si>
  <si>
    <t>$DB.LOOKUP.RANGE_LOOKUP_SECTE_INCOMESOURCE</t>
  </si>
  <si>
    <t>$DB.LOOKUP.RANGE_LOOKUP_SECTD_INCOMESOURCE</t>
  </si>
  <si>
    <t>$DB.LOOKUP.RANGE_LOOKUP_CHILDSUPPORT_FREQ</t>
  </si>
  <si>
    <t>$DB.LOOKUP.RANGE_LOOKUP_ANNUAL_PAYSTUBS</t>
  </si>
  <si>
    <t>Applicant Name</t>
  </si>
  <si>
    <t>Section G - Zero-Income Earning Adults</t>
  </si>
  <si>
    <t>Section F, Total Income</t>
  </si>
  <si>
    <t>Annual Net Income</t>
  </si>
  <si>
    <t>Net Monthly Rental Income</t>
  </si>
  <si>
    <t>Gross Monthly Rental Income</t>
  </si>
  <si>
    <t>Instructions / Documentation</t>
  </si>
  <si>
    <t>Section F - Rental Income</t>
  </si>
  <si>
    <t>Section E, Total Income</t>
  </si>
  <si>
    <t>Annual Income</t>
  </si>
  <si>
    <t>Income Source</t>
  </si>
  <si>
    <t>Section E- Seasonal Employment, Unemployment, and Miscellaneous Income</t>
  </si>
  <si>
    <t>Section D, Total Income</t>
  </si>
  <si>
    <t>Payment Amount</t>
  </si>
  <si>
    <t>Payment Frequency</t>
  </si>
  <si>
    <r>
      <t xml:space="preserve">Dependents </t>
    </r>
    <r>
      <rPr>
        <sz val="10"/>
        <color theme="1"/>
        <rFont val="Calibri"/>
        <family val="2"/>
        <scheme val="minor"/>
      </rPr>
      <t>(select from dropdown)</t>
    </r>
  </si>
  <si>
    <t>Section D - Child Support</t>
  </si>
  <si>
    <t>Section C, Total Income</t>
  </si>
  <si>
    <t xml:space="preserve"> Net Income</t>
  </si>
  <si>
    <t># Months</t>
  </si>
  <si>
    <t>Business Name</t>
  </si>
  <si>
    <t>Section C - Self-Employment Income</t>
  </si>
  <si>
    <t>Section B, Total Income</t>
  </si>
  <si>
    <t>Source</t>
  </si>
  <si>
    <t>End of Pay Period</t>
  </si>
  <si>
    <t>Employer</t>
  </si>
  <si>
    <t>Letter Date</t>
  </si>
  <si>
    <t>Gross Pay Amount:</t>
  </si>
  <si>
    <t>Paystub #4</t>
  </si>
  <si>
    <t>Paystub #3</t>
  </si>
  <si>
    <t>Paystub #2</t>
  </si>
  <si>
    <t>Paystub #1</t>
  </si>
  <si>
    <t>30-Day Paystub History:</t>
  </si>
  <si>
    <t>YTD Pay Rate</t>
  </si>
  <si>
    <t>YTD Paystubs</t>
  </si>
  <si>
    <t>YTD Gross Income</t>
  </si>
  <si>
    <t>30-Day Avg. Pay</t>
  </si>
  <si>
    <t>Paystubs / Year</t>
  </si>
  <si>
    <t>Start Date</t>
  </si>
  <si>
    <t>Section A - Employment Income</t>
  </si>
  <si>
    <t>FHLBNY Member Name</t>
  </si>
  <si>
    <r>
      <t>Total Income</t>
    </r>
    <r>
      <rPr>
        <b/>
        <vertAlign val="superscript"/>
        <sz val="10"/>
        <color theme="1"/>
        <rFont val="Calibri"/>
        <family val="2"/>
        <scheme val="minor"/>
      </rPr>
      <t>(2)</t>
    </r>
  </si>
  <si>
    <t>Household Size</t>
  </si>
  <si>
    <t># Children</t>
  </si>
  <si>
    <r>
      <t># Adults</t>
    </r>
    <r>
      <rPr>
        <b/>
        <vertAlign val="superscript"/>
        <sz val="10"/>
        <color theme="1"/>
        <rFont val="Calibri"/>
        <family val="2"/>
        <scheme val="minor"/>
      </rPr>
      <t>(1)</t>
    </r>
  </si>
  <si>
    <r>
      <t xml:space="preserve">Address </t>
    </r>
    <r>
      <rPr>
        <sz val="10"/>
        <color theme="1"/>
        <rFont val="Calibri"/>
        <family val="2"/>
        <scheme val="minor"/>
      </rPr>
      <t>(Street Address, City, State &amp; Zip Code)</t>
    </r>
  </si>
  <si>
    <t>Household Name</t>
  </si>
  <si>
    <t>Household Summary</t>
  </si>
  <si>
    <t>Income Calculation Worksheet</t>
  </si>
  <si>
    <t>SUPPORTS ICW / HEADER</t>
  </si>
  <si>
    <t>SA_PROGRAM_NAME</t>
  </si>
  <si>
    <t>Program Name</t>
  </si>
  <si>
    <t>DOC_ID</t>
  </si>
  <si>
    <t>Document ID</t>
  </si>
  <si>
    <t>CO_BORW_STARTED_FLAG</t>
  </si>
  <si>
    <t>Co-Borrower - Any Field on Row Started/Populated</t>
  </si>
  <si>
    <t>THRD_BORW_STARTED_FLAG</t>
  </si>
  <si>
    <t>SECTION_2_WARNING_01</t>
  </si>
  <si>
    <t>Minimum Household Contribution Amount</t>
  </si>
  <si>
    <t>MIN_HOUSEHOLD_CONTRIB_AMT</t>
  </si>
  <si>
    <t>SECTION_4_WARNING_01</t>
  </si>
  <si>
    <t>Maximum Loan to Value Ratio</t>
  </si>
  <si>
    <t>Maximum Housing Expense/Income Ratio</t>
  </si>
  <si>
    <t>Maximum Total Debt/Income Ratio</t>
  </si>
  <si>
    <t>MAX_LTV_RATIO</t>
  </si>
  <si>
    <t>MAX_DTI_FE_RATIO</t>
  </si>
  <si>
    <t>MAX_DTI_BE_RATIO</t>
  </si>
  <si>
    <t>Maximum LTV Ratio</t>
  </si>
  <si>
    <t>Maximum Front End Ratio</t>
  </si>
  <si>
    <t>Maximum Back End Ratio</t>
  </si>
  <si>
    <t>SECTION_4_WARNING_02</t>
  </si>
  <si>
    <t>SECTION_4_WARNING_03</t>
  </si>
  <si>
    <t>SECTION_4_WARNING_04</t>
  </si>
  <si>
    <t>Minimum Household ID Allowed (Current Program / Additional Documentation &amp; Drawdown Forms)</t>
  </si>
  <si>
    <t>Minimum Household ID Allowed (Legacy Program / Reservation Request Form)</t>
  </si>
  <si>
    <t>MIN_HOUSEHOLD_ID_LEGACY</t>
  </si>
  <si>
    <t>MIN_HOUSEHOLD_ID_CURR</t>
  </si>
  <si>
    <t>Minimum Household ID (Current Program)</t>
  </si>
  <si>
    <t>Minimum Household ID (Legacy Program)</t>
  </si>
  <si>
    <t>Federal Home Loan Bank of New York Member</t>
  </si>
  <si>
    <t>FHLBNY Member</t>
  </si>
  <si>
    <t>PROPTY_ADDRESS_UNIFIED</t>
  </si>
  <si>
    <t>Property Address - Unified (for ICW Display)</t>
  </si>
  <si>
    <t>Funding Request</t>
  </si>
  <si>
    <t>DTI_THRESH_AFFORDABILITY</t>
  </si>
  <si>
    <t>Affordability DTI Threshold</t>
  </si>
  <si>
    <t>Explanation of Affordability - Total Debt/Income Ratio Treshold</t>
  </si>
  <si>
    <t>EXPLANATION_OF_AFFORDABILITY</t>
  </si>
  <si>
    <t>Explanation of Affordability</t>
  </si>
  <si>
    <t>New Household Reservation Request</t>
  </si>
  <si>
    <t xml:space="preserve">Other Documentation Request </t>
  </si>
  <si>
    <t>ADL_ICW_FLAG</t>
  </si>
  <si>
    <t>ADL_ICW_COMPLETION_DATE</t>
  </si>
  <si>
    <t>Additional Documentation - ICW Included Flag</t>
  </si>
  <si>
    <t>Additional Documentation - ICW Completion Date</t>
  </si>
  <si>
    <r>
      <rPr>
        <b/>
        <sz val="11"/>
        <color theme="1"/>
        <rFont val="Calibri"/>
        <family val="2"/>
        <scheme val="minor"/>
      </rPr>
      <t>Purchase Property</t>
    </r>
    <r>
      <rPr>
        <sz val="11"/>
        <color theme="1"/>
        <rFont val="Calibri"/>
        <family val="2"/>
        <scheme val="minor"/>
      </rPr>
      <t xml:space="preserve"> Street Address</t>
    </r>
  </si>
  <si>
    <t>FHA MRI Letter</t>
  </si>
  <si>
    <t>ICW Completion Date</t>
  </si>
  <si>
    <r>
      <t>If Yes</t>
    </r>
    <r>
      <rPr>
        <sz val="11"/>
        <color theme="1"/>
        <rFont val="Calibri"/>
        <family val="2"/>
        <scheme val="minor"/>
      </rPr>
      <t>, please complete all of the required fields below and use the link below to access and complete the Income Calculation Worksheet:</t>
    </r>
  </si>
  <si>
    <t>FORM_LINK_HREF</t>
  </si>
  <si>
    <t>FORM_LINK_NAME</t>
  </si>
  <si>
    <t>{DELETED}</t>
  </si>
  <si>
    <t>MEMBER_CONTACT_NAME</t>
  </si>
  <si>
    <t>Member Contact - Full Name</t>
  </si>
  <si>
    <t>MEMBER_CONTACT_TITLE</t>
  </si>
  <si>
    <t>MEMBER_CERTIFICATION_DATE</t>
  </si>
  <si>
    <t>Member Contact - Title</t>
  </si>
  <si>
    <t>Member Contact - Certification Date</t>
  </si>
  <si>
    <t>SECTION_6</t>
  </si>
  <si>
    <t>Member Certification</t>
  </si>
  <si>
    <t>SECTION_6_RANGE</t>
  </si>
  <si>
    <t>SECTION_6_DONE_COUNT</t>
  </si>
  <si>
    <t>SECTION_6_TOTAL_COUNT</t>
  </si>
  <si>
    <t>SECTION_6_ERROR_COUNT</t>
  </si>
  <si>
    <t>SECTION_6_PROGRESS_PERCENT</t>
  </si>
  <si>
    <t>SECTION_6_STATUS_TEXT</t>
  </si>
  <si>
    <t>SECTION_6_STATUS_CODE</t>
  </si>
  <si>
    <t>SECTION_6_TOC_LABEL</t>
  </si>
  <si>
    <t>SECTION_6_WARNING_COUNT</t>
  </si>
  <si>
    <t>SECTION_6_WARNING_FLAG</t>
  </si>
  <si>
    <t>Authorized Member Representative Name</t>
  </si>
  <si>
    <t>Title</t>
  </si>
  <si>
    <t>Homebuyer Dream Program</t>
  </si>
  <si>
    <t>County / Municipio</t>
  </si>
  <si>
    <t>Fixed Rate</t>
  </si>
  <si>
    <t>Variable Rate</t>
  </si>
  <si>
    <t>Field Symbol Legend</t>
  </si>
  <si>
    <t>An Income Calculation Worksheet must also be completed as part of this request.  Please use the following link to access and complete the Income Calculation Worksheet:</t>
  </si>
  <si>
    <t>Does an Income Calculation Worksheet also need to be completed as part of this request?</t>
  </si>
  <si>
    <t>FHC_PROG_ID</t>
  </si>
  <si>
    <t>FHC Program ID</t>
  </si>
  <si>
    <t>ICW_ZEROINCOME_DOC_ID</t>
  </si>
  <si>
    <t>ICW Zero Income Cert Document ID</t>
  </si>
  <si>
    <t>ICW Zero Income Ceritification Document Reference</t>
  </si>
  <si>
    <t>FHLBNY Homebuyer Dream Program (HDP) Webpage</t>
  </si>
  <si>
    <t>TRADEMARK_ID</t>
  </si>
  <si>
    <t>Trademark ID (Unicode)</t>
  </si>
  <si>
    <t>AHP/HDP-001</t>
  </si>
  <si>
    <t>REMOVED FOR 2020 ROUND (NOV 2019)</t>
  </si>
  <si>
    <t>Co-op</t>
  </si>
  <si>
    <t>®</t>
  </si>
  <si>
    <t>PROPTY_CNTY_CODE</t>
  </si>
  <si>
    <t>Property Address - County Code</t>
  </si>
  <si>
    <t>RELEASE 1A (2021 EFORM) - ADDED FIELD</t>
  </si>
  <si>
    <t>County Code</t>
  </si>
  <si>
    <t>REMOVED FOR 2022 ROUND (NOV 2021)</t>
  </si>
  <si>
    <t>FRAMEWORK</t>
  </si>
  <si>
    <t>(“Member”) hereby confirms that it has been informed of the requirements of the Federal Home Loan Bank of New York (“FHLBNY”) Homebuyer Dream Program® (“HDP®” or “Program”), which provides grants for the purchase of a primary residence for first-time home buyers who meet HDP requirements as set forth in the FHLBNY Homebuyer Dream Program Guidelines, as the same may be amended and supplemented from time to time (“Program Guidelines”).  The HDP Guidelines are available on the FHLBNY website.
In connection with the Member’s request for HDP subsidy funding, the undersigned acknowledges that: 
(1) The Member shall comply with all of the requirements established by the Federal Housing Finance Agency (“FHFA”) Affordable Housing Program regulations, 12 C.F.R. Part 1291 (“AHP Regulation”) and the FHLBNY AHP Implementation Plan (the “Implementation Plan”), as the same may be amended from time to time. 
(2) the FHLBNY may deny or recover the grant if the FHLBNY discovers that the household does not meet Program requirements, the Member provided false, misleading or incomplete information to FHLBNY, or pursuant to the terms and conditions set forth in the AHP Regulation, Implementation Plan and Program Guidelines; and
(3) nothing contained in the Program Guidelines, Implementation Plan or this Program Request Form may be construed as an agreement or commitment on the part of FHLBNY to provide reimbursement of grant subsidy to the Member.  
The undersigned has read and fully understands and agrees to comply with the requirements of the Program as described above and in the Program Guidelines and certifies that the information contained in this Program Request Form is true and accurate.  The undersigned understands that limited funds are available and shall be allocated at the discretion of the FHLBNY in accordance with the Program Guidelines and the Implementation Plan, as the same may be amended and supplemented from time to time.  The FHLBNY reserves the right to change the terms and conditions of the Program at any time, without prior notice and, the FHLBNY in its sole discretion, may refuse to honor a request for an HDP grant. 
By typing or signing your name below, you agree that you signed this document with an electronic signature. You intend your authorized electronic signature to have the effect of your written signature. You have viewed and read this disclosure and this document before you signed it and you agree to be bound by the terms contained in this document.   
Please print and/or save a copy of this document. The FHLBNY may rely on, and enforce, this document in electronic form or as a paper version of the electronic form.</t>
  </si>
  <si>
    <t>Median</t>
  </si>
  <si>
    <t>1 &amp; 2 Person Households</t>
  </si>
  <si>
    <t>3+ Person Households</t>
  </si>
  <si>
    <t>REF_CODE</t>
  </si>
  <si>
    <t>Median Income Guidelines</t>
  </si>
  <si>
    <t>eHome America</t>
  </si>
  <si>
    <t>Document ID, Version &amp; Revision Settings</t>
  </si>
  <si>
    <t>80% AMI Limits &amp; Data As Of Dates</t>
  </si>
  <si>
    <t>Landing / App Type Selection Screen</t>
  </si>
  <si>
    <t>Settings for Landing Screen</t>
  </si>
  <si>
    <t>Other States/Territories (HUD)</t>
  </si>
  <si>
    <t>AS</t>
  </si>
  <si>
    <t>Faleasao</t>
  </si>
  <si>
    <t>Fitiuta</t>
  </si>
  <si>
    <t>Ituau</t>
  </si>
  <si>
    <t>Lealataua</t>
  </si>
  <si>
    <t>Leasina</t>
  </si>
  <si>
    <t>Ma'oputasi</t>
  </si>
  <si>
    <t>Ofu</t>
  </si>
  <si>
    <t>Olosega</t>
  </si>
  <si>
    <t>Sa'ole</t>
  </si>
  <si>
    <t>Sua</t>
  </si>
  <si>
    <t>Swains</t>
  </si>
  <si>
    <t>Ta'u</t>
  </si>
  <si>
    <t>Tualatai</t>
  </si>
  <si>
    <t>Tualauta</t>
  </si>
  <si>
    <t>Vaifanua</t>
  </si>
  <si>
    <t>GU</t>
  </si>
  <si>
    <t>Agana Heights</t>
  </si>
  <si>
    <t>Agat</t>
  </si>
  <si>
    <t>Asan</t>
  </si>
  <si>
    <t>Barrigada</t>
  </si>
  <si>
    <t>Chalan-Pago-Ordot</t>
  </si>
  <si>
    <t>Dededo</t>
  </si>
  <si>
    <t>Hagatana</t>
  </si>
  <si>
    <t>Inarajan</t>
  </si>
  <si>
    <t>Mangilao</t>
  </si>
  <si>
    <t>Merizo</t>
  </si>
  <si>
    <t>Mongmong-Toto-Maite</t>
  </si>
  <si>
    <t>Piti</t>
  </si>
  <si>
    <t>Santa Rita</t>
  </si>
  <si>
    <t>Sinajana</t>
  </si>
  <si>
    <t>Talofofo</t>
  </si>
  <si>
    <t>Tamuning</t>
  </si>
  <si>
    <t>Umatac</t>
  </si>
  <si>
    <t>Yigo</t>
  </si>
  <si>
    <t>Yona</t>
  </si>
  <si>
    <t>MP</t>
  </si>
  <si>
    <t>Northern Islands</t>
  </si>
  <si>
    <t>Rota</t>
  </si>
  <si>
    <t>Saipan</t>
  </si>
  <si>
    <t>Tinian</t>
  </si>
  <si>
    <t>* (All Others)</t>
  </si>
  <si>
    <t>(“Member”) hereby confirms that it has been informed of the requirements of the Federal Home Loan Bank of New York (“FHLBNY”) Homebuyer Dream Program® (“HDP®” or “Program”), which provides grants for the purchase of a primary residence for first-time home buyers who meet HDP requirements as set forth in the FHLBNY Homebuyer Dream Program Guidelines, as the same may be amended and supplemented from time to time (“Program Guidelines”).  The HDP Guidelines are available on the FHLBNY website.
In connection with the Member’s request for HDP subsidy funding, the undersigned acknowledges that: 
(1) The Member shall comply with all of the requirements established by the Federal Housing Finance Agency (“FHFA”) Affordable Housing Program regulations, 12 C.F.R. Part 1291 (“AHP Regulation”) and the FHLBNY AHP Implementation Plan (the “Implementation Plan”), as the same may be amended from time to time. 
(2) the FHLBNY may deny or recover the grant if the FHLBNY discovers that the household does not meet Program requirements, the Member provided false, misleading or incomplete information to FHLBNY, or pursuant to the terms and conditions set forth in the AHP Regulation, Implementation Plan and Program Guidelines; and
(3) nothing contained in the Program Guidelines, Implementation Plan or this Program Request Form may be construed as an agreement or commitment on the part of FHLBNY to provide reimbursement of grant subsidy to the Member.
(4) The fully Executed Purchase and Sale Agreement (“Agreement”) is signed by all parties, including a household member on the reservation request, is dated prior to the reservation request, the property address matches the HDP Request Form and the Agreement has not expired and is effective at the time of submitting the Request Form. The Agreement complies with all the requirements of the HDP Guidelines and AHP Implementation Plan.
The undersigned has read and fully understands and agrees to comply with the requirements of the Program as described above and in the Program Guidelines and certifies that the information contained in this Program Request Form is true and accurate.  The undersigned understands that limited funds are available and shall be allocated at the discretion of the FHLBNY in accordance with the Program Guidelines and the Implementation Plan, as the same may be amended and supplemented from time to time.  The FHLBNY reserves the right to change the terms and conditions of the Program at any time, without prior notice and, the FHLBNY in its sole discretion, may refuse to honor a request for an HDP grant. 
By typing or signing your name below, you agree that you signed this document with an electronic signature. You intend your authorized electronic signature to have the effect of your written signature. You have viewed and read this disclosure and this document before you signed it and you agree to be bound by the terms contained in this document.   
Please print and/or save a copy of this document. The FHLBNY may rely on, and enforce, this document in electronic form or as a paper version of the electronic form.</t>
  </si>
  <si>
    <t>County / Income Area Name</t>
  </si>
  <si>
    <t>St. Croix Island, VI</t>
  </si>
  <si>
    <t>St. John Island, VI</t>
  </si>
  <si>
    <t>St. Thomas Island, VI</t>
  </si>
  <si>
    <t>Aleutians East Borough, AK</t>
  </si>
  <si>
    <t>Aleutians West Census Area, AK</t>
  </si>
  <si>
    <t>Anchorage, AK HUD Metro FMR Area</t>
  </si>
  <si>
    <t>Bethel Census Area, AK</t>
  </si>
  <si>
    <t>Bristol Bay Borough, AK</t>
  </si>
  <si>
    <t>Chugach Census Area, AK</t>
  </si>
  <si>
    <t>Copper River Census Area, AK</t>
  </si>
  <si>
    <t>Denali Borough, AK</t>
  </si>
  <si>
    <t>Dillingham Census Area, AK</t>
  </si>
  <si>
    <t>Haines Borough, AK</t>
  </si>
  <si>
    <t>Hoonah-Angoon Census Area, AK</t>
  </si>
  <si>
    <t>Juneau City and Borough, AK</t>
  </si>
  <si>
    <t>Kenai Peninsula Borough, AK</t>
  </si>
  <si>
    <t>Ketchikan Gateway Borough, AK</t>
  </si>
  <si>
    <t>Kodiak Island Borough, AK</t>
  </si>
  <si>
    <t>Kusilvak Census Area</t>
  </si>
  <si>
    <t>Lake and Peninsula Borough, AK</t>
  </si>
  <si>
    <t>Matanuska-Susitna Borough, AK HUD Metro FMR Area</t>
  </si>
  <si>
    <t>Nome Census Area, AK</t>
  </si>
  <si>
    <t>North Slope Borough, AK</t>
  </si>
  <si>
    <t>Northwest Arctic Borough, AK</t>
  </si>
  <si>
    <t>Petersburg Borough</t>
  </si>
  <si>
    <t>Prince of Wales-Hyder Census Area, AK</t>
  </si>
  <si>
    <t>Sitka City and Borough, AK</t>
  </si>
  <si>
    <t>Skagway Municipality, AK</t>
  </si>
  <si>
    <t>Southeast Fairbanks Census Area, AK</t>
  </si>
  <si>
    <t>Wrangell City and Borough, AK</t>
  </si>
  <si>
    <t>Yakutat City and Borough, AK</t>
  </si>
  <si>
    <t>Yukon-Koyukuk Census Area, AK</t>
  </si>
  <si>
    <t>Barbour County, AL</t>
  </si>
  <si>
    <t>Birmingham-Hoover, AL HUD Metro FMR Area</t>
  </si>
  <si>
    <t>Bullock County, AL</t>
  </si>
  <si>
    <t>Butler County, AL</t>
  </si>
  <si>
    <t>Chambers County, AL</t>
  </si>
  <si>
    <t>Cherokee County, AL</t>
  </si>
  <si>
    <t>Chilton County, AL HUD Metro FMR Area</t>
  </si>
  <si>
    <t>Choctaw County, AL</t>
  </si>
  <si>
    <t>Clarke County, AL</t>
  </si>
  <si>
    <t>Clay County, AL</t>
  </si>
  <si>
    <t>Cleburne County, AL</t>
  </si>
  <si>
    <t>Coffee County, AL</t>
  </si>
  <si>
    <t>Columbus, GA-AL HUD Metro FMR Area</t>
  </si>
  <si>
    <t>Conecuh County, AL</t>
  </si>
  <si>
    <t>Coosa County, AL</t>
  </si>
  <si>
    <t>Covington County, AL</t>
  </si>
  <si>
    <t>Crenshaw County, AL</t>
  </si>
  <si>
    <t>Cullman County, AL</t>
  </si>
  <si>
    <t>Dale County, AL</t>
  </si>
  <si>
    <t>Dallas County, AL</t>
  </si>
  <si>
    <t>Daphne-Fairhope-Foley, AL MSA</t>
  </si>
  <si>
    <t>Decatur, AL MSA</t>
  </si>
  <si>
    <t>DeKalb County, AL</t>
  </si>
  <si>
    <t>Dothan, AL HUD Metro FMR Area</t>
  </si>
  <si>
    <t>Escambia County, AL</t>
  </si>
  <si>
    <t>Fayette County, AL</t>
  </si>
  <si>
    <t>Florence-Muscle Shoals, AL MSA</t>
  </si>
  <si>
    <t>Franklin County, AL</t>
  </si>
  <si>
    <t>Gadsden, AL MSA</t>
  </si>
  <si>
    <t>Greene County, AL HUD Metro FMR Area</t>
  </si>
  <si>
    <t>Henry County, AL HUD Metro FMR Area</t>
  </si>
  <si>
    <t>Huntsville, AL MSA</t>
  </si>
  <si>
    <t>Jackson County, AL</t>
  </si>
  <si>
    <t>Lamar County, AL</t>
  </si>
  <si>
    <t>Marengo County, AL</t>
  </si>
  <si>
    <t>Marion County, AL</t>
  </si>
  <si>
    <t>Marshall County, AL</t>
  </si>
  <si>
    <t>Monroe County, AL</t>
  </si>
  <si>
    <t>Montgomery, AL MSA</t>
  </si>
  <si>
    <t>Perry County, AL</t>
  </si>
  <si>
    <t>Pickens County, AL HUD Metro FMR Area</t>
  </si>
  <si>
    <t>Pike County, AL</t>
  </si>
  <si>
    <t>Randolph County, AL</t>
  </si>
  <si>
    <t>Sumter County, AL</t>
  </si>
  <si>
    <t>Talladega County, AL</t>
  </si>
  <si>
    <t>Tallapoosa County, AL</t>
  </si>
  <si>
    <t>Tuscaloosa, AL HUD Metro FMR Area</t>
  </si>
  <si>
    <t>Wilcox County, AL</t>
  </si>
  <si>
    <t>Winston County, AL</t>
  </si>
  <si>
    <t>Arkansas County, AR</t>
  </si>
  <si>
    <t>Ashley County, AR</t>
  </si>
  <si>
    <t>Baxter County, AR</t>
  </si>
  <si>
    <t>Boone County, AR</t>
  </si>
  <si>
    <t>Bradley County, AR</t>
  </si>
  <si>
    <t>Calhoun County, AR</t>
  </si>
  <si>
    <t>Carroll County, AR</t>
  </si>
  <si>
    <t>Chicot County, AR</t>
  </si>
  <si>
    <t>Clark County, AR</t>
  </si>
  <si>
    <t>Clay County, AR</t>
  </si>
  <si>
    <t>Cleburne County, AR</t>
  </si>
  <si>
    <t>Columbia County, AR</t>
  </si>
  <si>
    <t>Conway County, AR</t>
  </si>
  <si>
    <t>Cross County, AR</t>
  </si>
  <si>
    <t>Dallas County, AR</t>
  </si>
  <si>
    <t>Desha County, AR</t>
  </si>
  <si>
    <t>Drew County, AR</t>
  </si>
  <si>
    <t>Fayetteville-Springdale-Rogers, AR MSA</t>
  </si>
  <si>
    <t>Fulton County, AR</t>
  </si>
  <si>
    <t>Grant County, AR HUD Metro FMR Area</t>
  </si>
  <si>
    <t>Greene County, AR</t>
  </si>
  <si>
    <t>Hempstead County, AR</t>
  </si>
  <si>
    <t>Hot Spring County, AR</t>
  </si>
  <si>
    <t>Hot Springs, AR MSA</t>
  </si>
  <si>
    <t>Howard County, AR</t>
  </si>
  <si>
    <t>Independence County, AR</t>
  </si>
  <si>
    <t>Izard County, AR</t>
  </si>
  <si>
    <t>Jackson County, AR</t>
  </si>
  <si>
    <t>Johnson County, AR</t>
  </si>
  <si>
    <t>Jonesboro, AR HUD Metro FMR Area</t>
  </si>
  <si>
    <t>Lafayette County, AR</t>
  </si>
  <si>
    <t>Lawrence County, AR</t>
  </si>
  <si>
    <t>Lee County, AR</t>
  </si>
  <si>
    <t>Little River County, AR HUD Metro FMR Area</t>
  </si>
  <si>
    <t>Little Rock-North Little Rock-Conway, AR HUD Metro FMR Area</t>
  </si>
  <si>
    <t>Logan County, AR</t>
  </si>
  <si>
    <t>Marion County, AR</t>
  </si>
  <si>
    <t>Memphis, TN-MS-AR HUD Metro FMR Area</t>
  </si>
  <si>
    <t>Mississippi County, AR</t>
  </si>
  <si>
    <t>Monroe County, AR</t>
  </si>
  <si>
    <t>Montgomery County, AR</t>
  </si>
  <si>
    <t>Nevada County, AR</t>
  </si>
  <si>
    <t>Newton County, AR</t>
  </si>
  <si>
    <t>Ouachita County, AR</t>
  </si>
  <si>
    <t>Phillips County, AR</t>
  </si>
  <si>
    <t>Pike County, AR</t>
  </si>
  <si>
    <t>Poinsett County, AR HUD Metro FMR Area</t>
  </si>
  <si>
    <t>Polk County, AR</t>
  </si>
  <si>
    <t>Pope County, AR</t>
  </si>
  <si>
    <t>Prairie County, AR</t>
  </si>
  <si>
    <t>Randolph County, AR</t>
  </si>
  <si>
    <t>Scott County, AR</t>
  </si>
  <si>
    <t>Searcy County, AR</t>
  </si>
  <si>
    <t>Sevier County, AR</t>
  </si>
  <si>
    <t>Sharp County, AR</t>
  </si>
  <si>
    <t>St. Francis County, AR</t>
  </si>
  <si>
    <t>Stone County, AR</t>
  </si>
  <si>
    <t>Texarkana, TX-Texarkana, AR HUD Metro FMR Area</t>
  </si>
  <si>
    <t>Union County, AR</t>
  </si>
  <si>
    <t>Van Buren County, AR</t>
  </si>
  <si>
    <t>White County, AR</t>
  </si>
  <si>
    <t>Woodruff County, AR</t>
  </si>
  <si>
    <t>Yell County, AR</t>
  </si>
  <si>
    <t>American Samoa</t>
  </si>
  <si>
    <t>Apache County, AZ</t>
  </si>
  <si>
    <t>Flagstaff, AZ MSA</t>
  </si>
  <si>
    <t>Gila County, AZ</t>
  </si>
  <si>
    <t>Graham County, AZ</t>
  </si>
  <si>
    <t>Greenlee County, AZ</t>
  </si>
  <si>
    <t>La Paz County, AZ</t>
  </si>
  <si>
    <t>Lake Havasu City-Kingman, AZ MSA</t>
  </si>
  <si>
    <t>Navajo County, AZ</t>
  </si>
  <si>
    <t>Prescott Valley-Prescott, AZ MSA</t>
  </si>
  <si>
    <t>Santa Cruz County, AZ</t>
  </si>
  <si>
    <t>Sierra Vista-Douglas, AZ MSA</t>
  </si>
  <si>
    <t>Tucson, AZ MSA</t>
  </si>
  <si>
    <t>Yuma, AZ MSA</t>
  </si>
  <si>
    <t>Alpine County, CA</t>
  </si>
  <si>
    <t>Amador County, CA</t>
  </si>
  <si>
    <t>Calaveras County, CA</t>
  </si>
  <si>
    <t>Chico, CA MSA</t>
  </si>
  <si>
    <t>Colusa County, CA</t>
  </si>
  <si>
    <t>Del Norte County, CA</t>
  </si>
  <si>
    <t>El Centro, CA MSA</t>
  </si>
  <si>
    <t>Glenn County, CA</t>
  </si>
  <si>
    <t>Hanford-Corcoran, CA MSA</t>
  </si>
  <si>
    <t>Humboldt County, CA</t>
  </si>
  <si>
    <t>Inyo County, CA</t>
  </si>
  <si>
    <t>Lake County, CA</t>
  </si>
  <si>
    <t>Lassen County, CA</t>
  </si>
  <si>
    <t>Los Angeles-Long Beach-Glendale, CA HUD Metro FMR Area</t>
  </si>
  <si>
    <t>Mariposa County, CA</t>
  </si>
  <si>
    <t>Mendocino County, CA</t>
  </si>
  <si>
    <t>Merced, CA MSA</t>
  </si>
  <si>
    <t>Modesto, CA MSA</t>
  </si>
  <si>
    <t>Modoc County, CA</t>
  </si>
  <si>
    <t>Mono County, CA</t>
  </si>
  <si>
    <t>Napa, CA MSA</t>
  </si>
  <si>
    <t>Nevada County, CA</t>
  </si>
  <si>
    <t>Oakland-Fremont, CA HUD Metro FMR Area</t>
  </si>
  <si>
    <t>Oxnard-Thousand Oaks-Ventura, CA MSA</t>
  </si>
  <si>
    <t>Plumas County, CA</t>
  </si>
  <si>
    <t>Redding, CA MSA</t>
  </si>
  <si>
    <t>Riverside-San Bernardino-Ontario, CA MSA</t>
  </si>
  <si>
    <t>Sacramento--Roseville--Arden-Arcade, CA HUD Metro FMR Area</t>
  </si>
  <si>
    <t>Salinas, CA MSA</t>
  </si>
  <si>
    <t>San Benito County, CA HUD Metro FMR Area</t>
  </si>
  <si>
    <t>San Francisco, CA HUD Metro FMR Area</t>
  </si>
  <si>
    <t>San Jose-Sunnyvale-Santa Clara, CA HUD Metro FMR Area</t>
  </si>
  <si>
    <t>Santa Ana-Anaheim-Irvine, CA HUD Metro FMR Area</t>
  </si>
  <si>
    <t>Santa Cruz-Watsonville, CA MSA</t>
  </si>
  <si>
    <t>Santa Maria-Santa Barbara, CA MSA</t>
  </si>
  <si>
    <t>Sierra County, CA</t>
  </si>
  <si>
    <t>Siskiyou County, CA</t>
  </si>
  <si>
    <t>Stockton-Lodi, CA MSA</t>
  </si>
  <si>
    <t>Tehama County, CA</t>
  </si>
  <si>
    <t>Trinity County, CA</t>
  </si>
  <si>
    <t>Tuolumne County, CA</t>
  </si>
  <si>
    <t>Yolo, CA HUD Metro FMR Area</t>
  </si>
  <si>
    <t>Yuba City, CA MSA</t>
  </si>
  <si>
    <t>Alamosa County, CO</t>
  </si>
  <si>
    <t>Archuleta County, CO</t>
  </si>
  <si>
    <t>Baca County, CO</t>
  </si>
  <si>
    <t>Bent County, CO</t>
  </si>
  <si>
    <t>Boulder, CO MSA</t>
  </si>
  <si>
    <t>Chaffee County, CO</t>
  </si>
  <si>
    <t>Cheyenne County, CO</t>
  </si>
  <si>
    <t>Colorado Springs, CO HUD Metro FMR Area</t>
  </si>
  <si>
    <t>Conejos County, CO</t>
  </si>
  <si>
    <t>Costilla County, CO</t>
  </si>
  <si>
    <t>Crowley County, CO</t>
  </si>
  <si>
    <t>Custer County, CO</t>
  </si>
  <si>
    <t>Delta County, CO</t>
  </si>
  <si>
    <t>Dolores County, CO</t>
  </si>
  <si>
    <t>Eagle County, CO</t>
  </si>
  <si>
    <t>Fremont County, CO</t>
  </si>
  <si>
    <t>Garfield County, CO</t>
  </si>
  <si>
    <t>Grand County, CO</t>
  </si>
  <si>
    <t>Grand Junction, CO MSA</t>
  </si>
  <si>
    <t>Greeley, CO MSA</t>
  </si>
  <si>
    <t>Gunnison County, CO</t>
  </si>
  <si>
    <t>Hinsdale County, CO</t>
  </si>
  <si>
    <t>Huerfano County, CO</t>
  </si>
  <si>
    <t>Jackson County, CO</t>
  </si>
  <si>
    <t>Kiowa County, CO</t>
  </si>
  <si>
    <t>Kit Carson County, CO</t>
  </si>
  <si>
    <t>La Plata County, CO</t>
  </si>
  <si>
    <t>Lake County, CO</t>
  </si>
  <si>
    <t>Las Animas County, CO</t>
  </si>
  <si>
    <t>Lincoln County, CO</t>
  </si>
  <si>
    <t>Logan County, CO</t>
  </si>
  <si>
    <t>Mineral County, CO</t>
  </si>
  <si>
    <t>Moffat County, CO</t>
  </si>
  <si>
    <t>Montezuma County, CO</t>
  </si>
  <si>
    <t>Montrose County, CO</t>
  </si>
  <si>
    <t>Morgan County, CO</t>
  </si>
  <si>
    <t>Otero County, CO</t>
  </si>
  <si>
    <t>Ouray County, CO</t>
  </si>
  <si>
    <t>Phillips County, CO</t>
  </si>
  <si>
    <t>Pitkin County, CO</t>
  </si>
  <si>
    <t>Prowers County, CO</t>
  </si>
  <si>
    <t>Pueblo, CO MSA</t>
  </si>
  <si>
    <t>Rio Blanco County, CO</t>
  </si>
  <si>
    <t>Rio Grande County, CO</t>
  </si>
  <si>
    <t>Routt County, CO</t>
  </si>
  <si>
    <t>Saguache County, CO</t>
  </si>
  <si>
    <t>San Juan County, CO</t>
  </si>
  <si>
    <t>San Miguel County, CO</t>
  </si>
  <si>
    <t>Sedgwick County, CO</t>
  </si>
  <si>
    <t>Summit County, CO</t>
  </si>
  <si>
    <t>Teller County, CO HUD Metro FMR Area</t>
  </si>
  <si>
    <t>Washington County, CO</t>
  </si>
  <si>
    <t>Yuma County, CO</t>
  </si>
  <si>
    <t>Washington-Arlington-Alexandria, DC-VA-MD HUD Metro FMR Area</t>
  </si>
  <si>
    <t>Dover, DE MSA</t>
  </si>
  <si>
    <t>Philadelphia-Camden-Wilmington, PA-NJ-DE-MD MSA</t>
  </si>
  <si>
    <t>Baker County, FL HUD Metro FMR Area</t>
  </si>
  <si>
    <t>Bradford County, FL</t>
  </si>
  <si>
    <t>Calhoun County, FL</t>
  </si>
  <si>
    <t>Cape Coral-Fort Myers, FL MSA</t>
  </si>
  <si>
    <t>Columbia County, FL</t>
  </si>
  <si>
    <t>Crestview-Fort Walton Beach-Destin, FL HUD Metro FMR Area</t>
  </si>
  <si>
    <t>Deltona-Daytona Beach-Ormond Beach, FL HUD Metro FMR Area</t>
  </si>
  <si>
    <t>DeSoto County, FL</t>
  </si>
  <si>
    <t>Dixie County, FL</t>
  </si>
  <si>
    <t>Fort Lauderdale, FL HUD Metro FMR Area</t>
  </si>
  <si>
    <t>Franklin County, FL</t>
  </si>
  <si>
    <t>Gainesville, FL HUD Metro FMR Area</t>
  </si>
  <si>
    <t>Glades County, FL</t>
  </si>
  <si>
    <t>Gulf County, FL</t>
  </si>
  <si>
    <t>Hamilton County, FL</t>
  </si>
  <si>
    <t>Hardee County, FL</t>
  </si>
  <si>
    <t>Hendry County, FL</t>
  </si>
  <si>
    <t>Holmes County, FL</t>
  </si>
  <si>
    <t>Homosassa Springs, FL MSA</t>
  </si>
  <si>
    <t>Jackson County, FL</t>
  </si>
  <si>
    <t>Jacksonville, FL HUD Metro FMR Area</t>
  </si>
  <si>
    <t>Lafayette County, FL</t>
  </si>
  <si>
    <t>Lakeland-Winter Haven, FL MSA</t>
  </si>
  <si>
    <t>Levy County, FL HUD Metro FMR Area</t>
  </si>
  <si>
    <t>Liberty County, FL</t>
  </si>
  <si>
    <t>Madison County, FL</t>
  </si>
  <si>
    <t>Miami-Miami Beach-Kendall, FL HUD Metro FMR Area</t>
  </si>
  <si>
    <t>Monroe County, FL</t>
  </si>
  <si>
    <t>Ocala, FL MSA</t>
  </si>
  <si>
    <t>Okeechobee County, FL</t>
  </si>
  <si>
    <t>Orlando-Kissimmee-Sanford, FL MSA</t>
  </si>
  <si>
    <t>Palm Bay-Melbourne-Titusville, FL MSA</t>
  </si>
  <si>
    <t>Palm Coast, FL HUD Metro FMR Area</t>
  </si>
  <si>
    <t>Pensacola-Ferry Pass-Brent, FL MSA</t>
  </si>
  <si>
    <t>Port St. Lucie, FL MSA</t>
  </si>
  <si>
    <t>Punta Gorda, FL MSA</t>
  </si>
  <si>
    <t>Putnam County, FL</t>
  </si>
  <si>
    <t>Sebring, FL MSA</t>
  </si>
  <si>
    <t>Suwannee County, FL</t>
  </si>
  <si>
    <t>Tallahassee, FL HUD Metro FMR Area</t>
  </si>
  <si>
    <t>Tampa-St. Petersburg-Clearwater, FL MSA</t>
  </si>
  <si>
    <t>Taylor County, FL</t>
  </si>
  <si>
    <t>Union County, FL</t>
  </si>
  <si>
    <t>Wakulla County, FL HUD Metro FMR Area</t>
  </si>
  <si>
    <t>Walton County, FL HUD Metro FMR Area</t>
  </si>
  <si>
    <t>West Palm Beach-Boca Raton, FL HUD Metro FMR Area</t>
  </si>
  <si>
    <t>Albany, GA MSA</t>
  </si>
  <si>
    <t>Appling County, GA</t>
  </si>
  <si>
    <t>Athens-Clarke County, GA MSA</t>
  </si>
  <si>
    <t>Atkinson County, GA</t>
  </si>
  <si>
    <t>Atlanta-Sandy Springs-Roswell, GA HUD Metro FMR Area</t>
  </si>
  <si>
    <t>Augusta-Richmond County, GA-SC HUD Metro FMR Area</t>
  </si>
  <si>
    <t>Bacon County, GA</t>
  </si>
  <si>
    <t>Baker County, GA</t>
  </si>
  <si>
    <t>Baldwin County, GA</t>
  </si>
  <si>
    <t>Banks County, GA</t>
  </si>
  <si>
    <t>Ben Hill County, GA</t>
  </si>
  <si>
    <t>Berrien County, GA</t>
  </si>
  <si>
    <t>Bleckley County, GA</t>
  </si>
  <si>
    <t>Bulloch County, GA</t>
  </si>
  <si>
    <t>Butts County, GA HUD Metro FMR Area</t>
  </si>
  <si>
    <t>Calhoun County, GA</t>
  </si>
  <si>
    <t>Camden County, GA</t>
  </si>
  <si>
    <t>Candler County, GA</t>
  </si>
  <si>
    <t>Charlton County, GA</t>
  </si>
  <si>
    <t>Chattanooga, TN-GA MSA</t>
  </si>
  <si>
    <t>Chattooga County, GA</t>
  </si>
  <si>
    <t>Clay County, GA</t>
  </si>
  <si>
    <t>Clinch County, GA</t>
  </si>
  <si>
    <t>Coffee County, GA</t>
  </si>
  <si>
    <t>Colquitt County, GA</t>
  </si>
  <si>
    <t>Cook County, GA</t>
  </si>
  <si>
    <t>Crisp County, GA</t>
  </si>
  <si>
    <t>Dalton, GA HUD Metro FMR Area</t>
  </si>
  <si>
    <t>Decatur County, GA</t>
  </si>
  <si>
    <t>Dodge County, GA</t>
  </si>
  <si>
    <t>Dooly County, GA</t>
  </si>
  <si>
    <t>Early County, GA</t>
  </si>
  <si>
    <t>Elbert County, GA</t>
  </si>
  <si>
    <t>Emanuel County, GA</t>
  </si>
  <si>
    <t>Evans County, GA</t>
  </si>
  <si>
    <t>Fannin County, GA</t>
  </si>
  <si>
    <t>Franklin County, GA</t>
  </si>
  <si>
    <t>Gainesville, GA MSA</t>
  </si>
  <si>
    <t>Gilmer County, GA</t>
  </si>
  <si>
    <t>Glascock County, GA</t>
  </si>
  <si>
    <t>Gordon County, GA</t>
  </si>
  <si>
    <t>Grady County, GA</t>
  </si>
  <si>
    <t>Greene County, GA</t>
  </si>
  <si>
    <t>Habersham County, GA</t>
  </si>
  <si>
    <t>Hancock County, GA</t>
  </si>
  <si>
    <t>Haralson County, GA HUD Metro FMR Area</t>
  </si>
  <si>
    <t>Hart County, GA</t>
  </si>
  <si>
    <t>Hinesville, GA HUD Metro FMR Area</t>
  </si>
  <si>
    <t>Irwin County, GA</t>
  </si>
  <si>
    <t>Jackson County, GA</t>
  </si>
  <si>
    <t>Jeff Davis County, GA</t>
  </si>
  <si>
    <t>Jefferson County, GA</t>
  </si>
  <si>
    <t>Jenkins County, GA</t>
  </si>
  <si>
    <t>Johnson County, GA</t>
  </si>
  <si>
    <t>Laurens County, GA</t>
  </si>
  <si>
    <t>Lincoln County, GA HUD Metro FMR Area</t>
  </si>
  <si>
    <t>Long County, GA HUD Metro FMR Area</t>
  </si>
  <si>
    <t>Macon County, GA</t>
  </si>
  <si>
    <t>Macon-Bibb County, GA HUD Metro FMR Area</t>
  </si>
  <si>
    <t>Meriwether County, GA HUD Metro FMR Area</t>
  </si>
  <si>
    <t>Miller County, GA</t>
  </si>
  <si>
    <t>Mitchell County, GA</t>
  </si>
  <si>
    <t>Monroe County, GA HUD Metro FMR Area</t>
  </si>
  <si>
    <t>Montgomery County, GA</t>
  </si>
  <si>
    <t>Morgan County, GA HUD Metro FMR Area</t>
  </si>
  <si>
    <t>Murray County, GA HUD Metro FMR Area</t>
  </si>
  <si>
    <t>Peach County, GA HUD Metro FMR Area</t>
  </si>
  <si>
    <t>Pierce County, GA</t>
  </si>
  <si>
    <t>Polk County, GA</t>
  </si>
  <si>
    <t>Pulaski County, GA</t>
  </si>
  <si>
    <t>Putnam County, GA</t>
  </si>
  <si>
    <t>Quitman County, GA</t>
  </si>
  <si>
    <t>Rabun County, GA</t>
  </si>
  <si>
    <t>Randolph County, GA</t>
  </si>
  <si>
    <t>Rome, GA MSA</t>
  </si>
  <si>
    <t>Savannah, GA MSA</t>
  </si>
  <si>
    <t>Schley County, GA</t>
  </si>
  <si>
    <t>Screven County, GA</t>
  </si>
  <si>
    <t>Seminole County, GA</t>
  </si>
  <si>
    <t>Stephens County, GA</t>
  </si>
  <si>
    <t>Stewart County, GA HUD Metro FMR Area</t>
  </si>
  <si>
    <t>Sumter County, GA</t>
  </si>
  <si>
    <t>Talbot County, GA HUD Metro FMR Area</t>
  </si>
  <si>
    <t>Taliaferro County, GA</t>
  </si>
  <si>
    <t>Tattnall County, GA</t>
  </si>
  <si>
    <t>Taylor County, GA</t>
  </si>
  <si>
    <t>Telfair County, GA</t>
  </si>
  <si>
    <t>Thomas County, GA</t>
  </si>
  <si>
    <t>Tift County, GA</t>
  </si>
  <si>
    <t>Toombs County, GA</t>
  </si>
  <si>
    <t>Towns County, GA</t>
  </si>
  <si>
    <t>Treutlen County, GA</t>
  </si>
  <si>
    <t>Troup County, GA</t>
  </si>
  <si>
    <t>Turner County, GA</t>
  </si>
  <si>
    <t>Union County, GA</t>
  </si>
  <si>
    <t>Upson County, GA</t>
  </si>
  <si>
    <t>Valdosta, GA MSA</t>
  </si>
  <si>
    <t>Ware County, GA</t>
  </si>
  <si>
    <t>Warner Robins, GA HUD Metro FMR Area</t>
  </si>
  <si>
    <t>Warren County, GA</t>
  </si>
  <si>
    <t>Washington County, GA</t>
  </si>
  <si>
    <t>Wayne County, GA</t>
  </si>
  <si>
    <t>Webster County, GA</t>
  </si>
  <si>
    <t>Wheeler County, GA</t>
  </si>
  <si>
    <t>White County, GA</t>
  </si>
  <si>
    <t>Wilcox County, GA</t>
  </si>
  <si>
    <t>Wilkes County, GA</t>
  </si>
  <si>
    <t>Wilkinson County, GA</t>
  </si>
  <si>
    <t>Guam</t>
  </si>
  <si>
    <t>Hawaii County, HI</t>
  </si>
  <si>
    <t>Kauai County, HI</t>
  </si>
  <si>
    <t>Urban Honolulu, HI MSA</t>
  </si>
  <si>
    <t>Adair County, IA</t>
  </si>
  <si>
    <t>Adams County, IA</t>
  </si>
  <si>
    <t>Allamakee County, IA</t>
  </si>
  <si>
    <t>Ames, IA HUD Metro FMR Area</t>
  </si>
  <si>
    <t>Appanoose County, IA</t>
  </si>
  <si>
    <t>Audubon County, IA</t>
  </si>
  <si>
    <t>Benton County, IA HUD Metro FMR Area</t>
  </si>
  <si>
    <t>Boone County, IA HUD Metro FMR Area</t>
  </si>
  <si>
    <t>Bremer County, IA HUD Metro FMR Area</t>
  </si>
  <si>
    <t>Buchanan County, IA</t>
  </si>
  <si>
    <t>Buena Vista County, IA</t>
  </si>
  <si>
    <t>Butler County, IA</t>
  </si>
  <si>
    <t>Calhoun County, IA</t>
  </si>
  <si>
    <t>Carroll County, IA</t>
  </si>
  <si>
    <t>Cass County, IA</t>
  </si>
  <si>
    <t>Cedar County, IA</t>
  </si>
  <si>
    <t>Cedar Rapids, IA HUD Metro FMR Area</t>
  </si>
  <si>
    <t>Cerro Gordo County, IA</t>
  </si>
  <si>
    <t>Cherokee County, IA</t>
  </si>
  <si>
    <t>Chickasaw County, IA</t>
  </si>
  <si>
    <t>Clarke County, IA</t>
  </si>
  <si>
    <t>Clay County, IA</t>
  </si>
  <si>
    <t>Clayton County, IA</t>
  </si>
  <si>
    <t>Clinton County, IA</t>
  </si>
  <si>
    <t>Crawford County, IA</t>
  </si>
  <si>
    <t>Davenport-Moline-Rock Island, IA-IL MSA</t>
  </si>
  <si>
    <t>Davis County, IA</t>
  </si>
  <si>
    <t>Decatur County, IA</t>
  </si>
  <si>
    <t>Delaware County, IA</t>
  </si>
  <si>
    <t>Des Moines County, IA</t>
  </si>
  <si>
    <t>Des Moines-West Des Moines, IA HUD Metro FMR Area</t>
  </si>
  <si>
    <t>Dickinson County, IA</t>
  </si>
  <si>
    <t>Dubuque, IA MSA</t>
  </si>
  <si>
    <t>Emmet County, IA</t>
  </si>
  <si>
    <t>Fayette County, IA</t>
  </si>
  <si>
    <t>Floyd County, IA</t>
  </si>
  <si>
    <t>Franklin County, IA</t>
  </si>
  <si>
    <t>Fremont County, IA</t>
  </si>
  <si>
    <t>Greene County, IA</t>
  </si>
  <si>
    <t>Hamilton County, IA</t>
  </si>
  <si>
    <t>Hancock County, IA</t>
  </si>
  <si>
    <t>Hardin County, IA</t>
  </si>
  <si>
    <t>Henry County, IA</t>
  </si>
  <si>
    <t>Howard County, IA</t>
  </si>
  <si>
    <t>Humboldt County, IA</t>
  </si>
  <si>
    <t>Ida County, IA</t>
  </si>
  <si>
    <t>Iowa City, IA HUD Metro FMR Area</t>
  </si>
  <si>
    <t>Iowa County, IA</t>
  </si>
  <si>
    <t>Jackson County, IA</t>
  </si>
  <si>
    <t>Jasper County, IA HUD Metro FMR Area</t>
  </si>
  <si>
    <t>Jefferson County, IA</t>
  </si>
  <si>
    <t>Jones County, IA HUD Metro FMR Area</t>
  </si>
  <si>
    <t>Keokuk County, IA</t>
  </si>
  <si>
    <t>Kossuth County, IA</t>
  </si>
  <si>
    <t>Lee County, IA</t>
  </si>
  <si>
    <t>Louisa County, IA</t>
  </si>
  <si>
    <t>Lucas County, IA</t>
  </si>
  <si>
    <t>Lyon County, IA</t>
  </si>
  <si>
    <t>Mahaska County, IA</t>
  </si>
  <si>
    <t>Marion County, IA</t>
  </si>
  <si>
    <t>Marshall County, IA</t>
  </si>
  <si>
    <t>Mitchell County, IA</t>
  </si>
  <si>
    <t>Monona County, IA</t>
  </si>
  <si>
    <t>Monroe County, IA</t>
  </si>
  <si>
    <t>Montgomery County, IA</t>
  </si>
  <si>
    <t>Muscatine County, IA</t>
  </si>
  <si>
    <t>O'Brien County, IA</t>
  </si>
  <si>
    <t>Omaha-Council Bluffs, NE-IA HUD Metro FMR Area</t>
  </si>
  <si>
    <t>Osceola County, IA</t>
  </si>
  <si>
    <t>Page County, IA</t>
  </si>
  <si>
    <t>Palo Alto County, IA</t>
  </si>
  <si>
    <t>Plymouth County, IA</t>
  </si>
  <si>
    <t>Pocahontas County, IA</t>
  </si>
  <si>
    <t>Poweshiek County, IA</t>
  </si>
  <si>
    <t>Ringgold County, IA</t>
  </si>
  <si>
    <t>Sac County, IA</t>
  </si>
  <si>
    <t>Shelby County, IA</t>
  </si>
  <si>
    <t>Sioux City, IA-NE-SD MSA</t>
  </si>
  <si>
    <t>Sioux County, IA</t>
  </si>
  <si>
    <t>Tama County, IA</t>
  </si>
  <si>
    <t>Taylor County, IA</t>
  </si>
  <si>
    <t>Union County, IA</t>
  </si>
  <si>
    <t>Van Buren County, IA</t>
  </si>
  <si>
    <t>Wapello County, IA</t>
  </si>
  <si>
    <t>Washington County, IA HUD Metro FMR Area</t>
  </si>
  <si>
    <t>Waterloo-Cedar Falls, IA HUD Metro FMR Area</t>
  </si>
  <si>
    <t>Wayne County, IA</t>
  </si>
  <si>
    <t>Webster County, IA</t>
  </si>
  <si>
    <t>Winnebago County, IA</t>
  </si>
  <si>
    <t>Winneshiek County, IA</t>
  </si>
  <si>
    <t>Worth County, IA</t>
  </si>
  <si>
    <t>Wright County, IA</t>
  </si>
  <si>
    <t>Adams County, ID</t>
  </si>
  <si>
    <t>Bear Lake County, ID</t>
  </si>
  <si>
    <t>Benewah County, ID</t>
  </si>
  <si>
    <t>Bingham County, ID</t>
  </si>
  <si>
    <t>Blaine County, ID</t>
  </si>
  <si>
    <t>Boise City, ID HUD Metro FMR Area</t>
  </si>
  <si>
    <t>Bonner County, ID</t>
  </si>
  <si>
    <t>Boundary County, ID</t>
  </si>
  <si>
    <t>Butte County, ID HUD Metro FMR Area</t>
  </si>
  <si>
    <t>Camas County, ID</t>
  </si>
  <si>
    <t>Caribou County, ID</t>
  </si>
  <si>
    <t>Cassia County, ID</t>
  </si>
  <si>
    <t>Clark County, ID</t>
  </si>
  <si>
    <t>Clearwater County, ID</t>
  </si>
  <si>
    <t>Coeur d'Alene, ID MSA</t>
  </si>
  <si>
    <t>Custer County, ID</t>
  </si>
  <si>
    <t>Elmore County, ID</t>
  </si>
  <si>
    <t>Fremont County, ID</t>
  </si>
  <si>
    <t>Gem County, ID HUD Metro FMR Area</t>
  </si>
  <si>
    <t>Gooding County, ID</t>
  </si>
  <si>
    <t>Idaho County, ID</t>
  </si>
  <si>
    <t>Idaho Falls, ID HUD Metro FMR Area</t>
  </si>
  <si>
    <t>Jerome County, ID HUD Metro FMR Area</t>
  </si>
  <si>
    <t>Latah County, ID</t>
  </si>
  <si>
    <t>Lemhi County, ID</t>
  </si>
  <si>
    <t>Lewis County, ID</t>
  </si>
  <si>
    <t>Lewiston, ID-WA MSA</t>
  </si>
  <si>
    <t>Lincoln County, ID</t>
  </si>
  <si>
    <t>Logan, UT-ID MSA</t>
  </si>
  <si>
    <t>Madison County, ID</t>
  </si>
  <si>
    <t>Minidoka County, ID</t>
  </si>
  <si>
    <t>Oneida County, ID</t>
  </si>
  <si>
    <t>Payette County, ID</t>
  </si>
  <si>
    <t>Shoshone County, ID</t>
  </si>
  <si>
    <t>Teton County, ID</t>
  </si>
  <si>
    <t>Twin Falls County, ID HUD Metro FMR Area</t>
  </si>
  <si>
    <t>Valley County, ID</t>
  </si>
  <si>
    <t>Washington County, ID</t>
  </si>
  <si>
    <t>Adams County, IL</t>
  </si>
  <si>
    <t>Bloomington, IL MSA</t>
  </si>
  <si>
    <t>Bond County, IL HUD Metro FMR Area</t>
  </si>
  <si>
    <t>Brown County, IL</t>
  </si>
  <si>
    <t>Bureau County, IL</t>
  </si>
  <si>
    <t>Cape Girardeau, MO-IL MSA</t>
  </si>
  <si>
    <t>Carroll County, IL</t>
  </si>
  <si>
    <t>Cass County, IL</t>
  </si>
  <si>
    <t>Chicago-Joliet-Naperville, IL HUD Metro FMR Area</t>
  </si>
  <si>
    <t>Christian County, IL</t>
  </si>
  <si>
    <t>Clark County, IL</t>
  </si>
  <si>
    <t>Clay County, IL</t>
  </si>
  <si>
    <t>Coles County, IL</t>
  </si>
  <si>
    <t>Crawford County, IL</t>
  </si>
  <si>
    <t>Cumberland County, IL</t>
  </si>
  <si>
    <t>De Witt County, IL</t>
  </si>
  <si>
    <t>Decatur, IL MSA</t>
  </si>
  <si>
    <t>DeKalb County, IL HUD Metro FMR Area</t>
  </si>
  <si>
    <t>Douglas County, IL</t>
  </si>
  <si>
    <t>Edgar County, IL</t>
  </si>
  <si>
    <t>Edwards County, IL</t>
  </si>
  <si>
    <t>Effingham County, IL</t>
  </si>
  <si>
    <t>Fayette County, IL</t>
  </si>
  <si>
    <t>Franklin County, IL</t>
  </si>
  <si>
    <t>Gallatin County, IL</t>
  </si>
  <si>
    <t>Greene County, IL</t>
  </si>
  <si>
    <t>Grundy County, IL HUD Metro FMR Area</t>
  </si>
  <si>
    <t>Hamilton County, IL</t>
  </si>
  <si>
    <t>Hancock County, IL</t>
  </si>
  <si>
    <t>Hardin County, IL</t>
  </si>
  <si>
    <t>Henderson County, IL</t>
  </si>
  <si>
    <t>Iroquois County, IL</t>
  </si>
  <si>
    <t>Jasper County, IL</t>
  </si>
  <si>
    <t>Jefferson County, IL</t>
  </si>
  <si>
    <t>Jo Daviess County, IL</t>
  </si>
  <si>
    <t>Kankakee, IL MSA</t>
  </si>
  <si>
    <t>Kendall County, IL HUD Metro FMR Area</t>
  </si>
  <si>
    <t>Knox County, IL</t>
  </si>
  <si>
    <t>La Salle County, IL</t>
  </si>
  <si>
    <t>Lawrence County, IL</t>
  </si>
  <si>
    <t>Lee County, IL</t>
  </si>
  <si>
    <t>Livingston County, IL</t>
  </si>
  <si>
    <t>Logan County, IL</t>
  </si>
  <si>
    <t>Macoupin County, IL HUD Metro FMR Area</t>
  </si>
  <si>
    <t>Marion County, IL</t>
  </si>
  <si>
    <t>Mason County, IL</t>
  </si>
  <si>
    <t>McDonough County, IL</t>
  </si>
  <si>
    <t>Montgomery County, IL</t>
  </si>
  <si>
    <t>Morgan County, IL</t>
  </si>
  <si>
    <t>Moultrie County, IL</t>
  </si>
  <si>
    <t>Ogle County, IL</t>
  </si>
  <si>
    <t>Perry County, IL</t>
  </si>
  <si>
    <t>Pike County, IL</t>
  </si>
  <si>
    <t>Pope County, IL</t>
  </si>
  <si>
    <t>Pulaski County, IL</t>
  </si>
  <si>
    <t>Putnam County, IL</t>
  </si>
  <si>
    <t>Randolph County, IL</t>
  </si>
  <si>
    <t>Richland County, IL</t>
  </si>
  <si>
    <t>Rockford, IL MSA</t>
  </si>
  <si>
    <t>Saline County, IL</t>
  </si>
  <si>
    <t>Schuyler County, IL</t>
  </si>
  <si>
    <t>Scott County, IL</t>
  </si>
  <si>
    <t>Shelby County, IL</t>
  </si>
  <si>
    <t>Springfield, IL MSA</t>
  </si>
  <si>
    <t>St. Louis, MO-IL HUD Metro FMR Area</t>
  </si>
  <si>
    <t>Stephenson County, IL</t>
  </si>
  <si>
    <t>Union County, IL</t>
  </si>
  <si>
    <t>Wabash County, IL</t>
  </si>
  <si>
    <t>Warren County, IL</t>
  </si>
  <si>
    <t>Washington County, IL</t>
  </si>
  <si>
    <t>Wayne County, IL</t>
  </si>
  <si>
    <t>White County, IL</t>
  </si>
  <si>
    <t>Whiteside County, IL</t>
  </si>
  <si>
    <t>Adams County, IN</t>
  </si>
  <si>
    <t>Anderson, IN HUD Metro FMR Area</t>
  </si>
  <si>
    <t>Blackford County, IN</t>
  </si>
  <si>
    <t>Bloomington, IN HUD Metro FMR Area</t>
  </si>
  <si>
    <t>Carroll County, IN HUD Metro FMR Area</t>
  </si>
  <si>
    <t>Cass County, IN</t>
  </si>
  <si>
    <t>Cincinnati, OH-KY-IN  HUD Metro FMR Area</t>
  </si>
  <si>
    <t>Clinton County, IN</t>
  </si>
  <si>
    <t>Columbus, IN MSA</t>
  </si>
  <si>
    <t>Crawford County, IN</t>
  </si>
  <si>
    <t>Daviess County, IN</t>
  </si>
  <si>
    <t>Decatur County, IN</t>
  </si>
  <si>
    <t>DeKalb County, IN</t>
  </si>
  <si>
    <t>Dubois County, IN</t>
  </si>
  <si>
    <t>Elkhart-Goshen, IN MSA</t>
  </si>
  <si>
    <t>Fayette County, IN</t>
  </si>
  <si>
    <t>Fountain County, IN</t>
  </si>
  <si>
    <t>Franklin County, IN HUD Metro FMR Area</t>
  </si>
  <si>
    <t>Fulton County, IN</t>
  </si>
  <si>
    <t>Gary, IN HUD Metro FMR Area</t>
  </si>
  <si>
    <t>Gibson County, IN</t>
  </si>
  <si>
    <t>Grant County, IN</t>
  </si>
  <si>
    <t>Greene County, IN</t>
  </si>
  <si>
    <t>Henry County, IN</t>
  </si>
  <si>
    <t>Huntington County, IN</t>
  </si>
  <si>
    <t>Indianapolis-Carmel, IN HUD Metro FMR Area</t>
  </si>
  <si>
    <t>Jackson County, IN</t>
  </si>
  <si>
    <t>Jasper County, IN HUD Metro FMR Area</t>
  </si>
  <si>
    <t>Jay County, IN</t>
  </si>
  <si>
    <t>Jefferson County, IN</t>
  </si>
  <si>
    <t>Jennings County, IN</t>
  </si>
  <si>
    <t>Knox County, IN</t>
  </si>
  <si>
    <t>Kokomo, IN MSA</t>
  </si>
  <si>
    <t>Kosciusko County, IN</t>
  </si>
  <si>
    <t>Lafayette-West Lafayette, IN HUD Metro FMR Area</t>
  </si>
  <si>
    <t>LaGrange County, IN</t>
  </si>
  <si>
    <t>Lawrence County, IN</t>
  </si>
  <si>
    <t>Louisville, KY-IN HUD Metro FMR Area</t>
  </si>
  <si>
    <t>Marshall County, IN</t>
  </si>
  <si>
    <t>Martin County, IN</t>
  </si>
  <si>
    <t>Miami County, IN</t>
  </si>
  <si>
    <t>Michigan City-La Porte, IN MSA</t>
  </si>
  <si>
    <t>Montgomery County, IN</t>
  </si>
  <si>
    <t>Muncie, IN MSA</t>
  </si>
  <si>
    <t>Noble County, IN</t>
  </si>
  <si>
    <t>Orange County, IN</t>
  </si>
  <si>
    <t>Owen County, IN HUD Metro FMR Area</t>
  </si>
  <si>
    <t>Perry County, IN</t>
  </si>
  <si>
    <t>Pike County, IN</t>
  </si>
  <si>
    <t>Pulaski County, IN</t>
  </si>
  <si>
    <t>Randolph County, IN</t>
  </si>
  <si>
    <t>Ripley County, IN</t>
  </si>
  <si>
    <t>Rush County, IN</t>
  </si>
  <si>
    <t>Scott County, IN</t>
  </si>
  <si>
    <t>South Bend-Mishawaka, IN HUD Metro FMR Area</t>
  </si>
  <si>
    <t>Spencer County, IN</t>
  </si>
  <si>
    <t>Starke County, IN</t>
  </si>
  <si>
    <t>Steuben County, IN</t>
  </si>
  <si>
    <t>Sullivan County, IN HUD Metro FMR Area</t>
  </si>
  <si>
    <t>Switzerland County, IN</t>
  </si>
  <si>
    <t>Terre Haute, IN HUD Metro FMR Area</t>
  </si>
  <si>
    <t>Wabash County, IN</t>
  </si>
  <si>
    <t>Warren County, IN HUD Metro FMR Area</t>
  </si>
  <si>
    <t>Washington County, IN HUD Metro FMR Area</t>
  </si>
  <si>
    <t>Wayne County, IN</t>
  </si>
  <si>
    <t>White County, IN</t>
  </si>
  <si>
    <t>Allen County, KS</t>
  </si>
  <si>
    <t>Anderson County, KS</t>
  </si>
  <si>
    <t>Atchison County, KS</t>
  </si>
  <si>
    <t>Barber County, KS</t>
  </si>
  <si>
    <t>Barton County, KS</t>
  </si>
  <si>
    <t>Bourbon County, KS</t>
  </si>
  <si>
    <t>Brown County, KS</t>
  </si>
  <si>
    <t>Chase County, KS</t>
  </si>
  <si>
    <t>Chautauqua County, KS</t>
  </si>
  <si>
    <t>Cheyenne County, KS</t>
  </si>
  <si>
    <t>Clark County, KS</t>
  </si>
  <si>
    <t>Clay County, KS</t>
  </si>
  <si>
    <t>Cloud County, KS</t>
  </si>
  <si>
    <t>Coffey County, KS</t>
  </si>
  <si>
    <t>Comanche County, KS</t>
  </si>
  <si>
    <t>Cowley County, KS</t>
  </si>
  <si>
    <t>Crawford County, KS</t>
  </si>
  <si>
    <t>Decatur County, KS</t>
  </si>
  <si>
    <t>Dickinson County, KS</t>
  </si>
  <si>
    <t>Edwards County, KS</t>
  </si>
  <si>
    <t>Elk County, KS</t>
  </si>
  <si>
    <t>Ellis County, KS</t>
  </si>
  <si>
    <t>Ellsworth County, KS</t>
  </si>
  <si>
    <t>Finney County, KS</t>
  </si>
  <si>
    <t>Ford County, KS</t>
  </si>
  <si>
    <t>Franklin County, KS</t>
  </si>
  <si>
    <t>Geary County, KS HUD Metro FMR Area</t>
  </si>
  <si>
    <t>Gove County, KS</t>
  </si>
  <si>
    <t>Graham County, KS</t>
  </si>
  <si>
    <t>Grant County, KS</t>
  </si>
  <si>
    <t>Gray County, KS</t>
  </si>
  <si>
    <t>Greeley County, KS</t>
  </si>
  <si>
    <t>Greenwood County, KS</t>
  </si>
  <si>
    <t>Hamilton County, KS</t>
  </si>
  <si>
    <t>Harper County, KS</t>
  </si>
  <si>
    <t>Haskell County, KS</t>
  </si>
  <si>
    <t>Hodgeman County, KS</t>
  </si>
  <si>
    <t>Jewell County, KS</t>
  </si>
  <si>
    <t>Kansas City, MO-KS HUD Metro FMR Area</t>
  </si>
  <si>
    <t>Kearny County, KS</t>
  </si>
  <si>
    <t>Kingman County, KS</t>
  </si>
  <si>
    <t>Kiowa County, KS</t>
  </si>
  <si>
    <t>Labette County, KS</t>
  </si>
  <si>
    <t>Lane County, KS</t>
  </si>
  <si>
    <t>Lawrence, KS MSA</t>
  </si>
  <si>
    <t>Lincoln County, KS</t>
  </si>
  <si>
    <t>Logan County, KS</t>
  </si>
  <si>
    <t>Lyon County, KS</t>
  </si>
  <si>
    <t>Manhattan, KS HUD Metro FMR Area</t>
  </si>
  <si>
    <t>Marion County, KS</t>
  </si>
  <si>
    <t>Marshall County, KS</t>
  </si>
  <si>
    <t>McPherson County, KS</t>
  </si>
  <si>
    <t>Meade County, KS</t>
  </si>
  <si>
    <t>Mitchell County, KS</t>
  </si>
  <si>
    <t>Montgomery County, KS</t>
  </si>
  <si>
    <t>Morris County, KS</t>
  </si>
  <si>
    <t>Morton County, KS</t>
  </si>
  <si>
    <t>Nemaha County, KS</t>
  </si>
  <si>
    <t>Neosho County, KS</t>
  </si>
  <si>
    <t>Ness County, KS</t>
  </si>
  <si>
    <t>Norton County, KS</t>
  </si>
  <si>
    <t>Osborne County, KS</t>
  </si>
  <si>
    <t>Ottawa County, KS</t>
  </si>
  <si>
    <t>Pawnee County, KS</t>
  </si>
  <si>
    <t>Phillips County, KS</t>
  </si>
  <si>
    <t>Pratt County, KS</t>
  </si>
  <si>
    <t>Rawlins County, KS</t>
  </si>
  <si>
    <t>Reno County, KS</t>
  </si>
  <si>
    <t>Republic County, KS</t>
  </si>
  <si>
    <t>Rice County, KS</t>
  </si>
  <si>
    <t>Rooks County, KS</t>
  </si>
  <si>
    <t>Rush County, KS</t>
  </si>
  <si>
    <t>Russell County, KS</t>
  </si>
  <si>
    <t>Saline County, KS</t>
  </si>
  <si>
    <t>Scott County, KS</t>
  </si>
  <si>
    <t>Seward County, KS</t>
  </si>
  <si>
    <t>Sheridan County, KS</t>
  </si>
  <si>
    <t>Sherman County, KS</t>
  </si>
  <si>
    <t>Smith County, KS</t>
  </si>
  <si>
    <t>St. Joseph, MO-KS MSA</t>
  </si>
  <si>
    <t>Stafford County, KS</t>
  </si>
  <si>
    <t>Stanton County, KS</t>
  </si>
  <si>
    <t>Stevens County, KS</t>
  </si>
  <si>
    <t>Sumner County, KS HUD Metro FMR Area</t>
  </si>
  <si>
    <t>Thomas County, KS</t>
  </si>
  <si>
    <t>Topeka, KS MSA</t>
  </si>
  <si>
    <t>Trego County, KS</t>
  </si>
  <si>
    <t>Wallace County, KS</t>
  </si>
  <si>
    <t>Washington County, KS</t>
  </si>
  <si>
    <t>Wichita County, KS</t>
  </si>
  <si>
    <t>Wichita, KS HUD Metro FMR Area</t>
  </si>
  <si>
    <t>Wilson County, KS</t>
  </si>
  <si>
    <t>Woodson County, KS</t>
  </si>
  <si>
    <t>Adair County, KY</t>
  </si>
  <si>
    <t>Allen County, KY HUD Metro FMR Area</t>
  </si>
  <si>
    <t>Anderson County, KY</t>
  </si>
  <si>
    <t>Barren County, KY</t>
  </si>
  <si>
    <t>Bath County, KY</t>
  </si>
  <si>
    <t>Bell County, KY</t>
  </si>
  <si>
    <t>Bowling Green, KY HUD Metro FMR Area</t>
  </si>
  <si>
    <t>Boyle County, KY</t>
  </si>
  <si>
    <t>Breathitt County, KY</t>
  </si>
  <si>
    <t>Breckinridge County, KY</t>
  </si>
  <si>
    <t>Butler County, KY HUD Metro FMR Area</t>
  </si>
  <si>
    <t>Caldwell County, KY</t>
  </si>
  <si>
    <t>Calloway County, KY</t>
  </si>
  <si>
    <t>Carroll County, KY</t>
  </si>
  <si>
    <t>Carter County, KY HUD Metro FMR Area</t>
  </si>
  <si>
    <t>Casey County, KY</t>
  </si>
  <si>
    <t>Clarksville, TN-KY HUD Metro FMR Area</t>
  </si>
  <si>
    <t>Clay County, KY</t>
  </si>
  <si>
    <t>Clinton County, KY</t>
  </si>
  <si>
    <t>Crittenden County, KY</t>
  </si>
  <si>
    <t>Cumberland County, KY</t>
  </si>
  <si>
    <t>Elizabethtown, KY HUD Metro FMR Area</t>
  </si>
  <si>
    <t>Elliott County, KY</t>
  </si>
  <si>
    <t>Estill County, KY</t>
  </si>
  <si>
    <t>Fleming County, KY</t>
  </si>
  <si>
    <t>Floyd County, KY</t>
  </si>
  <si>
    <t>Franklin County, KY</t>
  </si>
  <si>
    <t>Fulton County, KY</t>
  </si>
  <si>
    <t>Garrard County, KY</t>
  </si>
  <si>
    <t>Grant County, KY HUD Metro FMR Area</t>
  </si>
  <si>
    <t>Graves County, KY</t>
  </si>
  <si>
    <t>Grayson County, KY</t>
  </si>
  <si>
    <t>Green County, KY</t>
  </si>
  <si>
    <t>Harlan County, KY</t>
  </si>
  <si>
    <t>Harrison County, KY</t>
  </si>
  <si>
    <t>Hart County, KY</t>
  </si>
  <si>
    <t>Hickman County, KY</t>
  </si>
  <si>
    <t>Hopkins County, KY</t>
  </si>
  <si>
    <t>Huntington-Ashland, WV-KY-OH HUD Metro FMR Area</t>
  </si>
  <si>
    <t>Jackson County, KY</t>
  </si>
  <si>
    <t>Johnson County, KY</t>
  </si>
  <si>
    <t>Knott County, KY</t>
  </si>
  <si>
    <t>Knox County, KY</t>
  </si>
  <si>
    <t>Laurel County, KY</t>
  </si>
  <si>
    <t>Lee County, KY</t>
  </si>
  <si>
    <t>Leslie County, KY</t>
  </si>
  <si>
    <t>Letcher County, KY</t>
  </si>
  <si>
    <t>Lewis County, KY</t>
  </si>
  <si>
    <t>Lexington-Fayette, KY MSA</t>
  </si>
  <si>
    <t>Lincoln County, KY</t>
  </si>
  <si>
    <t>Logan County, KY</t>
  </si>
  <si>
    <t>Lyon County, KY</t>
  </si>
  <si>
    <t>Madison County, KY</t>
  </si>
  <si>
    <t>Magoffin County, KY</t>
  </si>
  <si>
    <t>Marion County, KY</t>
  </si>
  <si>
    <t>Marshall County, KY</t>
  </si>
  <si>
    <t>Martin County, KY</t>
  </si>
  <si>
    <t>Mason County, KY</t>
  </si>
  <si>
    <t>McCreary County, KY</t>
  </si>
  <si>
    <t>Meade County, KY HUD Metro FMR Area</t>
  </si>
  <si>
    <t>Menifee County, KY</t>
  </si>
  <si>
    <t>Mercer County, KY</t>
  </si>
  <si>
    <t>Metcalfe County, KY</t>
  </si>
  <si>
    <t>Monroe County, KY</t>
  </si>
  <si>
    <t>Montgomery County, KY</t>
  </si>
  <si>
    <t>Morgan County, KY</t>
  </si>
  <si>
    <t>Muhlenberg County, KY</t>
  </si>
  <si>
    <t>Nicholas County, KY</t>
  </si>
  <si>
    <t>Ohio County, KY</t>
  </si>
  <si>
    <t>Owen County, KY</t>
  </si>
  <si>
    <t>Owensboro, KY MSA</t>
  </si>
  <si>
    <t>Owsley County, KY</t>
  </si>
  <si>
    <t>Perry County, KY</t>
  </si>
  <si>
    <t>Pike County, KY</t>
  </si>
  <si>
    <t>Powell County, KY</t>
  </si>
  <si>
    <t>Pulaski County, KY</t>
  </si>
  <si>
    <t>Robertson County, KY</t>
  </si>
  <si>
    <t>Rockcastle County, KY</t>
  </si>
  <si>
    <t>Rowan County, KY</t>
  </si>
  <si>
    <t>Russell County, KY</t>
  </si>
  <si>
    <t>Shelby County, KY HUD Metro FMR Area</t>
  </si>
  <si>
    <t>Simpson County, KY</t>
  </si>
  <si>
    <t>Taylor County, KY</t>
  </si>
  <si>
    <t>Todd County, KY</t>
  </si>
  <si>
    <t>Trimble County, KY</t>
  </si>
  <si>
    <t>Union County, KY</t>
  </si>
  <si>
    <t>Washington County, KY</t>
  </si>
  <si>
    <t>Wayne County, KY</t>
  </si>
  <si>
    <t>Webster County, KY</t>
  </si>
  <si>
    <t>Whitley County, KY</t>
  </si>
  <si>
    <t>Wolfe County, KY</t>
  </si>
  <si>
    <t>Acadia Parish, LA HUD Metro FMR Area</t>
  </si>
  <si>
    <t>Alexandria, LA MSA</t>
  </si>
  <si>
    <t>Allen Parish, LA</t>
  </si>
  <si>
    <t>Assumption Parish, LA HUD Metro FMR Area</t>
  </si>
  <si>
    <t>Avoyelles Parish, LA</t>
  </si>
  <si>
    <t>Baton Rouge, LA HUD Metro FMR Area</t>
  </si>
  <si>
    <t>Beauregard Parish, LA</t>
  </si>
  <si>
    <t>Bienville Parish, LA</t>
  </si>
  <si>
    <t>Caldwell Parish, LA</t>
  </si>
  <si>
    <t>Catahoula Parish, LA</t>
  </si>
  <si>
    <t>Claiborne Parish, LA</t>
  </si>
  <si>
    <t>Concordia Parish, LA</t>
  </si>
  <si>
    <t>East Carroll Parish, LA</t>
  </si>
  <si>
    <t>Evangeline Parish, LA</t>
  </si>
  <si>
    <t>Franklin Parish, LA</t>
  </si>
  <si>
    <t>Hammond, LA MSA</t>
  </si>
  <si>
    <t>Iberville Parish, LA HUD Metro FMR Area</t>
  </si>
  <si>
    <t>Jackson Parish, LA</t>
  </si>
  <si>
    <t>La Salle Parish, LA</t>
  </si>
  <si>
    <t>Lafayette, LA HUD Metro FMR Area</t>
  </si>
  <si>
    <t>Lincoln Parish, LA</t>
  </si>
  <si>
    <t>Madison Parish, LA</t>
  </si>
  <si>
    <t>Monroe, LA HUD Metro FMR Area</t>
  </si>
  <si>
    <t>Morehouse Parish, LA HUD Metro FMR Area</t>
  </si>
  <si>
    <t>Natchitoches Parish, LA</t>
  </si>
  <si>
    <t>New Orleans-Metairie, LA HUD Metro FMR Area</t>
  </si>
  <si>
    <t>Red River Parish, LA</t>
  </si>
  <si>
    <t>Sabine Parish, LA</t>
  </si>
  <si>
    <t>Shreveport-Bossier City, LA MSA</t>
  </si>
  <si>
    <t>St. James Parish, LA HUD Metro FMR Area</t>
  </si>
  <si>
    <t>St. Landry Parish, LA</t>
  </si>
  <si>
    <t>St. Mary Parish, LA</t>
  </si>
  <si>
    <t>Tensas Parish, LA</t>
  </si>
  <si>
    <t>Vermilion Parish, LA HUD Metro FMR Area</t>
  </si>
  <si>
    <t>Vernon Parish, LA</t>
  </si>
  <si>
    <t>Washington Parish, LA</t>
  </si>
  <si>
    <t>Webster Parish, LA</t>
  </si>
  <si>
    <t>West Carroll Parish, LA</t>
  </si>
  <si>
    <t>Winn Parish, LA</t>
  </si>
  <si>
    <t>Barnstable Town, MA MSA</t>
  </si>
  <si>
    <t>Berkshire County, MA (part) HUD Metro FMR Area</t>
  </si>
  <si>
    <t>Boston-Cambridge-Quincy, MA-NH HUD Metro FMR Area</t>
  </si>
  <si>
    <t>Brockton, MA HUD Metro FMR Area</t>
  </si>
  <si>
    <t>Dukes County, MA</t>
  </si>
  <si>
    <t>Eastern Worcester County, MA HUD Metro FMR Area</t>
  </si>
  <si>
    <t>Easton-Raynham, MA HUD Metro FMR Area</t>
  </si>
  <si>
    <t>Fitchburg-Leominster, MA HUD Metro FMR Area</t>
  </si>
  <si>
    <t>Lawrence, MA-NH HUD Metro FMR Area</t>
  </si>
  <si>
    <t>Lowell, MA HUD Metro FMR Area</t>
  </si>
  <si>
    <t>Nantucket County, MA</t>
  </si>
  <si>
    <t>New Bedford, MA HUD Metro FMR Area</t>
  </si>
  <si>
    <t>Pittsfield, MA HUD Metro FMR Area</t>
  </si>
  <si>
    <t>Providence-Fall River, RI-MA HUD Metro FMR Area</t>
  </si>
  <si>
    <t>Taunton-Mansfield-Norton, MA HUD Metro FMR Area</t>
  </si>
  <si>
    <t>Western Worcester County, MA HUD Metro FMR Area</t>
  </si>
  <si>
    <t>Worcester, MA HUD Metro FMR Area</t>
  </si>
  <si>
    <t>Baltimore-Columbia-Towson, MD MSA</t>
  </si>
  <si>
    <t>Caroline County, MD</t>
  </si>
  <si>
    <t>Dorchester County, MD</t>
  </si>
  <si>
    <t>Garrett County, MD</t>
  </si>
  <si>
    <t>Hagerstown, MD HUD Metro FMR Area</t>
  </si>
  <si>
    <t>Kent County, MD</t>
  </si>
  <si>
    <t>Salisbury, MD HUD Metro FMR Area</t>
  </si>
  <si>
    <t>Somerset County, MD HUD Metro FMR Area</t>
  </si>
  <si>
    <t>Talbot County, MD</t>
  </si>
  <si>
    <t>Aroostook County, ME</t>
  </si>
  <si>
    <t>Bangor, ME HUD Metro FMR Area</t>
  </si>
  <si>
    <t>Cumberland County, ME (part) HUD Metro FMR Area</t>
  </si>
  <si>
    <t>Franklin County, ME</t>
  </si>
  <si>
    <t>Hancock County, ME</t>
  </si>
  <si>
    <t>Kennebec County, ME</t>
  </si>
  <si>
    <t>Knox County, ME</t>
  </si>
  <si>
    <t>Lewiston-Auburn, ME MSA</t>
  </si>
  <si>
    <t>Lincoln County, ME</t>
  </si>
  <si>
    <t>Oxford County, ME</t>
  </si>
  <si>
    <t>Penobscot County, ME (part) HUD Metro FMR Area</t>
  </si>
  <si>
    <t>Piscataquis County, ME</t>
  </si>
  <si>
    <t>Portland, ME HUD Metro FMR Area</t>
  </si>
  <si>
    <t>Sagadahoc County, ME HUD Metro FMR Area</t>
  </si>
  <si>
    <t>Somerset County, ME</t>
  </si>
  <si>
    <t>Waldo County, ME</t>
  </si>
  <si>
    <t>Washington County, ME</t>
  </si>
  <si>
    <t>York County, ME (part) HUD Metro FMR Area</t>
  </si>
  <si>
    <t>York-Kittery-South Berwick, ME HUD Metro FMR Area</t>
  </si>
  <si>
    <t>Alcona County, MI</t>
  </si>
  <si>
    <t>Alger County, MI</t>
  </si>
  <si>
    <t>Allegan County, MI</t>
  </si>
  <si>
    <t>Alpena County, MI</t>
  </si>
  <si>
    <t>Ann Arbor, MI MSA</t>
  </si>
  <si>
    <t>Antrim County, MI</t>
  </si>
  <si>
    <t>Arenac County, MI</t>
  </si>
  <si>
    <t>Baraga County, MI</t>
  </si>
  <si>
    <t>Battle Creek, MI MSA</t>
  </si>
  <si>
    <t>Bay City, MI MSA</t>
  </si>
  <si>
    <t>Branch County, MI</t>
  </si>
  <si>
    <t>Cass County, MI HUD Metro FMR Area</t>
  </si>
  <si>
    <t>Charlevoix County, MI</t>
  </si>
  <si>
    <t>Cheboygan County, MI</t>
  </si>
  <si>
    <t>Chippewa County, MI</t>
  </si>
  <si>
    <t>Clare County, MI</t>
  </si>
  <si>
    <t>Crawford County, MI</t>
  </si>
  <si>
    <t>Delta County, MI</t>
  </si>
  <si>
    <t>Detroit-Warren-Livonia, MI HUD Metro FMR Area</t>
  </si>
  <si>
    <t>Dickinson County, MI</t>
  </si>
  <si>
    <t>Emmet County, MI</t>
  </si>
  <si>
    <t>Flint, MI MSA</t>
  </si>
  <si>
    <t>Gladwin County, MI</t>
  </si>
  <si>
    <t>Gogebic County, MI</t>
  </si>
  <si>
    <t>Grand Rapids-Wyoming, MI HUD Metro FMR Area</t>
  </si>
  <si>
    <t>Gratiot County, MI</t>
  </si>
  <si>
    <t>Hillsdale County, MI</t>
  </si>
  <si>
    <t>Holland-Grand Haven, MI HUD Metro FMR Area</t>
  </si>
  <si>
    <t>Houghton County, MI</t>
  </si>
  <si>
    <t>Huron County, MI</t>
  </si>
  <si>
    <t>Ionia County, MI HUD Metro FMR Area</t>
  </si>
  <si>
    <t>Iosco County, MI</t>
  </si>
  <si>
    <t>Iron County, MI</t>
  </si>
  <si>
    <t>Isabella County, MI</t>
  </si>
  <si>
    <t>Jackson, MI MSA</t>
  </si>
  <si>
    <t>Kalamazoo-Portage, MI MSA</t>
  </si>
  <si>
    <t>Keweenaw County, MI</t>
  </si>
  <si>
    <t>Lake County, MI</t>
  </si>
  <si>
    <t>Lenawee County, MI</t>
  </si>
  <si>
    <t>Livingston County, MI HUD Metro FMR Area</t>
  </si>
  <si>
    <t>Luce County, MI</t>
  </si>
  <si>
    <t>Mackinac County, MI</t>
  </si>
  <si>
    <t>Manistee County, MI</t>
  </si>
  <si>
    <t>Marquette County, MI</t>
  </si>
  <si>
    <t>Mason County, MI</t>
  </si>
  <si>
    <t>Mecosta County, MI</t>
  </si>
  <si>
    <t>Menominee County, MI</t>
  </si>
  <si>
    <t>Midland, MI MSA</t>
  </si>
  <si>
    <t>Missaukee County, MI</t>
  </si>
  <si>
    <t>Monroe, MI MSA</t>
  </si>
  <si>
    <t>Montcalm County, MI HUD Metro FMR Area</t>
  </si>
  <si>
    <t>Montmorency County, MI</t>
  </si>
  <si>
    <t>Newaygo County, MI</t>
  </si>
  <si>
    <t>Oceana County, MI</t>
  </si>
  <si>
    <t>Ogemaw County, MI</t>
  </si>
  <si>
    <t>Ontonagon County, MI</t>
  </si>
  <si>
    <t>Osceola County, MI</t>
  </si>
  <si>
    <t>Oscoda County, MI</t>
  </si>
  <si>
    <t>Otsego County, MI</t>
  </si>
  <si>
    <t>Presque Isle County, MI</t>
  </si>
  <si>
    <t>Roscommon County, MI</t>
  </si>
  <si>
    <t>Saginaw, MI MSA</t>
  </si>
  <si>
    <t>Sanilac County, MI</t>
  </si>
  <si>
    <t>Schoolcraft County, MI</t>
  </si>
  <si>
    <t>St. Joseph County, MI</t>
  </si>
  <si>
    <t>Tuscola County, MI</t>
  </si>
  <si>
    <t>Van Buren County, MI</t>
  </si>
  <si>
    <t>Wexford County, MI</t>
  </si>
  <si>
    <t>Aitkin County, MN</t>
  </si>
  <si>
    <t>Becker County, MN</t>
  </si>
  <si>
    <t>Beltrami County, MN</t>
  </si>
  <si>
    <t>Big Stone County, MN</t>
  </si>
  <si>
    <t>Brown County, MN</t>
  </si>
  <si>
    <t>Cass County, MN</t>
  </si>
  <si>
    <t>Chippewa County, MN</t>
  </si>
  <si>
    <t>Clearwater County, MN</t>
  </si>
  <si>
    <t>Cook County, MN</t>
  </si>
  <si>
    <t>Cottonwood County, MN</t>
  </si>
  <si>
    <t>Crow Wing County, MN</t>
  </si>
  <si>
    <t>Douglas County, MN</t>
  </si>
  <si>
    <t>Fargo, ND-MN MSA</t>
  </si>
  <si>
    <t>Faribault County, MN</t>
  </si>
  <si>
    <t>Fillmore County, MN HUD Metro FMR Area</t>
  </si>
  <si>
    <t>Freeborn County, MN</t>
  </si>
  <si>
    <t>Goodhue County, MN</t>
  </si>
  <si>
    <t>Grand Forks, ND-MN MSA</t>
  </si>
  <si>
    <t>Grant County, MN</t>
  </si>
  <si>
    <t>Hubbard County, MN</t>
  </si>
  <si>
    <t>Itasca County, MN</t>
  </si>
  <si>
    <t>Jackson County, MN</t>
  </si>
  <si>
    <t>Kanabec County, MN</t>
  </si>
  <si>
    <t>Kandiyohi County, MN</t>
  </si>
  <si>
    <t>Kittson County, MN</t>
  </si>
  <si>
    <t>Koochiching County, MN</t>
  </si>
  <si>
    <t>Lac qui Parle County, MN</t>
  </si>
  <si>
    <t>Lake of the Woods County, MN</t>
  </si>
  <si>
    <t>Le Sueur County, MN HUD Metro FMR Area</t>
  </si>
  <si>
    <t>Lincoln County, MN</t>
  </si>
  <si>
    <t>Lyon County, MN</t>
  </si>
  <si>
    <t>Mahnomen County, MN</t>
  </si>
  <si>
    <t>Marshall County, MN</t>
  </si>
  <si>
    <t>Martin County, MN</t>
  </si>
  <si>
    <t>McLeod County, MN</t>
  </si>
  <si>
    <t>Meeker County, MN</t>
  </si>
  <si>
    <t>Mille Lacs County, MN HUD Metro FMR Area</t>
  </si>
  <si>
    <t>Minneapolis-St. Paul-Bloomington, MN-WI HUD Metro FMR Area</t>
  </si>
  <si>
    <t>Morrison County, MN</t>
  </si>
  <si>
    <t>Mower County, MN</t>
  </si>
  <si>
    <t>Murray County, MN</t>
  </si>
  <si>
    <t>Nobles County, MN</t>
  </si>
  <si>
    <t>Norman County, MN</t>
  </si>
  <si>
    <t>Otter Tail County, MN</t>
  </si>
  <si>
    <t>Pennington County, MN</t>
  </si>
  <si>
    <t>Pine County, MN</t>
  </si>
  <si>
    <t>Pipestone County, MN</t>
  </si>
  <si>
    <t>Pope County, MN</t>
  </si>
  <si>
    <t>Red Lake County, MN</t>
  </si>
  <si>
    <t>Redwood County, MN</t>
  </si>
  <si>
    <t>Renville County, MN</t>
  </si>
  <si>
    <t>Rice County, MN</t>
  </si>
  <si>
    <t>Rochester, MN HUD Metro FMR Area</t>
  </si>
  <si>
    <t>Roseau County, MN</t>
  </si>
  <si>
    <t>Sibley County, MN</t>
  </si>
  <si>
    <t>St. Cloud, MN MSA</t>
  </si>
  <si>
    <t>Steele County, MN</t>
  </si>
  <si>
    <t>Stevens County, MN</t>
  </si>
  <si>
    <t>Swift County, MN</t>
  </si>
  <si>
    <t>Todd County, MN</t>
  </si>
  <si>
    <t>Traverse County, MN</t>
  </si>
  <si>
    <t>Wabasha County, MN HUD Metro FMR Area</t>
  </si>
  <si>
    <t>Wadena County, MN</t>
  </si>
  <si>
    <t>Waseca County, MN</t>
  </si>
  <si>
    <t>Watonwan County, MN</t>
  </si>
  <si>
    <t>Wilkin County, MN</t>
  </si>
  <si>
    <t>Winona County, MN</t>
  </si>
  <si>
    <t>Yellow Medicine County, MN</t>
  </si>
  <si>
    <t>Adair County, MO</t>
  </si>
  <si>
    <t>Atchison County, MO</t>
  </si>
  <si>
    <t>Audrain County, MO</t>
  </si>
  <si>
    <t>Barry County, MO</t>
  </si>
  <si>
    <t>Barton County, MO</t>
  </si>
  <si>
    <t>Bates County, MO HUD Metro FMR Area</t>
  </si>
  <si>
    <t>Benton County, MO</t>
  </si>
  <si>
    <t>Butler County, MO</t>
  </si>
  <si>
    <t>Callaway County, MO HUD Metro FMR Area</t>
  </si>
  <si>
    <t>Camden County, MO</t>
  </si>
  <si>
    <t>Carroll County, MO</t>
  </si>
  <si>
    <t>Carter County, MO</t>
  </si>
  <si>
    <t>Cedar County, MO</t>
  </si>
  <si>
    <t>Chariton County, MO</t>
  </si>
  <si>
    <t>Clark County, MO</t>
  </si>
  <si>
    <t>Columbia, MO HUD Metro FMR Area</t>
  </si>
  <si>
    <t>Cooper County, MO HUD Metro FMR Area</t>
  </si>
  <si>
    <t>Crawford County, MO</t>
  </si>
  <si>
    <t>Dade County, MO</t>
  </si>
  <si>
    <t>Dallas County, MO HUD Metro FMR Area</t>
  </si>
  <si>
    <t>Daviess County, MO</t>
  </si>
  <si>
    <t>Dent County, MO</t>
  </si>
  <si>
    <t>Douglas County, MO</t>
  </si>
  <si>
    <t>Dunklin County, MO</t>
  </si>
  <si>
    <t>Gasconade County, MO</t>
  </si>
  <si>
    <t>Gentry County, MO</t>
  </si>
  <si>
    <t>Grundy County, MO</t>
  </si>
  <si>
    <t>Harrison County, MO</t>
  </si>
  <si>
    <t>Henry County, MO</t>
  </si>
  <si>
    <t>Hickory County, MO</t>
  </si>
  <si>
    <t>Holt County, MO</t>
  </si>
  <si>
    <t>Howard County, MO HUD Metro FMR Area</t>
  </si>
  <si>
    <t>Howell County, MO</t>
  </si>
  <si>
    <t>Iron County, MO</t>
  </si>
  <si>
    <t>Jefferson City, MO HUD Metro FMR Area</t>
  </si>
  <si>
    <t>Johnson County, MO</t>
  </si>
  <si>
    <t>Knox County, MO</t>
  </si>
  <si>
    <t>Laclede County, MO</t>
  </si>
  <si>
    <t>Lawrence County, MO</t>
  </si>
  <si>
    <t>Lewis County, MO</t>
  </si>
  <si>
    <t>Linn County, MO</t>
  </si>
  <si>
    <t>Livingston County, MO</t>
  </si>
  <si>
    <t>Macon County, MO</t>
  </si>
  <si>
    <t>Madison County, MO</t>
  </si>
  <si>
    <t>Maries County, MO</t>
  </si>
  <si>
    <t>Marion County, MO</t>
  </si>
  <si>
    <t>McDonald County, MO</t>
  </si>
  <si>
    <t>Mercer County, MO</t>
  </si>
  <si>
    <t>Miller County, MO</t>
  </si>
  <si>
    <t>Mississippi County, MO</t>
  </si>
  <si>
    <t>Moniteau County, MO HUD Metro FMR Area</t>
  </si>
  <si>
    <t>Monroe County, MO</t>
  </si>
  <si>
    <t>Montgomery County, MO</t>
  </si>
  <si>
    <t>Morgan County, MO</t>
  </si>
  <si>
    <t>New Madrid County, MO</t>
  </si>
  <si>
    <t>Nodaway County, MO</t>
  </si>
  <si>
    <t>Oregon County, MO</t>
  </si>
  <si>
    <t>Ozark County, MO</t>
  </si>
  <si>
    <t>Pemiscot County, MO</t>
  </si>
  <si>
    <t>Perry County, MO</t>
  </si>
  <si>
    <t>Pettis County, MO</t>
  </si>
  <si>
    <t>Phelps County, MO</t>
  </si>
  <si>
    <t>Pike County, MO</t>
  </si>
  <si>
    <t>Polk County, MO HUD Metro FMR Area</t>
  </si>
  <si>
    <t>Pulaski County, MO</t>
  </si>
  <si>
    <t>Putnam County, MO</t>
  </si>
  <si>
    <t>Ralls County, MO</t>
  </si>
  <si>
    <t>Randolph County, MO</t>
  </si>
  <si>
    <t>Reynolds County, MO</t>
  </si>
  <si>
    <t>Ripley County, MO</t>
  </si>
  <si>
    <t>Saline County, MO</t>
  </si>
  <si>
    <t>Schuyler County, MO</t>
  </si>
  <si>
    <t>Scotland County, MO</t>
  </si>
  <si>
    <t>Scott County, MO</t>
  </si>
  <si>
    <t>Shannon County, MO</t>
  </si>
  <si>
    <t>Shelby County, MO</t>
  </si>
  <si>
    <t>Springfield, MO HUD Metro FMR Area</t>
  </si>
  <si>
    <t>St. Clair County, MO</t>
  </si>
  <si>
    <t>St. Francois County, MO</t>
  </si>
  <si>
    <t>Ste. Genevieve County, MO</t>
  </si>
  <si>
    <t>Stoddard County, MO</t>
  </si>
  <si>
    <t>Stone County, MO</t>
  </si>
  <si>
    <t>Sullivan County, MO</t>
  </si>
  <si>
    <t>Taney County, MO</t>
  </si>
  <si>
    <t>Texas County, MO</t>
  </si>
  <si>
    <t>Vernon County, MO</t>
  </si>
  <si>
    <t>Washington County, MO</t>
  </si>
  <si>
    <t>Wayne County, MO</t>
  </si>
  <si>
    <t>Worth County, MO</t>
  </si>
  <si>
    <t>Wright County, MO</t>
  </si>
  <si>
    <t>Northern Mariana Islands</t>
  </si>
  <si>
    <t>Adams County, MS</t>
  </si>
  <si>
    <t>Alcorn County, MS</t>
  </si>
  <si>
    <t>Amite County, MS</t>
  </si>
  <si>
    <t>Attala County, MS</t>
  </si>
  <si>
    <t>Bolivar County, MS</t>
  </si>
  <si>
    <t>Calhoun County, MS</t>
  </si>
  <si>
    <t>Carroll County, MS</t>
  </si>
  <si>
    <t>Chickasaw County, MS</t>
  </si>
  <si>
    <t>Choctaw County, MS</t>
  </si>
  <si>
    <t>Claiborne County, MS</t>
  </si>
  <si>
    <t>Clarke County, MS</t>
  </si>
  <si>
    <t>Clay County, MS</t>
  </si>
  <si>
    <t>Coahoma County, MS</t>
  </si>
  <si>
    <t>Franklin County, MS</t>
  </si>
  <si>
    <t>George County, MS</t>
  </si>
  <si>
    <t>Greene County, MS</t>
  </si>
  <si>
    <t>Grenada County, MS</t>
  </si>
  <si>
    <t>Gulfport-Biloxi, MS HUD Metro FMR Area</t>
  </si>
  <si>
    <t>Holmes County, MS HUD Metro FMR Area</t>
  </si>
  <si>
    <t>Humphreys County, MS</t>
  </si>
  <si>
    <t>Issaquena County, MS</t>
  </si>
  <si>
    <t>Itawamba County, MS</t>
  </si>
  <si>
    <t>Jackson, MS HUD Metro FMR Area</t>
  </si>
  <si>
    <t>Jasper County, MS</t>
  </si>
  <si>
    <t>Jefferson County, MS</t>
  </si>
  <si>
    <t>Jefferson Davis County, MS</t>
  </si>
  <si>
    <t>Jones County, MS</t>
  </si>
  <si>
    <t>Kemper County, MS</t>
  </si>
  <si>
    <t>Lafayette County, MS</t>
  </si>
  <si>
    <t>Lauderdale County, MS</t>
  </si>
  <si>
    <t>Lawrence County, MS</t>
  </si>
  <si>
    <t>Leake County, MS</t>
  </si>
  <si>
    <t>Lee County, MS</t>
  </si>
  <si>
    <t>Leflore County, MS</t>
  </si>
  <si>
    <t>Lincoln County, MS</t>
  </si>
  <si>
    <t>Lowndes County, MS</t>
  </si>
  <si>
    <t>Marion County, MS</t>
  </si>
  <si>
    <t>Marshall County, MS HUD Metro FMR Area</t>
  </si>
  <si>
    <t>Monroe County, MS</t>
  </si>
  <si>
    <t>Montgomery County, MS</t>
  </si>
  <si>
    <t>Neshoba County, MS</t>
  </si>
  <si>
    <t>Newton County, MS</t>
  </si>
  <si>
    <t>Noxubee County, MS</t>
  </si>
  <si>
    <t>Oktibbeha County, MS</t>
  </si>
  <si>
    <t>Panola County, MS</t>
  </si>
  <si>
    <t>Pascagoula, MS HUD Metro FMR Area</t>
  </si>
  <si>
    <t>Pearl River County, MS</t>
  </si>
  <si>
    <t>Pike County, MS</t>
  </si>
  <si>
    <t>Pontotoc County, MS</t>
  </si>
  <si>
    <t>Prentiss County, MS</t>
  </si>
  <si>
    <t>Quitman County, MS</t>
  </si>
  <si>
    <t>Sharkey County, MS</t>
  </si>
  <si>
    <t>Simpson County, MS HUD Metro FMR Area</t>
  </si>
  <si>
    <t>Smith County, MS</t>
  </si>
  <si>
    <t>Stone County, MS HUD Metro FMR Area</t>
  </si>
  <si>
    <t>Sunflower County, MS</t>
  </si>
  <si>
    <t>Tallahatchie County, MS</t>
  </si>
  <si>
    <t>Tate County, MS HUD Metro FMR Area</t>
  </si>
  <si>
    <t>Tippah County, MS</t>
  </si>
  <si>
    <t>Tishomingo County, MS</t>
  </si>
  <si>
    <t>Tunica County, MS HUD Metro FMR Area</t>
  </si>
  <si>
    <t>Union County, MS</t>
  </si>
  <si>
    <t>Walthall County, MS</t>
  </si>
  <si>
    <t>Warren County, MS</t>
  </si>
  <si>
    <t>Washington County, MS</t>
  </si>
  <si>
    <t>Wayne County, MS</t>
  </si>
  <si>
    <t>Webster County, MS</t>
  </si>
  <si>
    <t>Wilkinson County, MS</t>
  </si>
  <si>
    <t>Winston County, MS</t>
  </si>
  <si>
    <t>Yalobusha County, MS</t>
  </si>
  <si>
    <t>Yazoo County, MS HUD Metro FMR Area</t>
  </si>
  <si>
    <t>Beaverhead County, MT</t>
  </si>
  <si>
    <t>Big Horn County, MT</t>
  </si>
  <si>
    <t>Billings, MT HUD Metro FMR Area</t>
  </si>
  <si>
    <t>Blaine County, MT</t>
  </si>
  <si>
    <t>Carter County, MT</t>
  </si>
  <si>
    <t>Chouteau County, MT</t>
  </si>
  <si>
    <t>Custer County, MT</t>
  </si>
  <si>
    <t>Daniels County, MT</t>
  </si>
  <si>
    <t>Dawson County, MT</t>
  </si>
  <si>
    <t>Deer Lodge County, MT</t>
  </si>
  <si>
    <t>Fallon County, MT</t>
  </si>
  <si>
    <t>Fergus County, MT</t>
  </si>
  <si>
    <t>Flathead County, MT</t>
  </si>
  <si>
    <t>Garfield County, MT</t>
  </si>
  <si>
    <t>Glacier County, MT</t>
  </si>
  <si>
    <t>Golden Valley County, MT</t>
  </si>
  <si>
    <t>Granite County, MT</t>
  </si>
  <si>
    <t>Great Falls, MT MSA</t>
  </si>
  <si>
    <t>Hill County, MT</t>
  </si>
  <si>
    <t>Judith Basin County, MT</t>
  </si>
  <si>
    <t>Lake County, MT</t>
  </si>
  <si>
    <t>Liberty County, MT</t>
  </si>
  <si>
    <t>Lincoln County, MT</t>
  </si>
  <si>
    <t>Madison County, MT</t>
  </si>
  <si>
    <t>McCone County, MT</t>
  </si>
  <si>
    <t>Meagher County, MT</t>
  </si>
  <si>
    <t>Musselshell County, MT</t>
  </si>
  <si>
    <t>Park County, MT</t>
  </si>
  <si>
    <t>Petroleum County, MT</t>
  </si>
  <si>
    <t>Phillips County, MT</t>
  </si>
  <si>
    <t>Pondera County, MT</t>
  </si>
  <si>
    <t>Powder River County, MT</t>
  </si>
  <si>
    <t>Powell County, MT</t>
  </si>
  <si>
    <t>Prairie County, MT</t>
  </si>
  <si>
    <t>Ravalli County, MT</t>
  </si>
  <si>
    <t>Richland County, MT</t>
  </si>
  <si>
    <t>Roosevelt County, MT</t>
  </si>
  <si>
    <t>Rosebud County, MT</t>
  </si>
  <si>
    <t>Sanders County, MT</t>
  </si>
  <si>
    <t>Sheridan County, MT</t>
  </si>
  <si>
    <t>Silver Bow County, MT</t>
  </si>
  <si>
    <t>Stillwater County, MT HUD Metro FMR Area</t>
  </si>
  <si>
    <t>Sweet Grass County, MT</t>
  </si>
  <si>
    <t>Teton County, MT</t>
  </si>
  <si>
    <t>Toole County, MT</t>
  </si>
  <si>
    <t>Treasure County, MT</t>
  </si>
  <si>
    <t>Valley County, MT</t>
  </si>
  <si>
    <t>Wheatland County, MT</t>
  </si>
  <si>
    <t>Wibaux County, MT</t>
  </si>
  <si>
    <t>Alleghany County, NC</t>
  </si>
  <si>
    <t>Anson County, NC HUD Metro FMR Area</t>
  </si>
  <si>
    <t>Ashe County, NC</t>
  </si>
  <si>
    <t>Avery County, NC</t>
  </si>
  <si>
    <t>Beaufort County, NC</t>
  </si>
  <si>
    <t>Bertie County, NC</t>
  </si>
  <si>
    <t>Bladen County, NC</t>
  </si>
  <si>
    <t>Brunswick County, NC HUD Metro FMR Area</t>
  </si>
  <si>
    <t>Burlington, NC MSA</t>
  </si>
  <si>
    <t>Camden County, NC HUD Metro FMR Area</t>
  </si>
  <si>
    <t>Carteret County, NC</t>
  </si>
  <si>
    <t>Caswell County, NC</t>
  </si>
  <si>
    <t>Charlotte-Concord-Gastonia, NC-SC HUD Metro FMR Area</t>
  </si>
  <si>
    <t>Cherokee County, NC</t>
  </si>
  <si>
    <t>Chowan County, NC</t>
  </si>
  <si>
    <t>Clay County, NC</t>
  </si>
  <si>
    <t>Cleveland County, NC</t>
  </si>
  <si>
    <t>Columbus County, NC</t>
  </si>
  <si>
    <t>Dare County, NC</t>
  </si>
  <si>
    <t>Davidson County, NC HUD Metro FMR Area</t>
  </si>
  <si>
    <t>Duplin County, NC</t>
  </si>
  <si>
    <t>Durham-Chapel Hill, NC HUD Metro FMR Area</t>
  </si>
  <si>
    <t>Fayetteville, NC HUD Metro FMR Area</t>
  </si>
  <si>
    <t>Gates County, NC HUD Metro FMR Area</t>
  </si>
  <si>
    <t>Goldsboro, NC MSA</t>
  </si>
  <si>
    <t>Graham County, NC</t>
  </si>
  <si>
    <t>Greene County, NC</t>
  </si>
  <si>
    <t>Greensboro-High Point, NC HUD Metro FMR Area</t>
  </si>
  <si>
    <t>Greenville, NC MSA</t>
  </si>
  <si>
    <t>Halifax County, NC</t>
  </si>
  <si>
    <t>Hertford County, NC</t>
  </si>
  <si>
    <t>Hickory-Lenoir-Morganton, NC MSA</t>
  </si>
  <si>
    <t>Hoke County, NC HUD Metro FMR Area</t>
  </si>
  <si>
    <t>Hyde County, NC</t>
  </si>
  <si>
    <t>Iredell County, NC HUD Metro FMR Area</t>
  </si>
  <si>
    <t>Jackson County, NC</t>
  </si>
  <si>
    <t>Jacksonville, NC MSA</t>
  </si>
  <si>
    <t>Lee County, NC</t>
  </si>
  <si>
    <t>Lenoir County, NC</t>
  </si>
  <si>
    <t>Lincoln County, NC HUD Metro FMR Area</t>
  </si>
  <si>
    <t>Macon County, NC</t>
  </si>
  <si>
    <t>Martin County, NC</t>
  </si>
  <si>
    <t>McDowell County, NC</t>
  </si>
  <si>
    <t>Mitchell County, NC</t>
  </si>
  <si>
    <t>Montgomery County, NC</t>
  </si>
  <si>
    <t>Northampton County, NC</t>
  </si>
  <si>
    <t>Pasquotank County, NC</t>
  </si>
  <si>
    <t>Pender County, NC HUD Metro FMR Area</t>
  </si>
  <si>
    <t>Perquimans County, NC</t>
  </si>
  <si>
    <t>Person County, NC HUD Metro FMR Area</t>
  </si>
  <si>
    <t>Polk County, NC</t>
  </si>
  <si>
    <t>Richmond County, NC</t>
  </si>
  <si>
    <t>Robeson County, NC</t>
  </si>
  <si>
    <t>Rockingham County, NC HUD Metro FMR Area</t>
  </si>
  <si>
    <t>Rocky Mount, NC MSA</t>
  </si>
  <si>
    <t>Rowan County, NC HUD Metro FMR Area</t>
  </si>
  <si>
    <t>Rutherford County, NC</t>
  </si>
  <si>
    <t>Sampson County, NC</t>
  </si>
  <si>
    <t>Scotland County, NC</t>
  </si>
  <si>
    <t>Stanly County, NC</t>
  </si>
  <si>
    <t>Surry County, NC</t>
  </si>
  <si>
    <t>Swain County, NC</t>
  </si>
  <si>
    <t>Transylvania County, NC</t>
  </si>
  <si>
    <t>Tyrrell County, NC</t>
  </si>
  <si>
    <t>Vance County, NC</t>
  </si>
  <si>
    <t>Virginia Beach-Norfolk-Newport News, VA-NC HUD Metro FMR Area</t>
  </si>
  <si>
    <t>Warren County, NC</t>
  </si>
  <si>
    <t>Washington County, NC</t>
  </si>
  <si>
    <t>Watauga County, NC</t>
  </si>
  <si>
    <t>Wilkes County, NC</t>
  </si>
  <si>
    <t>Wilmington, NC HUD Metro FMR Area</t>
  </si>
  <si>
    <t>Wilson County, NC</t>
  </si>
  <si>
    <t>Winston-Salem, NC HUD Metro FMR Area</t>
  </si>
  <si>
    <t>Yancey County, NC</t>
  </si>
  <si>
    <t>Adams County, ND</t>
  </si>
  <si>
    <t>Barnes County, ND</t>
  </si>
  <si>
    <t>Benson County, ND</t>
  </si>
  <si>
    <t>Billings County, ND</t>
  </si>
  <si>
    <t>Bismarck, ND MSA</t>
  </si>
  <si>
    <t>Bottineau County, ND</t>
  </si>
  <si>
    <t>Bowman County, ND</t>
  </si>
  <si>
    <t>Burke County, ND</t>
  </si>
  <si>
    <t>Cavalier County, ND</t>
  </si>
  <si>
    <t>Dickey County, ND</t>
  </si>
  <si>
    <t>Divide County, ND</t>
  </si>
  <si>
    <t>Dunn County, ND</t>
  </si>
  <si>
    <t>Eddy County, ND</t>
  </si>
  <si>
    <t>Emmons County, ND</t>
  </si>
  <si>
    <t>Foster County, ND</t>
  </si>
  <si>
    <t>Golden Valley County, ND</t>
  </si>
  <si>
    <t>Grant County, ND</t>
  </si>
  <si>
    <t>Griggs County, ND</t>
  </si>
  <si>
    <t>Hettinger County, ND</t>
  </si>
  <si>
    <t>Kidder County, ND</t>
  </si>
  <si>
    <t>LaMoure County, ND</t>
  </si>
  <si>
    <t>Logan County, ND</t>
  </si>
  <si>
    <t>McIntosh County, ND</t>
  </si>
  <si>
    <t>McKenzie County, ND</t>
  </si>
  <si>
    <t>McLean County, ND</t>
  </si>
  <si>
    <t>Mercer County, ND</t>
  </si>
  <si>
    <t>Mountrail County, ND</t>
  </si>
  <si>
    <t>Nelson County, ND</t>
  </si>
  <si>
    <t>Pembina County, ND</t>
  </si>
  <si>
    <t>Pierce County, ND</t>
  </si>
  <si>
    <t>Ramsey County, ND</t>
  </si>
  <si>
    <t>Ransom County, ND</t>
  </si>
  <si>
    <t>Richland County, ND</t>
  </si>
  <si>
    <t>Rolette County, ND</t>
  </si>
  <si>
    <t>Sargent County, ND</t>
  </si>
  <si>
    <t>Sheridan County, ND</t>
  </si>
  <si>
    <t>Sioux County, ND</t>
  </si>
  <si>
    <t>Slope County, ND</t>
  </si>
  <si>
    <t>Stark County, ND</t>
  </si>
  <si>
    <t>Steele County, ND</t>
  </si>
  <si>
    <t>Stutsman County, ND</t>
  </si>
  <si>
    <t>Towner County, ND</t>
  </si>
  <si>
    <t>Traill County, ND</t>
  </si>
  <si>
    <t>Walsh County, ND</t>
  </si>
  <si>
    <t>Wells County, ND</t>
  </si>
  <si>
    <t>Williams County, ND</t>
  </si>
  <si>
    <t>Adams County, NE</t>
  </si>
  <si>
    <t>Antelope County, NE</t>
  </si>
  <si>
    <t>Arthur County, NE</t>
  </si>
  <si>
    <t>Banner County, NE</t>
  </si>
  <si>
    <t>Blaine County, NE</t>
  </si>
  <si>
    <t>Boone County, NE</t>
  </si>
  <si>
    <t>Box Butte County, NE</t>
  </si>
  <si>
    <t>Boyd County, NE</t>
  </si>
  <si>
    <t>Brown County, NE</t>
  </si>
  <si>
    <t>Buffalo County, NE</t>
  </si>
  <si>
    <t>Burt County, NE</t>
  </si>
  <si>
    <t>Butler County, NE</t>
  </si>
  <si>
    <t>Cedar County, NE</t>
  </si>
  <si>
    <t>Chase County, NE</t>
  </si>
  <si>
    <t>Cherry County, NE</t>
  </si>
  <si>
    <t>Cheyenne County, NE</t>
  </si>
  <si>
    <t>Clay County, NE</t>
  </si>
  <si>
    <t>Colfax County, NE</t>
  </si>
  <si>
    <t>Cuming County, NE</t>
  </si>
  <si>
    <t>Custer County, NE</t>
  </si>
  <si>
    <t>Dawes County, NE</t>
  </si>
  <si>
    <t>Dawson County, NE</t>
  </si>
  <si>
    <t>Deuel County, NE</t>
  </si>
  <si>
    <t>Dodge County, NE</t>
  </si>
  <si>
    <t>Dundy County, NE</t>
  </si>
  <si>
    <t>Fillmore County, NE</t>
  </si>
  <si>
    <t>Franklin County, NE</t>
  </si>
  <si>
    <t>Frontier County, NE</t>
  </si>
  <si>
    <t>Furnas County, NE</t>
  </si>
  <si>
    <t>Gage County, NE</t>
  </si>
  <si>
    <t>Garden County, NE</t>
  </si>
  <si>
    <t>Garfield County, NE</t>
  </si>
  <si>
    <t>Gosper County, NE</t>
  </si>
  <si>
    <t>Grant County, NE</t>
  </si>
  <si>
    <t>Greeley County, NE</t>
  </si>
  <si>
    <t>Hall County, NE HUD Metro FMR Area</t>
  </si>
  <si>
    <t>Hamilton County, NE</t>
  </si>
  <si>
    <t>Harlan County, NE</t>
  </si>
  <si>
    <t>Hayes County, NE</t>
  </si>
  <si>
    <t>Hitchcock County, NE</t>
  </si>
  <si>
    <t>Holt County, NE</t>
  </si>
  <si>
    <t>Hooker County, NE</t>
  </si>
  <si>
    <t>Howard County, NE HUD Metro FMR Area</t>
  </si>
  <si>
    <t>Jefferson County, NE</t>
  </si>
  <si>
    <t>Johnson County, NE</t>
  </si>
  <si>
    <t>Kearney County, NE</t>
  </si>
  <si>
    <t>Keith County, NE</t>
  </si>
  <si>
    <t>Keya Paha County, NE</t>
  </si>
  <si>
    <t>Kimball County, NE</t>
  </si>
  <si>
    <t>Knox County, NE</t>
  </si>
  <si>
    <t>Lincoln County, NE</t>
  </si>
  <si>
    <t>Lincoln, NE HUD Metro FMR Area</t>
  </si>
  <si>
    <t>Logan County, NE</t>
  </si>
  <si>
    <t>Loup County, NE</t>
  </si>
  <si>
    <t>Madison County, NE</t>
  </si>
  <si>
    <t>McPherson County, NE</t>
  </si>
  <si>
    <t>Merrick County, NE HUD Metro FMR Area</t>
  </si>
  <si>
    <t>Morrill County, NE</t>
  </si>
  <si>
    <t>Nance County, NE</t>
  </si>
  <si>
    <t>Nemaha County, NE</t>
  </si>
  <si>
    <t>Nuckolls County, NE</t>
  </si>
  <si>
    <t>Otoe County, NE</t>
  </si>
  <si>
    <t>Pawnee County, NE</t>
  </si>
  <si>
    <t>Perkins County, NE</t>
  </si>
  <si>
    <t>Phelps County, NE</t>
  </si>
  <si>
    <t>Pierce County, NE</t>
  </si>
  <si>
    <t>Platte County, NE</t>
  </si>
  <si>
    <t>Polk County, NE</t>
  </si>
  <si>
    <t>Red Willow County, NE</t>
  </si>
  <si>
    <t>Richardson County, NE</t>
  </si>
  <si>
    <t>Rock County, NE</t>
  </si>
  <si>
    <t>Saline County, NE</t>
  </si>
  <si>
    <t>Saunders County, NE HUD Metro FMR Area</t>
  </si>
  <si>
    <t>Scotts Bluff County, NE</t>
  </si>
  <si>
    <t>Seward County, NE HUD Metro FMR Area</t>
  </si>
  <si>
    <t>Sheridan County, NE</t>
  </si>
  <si>
    <t>Sherman County, NE</t>
  </si>
  <si>
    <t>Sioux County, NE</t>
  </si>
  <si>
    <t>Stanton County, NE</t>
  </si>
  <si>
    <t>Thayer County, NE</t>
  </si>
  <si>
    <t>Thomas County, NE</t>
  </si>
  <si>
    <t>Thurston County, NE</t>
  </si>
  <si>
    <t>Valley County, NE</t>
  </si>
  <si>
    <t>Wayne County, NE</t>
  </si>
  <si>
    <t>Webster County, NE</t>
  </si>
  <si>
    <t>Wheeler County, NE</t>
  </si>
  <si>
    <t>York County, NE</t>
  </si>
  <si>
    <t>Belknap County, NH</t>
  </si>
  <si>
    <t>Carroll County, NH</t>
  </si>
  <si>
    <t>Cheshire County, NH</t>
  </si>
  <si>
    <t>Coos County, NH</t>
  </si>
  <si>
    <t>Grafton County, NH</t>
  </si>
  <si>
    <t>Hillsborough County, NH (part) HUD Metro FMR Area</t>
  </si>
  <si>
    <t>Manchester, NH HUD Metro FMR Area</t>
  </si>
  <si>
    <t>Merrimack County, NH</t>
  </si>
  <si>
    <t>Nashua, NH HUD Metro FMR Area</t>
  </si>
  <si>
    <t>Portsmouth-Rochester, NH HUD Metro FMR Area</t>
  </si>
  <si>
    <t>Sullivan County, NH</t>
  </si>
  <si>
    <t>Western Rockingham County, NH HUD Metro FMR Area</t>
  </si>
  <si>
    <t>Albuquerque, NM MSA</t>
  </si>
  <si>
    <t>Catron County, NM</t>
  </si>
  <si>
    <t>Chaves County, NM</t>
  </si>
  <si>
    <t>Cibola County, NM</t>
  </si>
  <si>
    <t>Colfax County, NM</t>
  </si>
  <si>
    <t>Curry County, NM</t>
  </si>
  <si>
    <t>De Baca County, NM</t>
  </si>
  <si>
    <t>Eddy County, NM</t>
  </si>
  <si>
    <t>Farmington, NM MSA</t>
  </si>
  <si>
    <t>Grant County, NM</t>
  </si>
  <si>
    <t>Guadalupe County, NM</t>
  </si>
  <si>
    <t>Harding County, NM</t>
  </si>
  <si>
    <t>Hidalgo County, NM</t>
  </si>
  <si>
    <t>Las Cruces, NM MSA</t>
  </si>
  <si>
    <t>Lea County, NM</t>
  </si>
  <si>
    <t>Lincoln County, NM</t>
  </si>
  <si>
    <t>Los Alamos County, NM</t>
  </si>
  <si>
    <t>Luna County, NM</t>
  </si>
  <si>
    <t>McKinley County, NM</t>
  </si>
  <si>
    <t>Mora County, NM</t>
  </si>
  <si>
    <t>Otero County, NM</t>
  </si>
  <si>
    <t>Quay County, NM</t>
  </si>
  <si>
    <t>Rio Arriba County, NM</t>
  </si>
  <si>
    <t>Roosevelt County, NM</t>
  </si>
  <si>
    <t>San Miguel County, NM</t>
  </si>
  <si>
    <t>Santa Fe, NM MSA</t>
  </si>
  <si>
    <t>Sierra County, NM</t>
  </si>
  <si>
    <t>Socorro County, NM</t>
  </si>
  <si>
    <t>Taos County, NM</t>
  </si>
  <si>
    <t>Union County, NM</t>
  </si>
  <si>
    <t>Carson City, NV MSA</t>
  </si>
  <si>
    <t>Churchill County, NV</t>
  </si>
  <si>
    <t>Douglas County, NV</t>
  </si>
  <si>
    <t>Elko County, NV</t>
  </si>
  <si>
    <t>Esmeralda County, NV</t>
  </si>
  <si>
    <t>Eureka County, NV</t>
  </si>
  <si>
    <t>Humboldt County, NV</t>
  </si>
  <si>
    <t>Lander County, NV</t>
  </si>
  <si>
    <t>Lincoln County, NV</t>
  </si>
  <si>
    <t>Mineral County, NV</t>
  </si>
  <si>
    <t>Nye County, NV</t>
  </si>
  <si>
    <t>Pershing County, NV</t>
  </si>
  <si>
    <t>White Pine County, NV</t>
  </si>
  <si>
    <t>Adams County, OH</t>
  </si>
  <si>
    <t>Akron, OH MSA</t>
  </si>
  <si>
    <t>Ashland County, OH</t>
  </si>
  <si>
    <t>Athens County, OH</t>
  </si>
  <si>
    <t>Auglaize County, OH</t>
  </si>
  <si>
    <t>Brown County, OH HUD Metro FMR Area</t>
  </si>
  <si>
    <t>Canton-Massillon, OH MSA</t>
  </si>
  <si>
    <t>Champaign County, OH</t>
  </si>
  <si>
    <t>Clinton County, OH</t>
  </si>
  <si>
    <t>Columbiana County, OH</t>
  </si>
  <si>
    <t>Columbus, OH HUD Metro FMR Area</t>
  </si>
  <si>
    <t>Coshocton County, OH</t>
  </si>
  <si>
    <t>Crawford County, OH</t>
  </si>
  <si>
    <t>Darke County, OH</t>
  </si>
  <si>
    <t>Defiance County, OH</t>
  </si>
  <si>
    <t>Fayette County, OH</t>
  </si>
  <si>
    <t>Gallia County, OH</t>
  </si>
  <si>
    <t>Guernsey County, OH</t>
  </si>
  <si>
    <t>Hancock County, OH</t>
  </si>
  <si>
    <t>Hardin County, OH</t>
  </si>
  <si>
    <t>Harrison County, OH</t>
  </si>
  <si>
    <t>Henry County, OH</t>
  </si>
  <si>
    <t>Highland County, OH</t>
  </si>
  <si>
    <t>Hocking County, OH HUD Metro FMR Area</t>
  </si>
  <si>
    <t>Holmes County, OH</t>
  </si>
  <si>
    <t>Huron County, OH</t>
  </si>
  <si>
    <t>Jackson County, OH</t>
  </si>
  <si>
    <t>Knox County, OH</t>
  </si>
  <si>
    <t>Lima, OH MSA</t>
  </si>
  <si>
    <t>Logan County, OH</t>
  </si>
  <si>
    <t>Mansfield, OH MSA</t>
  </si>
  <si>
    <t>Marion County, OH</t>
  </si>
  <si>
    <t>Meigs County, OH</t>
  </si>
  <si>
    <t>Mercer County, OH</t>
  </si>
  <si>
    <t>Monroe County, OH</t>
  </si>
  <si>
    <t>Morgan County, OH</t>
  </si>
  <si>
    <t>Muskingum County, OH</t>
  </si>
  <si>
    <t>Noble County, OH</t>
  </si>
  <si>
    <t>Ottawa County, OH HUD Metro FMR Area</t>
  </si>
  <si>
    <t>Paulding County, OH</t>
  </si>
  <si>
    <t>Perry County, OH HUD Metro FMR Area</t>
  </si>
  <si>
    <t>Pike County, OH</t>
  </si>
  <si>
    <t>Preble County, OH</t>
  </si>
  <si>
    <t>Putnam County, OH</t>
  </si>
  <si>
    <t>Ross County, OH</t>
  </si>
  <si>
    <t>Sandusky County, OH</t>
  </si>
  <si>
    <t>Scioto County, OH</t>
  </si>
  <si>
    <t>Seneca County, OH</t>
  </si>
  <si>
    <t>Shelby County, OH</t>
  </si>
  <si>
    <t>Springfield, OH MSA</t>
  </si>
  <si>
    <t>Toledo, OH HUD Metro FMR Area</t>
  </si>
  <si>
    <t>Tuscarawas County, OH</t>
  </si>
  <si>
    <t>Union County, OH HUD Metro FMR Area</t>
  </si>
  <si>
    <t>Van Wert County, OH</t>
  </si>
  <si>
    <t>Vinton County, OH</t>
  </si>
  <si>
    <t>Washington County, OH</t>
  </si>
  <si>
    <t>Wayne County, OH</t>
  </si>
  <si>
    <t>Weirton-Steubenville, WV-OH MSA</t>
  </si>
  <si>
    <t>Wheeling, WV-OH MSA</t>
  </si>
  <si>
    <t>Williams County, OH</t>
  </si>
  <si>
    <t>Wyandot County, OH</t>
  </si>
  <si>
    <t>Adair County, OK</t>
  </si>
  <si>
    <t>Alfalfa County, OK</t>
  </si>
  <si>
    <t>Atoka County, OK</t>
  </si>
  <si>
    <t>Beaver County, OK</t>
  </si>
  <si>
    <t>Beckham County, OK</t>
  </si>
  <si>
    <t>Blaine County, OK</t>
  </si>
  <si>
    <t>Bryan County, OK</t>
  </si>
  <si>
    <t>Caddo County, OK</t>
  </si>
  <si>
    <t>Carter County, OK</t>
  </si>
  <si>
    <t>Cherokee County, OK</t>
  </si>
  <si>
    <t>Choctaw County, OK</t>
  </si>
  <si>
    <t>Cimarron County, OK</t>
  </si>
  <si>
    <t>Coal County, OK</t>
  </si>
  <si>
    <t>Cotton County, OK HUD Metro FMR Area</t>
  </si>
  <si>
    <t>Craig County, OK</t>
  </si>
  <si>
    <t>Custer County, OK</t>
  </si>
  <si>
    <t>Delaware County, OK</t>
  </si>
  <si>
    <t>Dewey County, OK</t>
  </si>
  <si>
    <t>Ellis County, OK</t>
  </si>
  <si>
    <t>Enid, OK MSA</t>
  </si>
  <si>
    <t>Garvin County, OK</t>
  </si>
  <si>
    <t>Grady County, OK HUD Metro FMR Area</t>
  </si>
  <si>
    <t>Grant County, OK</t>
  </si>
  <si>
    <t>Greer County, OK</t>
  </si>
  <si>
    <t>Harmon County, OK</t>
  </si>
  <si>
    <t>Harper County, OK</t>
  </si>
  <si>
    <t>Haskell County, OK</t>
  </si>
  <si>
    <t>Hughes County, OK</t>
  </si>
  <si>
    <t>Jackson County, OK</t>
  </si>
  <si>
    <t>Jefferson County, OK</t>
  </si>
  <si>
    <t>Johnston County, OK</t>
  </si>
  <si>
    <t>Kay County, OK</t>
  </si>
  <si>
    <t>Kingfisher County, OK</t>
  </si>
  <si>
    <t>Kiowa County, OK</t>
  </si>
  <si>
    <t>Latimer County, OK</t>
  </si>
  <si>
    <t>Lawton, OK HUD Metro FMR Area</t>
  </si>
  <si>
    <t>Le Flore County, OK</t>
  </si>
  <si>
    <t>Lincoln County, OK HUD Metro FMR Area</t>
  </si>
  <si>
    <t>Love County, OK</t>
  </si>
  <si>
    <t>Major County, OK</t>
  </si>
  <si>
    <t>Marshall County, OK</t>
  </si>
  <si>
    <t>Mayes County, OK</t>
  </si>
  <si>
    <t>McCurtain County, OK</t>
  </si>
  <si>
    <t>McIntosh County, OK</t>
  </si>
  <si>
    <t>Murray County, OK</t>
  </si>
  <si>
    <t>Muskogee County, OK</t>
  </si>
  <si>
    <t>Noble County, OK</t>
  </si>
  <si>
    <t>Nowata County, OK</t>
  </si>
  <si>
    <t>Okfuskee County, OK</t>
  </si>
  <si>
    <t>Oklahoma City, OK HUD Metro FMR Area</t>
  </si>
  <si>
    <t>Okmulgee County, OK HUD Metro FMR Area</t>
  </si>
  <si>
    <t>Ottawa County, OK</t>
  </si>
  <si>
    <t>Pawnee County, OK HUD Metro FMR Area</t>
  </si>
  <si>
    <t>Payne County, OK</t>
  </si>
  <si>
    <t>Pittsburg County, OK</t>
  </si>
  <si>
    <t>Pontotoc County, OK</t>
  </si>
  <si>
    <t>Pottawatomie County, OK</t>
  </si>
  <si>
    <t>Pushmataha County, OK</t>
  </si>
  <si>
    <t>Roger Mills County, OK</t>
  </si>
  <si>
    <t>Seminole County, OK</t>
  </si>
  <si>
    <t>Stephens County, OK</t>
  </si>
  <si>
    <t>Texas County, OK</t>
  </si>
  <si>
    <t>Tillman County, OK</t>
  </si>
  <si>
    <t>Tulsa, OK HUD Metro FMR Area</t>
  </si>
  <si>
    <t>Washington County, OK</t>
  </si>
  <si>
    <t>Washita County, OK</t>
  </si>
  <si>
    <t>Woods County, OK</t>
  </si>
  <si>
    <t>Woodward County, OK</t>
  </si>
  <si>
    <t>Albany, OR MSA</t>
  </si>
  <si>
    <t>Baker County, OR</t>
  </si>
  <si>
    <t>Clatsop County, OR</t>
  </si>
  <si>
    <t>Coos County, OR</t>
  </si>
  <si>
    <t>Corvallis, OR MSA</t>
  </si>
  <si>
    <t>Curry County, OR</t>
  </si>
  <si>
    <t>Douglas County, OR</t>
  </si>
  <si>
    <t>Eugene-Springfield, OR MSA</t>
  </si>
  <si>
    <t>Gilliam County, OR</t>
  </si>
  <si>
    <t>Grant County, OR</t>
  </si>
  <si>
    <t>Grants Pass, OR MSA</t>
  </si>
  <si>
    <t>Harney County, OR</t>
  </si>
  <si>
    <t>Hood River County, OR</t>
  </si>
  <si>
    <t>Klamath County, OR</t>
  </si>
  <si>
    <t>Lake County, OR</t>
  </si>
  <si>
    <t>Lincoln County, OR</t>
  </si>
  <si>
    <t>Malheur County, OR</t>
  </si>
  <si>
    <t>Medford, OR MSA</t>
  </si>
  <si>
    <t>Morrow County, OR</t>
  </si>
  <si>
    <t>Portland-Vancouver-Hillsboro, OR-WA MSA</t>
  </si>
  <si>
    <t>Salem, OR MSA</t>
  </si>
  <si>
    <t>Sherman County, OR</t>
  </si>
  <si>
    <t>Tillamook County, OR</t>
  </si>
  <si>
    <t>Umatilla County, OR</t>
  </si>
  <si>
    <t>Union County, OR</t>
  </si>
  <si>
    <t>Wallowa County, OR</t>
  </si>
  <si>
    <t>Wasco County, OR</t>
  </si>
  <si>
    <t>Wheeler County, OR</t>
  </si>
  <si>
    <t>Allentown-Bethlehem-Easton, PA HUD Metro FMR Area</t>
  </si>
  <si>
    <t>Altoona, PA MSA</t>
  </si>
  <si>
    <t>Armstrong County, PA HUD Metro FMR Area</t>
  </si>
  <si>
    <t>Bedford County, PA</t>
  </si>
  <si>
    <t>Bradford County, PA</t>
  </si>
  <si>
    <t>Cameron County, PA</t>
  </si>
  <si>
    <t>Clarion County, PA</t>
  </si>
  <si>
    <t>Clearfield County, PA</t>
  </si>
  <si>
    <t>Clinton County, PA</t>
  </si>
  <si>
    <t>Crawford County, PA</t>
  </si>
  <si>
    <t>Elk County, PA</t>
  </si>
  <si>
    <t>Erie, PA MSA</t>
  </si>
  <si>
    <t>Forest County, PA</t>
  </si>
  <si>
    <t>Fulton County, PA</t>
  </si>
  <si>
    <t>Gettysburg, PA MSA</t>
  </si>
  <si>
    <t>Greene County, PA</t>
  </si>
  <si>
    <t>Harrisburg-Carlisle, PA MSA</t>
  </si>
  <si>
    <t>Huntingdon County, PA</t>
  </si>
  <si>
    <t>Indiana County, PA</t>
  </si>
  <si>
    <t>Jefferson County, PA</t>
  </si>
  <si>
    <t>Johnstown, PA MSA</t>
  </si>
  <si>
    <t>Juniata County, PA</t>
  </si>
  <si>
    <t>Lancaster, PA MSA</t>
  </si>
  <si>
    <t>Lebanon, PA MSA</t>
  </si>
  <si>
    <t>McKean County, PA</t>
  </si>
  <si>
    <t>Mifflin County, PA</t>
  </si>
  <si>
    <t>Northumberland County, PA</t>
  </si>
  <si>
    <t>Pittsburgh, PA HUD Metro FMR Area</t>
  </si>
  <si>
    <t>Potter County, PA</t>
  </si>
  <si>
    <t>Reading, PA MSA</t>
  </si>
  <si>
    <t>Schuylkill County, PA</t>
  </si>
  <si>
    <t>Scranton--Wilkes-Barre, PA MSA</t>
  </si>
  <si>
    <t>Snyder County, PA</t>
  </si>
  <si>
    <t>Somerset County, PA</t>
  </si>
  <si>
    <t>State College, PA MSA</t>
  </si>
  <si>
    <t>Sullivan County, PA</t>
  </si>
  <si>
    <t>Susquehanna County, PA</t>
  </si>
  <si>
    <t>Tioga County, PA</t>
  </si>
  <si>
    <t>Union County, PA</t>
  </si>
  <si>
    <t>Venango County, PA</t>
  </si>
  <si>
    <t>Warren County, PA</t>
  </si>
  <si>
    <t>Wayne County, PA</t>
  </si>
  <si>
    <t>Williamsport, PA MSA</t>
  </si>
  <si>
    <t>York-Hanover, PA MSA</t>
  </si>
  <si>
    <t>Newport-Middleton-Portsmouth, RI HUD Metro FMR Area</t>
  </si>
  <si>
    <t>Westerly-Hopkinton-New Shoreham, RI HUD Metro FMR Area</t>
  </si>
  <si>
    <t>Abbeville County, SC</t>
  </si>
  <si>
    <t>Allendale County, SC</t>
  </si>
  <si>
    <t>Anderson, SC HUD Metro FMR Area</t>
  </si>
  <si>
    <t>Bamberg County, SC</t>
  </si>
  <si>
    <t>Barnwell County, SC</t>
  </si>
  <si>
    <t>Beaufort County, SC HUD Metro FMR Area</t>
  </si>
  <si>
    <t>Charleston-North Charleston, SC MSA</t>
  </si>
  <si>
    <t>Cherokee County, SC</t>
  </si>
  <si>
    <t>Chester County, SC HUD Metro FMR Area</t>
  </si>
  <si>
    <t>Chesterfield County, SC</t>
  </si>
  <si>
    <t>Colleton County, SC</t>
  </si>
  <si>
    <t>Columbia, SC HUD Metro FMR Area</t>
  </si>
  <si>
    <t>Darlington County, SC HUD Metro FMR Area</t>
  </si>
  <si>
    <t>Dillon County, SC</t>
  </si>
  <si>
    <t>Florence, SC HUD Metro FMR Area</t>
  </si>
  <si>
    <t>Georgetown County, SC</t>
  </si>
  <si>
    <t>Greenville-Mauldin-Easley, SC HUD Metro FMR Area</t>
  </si>
  <si>
    <t>Greenwood County, SC</t>
  </si>
  <si>
    <t>Hampton County, SC</t>
  </si>
  <si>
    <t>Jasper County, SC HUD Metro FMR Area</t>
  </si>
  <si>
    <t>Kershaw County, SC HUD Metro FMR Area</t>
  </si>
  <si>
    <t>Lancaster County, SC HUD Metro FMR Area</t>
  </si>
  <si>
    <t>Laurens County, SC HUD Metro FMR Area</t>
  </si>
  <si>
    <t>Lee County, SC</t>
  </si>
  <si>
    <t>Marion County, SC</t>
  </si>
  <si>
    <t>Marlboro County, SC</t>
  </si>
  <si>
    <t>McCormick County, SC</t>
  </si>
  <si>
    <t>Myrtle Beach-North Myrtle Beach-Conway, SC HUD Metro FMR Area</t>
  </si>
  <si>
    <t>Newberry County, SC</t>
  </si>
  <si>
    <t>Oconee County, SC</t>
  </si>
  <si>
    <t>Orangeburg County, SC</t>
  </si>
  <si>
    <t>Williamsburg County, SC</t>
  </si>
  <si>
    <t>Aurora County, SD</t>
  </si>
  <si>
    <t>Beadle County, SD</t>
  </si>
  <si>
    <t>Bennett County, SD</t>
  </si>
  <si>
    <t>Bon Homme County, SD</t>
  </si>
  <si>
    <t>Brookings County, SD</t>
  </si>
  <si>
    <t>Brown County, SD</t>
  </si>
  <si>
    <t>Brule County, SD</t>
  </si>
  <si>
    <t>Buffalo County, SD</t>
  </si>
  <si>
    <t>Butte County, SD</t>
  </si>
  <si>
    <t>Campbell County, SD</t>
  </si>
  <si>
    <t>Charles Mix County, SD</t>
  </si>
  <si>
    <t>Clark County, SD</t>
  </si>
  <si>
    <t>Clay County, SD</t>
  </si>
  <si>
    <t>Codington County, SD</t>
  </si>
  <si>
    <t>Corson County, SD</t>
  </si>
  <si>
    <t>Davison County, SD</t>
  </si>
  <si>
    <t>Day County, SD</t>
  </si>
  <si>
    <t>Deuel County, SD</t>
  </si>
  <si>
    <t>Dewey County, SD</t>
  </si>
  <si>
    <t>Douglas County, SD</t>
  </si>
  <si>
    <t>Edmunds County, SD</t>
  </si>
  <si>
    <t>Fall River County, SD</t>
  </si>
  <si>
    <t>Faulk County, SD</t>
  </si>
  <si>
    <t>Grant County, SD</t>
  </si>
  <si>
    <t>Gregory County, SD</t>
  </si>
  <si>
    <t>Haakon County, SD</t>
  </si>
  <si>
    <t>Hamlin County, SD</t>
  </si>
  <si>
    <t>Hand County, SD</t>
  </si>
  <si>
    <t>Hanson County, SD</t>
  </si>
  <si>
    <t>Harding County, SD</t>
  </si>
  <si>
    <t>Hughes County, SD</t>
  </si>
  <si>
    <t>Hutchinson County, SD</t>
  </si>
  <si>
    <t>Hyde County, SD</t>
  </si>
  <si>
    <t>Jackson County, SD</t>
  </si>
  <si>
    <t>Jerauld County, SD</t>
  </si>
  <si>
    <t>Jones County, SD</t>
  </si>
  <si>
    <t>Kingsbury County, SD</t>
  </si>
  <si>
    <t>Lake County, SD</t>
  </si>
  <si>
    <t>Lawrence County, SD</t>
  </si>
  <si>
    <t>Lyman County, SD</t>
  </si>
  <si>
    <t>Marshall County, SD</t>
  </si>
  <si>
    <t>McPherson County, SD</t>
  </si>
  <si>
    <t>Meade County, SD HUD Metro FMR Area</t>
  </si>
  <si>
    <t>Mellette County, SD</t>
  </si>
  <si>
    <t>Miner County, SD</t>
  </si>
  <si>
    <t>Moody County, SD</t>
  </si>
  <si>
    <t>Oglala Lakota County</t>
  </si>
  <si>
    <t>Perkins County, SD</t>
  </si>
  <si>
    <t>Potter County, SD</t>
  </si>
  <si>
    <t>Rapid City, SD HUD Metro FMR Area</t>
  </si>
  <si>
    <t>Roberts County, SD</t>
  </si>
  <si>
    <t>Sanborn County, SD</t>
  </si>
  <si>
    <t>Spink County, SD</t>
  </si>
  <si>
    <t>Stanley County, SD</t>
  </si>
  <si>
    <t>Sully County, SD</t>
  </si>
  <si>
    <t>Todd County, SD</t>
  </si>
  <si>
    <t>Tripp County, SD</t>
  </si>
  <si>
    <t>Walworth County, SD</t>
  </si>
  <si>
    <t>Yankton County, SD</t>
  </si>
  <si>
    <t>Ziebach County, SD</t>
  </si>
  <si>
    <t>Bedford County, TN</t>
  </si>
  <si>
    <t>Benton County, TN</t>
  </si>
  <si>
    <t>Bledsoe County, TN</t>
  </si>
  <si>
    <t>Campbell County, TN HUD Metro FMR Area</t>
  </si>
  <si>
    <t>Carroll County, TN</t>
  </si>
  <si>
    <t>Claiborne County, TN</t>
  </si>
  <si>
    <t>Clay County, TN</t>
  </si>
  <si>
    <t>Cleveland, TN MSA</t>
  </si>
  <si>
    <t>Cocke County, TN</t>
  </si>
  <si>
    <t>Coffee County, TN</t>
  </si>
  <si>
    <t>Crockett County, TN HUD Metro FMR Area</t>
  </si>
  <si>
    <t>Cumberland County, TN</t>
  </si>
  <si>
    <t>Decatur County, TN</t>
  </si>
  <si>
    <t>DeKalb County, TN</t>
  </si>
  <si>
    <t>Dyer County, TN</t>
  </si>
  <si>
    <t>Fentress County, TN</t>
  </si>
  <si>
    <t>Franklin County, TN</t>
  </si>
  <si>
    <t>Gibson County, TN HUD Metro FMR Area</t>
  </si>
  <si>
    <t>Giles County, TN</t>
  </si>
  <si>
    <t>Grainger County, TN HUD Metro FMR Area</t>
  </si>
  <si>
    <t>Greene County, TN</t>
  </si>
  <si>
    <t>Grundy County, TN</t>
  </si>
  <si>
    <t>Hancock County, TN</t>
  </si>
  <si>
    <t>Hardeman County, TN</t>
  </si>
  <si>
    <t>Hardin County, TN</t>
  </si>
  <si>
    <t>Haywood County, TN</t>
  </si>
  <si>
    <t>Henderson County, TN</t>
  </si>
  <si>
    <t>Henry County, TN</t>
  </si>
  <si>
    <t>Houston County, TN</t>
  </si>
  <si>
    <t>Humphreys County, TN</t>
  </si>
  <si>
    <t>Jackson County, TN</t>
  </si>
  <si>
    <t>Jackson, TN HUD Metro FMR Area</t>
  </si>
  <si>
    <t>Johnson City, TN MSA</t>
  </si>
  <si>
    <t>Johnson County, TN</t>
  </si>
  <si>
    <t>Knoxville, TN HUD Metro FMR Area</t>
  </si>
  <si>
    <t>Lake County, TN</t>
  </si>
  <si>
    <t>Lauderdale County, TN</t>
  </si>
  <si>
    <t>Lawrence County, TN</t>
  </si>
  <si>
    <t>Lewis County, TN</t>
  </si>
  <si>
    <t>Lincoln County, TN</t>
  </si>
  <si>
    <t>Macon County, TN HUD Metro FMR Area</t>
  </si>
  <si>
    <t>Marshall County, TN</t>
  </si>
  <si>
    <t>Maury County, TN HUD Metro FMR Area</t>
  </si>
  <si>
    <t>McMinn County, TN</t>
  </si>
  <si>
    <t>McNairy County, TN</t>
  </si>
  <si>
    <t>Meigs County, TN</t>
  </si>
  <si>
    <t>Monroe County, TN</t>
  </si>
  <si>
    <t>Moore County, TN</t>
  </si>
  <si>
    <t>Morgan County, TN HUD Metro FMR Area</t>
  </si>
  <si>
    <t>Morristown, TN HUD Metro FMR Area</t>
  </si>
  <si>
    <t>Nashville-Davidson--Murfreesboro--Franklin, TN HUD Metro FMR Area</t>
  </si>
  <si>
    <t>Obion County, TN</t>
  </si>
  <si>
    <t>Overton County, TN</t>
  </si>
  <si>
    <t>Perry County, TN</t>
  </si>
  <si>
    <t>Pickett County, TN</t>
  </si>
  <si>
    <t>Putnam County, TN</t>
  </si>
  <si>
    <t>Rhea County, TN</t>
  </si>
  <si>
    <t>Roane County, TN HUD Metro FMR Area</t>
  </si>
  <si>
    <t>Scott County, TN</t>
  </si>
  <si>
    <t>Sevier County, TN</t>
  </si>
  <si>
    <t>Smith County, TN HUD Metro FMR Area</t>
  </si>
  <si>
    <t>Stewart County, TN HUD Metro FMR Area</t>
  </si>
  <si>
    <t>Van Buren County, TN</t>
  </si>
  <si>
    <t>Warren County, TN</t>
  </si>
  <si>
    <t>Wayne County, TN</t>
  </si>
  <si>
    <t>Weakley County, TN</t>
  </si>
  <si>
    <t>White County, TN</t>
  </si>
  <si>
    <t>Abilene, TX MSA</t>
  </si>
  <si>
    <t>Amarillo, TX HUD Metro FMR Area</t>
  </si>
  <si>
    <t>Anderson County, TX</t>
  </si>
  <si>
    <t>Andrews County, TX</t>
  </si>
  <si>
    <t>Angelina County, TX</t>
  </si>
  <si>
    <t>Atascosa County, TX HUD Metro FMR Area</t>
  </si>
  <si>
    <t>Austin County, TX HUD Metro FMR Area</t>
  </si>
  <si>
    <t>Bailey County, TX</t>
  </si>
  <si>
    <t>Baylor County, TX</t>
  </si>
  <si>
    <t>Beaumont-Port Arthur, TX MSA</t>
  </si>
  <si>
    <t>Bee County, TX</t>
  </si>
  <si>
    <t>Blanco County, TX</t>
  </si>
  <si>
    <t>Borden County, TX</t>
  </si>
  <si>
    <t>Brazoria County, TX HUD Metro FMR Area</t>
  </si>
  <si>
    <t>Brewster County, TX</t>
  </si>
  <si>
    <t>Briscoe County, TX</t>
  </si>
  <si>
    <t>Brooks County, TX</t>
  </si>
  <si>
    <t>Brown County, TX</t>
  </si>
  <si>
    <t>Brownsville-Harlingen, TX MSA</t>
  </si>
  <si>
    <t>Burnet County, TX</t>
  </si>
  <si>
    <t>Calhoun County, TX</t>
  </si>
  <si>
    <t>Camp County, TX</t>
  </si>
  <si>
    <t>Cass County, TX</t>
  </si>
  <si>
    <t>Castro County, TX</t>
  </si>
  <si>
    <t>Cherokee County, TX</t>
  </si>
  <si>
    <t>Childress County, TX</t>
  </si>
  <si>
    <t>Coke County, TX</t>
  </si>
  <si>
    <t>Coleman County, TX</t>
  </si>
  <si>
    <t>College Station-Bryan, TX MSA</t>
  </si>
  <si>
    <t>Collingsworth County, TX</t>
  </si>
  <si>
    <t>Colorado County, TX</t>
  </si>
  <si>
    <t>Comanche County, TX</t>
  </si>
  <si>
    <t>Concho County, TX</t>
  </si>
  <si>
    <t>Cooke County, TX</t>
  </si>
  <si>
    <t>Cottle County, TX</t>
  </si>
  <si>
    <t>Crane County, TX</t>
  </si>
  <si>
    <t>Crockett County, TX</t>
  </si>
  <si>
    <t>Culberson County, TX</t>
  </si>
  <si>
    <t>Dallam County, TX</t>
  </si>
  <si>
    <t>Dallas, TX HUD Metro FMR Area</t>
  </si>
  <si>
    <t>Dawson County, TX</t>
  </si>
  <si>
    <t>Deaf Smith County, TX</t>
  </si>
  <si>
    <t>Delta County, TX</t>
  </si>
  <si>
    <t>DeWitt County, TX</t>
  </si>
  <si>
    <t>Dickens County, TX</t>
  </si>
  <si>
    <t>Dimmit County, TX</t>
  </si>
  <si>
    <t>Donley County, TX</t>
  </si>
  <si>
    <t>Duval County, TX</t>
  </si>
  <si>
    <t>Eastland County, TX</t>
  </si>
  <si>
    <t>Edwards County, TX</t>
  </si>
  <si>
    <t>El Paso, TX HUD Metro FMR Area</t>
  </si>
  <si>
    <t>Erath County, TX</t>
  </si>
  <si>
    <t>Falls County, TX HUD Metro FMR Area</t>
  </si>
  <si>
    <t>Fannin County, TX</t>
  </si>
  <si>
    <t>Fayette County, TX</t>
  </si>
  <si>
    <t>Fisher County, TX</t>
  </si>
  <si>
    <t>Floyd County, TX</t>
  </si>
  <si>
    <t>Foard County, TX</t>
  </si>
  <si>
    <t>Fort Worth-Arlington, TX HUD Metro FMR Area</t>
  </si>
  <si>
    <t>Franklin County, TX</t>
  </si>
  <si>
    <t>Freestone County, TX</t>
  </si>
  <si>
    <t>Frio County, TX</t>
  </si>
  <si>
    <t>Gaines County, TX</t>
  </si>
  <si>
    <t>Gillespie County, TX</t>
  </si>
  <si>
    <t>Glasscock County, TX</t>
  </si>
  <si>
    <t>Gonzales County, TX</t>
  </si>
  <si>
    <t>Gray County, TX</t>
  </si>
  <si>
    <t>Grimes County, TX</t>
  </si>
  <si>
    <t>Hale County, TX</t>
  </si>
  <si>
    <t>Hall County, TX</t>
  </si>
  <si>
    <t>Hamilton County, TX</t>
  </si>
  <si>
    <t>Hansford County, TX</t>
  </si>
  <si>
    <t>Hardeman County, TX</t>
  </si>
  <si>
    <t>Harrison County, TX HUD Metro FMR Area</t>
  </si>
  <si>
    <t>Hartley County, TX</t>
  </si>
  <si>
    <t>Haskell County, TX</t>
  </si>
  <si>
    <t>Hemphill County, TX</t>
  </si>
  <si>
    <t>Henderson County, TX</t>
  </si>
  <si>
    <t>Hill County, TX</t>
  </si>
  <si>
    <t>Hood County, TX</t>
  </si>
  <si>
    <t>Hopkins County, TX</t>
  </si>
  <si>
    <t>Houston County, TX</t>
  </si>
  <si>
    <t>Houston-The Woodlands-Sugar Land, TX HUD Metro FMR Area</t>
  </si>
  <si>
    <t>Howard County, TX</t>
  </si>
  <si>
    <t>Hudspeth County, TX HUD Metro FMR Area</t>
  </si>
  <si>
    <t>Hutchinson County, TX</t>
  </si>
  <si>
    <t>Jack County, TX</t>
  </si>
  <si>
    <t>Jackson County, TX</t>
  </si>
  <si>
    <t>Jasper County, TX</t>
  </si>
  <si>
    <t>Jeff Davis County, TX</t>
  </si>
  <si>
    <t>Jim Hogg County, TX</t>
  </si>
  <si>
    <t>Jim Wells County, TX</t>
  </si>
  <si>
    <t>Karnes County, TX</t>
  </si>
  <si>
    <t>Kendall County, TX HUD Metro FMR Area</t>
  </si>
  <si>
    <t>Kenedy County, TX</t>
  </si>
  <si>
    <t>Kent County, TX</t>
  </si>
  <si>
    <t>Kerr County, TX</t>
  </si>
  <si>
    <t>Killeen-Temple, TX HUD Metro FMR Area</t>
  </si>
  <si>
    <t>Kimble County, TX</t>
  </si>
  <si>
    <t>King County, TX</t>
  </si>
  <si>
    <t>Kinney County, TX</t>
  </si>
  <si>
    <t>Kleberg County, TX</t>
  </si>
  <si>
    <t>Knox County, TX</t>
  </si>
  <si>
    <t>La Salle County, TX</t>
  </si>
  <si>
    <t>Lamar County, TX</t>
  </si>
  <si>
    <t>Lamb County, TX</t>
  </si>
  <si>
    <t>Lampasas County, TX HUD Metro FMR Area</t>
  </si>
  <si>
    <t>Laredo, TX MSA</t>
  </si>
  <si>
    <t>Lavaca County, TX</t>
  </si>
  <si>
    <t>Lee County, TX</t>
  </si>
  <si>
    <t>Leon County, TX</t>
  </si>
  <si>
    <t>Limestone County, TX</t>
  </si>
  <si>
    <t>Lipscomb County, TX</t>
  </si>
  <si>
    <t>Live Oak County, TX</t>
  </si>
  <si>
    <t>Llano County, TX</t>
  </si>
  <si>
    <t>Longview, TX HUD Metro FMR Area</t>
  </si>
  <si>
    <t>Loving County, TX</t>
  </si>
  <si>
    <t>Lubbock, TX HUD Metro FMR Area</t>
  </si>
  <si>
    <t>Lynn County, TX HUD Metro FMR Area</t>
  </si>
  <si>
    <t>Madison County, TX</t>
  </si>
  <si>
    <t>Marion County, TX</t>
  </si>
  <si>
    <t>Martin County, TX HUD Metro FMR Area</t>
  </si>
  <si>
    <t>Mason County, TX</t>
  </si>
  <si>
    <t>Matagorda County, TX</t>
  </si>
  <si>
    <t>McAllen-Edinburg-Mission, TX MSA</t>
  </si>
  <si>
    <t>McCulloch County, TX</t>
  </si>
  <si>
    <t>McMullen County, TX</t>
  </si>
  <si>
    <t>Medina County, TX HUD Metro FMR Area</t>
  </si>
  <si>
    <t>Menard County, TX</t>
  </si>
  <si>
    <t>Midland, TX HUD Metro FMR Area</t>
  </si>
  <si>
    <t>Milam County, TX</t>
  </si>
  <si>
    <t>Mills County, TX</t>
  </si>
  <si>
    <t>Mitchell County, TX</t>
  </si>
  <si>
    <t>Montague County, TX</t>
  </si>
  <si>
    <t>Moore County, TX</t>
  </si>
  <si>
    <t>Morris County, TX</t>
  </si>
  <si>
    <t>Motley County, TX</t>
  </si>
  <si>
    <t>Nacogdoches County, TX</t>
  </si>
  <si>
    <t>Navarro County, TX</t>
  </si>
  <si>
    <t>Newton County, TX</t>
  </si>
  <si>
    <t>Nolan County, TX</t>
  </si>
  <si>
    <t>Ochiltree County, TX</t>
  </si>
  <si>
    <t>Odessa, TX MSA</t>
  </si>
  <si>
    <t>Oldham County, TX HUD Metro FMR Area</t>
  </si>
  <si>
    <t>Palo Pinto County, TX</t>
  </si>
  <si>
    <t>Panola County, TX</t>
  </si>
  <si>
    <t>Parmer County, TX</t>
  </si>
  <si>
    <t>Pecos County, TX</t>
  </si>
  <si>
    <t>Polk County, TX</t>
  </si>
  <si>
    <t>Presidio County, TX</t>
  </si>
  <si>
    <t>Rains County, TX</t>
  </si>
  <si>
    <t>Reagan County, TX</t>
  </si>
  <si>
    <t>Real County, TX</t>
  </si>
  <si>
    <t>Red River County, TX</t>
  </si>
  <si>
    <t>Reeves County, TX</t>
  </si>
  <si>
    <t>Refugio County, TX</t>
  </si>
  <si>
    <t>Roberts County, TX</t>
  </si>
  <si>
    <t>Runnels County, TX</t>
  </si>
  <si>
    <t>Rusk County, TX HUD Metro FMR Area</t>
  </si>
  <si>
    <t>Sabine County, TX</t>
  </si>
  <si>
    <t>San Antonio-New Braunfels, TX HUD Metro FMR Area</t>
  </si>
  <si>
    <t>San Augustine County, TX</t>
  </si>
  <si>
    <t>San Saba County, TX</t>
  </si>
  <si>
    <t>Schleicher County, TX</t>
  </si>
  <si>
    <t>Scurry County, TX</t>
  </si>
  <si>
    <t>Shackelford County, TX</t>
  </si>
  <si>
    <t>Shelby County, TX</t>
  </si>
  <si>
    <t>Sherman County, TX</t>
  </si>
  <si>
    <t>Sherman-Denison, TX MSA</t>
  </si>
  <si>
    <t>Somervell County, TX</t>
  </si>
  <si>
    <t>Starr County, TX</t>
  </si>
  <si>
    <t>Stephens County, TX</t>
  </si>
  <si>
    <t>Stonewall County, TX</t>
  </si>
  <si>
    <t>Sutton County, TX</t>
  </si>
  <si>
    <t>Swisher County, TX</t>
  </si>
  <si>
    <t>Terrell County, TX</t>
  </si>
  <si>
    <t>Terry County, TX</t>
  </si>
  <si>
    <t>Throckmorton County, TX</t>
  </si>
  <si>
    <t>Titus County, TX</t>
  </si>
  <si>
    <t>Trinity County, TX</t>
  </si>
  <si>
    <t>Tyler County, TX</t>
  </si>
  <si>
    <t>Tyler, TX MSA</t>
  </si>
  <si>
    <t>Upton County, TX</t>
  </si>
  <si>
    <t>Uvalde County, TX</t>
  </si>
  <si>
    <t>Val Verde County, TX</t>
  </si>
  <si>
    <t>Van Zandt County, TX</t>
  </si>
  <si>
    <t>Victoria, TX MSA</t>
  </si>
  <si>
    <t>Waco, TX HUD Metro FMR Area</t>
  </si>
  <si>
    <t>Walker County, TX</t>
  </si>
  <si>
    <t>Ward County, TX</t>
  </si>
  <si>
    <t>Washington County, TX</t>
  </si>
  <si>
    <t>Wharton County, TX</t>
  </si>
  <si>
    <t>Wheeler County, TX</t>
  </si>
  <si>
    <t>Wichita Falls, TX MSA</t>
  </si>
  <si>
    <t>Wilbarger County, TX</t>
  </si>
  <si>
    <t>Willacy County, TX</t>
  </si>
  <si>
    <t>Winkler County, TX</t>
  </si>
  <si>
    <t>Wise County, TX HUD Metro FMR Area</t>
  </si>
  <si>
    <t>Wood County, TX</t>
  </si>
  <si>
    <t>Yoakum County, TX</t>
  </si>
  <si>
    <t>Young County, TX</t>
  </si>
  <si>
    <t>Zapata County, TX</t>
  </si>
  <si>
    <t>Zavala County, TX</t>
  </si>
  <si>
    <t>Beaver County, UT</t>
  </si>
  <si>
    <t>Carbon County, UT</t>
  </si>
  <si>
    <t>Daggett County, UT</t>
  </si>
  <si>
    <t>Duchesne County, UT</t>
  </si>
  <si>
    <t>Emery County, UT</t>
  </si>
  <si>
    <t>Garfield County, UT</t>
  </si>
  <si>
    <t>Grand County, UT</t>
  </si>
  <si>
    <t>Iron County, UT</t>
  </si>
  <si>
    <t>Kane County, UT</t>
  </si>
  <si>
    <t>Millard County, UT</t>
  </si>
  <si>
    <t>Piute County, UT</t>
  </si>
  <si>
    <t>Rich County, UT</t>
  </si>
  <si>
    <t>Salt Lake City, UT HUD Metro FMR Area</t>
  </si>
  <si>
    <t>San Juan County, UT</t>
  </si>
  <si>
    <t>Sanpete County, UT</t>
  </si>
  <si>
    <t>Sevier County, UT</t>
  </si>
  <si>
    <t>St. George, UT MSA</t>
  </si>
  <si>
    <t>Summit County, UT</t>
  </si>
  <si>
    <t>Tooele County, UT HUD Metro FMR Area</t>
  </si>
  <si>
    <t>Uintah County, UT</t>
  </si>
  <si>
    <t>Wasatch County, UT</t>
  </si>
  <si>
    <t>Wayne County, UT</t>
  </si>
  <si>
    <t>Accomack County, VA</t>
  </si>
  <si>
    <t>Alleghany County-Clifton Forge city-Covington city, VA HUD Nonmet</t>
  </si>
  <si>
    <t>Bath County, VA</t>
  </si>
  <si>
    <t>Blacksburg-Christiansburg-Radford, VA HUD Metro FMR Area</t>
  </si>
  <si>
    <t>Bland County, VA</t>
  </si>
  <si>
    <t>Brunswick County, VA</t>
  </si>
  <si>
    <t>Buchanan County, VA</t>
  </si>
  <si>
    <t>Buckingham County, VA</t>
  </si>
  <si>
    <t>Caroline County, VA</t>
  </si>
  <si>
    <t>Carroll County-Galax city, VA HUD Nonmetro FMR Area</t>
  </si>
  <si>
    <t>Charlotte County, VA</t>
  </si>
  <si>
    <t>Charlottesville, VA MSA</t>
  </si>
  <si>
    <t>Culpeper County, VA HUD Metro FMR Area</t>
  </si>
  <si>
    <t>Cumberland County, VA</t>
  </si>
  <si>
    <t>Dickenson County, VA</t>
  </si>
  <si>
    <t>Essex County, VA</t>
  </si>
  <si>
    <t>Franklin County, VA HUD Metro FMR Area</t>
  </si>
  <si>
    <t>Giles County, VA HUD Metro FMR Area</t>
  </si>
  <si>
    <t>Grayson County, VA</t>
  </si>
  <si>
    <t>Greensville County-Emporia city, VA HUD Nonmetro FMR Area</t>
  </si>
  <si>
    <t>Halifax County, VA</t>
  </si>
  <si>
    <t>Harrisonburg, VA MSA</t>
  </si>
  <si>
    <t>Henry County-Martinsville city, VA HUD Nonmetro FMR Area</t>
  </si>
  <si>
    <t>Highland County, VA</t>
  </si>
  <si>
    <t>King and Queen County, VA HUD Metro FMR Area</t>
  </si>
  <si>
    <t>King George County, VA</t>
  </si>
  <si>
    <t>Lancaster County, VA</t>
  </si>
  <si>
    <t>Lee County, VA</t>
  </si>
  <si>
    <t>Louisa County, VA</t>
  </si>
  <si>
    <t>Lunenburg County, VA</t>
  </si>
  <si>
    <t>Lynchburg, VA MSA</t>
  </si>
  <si>
    <t>Mecklenburg County, VA</t>
  </si>
  <si>
    <t>Middlesex County, VA</t>
  </si>
  <si>
    <t>Northampton County, VA</t>
  </si>
  <si>
    <t>Northumberland County, VA</t>
  </si>
  <si>
    <t>Nottoway County, VA</t>
  </si>
  <si>
    <t>Orange County, VA</t>
  </si>
  <si>
    <t>Page County, VA</t>
  </si>
  <si>
    <t>Patrick County, VA</t>
  </si>
  <si>
    <t>Pittsylvania County-Danville city, VA HUD Nonmetro FMR Area</t>
  </si>
  <si>
    <t>Prince Edward County, VA</t>
  </si>
  <si>
    <t>Pulaski County, VA HUD Metro FMR Area</t>
  </si>
  <si>
    <t>Rappahannock County, VA HUD Metro FMR Area</t>
  </si>
  <si>
    <t>Richmond County, VA</t>
  </si>
  <si>
    <t>Roanoke, VA HUD Metro FMR Area</t>
  </si>
  <si>
    <t>Rockbridge County-Buena Vista city-Lexington city, VA HUD Nonmetr</t>
  </si>
  <si>
    <t>Russell County, VA</t>
  </si>
  <si>
    <t>Shenandoah County, VA</t>
  </si>
  <si>
    <t>Smyth County, VA</t>
  </si>
  <si>
    <t>Tazewell County, VA</t>
  </si>
  <si>
    <t>Warren County, VA HUD Metro FMR Area</t>
  </si>
  <si>
    <t>Westmoreland County, VA</t>
  </si>
  <si>
    <t>Winchester, VA-WV MSA</t>
  </si>
  <si>
    <t>Wise County-Norton city, VA HUD Nonmetro FMR Area</t>
  </si>
  <si>
    <t>Wythe County, VA</t>
  </si>
  <si>
    <t>Addison County, VT</t>
  </si>
  <si>
    <t>Bennington County, VT</t>
  </si>
  <si>
    <t>Burlington-South Burlington, VT MSA</t>
  </si>
  <si>
    <t>Caledonia County, VT</t>
  </si>
  <si>
    <t>Essex County, VT</t>
  </si>
  <si>
    <t>Lamoille County, VT</t>
  </si>
  <si>
    <t>Orange County, VT</t>
  </si>
  <si>
    <t>Orleans County, VT</t>
  </si>
  <si>
    <t>Rutland County, VT</t>
  </si>
  <si>
    <t>Washington County, VT</t>
  </si>
  <si>
    <t>Windham County, VT</t>
  </si>
  <si>
    <t>Windsor County, VT</t>
  </si>
  <si>
    <t>Adams County, WA</t>
  </si>
  <si>
    <t>Bellingham, WA MSA</t>
  </si>
  <si>
    <t>Clallam County, WA</t>
  </si>
  <si>
    <t>Columbia County, WA</t>
  </si>
  <si>
    <t>Ferry County, WA</t>
  </si>
  <si>
    <t>Garfield County, WA</t>
  </si>
  <si>
    <t>Grant County, WA</t>
  </si>
  <si>
    <t>Grays Harbor County, WA</t>
  </si>
  <si>
    <t>Island County, WA</t>
  </si>
  <si>
    <t>Jefferson County, WA</t>
  </si>
  <si>
    <t>Kennewick-Richland, WA MSA</t>
  </si>
  <si>
    <t>Kittitas County, WA</t>
  </si>
  <si>
    <t>Klickitat County, WA</t>
  </si>
  <si>
    <t>Lewis County, WA</t>
  </si>
  <si>
    <t>Lincoln County, WA</t>
  </si>
  <si>
    <t>Mason County, WA</t>
  </si>
  <si>
    <t>Mount Vernon-Anacortes, WA MSA</t>
  </si>
  <si>
    <t>Okanogan County, WA</t>
  </si>
  <si>
    <t>Pacific County, WA</t>
  </si>
  <si>
    <t>Pend Oreille County, WA</t>
  </si>
  <si>
    <t>San Juan County, WA</t>
  </si>
  <si>
    <t>Seattle-Bellevue, WA HUD Metro FMR Area</t>
  </si>
  <si>
    <t>Spokane, WA HUD Metro FMR Area</t>
  </si>
  <si>
    <t>Stevens County, WA HUD Metro FMR Area</t>
  </si>
  <si>
    <t>Tacoma, WA HUD Metro FMR Area</t>
  </si>
  <si>
    <t>Wahkiakum County, WA</t>
  </si>
  <si>
    <t>Walla Walla, WA MSA</t>
  </si>
  <si>
    <t>Whitman County, WA</t>
  </si>
  <si>
    <t>Yakima, WA MSA</t>
  </si>
  <si>
    <t>Adams County, WI</t>
  </si>
  <si>
    <t>Appleton, WI MSA</t>
  </si>
  <si>
    <t>Ashland County, WI</t>
  </si>
  <si>
    <t>Barron County, WI</t>
  </si>
  <si>
    <t>Bayfield County, WI</t>
  </si>
  <si>
    <t>Buffalo County, WI</t>
  </si>
  <si>
    <t>Burnett County, WI</t>
  </si>
  <si>
    <t>Clark County, WI</t>
  </si>
  <si>
    <t>Columbia County, WI HUD Metro FMR Area</t>
  </si>
  <si>
    <t>Crawford County, WI</t>
  </si>
  <si>
    <t>Dodge County, WI</t>
  </si>
  <si>
    <t>Door County, WI</t>
  </si>
  <si>
    <t>Dunn County, WI</t>
  </si>
  <si>
    <t>Eau Claire, WI MSA</t>
  </si>
  <si>
    <t>Florence County, WI</t>
  </si>
  <si>
    <t>Fond du Lac, WI MSA</t>
  </si>
  <si>
    <t>Forest County, WI</t>
  </si>
  <si>
    <t>Grant County, WI</t>
  </si>
  <si>
    <t>Green Bay, WI HUD Metro FMR Area</t>
  </si>
  <si>
    <t>Green County, WI HUD Metro FMR Area</t>
  </si>
  <si>
    <t>Green Lake County, WI</t>
  </si>
  <si>
    <t>Iowa County, WI HUD Metro FMR Area</t>
  </si>
  <si>
    <t>Iron County, WI</t>
  </si>
  <si>
    <t>Jackson County, WI</t>
  </si>
  <si>
    <t>Janesville-Beloit, WI MSA</t>
  </si>
  <si>
    <t>Jefferson County, WI</t>
  </si>
  <si>
    <t>Juneau County, WI</t>
  </si>
  <si>
    <t>Lafayette County, WI</t>
  </si>
  <si>
    <t>Langlade County, WI</t>
  </si>
  <si>
    <t>Madison, WI HUD Metro FMR Area</t>
  </si>
  <si>
    <t>Manitowoc County, WI</t>
  </si>
  <si>
    <t>Marinette County, WI</t>
  </si>
  <si>
    <t>Marquette County, WI</t>
  </si>
  <si>
    <t>Menominee County, WI</t>
  </si>
  <si>
    <t>Monroe County, WI</t>
  </si>
  <si>
    <t>Oconto County, WI HUD Metro FMR Area</t>
  </si>
  <si>
    <t>Oneida County, WI</t>
  </si>
  <si>
    <t>Oshkosh-Neenah, WI MSA</t>
  </si>
  <si>
    <t>Pepin County, WI</t>
  </si>
  <si>
    <t>Polk County, WI</t>
  </si>
  <si>
    <t>Portage County, WI</t>
  </si>
  <si>
    <t>Price County, WI</t>
  </si>
  <si>
    <t>Richland County, WI</t>
  </si>
  <si>
    <t>Rusk County, WI</t>
  </si>
  <si>
    <t>Sauk County, WI</t>
  </si>
  <si>
    <t>Sawyer County, WI</t>
  </si>
  <si>
    <t>Shawano County, WI</t>
  </si>
  <si>
    <t>Sheboygan, WI MSA</t>
  </si>
  <si>
    <t>Taylor County, WI</t>
  </si>
  <si>
    <t>Trempealeau County, WI</t>
  </si>
  <si>
    <t>Vilas County, WI</t>
  </si>
  <si>
    <t>Walworth County, WI</t>
  </si>
  <si>
    <t>Washburn County, WI</t>
  </si>
  <si>
    <t>Waupaca County, WI</t>
  </si>
  <si>
    <t>Waushara County, WI</t>
  </si>
  <si>
    <t>Wood County, WI</t>
  </si>
  <si>
    <t>Barbour County, WV</t>
  </si>
  <si>
    <t>Boone County, WV HUD Metro FMR Area</t>
  </si>
  <si>
    <t>Braxton County, WV</t>
  </si>
  <si>
    <t>Calhoun County, WV</t>
  </si>
  <si>
    <t>Charleston, WV HUD Metro FMR Area</t>
  </si>
  <si>
    <t>Doddridge County, WV</t>
  </si>
  <si>
    <t>Fayette County, WV HUD Metro FMR Area</t>
  </si>
  <si>
    <t>Gilmer County, WV</t>
  </si>
  <si>
    <t>Grant County, WV</t>
  </si>
  <si>
    <t>Greenbrier County, WV</t>
  </si>
  <si>
    <t>Hardy County, WV</t>
  </si>
  <si>
    <t>Harrison County, WV</t>
  </si>
  <si>
    <t>Jefferson County, WV HUD Metro FMR Area</t>
  </si>
  <si>
    <t>Lewis County, WV</t>
  </si>
  <si>
    <t>Logan County, WV</t>
  </si>
  <si>
    <t>Marion County, WV</t>
  </si>
  <si>
    <t>Martinsburg, WV HUD Metro FMR Area</t>
  </si>
  <si>
    <t>Mason County, WV</t>
  </si>
  <si>
    <t>McDowell County, WV</t>
  </si>
  <si>
    <t>Mercer County, WV</t>
  </si>
  <si>
    <t>Mingo County, WV</t>
  </si>
  <si>
    <t>Monroe County, WV</t>
  </si>
  <si>
    <t>Morgan County, WV HUD Metro FMR Area</t>
  </si>
  <si>
    <t>Morgantown, WV MSA</t>
  </si>
  <si>
    <t>Nicholas County, WV</t>
  </si>
  <si>
    <t>Parkersburg-Vienna, WV MSA</t>
  </si>
  <si>
    <t>Pendleton County, WV</t>
  </si>
  <si>
    <t>Pleasants County, WV</t>
  </si>
  <si>
    <t>Pocahontas County, WV</t>
  </si>
  <si>
    <t>Putnam County, WV HUD Metro FMR Area</t>
  </si>
  <si>
    <t>Raleigh County, WV HUD Metro FMR Area</t>
  </si>
  <si>
    <t>Randolph County, WV</t>
  </si>
  <si>
    <t>Ritchie County, WV</t>
  </si>
  <si>
    <t>Roane County, WV</t>
  </si>
  <si>
    <t>Summers County, WV</t>
  </si>
  <si>
    <t>Taylor County, WV</t>
  </si>
  <si>
    <t>Tucker County, WV</t>
  </si>
  <si>
    <t>Tyler County, WV</t>
  </si>
  <si>
    <t>Upshur County, WV</t>
  </si>
  <si>
    <t>Webster County, WV</t>
  </si>
  <si>
    <t>Wetzel County, WV</t>
  </si>
  <si>
    <t>Wyoming County, WV</t>
  </si>
  <si>
    <t>Albany County, WY</t>
  </si>
  <si>
    <t>Big Horn County, WY</t>
  </si>
  <si>
    <t>Campbell County, WY</t>
  </si>
  <si>
    <t>Carbon County, WY</t>
  </si>
  <si>
    <t>Casper, WY MSA</t>
  </si>
  <si>
    <t>Cheyenne, WY MSA</t>
  </si>
  <si>
    <t>Converse County, WY</t>
  </si>
  <si>
    <t>Crook County, WY</t>
  </si>
  <si>
    <t>Fremont County, WY</t>
  </si>
  <si>
    <t>Goshen County, WY</t>
  </si>
  <si>
    <t>Hot Springs County, WY</t>
  </si>
  <si>
    <t>Johnson County, WY</t>
  </si>
  <si>
    <t>Lincoln County, WY</t>
  </si>
  <si>
    <t>Niobrara County, WY</t>
  </si>
  <si>
    <t>Park County, WY</t>
  </si>
  <si>
    <t>Platte County, WY</t>
  </si>
  <si>
    <t>Sheridan County, WY</t>
  </si>
  <si>
    <t>Sublette County, WY</t>
  </si>
  <si>
    <t>Sweetwater County, WY</t>
  </si>
  <si>
    <t>Teton County, WY</t>
  </si>
  <si>
    <t>Uinta County, WY</t>
  </si>
  <si>
    <t>Washakie County, WY</t>
  </si>
  <si>
    <t>Weston County, WY</t>
  </si>
  <si>
    <t>Income Area Name</t>
  </si>
  <si>
    <t>STATE_ABBR</t>
  </si>
  <si>
    <t>CNTY_NAME</t>
  </si>
  <si>
    <t>STATE_CNTY_KEY</t>
  </si>
  <si>
    <t>INC_AREA_ID</t>
  </si>
  <si>
    <t>AK_ALEUTIANS EAST BOROUGH</t>
  </si>
  <si>
    <t>AK_ALEUTIANS WEST CENSUS AREA</t>
  </si>
  <si>
    <t>AK_BETHEL CENSUS AREA</t>
  </si>
  <si>
    <t>AK_BRISTOL BAY BOROUGH</t>
  </si>
  <si>
    <t>Chugach Census Area</t>
  </si>
  <si>
    <t>AK_CHUGACH CENSUS AREA</t>
  </si>
  <si>
    <t>Copper River Census Area</t>
  </si>
  <si>
    <t>AK_COPPER RIVER CENSUS AREA</t>
  </si>
  <si>
    <t>Denali Borough</t>
  </si>
  <si>
    <t>AK_DENALI BOROUGH</t>
  </si>
  <si>
    <t>AK_DILLINGHAM CENSUS AREA</t>
  </si>
  <si>
    <t>AK_FAIRBANKS NORTH STAR BOROUGH</t>
  </si>
  <si>
    <t>AK_HAINES BOROUGH</t>
  </si>
  <si>
    <t>Hoonah-Angoon Census Area</t>
  </si>
  <si>
    <t>AK_HOONAH-ANGOON CENSUS AREA</t>
  </si>
  <si>
    <t>Juneau City and Borough</t>
  </si>
  <si>
    <t>AK_JUNEAU CITY AND BOROUGH</t>
  </si>
  <si>
    <t>AK_KENAI PENINSULA BOROUGH</t>
  </si>
  <si>
    <t>AK_KETCHIKAN GATEWAY BOROUGH</t>
  </si>
  <si>
    <t>AK_KODIAK ISLAND BOROUGH</t>
  </si>
  <si>
    <t>AK_KUSILVAK CENSUS AREA</t>
  </si>
  <si>
    <t>AK_LAKE AND PENINSULA BOROUGH</t>
  </si>
  <si>
    <t>AK_MATANUSKA-SUSITNA BOROUGH</t>
  </si>
  <si>
    <t>AK_NOME CENSUS AREA</t>
  </si>
  <si>
    <t>AK_NORTH SLOPE BOROUGH</t>
  </si>
  <si>
    <t>AK_NORTHWEST ARCTIC BOROUGH</t>
  </si>
  <si>
    <t>AK_PETERSBURG BOROUGH</t>
  </si>
  <si>
    <t>Prince of Wales-Hyder Census Area</t>
  </si>
  <si>
    <t>AK_PRINCE OF WALES-HYDER CENSUS AREA</t>
  </si>
  <si>
    <t>Sitka City and Borough</t>
  </si>
  <si>
    <t>AK_SITKA CITY AND BOROUGH</t>
  </si>
  <si>
    <t>Skagway Municipality</t>
  </si>
  <si>
    <t>AK_SKAGWAY MUNICIPALITY</t>
  </si>
  <si>
    <t>AK_SOUTHEAST FAIRBANKS CENSUS AREA</t>
  </si>
  <si>
    <t>Wrangell City and Borough</t>
  </si>
  <si>
    <t>AK_WRANGELL CITY AND BOROUGH</t>
  </si>
  <si>
    <t>Yakutat City and Borough</t>
  </si>
  <si>
    <t>AK_YAKUTAT CITY AND BOROUGH</t>
  </si>
  <si>
    <t>AK_YUKON-KOYUKUK CENSUS AREA</t>
  </si>
  <si>
    <t>AL_AUTAUGA</t>
  </si>
  <si>
    <t>AL_BALDWIN</t>
  </si>
  <si>
    <t>AL_BARBOUR</t>
  </si>
  <si>
    <t>AL_BIBB</t>
  </si>
  <si>
    <t>AL_BLOUNT</t>
  </si>
  <si>
    <t>AL_BULLOCK</t>
  </si>
  <si>
    <t>AL_BUTLER</t>
  </si>
  <si>
    <t>AL_CALHOUN</t>
  </si>
  <si>
    <t>AL_CHAMBERS</t>
  </si>
  <si>
    <t>AL_CHEROKEE</t>
  </si>
  <si>
    <t>AL_CHILTON</t>
  </si>
  <si>
    <t>AL_CHOCTAW</t>
  </si>
  <si>
    <t>AL_CLARKE</t>
  </si>
  <si>
    <t>AL_CLAY</t>
  </si>
  <si>
    <t>AL_CLEBURNE</t>
  </si>
  <si>
    <t>AL_COFFEE</t>
  </si>
  <si>
    <t>AL_COLBERT</t>
  </si>
  <si>
    <t>AL_CONECUH</t>
  </si>
  <si>
    <t>AL_COOSA</t>
  </si>
  <si>
    <t>AL_COVINGTON</t>
  </si>
  <si>
    <t>AL_CRENSHAW</t>
  </si>
  <si>
    <t>AL_CULLMAN</t>
  </si>
  <si>
    <t>AL_DALE</t>
  </si>
  <si>
    <t>AL_DALLAS</t>
  </si>
  <si>
    <t>AL_DEKALB</t>
  </si>
  <si>
    <t>AL_ELMORE</t>
  </si>
  <si>
    <t>AL_ESCAMBIA</t>
  </si>
  <si>
    <t>AL_ETOWAH</t>
  </si>
  <si>
    <t>AL_FAYETTE</t>
  </si>
  <si>
    <t>AL_FRANKLIN</t>
  </si>
  <si>
    <t>AL_GENEVA</t>
  </si>
  <si>
    <t>AL_GREENE</t>
  </si>
  <si>
    <t>AL_HALE</t>
  </si>
  <si>
    <t>AL_HENRY</t>
  </si>
  <si>
    <t>AL_HOUSTON</t>
  </si>
  <si>
    <t>AL_JACKSON</t>
  </si>
  <si>
    <t>AL_JEFFERSON</t>
  </si>
  <si>
    <t>AL_LAMAR</t>
  </si>
  <si>
    <t>AL_LAUDERDALE</t>
  </si>
  <si>
    <t>AL_LAWRENCE</t>
  </si>
  <si>
    <t>AL_LEE</t>
  </si>
  <si>
    <t>AL_LIMESTONE</t>
  </si>
  <si>
    <t>AL_LOWNDES</t>
  </si>
  <si>
    <t>AL_MACON</t>
  </si>
  <si>
    <t>AL_MADISON</t>
  </si>
  <si>
    <t>AL_MARENGO</t>
  </si>
  <si>
    <t>AL_MARION</t>
  </si>
  <si>
    <t>AL_MARSHALL</t>
  </si>
  <si>
    <t>AL_MOBILE</t>
  </si>
  <si>
    <t>AL_MONROE</t>
  </si>
  <si>
    <t>AL_MONTGOMERY</t>
  </si>
  <si>
    <t>AL_MORGAN</t>
  </si>
  <si>
    <t>AL_PERRY</t>
  </si>
  <si>
    <t>AL_PICKENS</t>
  </si>
  <si>
    <t>AL_PIKE</t>
  </si>
  <si>
    <t>AL_RANDOLPH</t>
  </si>
  <si>
    <t>AL_RUSSELL</t>
  </si>
  <si>
    <t>AL_SHELBY</t>
  </si>
  <si>
    <t>AL_ST. CLAIR</t>
  </si>
  <si>
    <t>AL_SUMTER</t>
  </si>
  <si>
    <t>AL_TALLADEGA</t>
  </si>
  <si>
    <t>AL_TALLAPOOSA</t>
  </si>
  <si>
    <t>AL_TUSCALOOSA</t>
  </si>
  <si>
    <t>AL_WALKER</t>
  </si>
  <si>
    <t>AL_WASHINGTON</t>
  </si>
  <si>
    <t>AL_WILCOX</t>
  </si>
  <si>
    <t>AL_WINSTON</t>
  </si>
  <si>
    <t>AR_ARKANSAS</t>
  </si>
  <si>
    <t>AR_ASHLEY</t>
  </si>
  <si>
    <t>AR_BAXTER</t>
  </si>
  <si>
    <t>AR_BENTON</t>
  </si>
  <si>
    <t>AR_BOONE</t>
  </si>
  <si>
    <t>AR_BRADLEY</t>
  </si>
  <si>
    <t>AR_CALHOUN</t>
  </si>
  <si>
    <t>AR_CARROLL</t>
  </si>
  <si>
    <t>AR_CHICOT</t>
  </si>
  <si>
    <t>AR_CLARK</t>
  </si>
  <si>
    <t>AR_CLAY</t>
  </si>
  <si>
    <t>AR_CLEBURNE</t>
  </si>
  <si>
    <t>AR_CLEVELAND</t>
  </si>
  <si>
    <t>AR_COLUMBIA</t>
  </si>
  <si>
    <t>AR_CONWAY</t>
  </si>
  <si>
    <t>AR_CRAIGHEAD</t>
  </si>
  <si>
    <t>AR_CRAWFORD</t>
  </si>
  <si>
    <t>AR_CRITTENDEN</t>
  </si>
  <si>
    <t>AR_CROSS</t>
  </si>
  <si>
    <t>AR_DALLAS</t>
  </si>
  <si>
    <t>AR_DESHA</t>
  </si>
  <si>
    <t>AR_DREW</t>
  </si>
  <si>
    <t>AR_FAULKNER</t>
  </si>
  <si>
    <t>AR_FRANKLIN</t>
  </si>
  <si>
    <t>AR_FULTON</t>
  </si>
  <si>
    <t>AR_GARLAND</t>
  </si>
  <si>
    <t>AR_GRANT</t>
  </si>
  <si>
    <t>AR_GREENE</t>
  </si>
  <si>
    <t>AR_HEMPSTEAD</t>
  </si>
  <si>
    <t>AR_HOT SPRING</t>
  </si>
  <si>
    <t>AR_HOWARD</t>
  </si>
  <si>
    <t>AR_INDEPENDENCE</t>
  </si>
  <si>
    <t>AR_IZARD</t>
  </si>
  <si>
    <t>AR_JACKSON</t>
  </si>
  <si>
    <t>AR_JEFFERSON</t>
  </si>
  <si>
    <t>AR_JOHNSON</t>
  </si>
  <si>
    <t>AR_LAFAYETTE</t>
  </si>
  <si>
    <t>AR_LAWRENCE</t>
  </si>
  <si>
    <t>AR_LEE</t>
  </si>
  <si>
    <t>AR_LINCOLN</t>
  </si>
  <si>
    <t>AR_LITTLE RIVER</t>
  </si>
  <si>
    <t>AR_LOGAN</t>
  </si>
  <si>
    <t>AR_LONOKE</t>
  </si>
  <si>
    <t>AR_MADISON</t>
  </si>
  <si>
    <t>AR_MARION</t>
  </si>
  <si>
    <t>AR_MILLER</t>
  </si>
  <si>
    <t>AR_MISSISSIPPI</t>
  </si>
  <si>
    <t>AR_MONROE</t>
  </si>
  <si>
    <t>AR_MONTGOMERY</t>
  </si>
  <si>
    <t>AR_NEVADA</t>
  </si>
  <si>
    <t>AR_NEWTON</t>
  </si>
  <si>
    <t>AR_OUACHITA</t>
  </si>
  <si>
    <t>AR_PERRY</t>
  </si>
  <si>
    <t>AR_PHILLIPS</t>
  </si>
  <si>
    <t>AR_PIKE</t>
  </si>
  <si>
    <t>AR_POINSETT</t>
  </si>
  <si>
    <t>AR_POLK</t>
  </si>
  <si>
    <t>AR_POPE</t>
  </si>
  <si>
    <t>AR_PRAIRIE</t>
  </si>
  <si>
    <t>AR_PULASKI</t>
  </si>
  <si>
    <t>AR_RANDOLPH</t>
  </si>
  <si>
    <t>AR_SALINE</t>
  </si>
  <si>
    <t>AR_SCOTT</t>
  </si>
  <si>
    <t>AR_SEARCY</t>
  </si>
  <si>
    <t>AR_SEBASTIAN</t>
  </si>
  <si>
    <t>AR_SEVIER</t>
  </si>
  <si>
    <t>AR_SHARP</t>
  </si>
  <si>
    <t>AR_ST. FRANCIS</t>
  </si>
  <si>
    <t>AR_STONE</t>
  </si>
  <si>
    <t>AR_UNION</t>
  </si>
  <si>
    <t>AR_VAN BUREN</t>
  </si>
  <si>
    <t>AR_WASHINGTON</t>
  </si>
  <si>
    <t>AR_WHITE</t>
  </si>
  <si>
    <t>AR_WOODRUFF</t>
  </si>
  <si>
    <t>AR_YELL</t>
  </si>
  <si>
    <t>AS_FALEASAO</t>
  </si>
  <si>
    <t>AS_FITIUTA</t>
  </si>
  <si>
    <t>AS_ITUAU</t>
  </si>
  <si>
    <t>AS_LEALATAUA</t>
  </si>
  <si>
    <t>AS_LEASINA</t>
  </si>
  <si>
    <t>AS_MA'OPUTASI</t>
  </si>
  <si>
    <t>AS_OFU</t>
  </si>
  <si>
    <t>AS_OLOSEGA</t>
  </si>
  <si>
    <t>AS_SA'OLE</t>
  </si>
  <si>
    <t>AS_SUA</t>
  </si>
  <si>
    <t>AS_SWAINS</t>
  </si>
  <si>
    <t>AS_TA'U</t>
  </si>
  <si>
    <t>AS_TUALATAI</t>
  </si>
  <si>
    <t>AS_TUALAUTA</t>
  </si>
  <si>
    <t>AS_VAIFANUA</t>
  </si>
  <si>
    <t>AZ_APACHE</t>
  </si>
  <si>
    <t>AZ_COCHISE</t>
  </si>
  <si>
    <t>AZ_COCONINO</t>
  </si>
  <si>
    <t>AZ_GILA</t>
  </si>
  <si>
    <t>AZ_GRAHAM</t>
  </si>
  <si>
    <t>AZ_GREENLEE</t>
  </si>
  <si>
    <t>AZ_LA PAZ</t>
  </si>
  <si>
    <t>AZ_MARICOPA</t>
  </si>
  <si>
    <t>AZ_MOHAVE</t>
  </si>
  <si>
    <t>AZ_NAVAJO</t>
  </si>
  <si>
    <t>AZ_PIMA</t>
  </si>
  <si>
    <t>AZ_PINAL</t>
  </si>
  <si>
    <t>AZ_SANTA CRUZ</t>
  </si>
  <si>
    <t>AZ_YAVAPAI</t>
  </si>
  <si>
    <t>AZ_YUMA</t>
  </si>
  <si>
    <t>CA_ALAMEDA</t>
  </si>
  <si>
    <t>CA_ALPINE</t>
  </si>
  <si>
    <t>CA_AMADOR</t>
  </si>
  <si>
    <t>CA_BUTTE</t>
  </si>
  <si>
    <t>CA_CALAVERAS</t>
  </si>
  <si>
    <t>CA_COLUSA</t>
  </si>
  <si>
    <t>CA_CONTRA COSTA</t>
  </si>
  <si>
    <t>CA_DEL NORTE</t>
  </si>
  <si>
    <t>CA_EL DORADO</t>
  </si>
  <si>
    <t>CA_FRESNO</t>
  </si>
  <si>
    <t>CA_GLENN</t>
  </si>
  <si>
    <t>CA_HUMBOLDT</t>
  </si>
  <si>
    <t>CA_IMPERIAL</t>
  </si>
  <si>
    <t>CA_INYO</t>
  </si>
  <si>
    <t>CA_KERN</t>
  </si>
  <si>
    <t>CA_KINGS</t>
  </si>
  <si>
    <t>CA_LAKE</t>
  </si>
  <si>
    <t>CA_LASSEN</t>
  </si>
  <si>
    <t>CA_LOS ANGELES</t>
  </si>
  <si>
    <t>CA_MADERA</t>
  </si>
  <si>
    <t>CA_MARIN</t>
  </si>
  <si>
    <t>CA_MARIPOSA</t>
  </si>
  <si>
    <t>CA_MENDOCINO</t>
  </si>
  <si>
    <t>CA_MERCED</t>
  </si>
  <si>
    <t>CA_MODOC</t>
  </si>
  <si>
    <t>CA_MONO</t>
  </si>
  <si>
    <t>CA_MONTEREY</t>
  </si>
  <si>
    <t>CA_NAPA</t>
  </si>
  <si>
    <t>CA_NEVADA</t>
  </si>
  <si>
    <t>CA_ORANGE</t>
  </si>
  <si>
    <t>CA_PLACER</t>
  </si>
  <si>
    <t>CA_PLUMAS</t>
  </si>
  <si>
    <t>CA_RIVERSIDE</t>
  </si>
  <si>
    <t>CA_SACRAMENTO</t>
  </si>
  <si>
    <t>CA_SAN BENITO</t>
  </si>
  <si>
    <t>CA_SAN BERNARDINO</t>
  </si>
  <si>
    <t>CA_SAN DIEGO</t>
  </si>
  <si>
    <t>CA_SAN FRANCISCO</t>
  </si>
  <si>
    <t>CA_SAN JOAQUIN</t>
  </si>
  <si>
    <t>CA_SAN LUIS OBISPO</t>
  </si>
  <si>
    <t>CA_SAN MATEO</t>
  </si>
  <si>
    <t>CA_SANTA BARBARA</t>
  </si>
  <si>
    <t>CA_SANTA CLARA</t>
  </si>
  <si>
    <t>CA_SANTA CRUZ</t>
  </si>
  <si>
    <t>CA_SHASTA</t>
  </si>
  <si>
    <t>CA_SIERRA</t>
  </si>
  <si>
    <t>CA_SISKIYOU</t>
  </si>
  <si>
    <t>CA_SOLANO</t>
  </si>
  <si>
    <t>CA_SONOMA</t>
  </si>
  <si>
    <t>CA_STANISLAUS</t>
  </si>
  <si>
    <t>CA_SUTTER</t>
  </si>
  <si>
    <t>CA_TEHAMA</t>
  </si>
  <si>
    <t>CA_TRINITY</t>
  </si>
  <si>
    <t>CA_TULARE</t>
  </si>
  <si>
    <t>CA_TUOLUMNE</t>
  </si>
  <si>
    <t>CA_VENTURA</t>
  </si>
  <si>
    <t>CA_YOLO</t>
  </si>
  <si>
    <t>CA_YUBA</t>
  </si>
  <si>
    <t>CO_ADAMS</t>
  </si>
  <si>
    <t>CO_ALAMOSA</t>
  </si>
  <si>
    <t>CO_ARAPAHOE</t>
  </si>
  <si>
    <t>CO_ARCHULETA</t>
  </si>
  <si>
    <t>CO_BACA</t>
  </si>
  <si>
    <t>CO_BENT</t>
  </si>
  <si>
    <t>CO_BOULDER</t>
  </si>
  <si>
    <t>Broomfield</t>
  </si>
  <si>
    <t>CO_BROOMFIELD</t>
  </si>
  <si>
    <t>CO_CHAFFEE</t>
  </si>
  <si>
    <t>CO_CHEYENNE</t>
  </si>
  <si>
    <t>CO_CLEAR CREEK</t>
  </si>
  <si>
    <t>CO_CONEJOS</t>
  </si>
  <si>
    <t>CO_COSTILLA</t>
  </si>
  <si>
    <t>CO_CROWLEY</t>
  </si>
  <si>
    <t>CO_CUSTER</t>
  </si>
  <si>
    <t>CO_DELTA</t>
  </si>
  <si>
    <t>CO_DENVER</t>
  </si>
  <si>
    <t>CO_DOLORES</t>
  </si>
  <si>
    <t>CO_DOUGLAS</t>
  </si>
  <si>
    <t>CO_EAGLE</t>
  </si>
  <si>
    <t>CO_EL PASO</t>
  </si>
  <si>
    <t>CO_ELBERT</t>
  </si>
  <si>
    <t>CO_FREMONT</t>
  </si>
  <si>
    <t>CO_GARFIELD</t>
  </si>
  <si>
    <t>CO_GILPIN</t>
  </si>
  <si>
    <t>CO_GRAND</t>
  </si>
  <si>
    <t>CO_GUNNISON</t>
  </si>
  <si>
    <t>CO_HINSDALE</t>
  </si>
  <si>
    <t>CO_HUERFANO</t>
  </si>
  <si>
    <t>CO_JACKSON</t>
  </si>
  <si>
    <t>CO_JEFFERSON</t>
  </si>
  <si>
    <t>CO_KIOWA</t>
  </si>
  <si>
    <t>CO_KIT CARSON</t>
  </si>
  <si>
    <t>CO_LA PLATA</t>
  </si>
  <si>
    <t>CO_LAKE</t>
  </si>
  <si>
    <t>CO_LARIMER</t>
  </si>
  <si>
    <t>CO_LAS ANIMAS</t>
  </si>
  <si>
    <t>CO_LINCOLN</t>
  </si>
  <si>
    <t>CO_LOGAN</t>
  </si>
  <si>
    <t>CO_MESA</t>
  </si>
  <si>
    <t>CO_MINERAL</t>
  </si>
  <si>
    <t>CO_MOFFAT</t>
  </si>
  <si>
    <t>CO_MONTEZUMA</t>
  </si>
  <si>
    <t>CO_MONTROSE</t>
  </si>
  <si>
    <t>CO_MORGAN</t>
  </si>
  <si>
    <t>CO_OTERO</t>
  </si>
  <si>
    <t>CO_OURAY</t>
  </si>
  <si>
    <t>CO_PARK</t>
  </si>
  <si>
    <t>CO_PHILLIPS</t>
  </si>
  <si>
    <t>CO_PITKIN</t>
  </si>
  <si>
    <t>CO_PROWERS</t>
  </si>
  <si>
    <t>CO_PUEBLO</t>
  </si>
  <si>
    <t>CO_RIO BLANCO</t>
  </si>
  <si>
    <t>CO_RIO GRANDE</t>
  </si>
  <si>
    <t>CO_ROUTT</t>
  </si>
  <si>
    <t>CO_SAGUACHE</t>
  </si>
  <si>
    <t>CO_SAN JUAN</t>
  </si>
  <si>
    <t>CO_SAN MIGUEL</t>
  </si>
  <si>
    <t>CO_SEDGWICK</t>
  </si>
  <si>
    <t>CO_SUMMIT</t>
  </si>
  <si>
    <t>CO_TELLER</t>
  </si>
  <si>
    <t>CO_WASHINGTON</t>
  </si>
  <si>
    <t>CO_WELD</t>
  </si>
  <si>
    <t>CO_YUMA</t>
  </si>
  <si>
    <t>CT_FAIRFIELD</t>
  </si>
  <si>
    <t>CT_HARTFORD</t>
  </si>
  <si>
    <t>CT_LITCHFIELD</t>
  </si>
  <si>
    <t>CT_MIDDLESEX</t>
  </si>
  <si>
    <t>CT_NEW HAVEN</t>
  </si>
  <si>
    <t>CT_NEW LONDON</t>
  </si>
  <si>
    <t>CT_TOLLAND</t>
  </si>
  <si>
    <t>CT_WINDHAM</t>
  </si>
  <si>
    <t>DC_DISTRICT OF COLUMBIA</t>
  </si>
  <si>
    <t>DE_KENT</t>
  </si>
  <si>
    <t>DE_NEW CASTLE</t>
  </si>
  <si>
    <t>DE_SUSSEX</t>
  </si>
  <si>
    <t>FL_ALACHUA</t>
  </si>
  <si>
    <t>FL_BAKER</t>
  </si>
  <si>
    <t>FL_BAY</t>
  </si>
  <si>
    <t>FL_BRADFORD</t>
  </si>
  <si>
    <t>FL_BREVARD</t>
  </si>
  <si>
    <t>FL_BROWARD</t>
  </si>
  <si>
    <t>FL_CALHOUN</t>
  </si>
  <si>
    <t>FL_CHARLOTTE</t>
  </si>
  <si>
    <t>FL_CITRUS</t>
  </si>
  <si>
    <t>FL_CLAY</t>
  </si>
  <si>
    <t>FL_COLLIER</t>
  </si>
  <si>
    <t>FL_COLUMBIA</t>
  </si>
  <si>
    <t>FL_DADE</t>
  </si>
  <si>
    <t>FL_DESOTO</t>
  </si>
  <si>
    <t>FL_DIXIE</t>
  </si>
  <si>
    <t>FL_DUVAL</t>
  </si>
  <si>
    <t>FL_ESCAMBIA</t>
  </si>
  <si>
    <t>FL_FLAGLER</t>
  </si>
  <si>
    <t>FL_FRANKLIN</t>
  </si>
  <si>
    <t>FL_GADSDEN</t>
  </si>
  <si>
    <t>FL_GILCHRIST</t>
  </si>
  <si>
    <t>FL_GLADES</t>
  </si>
  <si>
    <t>FL_GULF</t>
  </si>
  <si>
    <t>FL_HAMILTON</t>
  </si>
  <si>
    <t>FL_HARDEE</t>
  </si>
  <si>
    <t>FL_HENDRY</t>
  </si>
  <si>
    <t>FL_HERNANDO</t>
  </si>
  <si>
    <t>FL_HIGHLANDS</t>
  </si>
  <si>
    <t>FL_HILLSBOROUGH</t>
  </si>
  <si>
    <t>FL_HOLMES</t>
  </si>
  <si>
    <t>FL_INDIAN RIVER</t>
  </si>
  <si>
    <t>FL_JACKSON</t>
  </si>
  <si>
    <t>FL_JEFFERSON</t>
  </si>
  <si>
    <t>FL_LAFAYETTE</t>
  </si>
  <si>
    <t>FL_LAKE</t>
  </si>
  <si>
    <t>FL_LEE</t>
  </si>
  <si>
    <t>FL_LEON</t>
  </si>
  <si>
    <t>FL_LEVY</t>
  </si>
  <si>
    <t>FL_LIBERTY</t>
  </si>
  <si>
    <t>FL_MADISON</t>
  </si>
  <si>
    <t>FL_MANATEE</t>
  </si>
  <si>
    <t>FL_MARION</t>
  </si>
  <si>
    <t>FL_MARTIN</t>
  </si>
  <si>
    <t>FL_MONROE</t>
  </si>
  <si>
    <t>FL_NASSAU</t>
  </si>
  <si>
    <t>FL_OKALOOSA</t>
  </si>
  <si>
    <t>FL_OKEECHOBEE</t>
  </si>
  <si>
    <t>FL_ORANGE</t>
  </si>
  <si>
    <t>FL_OSCEOLA</t>
  </si>
  <si>
    <t>FL_PALM BEACH</t>
  </si>
  <si>
    <t>FL_PASCO</t>
  </si>
  <si>
    <t>FL_PINELLAS</t>
  </si>
  <si>
    <t>FL_POLK</t>
  </si>
  <si>
    <t>FL_PUTNAM</t>
  </si>
  <si>
    <t>FL_SANTA ROSA</t>
  </si>
  <si>
    <t>FL_SARASOTA</t>
  </si>
  <si>
    <t>FL_SEMINOLE</t>
  </si>
  <si>
    <t>FL_ST. JOHNS</t>
  </si>
  <si>
    <t>FL_ST. LUCIE</t>
  </si>
  <si>
    <t>FL_SUMTER</t>
  </si>
  <si>
    <t>FL_SUWANNEE</t>
  </si>
  <si>
    <t>FL_TAYLOR</t>
  </si>
  <si>
    <t>FL_UNION</t>
  </si>
  <si>
    <t>FL_VOLUSIA</t>
  </si>
  <si>
    <t>FL_WAKULLA</t>
  </si>
  <si>
    <t>FL_WALTON</t>
  </si>
  <si>
    <t>FL_WASHINGTON</t>
  </si>
  <si>
    <t>GA_APPLING</t>
  </si>
  <si>
    <t>GA_ATKINSON</t>
  </si>
  <si>
    <t>GA_BACON</t>
  </si>
  <si>
    <t>GA_BAKER</t>
  </si>
  <si>
    <t>GA_BALDWIN</t>
  </si>
  <si>
    <t>GA_BANKS</t>
  </si>
  <si>
    <t>GA_BARROW</t>
  </si>
  <si>
    <t>GA_BARTOW</t>
  </si>
  <si>
    <t>GA_BEN HILL</t>
  </si>
  <si>
    <t>GA_BERRIEN</t>
  </si>
  <si>
    <t>GA_BIBB</t>
  </si>
  <si>
    <t>GA_BLECKLEY</t>
  </si>
  <si>
    <t>GA_BRANTLEY</t>
  </si>
  <si>
    <t>GA_BROOKS</t>
  </si>
  <si>
    <t>GA_BRYAN</t>
  </si>
  <si>
    <t>GA_BULLOCH</t>
  </si>
  <si>
    <t>GA_BURKE</t>
  </si>
  <si>
    <t>GA_BUTTS</t>
  </si>
  <si>
    <t>GA_CALHOUN</t>
  </si>
  <si>
    <t>GA_CAMDEN</t>
  </si>
  <si>
    <t>GA_CANDLER</t>
  </si>
  <si>
    <t>GA_CARROLL</t>
  </si>
  <si>
    <t>GA_CATOOSA</t>
  </si>
  <si>
    <t>GA_CHARLTON</t>
  </si>
  <si>
    <t>GA_CHATHAM</t>
  </si>
  <si>
    <t>GA_CHATTAHOOCHEE</t>
  </si>
  <si>
    <t>GA_CHATTOOGA</t>
  </si>
  <si>
    <t>GA_CHEROKEE</t>
  </si>
  <si>
    <t>GA_CLARKE</t>
  </si>
  <si>
    <t>GA_CLAY</t>
  </si>
  <si>
    <t>GA_CLAYTON</t>
  </si>
  <si>
    <t>GA_CLINCH</t>
  </si>
  <si>
    <t>GA_COBB</t>
  </si>
  <si>
    <t>GA_COFFEE</t>
  </si>
  <si>
    <t>GA_COLQUITT</t>
  </si>
  <si>
    <t>GA_COLUMBIA</t>
  </si>
  <si>
    <t>GA_COOK</t>
  </si>
  <si>
    <t>GA_COWETA</t>
  </si>
  <si>
    <t>GA_CRAWFORD</t>
  </si>
  <si>
    <t>GA_CRISP</t>
  </si>
  <si>
    <t>GA_DADE</t>
  </si>
  <si>
    <t>GA_DAWSON</t>
  </si>
  <si>
    <t>GA_DE KALB</t>
  </si>
  <si>
    <t>GA_DECATUR</t>
  </si>
  <si>
    <t>GA_DODGE</t>
  </si>
  <si>
    <t>GA_DOOLY</t>
  </si>
  <si>
    <t>GA_DOUGHERTY</t>
  </si>
  <si>
    <t>GA_DOUGLAS</t>
  </si>
  <si>
    <t>GA_EARLY</t>
  </si>
  <si>
    <t>GA_ECHOLS</t>
  </si>
  <si>
    <t>GA_EFFINGHAM</t>
  </si>
  <si>
    <t>GA_ELBERT</t>
  </si>
  <si>
    <t>GA_EMANUEL</t>
  </si>
  <si>
    <t>GA_EVANS</t>
  </si>
  <si>
    <t>GA_FANNIN</t>
  </si>
  <si>
    <t>GA_FAYETTE</t>
  </si>
  <si>
    <t>GA_FLOYD</t>
  </si>
  <si>
    <t>GA_FORSYTH</t>
  </si>
  <si>
    <t>GA_FRANKLIN</t>
  </si>
  <si>
    <t>GA_FULTON</t>
  </si>
  <si>
    <t>GA_GILMER</t>
  </si>
  <si>
    <t>GA_GLASCOCK</t>
  </si>
  <si>
    <t>GA_GLYNN</t>
  </si>
  <si>
    <t>GA_GORDON</t>
  </si>
  <si>
    <t>GA_GRADY</t>
  </si>
  <si>
    <t>GA_GREENE</t>
  </si>
  <si>
    <t>GA_GWINNETT</t>
  </si>
  <si>
    <t>GA_HABERSHAM</t>
  </si>
  <si>
    <t>GA_HALL</t>
  </si>
  <si>
    <t>GA_HANCOCK</t>
  </si>
  <si>
    <t>GA_HARALSON</t>
  </si>
  <si>
    <t>GA_HARRIS</t>
  </si>
  <si>
    <t>GA_HART</t>
  </si>
  <si>
    <t>GA_HEARD</t>
  </si>
  <si>
    <t>GA_HENRY</t>
  </si>
  <si>
    <t>GA_HOUSTON</t>
  </si>
  <si>
    <t>GA_IRWIN</t>
  </si>
  <si>
    <t>GA_JACKSON</t>
  </si>
  <si>
    <t>GA_JASPER</t>
  </si>
  <si>
    <t>GA_JEFF DAVIS</t>
  </si>
  <si>
    <t>GA_JEFFERSON</t>
  </si>
  <si>
    <t>GA_JENKINS</t>
  </si>
  <si>
    <t>GA_JOHNSON</t>
  </si>
  <si>
    <t>GA_JONES</t>
  </si>
  <si>
    <t>GA_LAMAR</t>
  </si>
  <si>
    <t>GA_LANIER</t>
  </si>
  <si>
    <t>GA_LAURENS</t>
  </si>
  <si>
    <t>GA_LEE</t>
  </si>
  <si>
    <t>GA_LIBERTY</t>
  </si>
  <si>
    <t>GA_LINCOLN</t>
  </si>
  <si>
    <t>GA_LONG</t>
  </si>
  <si>
    <t>GA_LOWNDES</t>
  </si>
  <si>
    <t>GA_LUMPKIN</t>
  </si>
  <si>
    <t>GA_MACON</t>
  </si>
  <si>
    <t>GA_MADISON</t>
  </si>
  <si>
    <t>GA_MARION</t>
  </si>
  <si>
    <t>GA_MCDUFFIE</t>
  </si>
  <si>
    <t>GA_MCINTOSH</t>
  </si>
  <si>
    <t>GA_MERIWETHER</t>
  </si>
  <si>
    <t>GA_MILLER</t>
  </si>
  <si>
    <t>GA_MITCHELL</t>
  </si>
  <si>
    <t>GA_MONROE</t>
  </si>
  <si>
    <t>GA_MONTGOMERY</t>
  </si>
  <si>
    <t>GA_MORGAN</t>
  </si>
  <si>
    <t>GA_MURRAY</t>
  </si>
  <si>
    <t>GA_MUSCOGEE</t>
  </si>
  <si>
    <t>GA_NEWTON</t>
  </si>
  <si>
    <t>GA_OCONEE</t>
  </si>
  <si>
    <t>GA_OGLETHORPE</t>
  </si>
  <si>
    <t>GA_PAULDING</t>
  </si>
  <si>
    <t>GA_PEACH</t>
  </si>
  <si>
    <t>GA_PICKENS</t>
  </si>
  <si>
    <t>GA_PIERCE</t>
  </si>
  <si>
    <t>GA_PIKE</t>
  </si>
  <si>
    <t>GA_POLK</t>
  </si>
  <si>
    <t>GA_PULASKI</t>
  </si>
  <si>
    <t>GA_PUTNAM</t>
  </si>
  <si>
    <t>GA_QUITMAN</t>
  </si>
  <si>
    <t>GA_RABUN</t>
  </si>
  <si>
    <t>GA_RANDOLPH</t>
  </si>
  <si>
    <t>GA_RICHMOND</t>
  </si>
  <si>
    <t>GA_ROCKDALE</t>
  </si>
  <si>
    <t>GA_SCHLEY</t>
  </si>
  <si>
    <t>GA_SCREVEN</t>
  </si>
  <si>
    <t>GA_SEMINOLE</t>
  </si>
  <si>
    <t>GA_SPALDING</t>
  </si>
  <si>
    <t>GA_STEPHENS</t>
  </si>
  <si>
    <t>GA_STEWART</t>
  </si>
  <si>
    <t>GA_SUMTER</t>
  </si>
  <si>
    <t>GA_TALBOT</t>
  </si>
  <si>
    <t>GA_TALIAFERRO</t>
  </si>
  <si>
    <t>GA_TATTNALL</t>
  </si>
  <si>
    <t>GA_TAYLOR</t>
  </si>
  <si>
    <t>GA_TELFAIR</t>
  </si>
  <si>
    <t>GA_TERRELL</t>
  </si>
  <si>
    <t>GA_THOMAS</t>
  </si>
  <si>
    <t>GA_TIFT</t>
  </si>
  <si>
    <t>GA_TOOMBS</t>
  </si>
  <si>
    <t>GA_TOWNS</t>
  </si>
  <si>
    <t>GA_TREUTLEN</t>
  </si>
  <si>
    <t>GA_TROUP</t>
  </si>
  <si>
    <t>GA_TURNER</t>
  </si>
  <si>
    <t>GA_TWIGGS</t>
  </si>
  <si>
    <t>GA_UNION</t>
  </si>
  <si>
    <t>GA_UPSON</t>
  </si>
  <si>
    <t>GA_WALKER</t>
  </si>
  <si>
    <t>GA_WALTON</t>
  </si>
  <si>
    <t>GA_WARE</t>
  </si>
  <si>
    <t>GA_WARREN</t>
  </si>
  <si>
    <t>GA_WASHINGTON</t>
  </si>
  <si>
    <t>GA_WAYNE</t>
  </si>
  <si>
    <t>GA_WEBSTER</t>
  </si>
  <si>
    <t>GA_WHEELER</t>
  </si>
  <si>
    <t>GA_WHITE</t>
  </si>
  <si>
    <t>GA_WHITFIELD</t>
  </si>
  <si>
    <t>GA_WILCOX</t>
  </si>
  <si>
    <t>GA_WILKES</t>
  </si>
  <si>
    <t>GA_WILKINSON</t>
  </si>
  <si>
    <t>GA_WORTH</t>
  </si>
  <si>
    <t>GU_AGANA HEIGHTS</t>
  </si>
  <si>
    <t>GU_AGAT</t>
  </si>
  <si>
    <t>GU_ASAN</t>
  </si>
  <si>
    <t>GU_BARRIGADA</t>
  </si>
  <si>
    <t>GU_CHALAN-PAGO-ORDOT</t>
  </si>
  <si>
    <t>GU_DEDEDO</t>
  </si>
  <si>
    <t>GU_HAGATANA</t>
  </si>
  <si>
    <t>GU_INARAJAN</t>
  </si>
  <si>
    <t>GU_MANGILAO</t>
  </si>
  <si>
    <t>GU_MERIZO</t>
  </si>
  <si>
    <t>GU_MONGMONG-TOTO-MAITE</t>
  </si>
  <si>
    <t>GU_PITI</t>
  </si>
  <si>
    <t>GU_SANTA RITA</t>
  </si>
  <si>
    <t>GU_SINAJANA</t>
  </si>
  <si>
    <t>GU_TALOFOFO</t>
  </si>
  <si>
    <t>GU_TAMUNING</t>
  </si>
  <si>
    <t>GU_UMATAC</t>
  </si>
  <si>
    <t>GU_YIGO</t>
  </si>
  <si>
    <t>GU_YONA</t>
  </si>
  <si>
    <t>HI_HAWAII</t>
  </si>
  <si>
    <t>HI_HONOLULU</t>
  </si>
  <si>
    <t>HI_KALAWAO</t>
  </si>
  <si>
    <t>HI_KAUAI</t>
  </si>
  <si>
    <t>HI_MAUI</t>
  </si>
  <si>
    <t>IA_ADAIR</t>
  </si>
  <si>
    <t>IA_ADAMS</t>
  </si>
  <si>
    <t>IA_ALLAMAKEE</t>
  </si>
  <si>
    <t>IA_APPANOOSE</t>
  </si>
  <si>
    <t>IA_AUDUBON</t>
  </si>
  <si>
    <t>IA_BENTON</t>
  </si>
  <si>
    <t>IA_BLACK HAWK</t>
  </si>
  <si>
    <t>IA_BOONE</t>
  </si>
  <si>
    <t>IA_BREMER</t>
  </si>
  <si>
    <t>IA_BUCHANAN</t>
  </si>
  <si>
    <t>IA_BUENA VISTA</t>
  </si>
  <si>
    <t>IA_BUTLER</t>
  </si>
  <si>
    <t>IA_CALHOUN</t>
  </si>
  <si>
    <t>IA_CARROLL</t>
  </si>
  <si>
    <t>IA_CASS</t>
  </si>
  <si>
    <t>IA_CEDAR</t>
  </si>
  <si>
    <t>IA_CERRO GORDO</t>
  </si>
  <si>
    <t>IA_CHEROKEE</t>
  </si>
  <si>
    <t>IA_CHICKASAW</t>
  </si>
  <si>
    <t>IA_CLARKE</t>
  </si>
  <si>
    <t>IA_CLAY</t>
  </si>
  <si>
    <t>IA_CLAYTON</t>
  </si>
  <si>
    <t>IA_CLINTON</t>
  </si>
  <si>
    <t>IA_CRAWFORD</t>
  </si>
  <si>
    <t>IA_DALLAS</t>
  </si>
  <si>
    <t>IA_DAVIS</t>
  </si>
  <si>
    <t>IA_DECATUR</t>
  </si>
  <si>
    <t>IA_DELAWARE</t>
  </si>
  <si>
    <t>IA_DES MOINES</t>
  </si>
  <si>
    <t>IA_DICKINSON</t>
  </si>
  <si>
    <t>IA_DUBUQUE</t>
  </si>
  <si>
    <t>IA_EMMET</t>
  </si>
  <si>
    <t>IA_FAYETTE</t>
  </si>
  <si>
    <t>IA_FLOYD</t>
  </si>
  <si>
    <t>IA_FRANKLIN</t>
  </si>
  <si>
    <t>IA_FREMONT</t>
  </si>
  <si>
    <t>IA_GREENE</t>
  </si>
  <si>
    <t>IA_GRUNDY</t>
  </si>
  <si>
    <t>IA_GUTHRIE</t>
  </si>
  <si>
    <t>IA_HAMILTON</t>
  </si>
  <si>
    <t>IA_HANCOCK</t>
  </si>
  <si>
    <t>IA_HARDIN</t>
  </si>
  <si>
    <t>IA_HARRISON</t>
  </si>
  <si>
    <t>IA_HENRY</t>
  </si>
  <si>
    <t>IA_HOWARD</t>
  </si>
  <si>
    <t>IA_HUMBOLDT</t>
  </si>
  <si>
    <t>IA_IDA</t>
  </si>
  <si>
    <t>IA_IOWA</t>
  </si>
  <si>
    <t>IA_JACKSON</t>
  </si>
  <si>
    <t>IA_JASPER</t>
  </si>
  <si>
    <t>IA_JEFFERSON</t>
  </si>
  <si>
    <t>IA_JOHNSON</t>
  </si>
  <si>
    <t>IA_JONES</t>
  </si>
  <si>
    <t>IA_KEOKUK</t>
  </si>
  <si>
    <t>IA_KOSSUTH</t>
  </si>
  <si>
    <t>IA_LEE</t>
  </si>
  <si>
    <t>IA_LINN</t>
  </si>
  <si>
    <t>IA_LOUISA</t>
  </si>
  <si>
    <t>IA_LUCAS</t>
  </si>
  <si>
    <t>IA_LYON</t>
  </si>
  <si>
    <t>IA_MADISON</t>
  </si>
  <si>
    <t>IA_MAHASKA</t>
  </si>
  <si>
    <t>IA_MARION</t>
  </si>
  <si>
    <t>IA_MARSHALL</t>
  </si>
  <si>
    <t>IA_MILLS</t>
  </si>
  <si>
    <t>IA_MITCHELL</t>
  </si>
  <si>
    <t>IA_MONONA</t>
  </si>
  <si>
    <t>IA_MONROE</t>
  </si>
  <si>
    <t>IA_MONTGOMERY</t>
  </si>
  <si>
    <t>IA_MUSCATINE</t>
  </si>
  <si>
    <t>IA_O'BRIEN</t>
  </si>
  <si>
    <t>IA_OSCEOLA</t>
  </si>
  <si>
    <t>IA_PAGE</t>
  </si>
  <si>
    <t>IA_PALO ALTO</t>
  </si>
  <si>
    <t>IA_PLYMOUTH</t>
  </si>
  <si>
    <t>IA_POCAHONTAS</t>
  </si>
  <si>
    <t>IA_POLK</t>
  </si>
  <si>
    <t>IA_POTTAWATTAMIE</t>
  </si>
  <si>
    <t>IA_POWESHIEK</t>
  </si>
  <si>
    <t>IA_RINGGOLD</t>
  </si>
  <si>
    <t>IA_SAC</t>
  </si>
  <si>
    <t>IA_SCOTT</t>
  </si>
  <si>
    <t>IA_SHELBY</t>
  </si>
  <si>
    <t>IA_SIOUX</t>
  </si>
  <si>
    <t>IA_STORY</t>
  </si>
  <si>
    <t>IA_TAMA</t>
  </si>
  <si>
    <t>IA_TAYLOR</t>
  </si>
  <si>
    <t>IA_UNION</t>
  </si>
  <si>
    <t>IA_VAN BUREN</t>
  </si>
  <si>
    <t>IA_WAPELLO</t>
  </si>
  <si>
    <t>IA_WARREN</t>
  </si>
  <si>
    <t>IA_WASHINGTON</t>
  </si>
  <si>
    <t>IA_WAYNE</t>
  </si>
  <si>
    <t>IA_WEBSTER</t>
  </si>
  <si>
    <t>IA_WINNEBAGO</t>
  </si>
  <si>
    <t>IA_WINNESHIEK</t>
  </si>
  <si>
    <t>IA_WOODBURY</t>
  </si>
  <si>
    <t>IA_WORTH</t>
  </si>
  <si>
    <t>IA_WRIGHT</t>
  </si>
  <si>
    <t>ID_ADA</t>
  </si>
  <si>
    <t>ID_ADAMS</t>
  </si>
  <si>
    <t>ID_BANNOCK</t>
  </si>
  <si>
    <t>ID_BEAR LAKE</t>
  </si>
  <si>
    <t>ID_BENEWAH</t>
  </si>
  <si>
    <t>ID_BINGHAM</t>
  </si>
  <si>
    <t>ID_BLAINE</t>
  </si>
  <si>
    <t>ID_BOISE</t>
  </si>
  <si>
    <t>ID_BONNER</t>
  </si>
  <si>
    <t>ID_BONNEVILLE</t>
  </si>
  <si>
    <t>ID_BOUNDARY</t>
  </si>
  <si>
    <t>ID_BUTTE</t>
  </si>
  <si>
    <t>ID_CAMAS</t>
  </si>
  <si>
    <t>ID_CANYON</t>
  </si>
  <si>
    <t>ID_CARIBOU</t>
  </si>
  <si>
    <t>ID_CASSIA</t>
  </si>
  <si>
    <t>ID_CLARK</t>
  </si>
  <si>
    <t>ID_CLEARWATER</t>
  </si>
  <si>
    <t>ID_CUSTER</t>
  </si>
  <si>
    <t>ID_ELMORE</t>
  </si>
  <si>
    <t>ID_FRANKLIN</t>
  </si>
  <si>
    <t>ID_FREMONT</t>
  </si>
  <si>
    <t>ID_GEM</t>
  </si>
  <si>
    <t>ID_GOODING</t>
  </si>
  <si>
    <t>ID_IDAHO</t>
  </si>
  <si>
    <t>ID_JEFFERSON</t>
  </si>
  <si>
    <t>ID_JEROME</t>
  </si>
  <si>
    <t>ID_KOOTENAI</t>
  </si>
  <si>
    <t>ID_LATAH</t>
  </si>
  <si>
    <t>ID_LEMHI</t>
  </si>
  <si>
    <t>ID_LEWIS</t>
  </si>
  <si>
    <t>ID_LINCOLN</t>
  </si>
  <si>
    <t>ID_MADISON</t>
  </si>
  <si>
    <t>ID_MINIDOKA</t>
  </si>
  <si>
    <t>ID_NEZ PERCE</t>
  </si>
  <si>
    <t>ID_ONEIDA</t>
  </si>
  <si>
    <t>ID_OWYHEE</t>
  </si>
  <si>
    <t>ID_PAYETTE</t>
  </si>
  <si>
    <t>ID_POWER</t>
  </si>
  <si>
    <t>ID_SHOSHONE</t>
  </si>
  <si>
    <t>ID_TETON</t>
  </si>
  <si>
    <t>ID_TWIN FALLS</t>
  </si>
  <si>
    <t>ID_VALLEY</t>
  </si>
  <si>
    <t>ID_WASHINGTON</t>
  </si>
  <si>
    <t>IL_ADAMS</t>
  </si>
  <si>
    <t>IL_ALEXANDER</t>
  </si>
  <si>
    <t>IL_BOND</t>
  </si>
  <si>
    <t>IL_BOONE</t>
  </si>
  <si>
    <t>IL_BROWN</t>
  </si>
  <si>
    <t>IL_BUREAU</t>
  </si>
  <si>
    <t>IL_CALHOUN</t>
  </si>
  <si>
    <t>IL_CARROLL</t>
  </si>
  <si>
    <t>IL_CASS</t>
  </si>
  <si>
    <t>IL_CHAMPAIGN</t>
  </si>
  <si>
    <t>IL_CHRISTIAN</t>
  </si>
  <si>
    <t>IL_CLARK</t>
  </si>
  <si>
    <t>IL_CLAY</t>
  </si>
  <si>
    <t>IL_CLINTON</t>
  </si>
  <si>
    <t>IL_COLES</t>
  </si>
  <si>
    <t>IL_COOK</t>
  </si>
  <si>
    <t>IL_CRAWFORD</t>
  </si>
  <si>
    <t>IL_CUMBERLAND</t>
  </si>
  <si>
    <t>IL_DE WITT</t>
  </si>
  <si>
    <t>IL_DEKALB</t>
  </si>
  <si>
    <t>IL_DOUGLAS</t>
  </si>
  <si>
    <t>IL_DU PAGE</t>
  </si>
  <si>
    <t>IL_EDGAR</t>
  </si>
  <si>
    <t>IL_EDWARDS</t>
  </si>
  <si>
    <t>IL_EFFINGHAM</t>
  </si>
  <si>
    <t>IL_FAYETTE</t>
  </si>
  <si>
    <t>IL_FORD</t>
  </si>
  <si>
    <t>IL_FRANKLIN</t>
  </si>
  <si>
    <t>IL_FULTON</t>
  </si>
  <si>
    <t>IL_GALLATIN</t>
  </si>
  <si>
    <t>IL_GREENE</t>
  </si>
  <si>
    <t>IL_GRUNDY</t>
  </si>
  <si>
    <t>IL_HAMILTON</t>
  </si>
  <si>
    <t>IL_HANCOCK</t>
  </si>
  <si>
    <t>IL_HARDIN</t>
  </si>
  <si>
    <t>IL_HENDERSON</t>
  </si>
  <si>
    <t>IL_HENRY</t>
  </si>
  <si>
    <t>IL_IROQUOIS</t>
  </si>
  <si>
    <t>IL_JACKSON</t>
  </si>
  <si>
    <t>IL_JASPER</t>
  </si>
  <si>
    <t>IL_JEFFERSON</t>
  </si>
  <si>
    <t>IL_JERSEY</t>
  </si>
  <si>
    <t>IL_JO DAVIESS</t>
  </si>
  <si>
    <t>IL_JOHNSON</t>
  </si>
  <si>
    <t>IL_KANE</t>
  </si>
  <si>
    <t>IL_KANKAKEE</t>
  </si>
  <si>
    <t>IL_KENDALL</t>
  </si>
  <si>
    <t>IL_KNOX</t>
  </si>
  <si>
    <t>IL_LA SALLE</t>
  </si>
  <si>
    <t>IL_LAKE</t>
  </si>
  <si>
    <t>IL_LAWRENCE</t>
  </si>
  <si>
    <t>IL_LEE</t>
  </si>
  <si>
    <t>IL_LIVINGSTON</t>
  </si>
  <si>
    <t>IL_LOGAN</t>
  </si>
  <si>
    <t>IL_MACON</t>
  </si>
  <si>
    <t>IL_MACOUPIN</t>
  </si>
  <si>
    <t>IL_MADISON</t>
  </si>
  <si>
    <t>IL_MARION</t>
  </si>
  <si>
    <t>IL_MARSHALL</t>
  </si>
  <si>
    <t>IL_MASON</t>
  </si>
  <si>
    <t>IL_MASSAC</t>
  </si>
  <si>
    <t>IL_MCDONOUGH</t>
  </si>
  <si>
    <t>IL_MCHENRY</t>
  </si>
  <si>
    <t>IL_MCLEAN</t>
  </si>
  <si>
    <t>IL_MENARD</t>
  </si>
  <si>
    <t>IL_MERCER</t>
  </si>
  <si>
    <t>IL_MONROE</t>
  </si>
  <si>
    <t>IL_MONTGOMERY</t>
  </si>
  <si>
    <t>IL_MORGAN</t>
  </si>
  <si>
    <t>IL_MOULTRIE</t>
  </si>
  <si>
    <t>IL_OGLE</t>
  </si>
  <si>
    <t>IL_PEORIA</t>
  </si>
  <si>
    <t>IL_PERRY</t>
  </si>
  <si>
    <t>IL_PIATT</t>
  </si>
  <si>
    <t>IL_PIKE</t>
  </si>
  <si>
    <t>IL_POPE</t>
  </si>
  <si>
    <t>IL_PULASKI</t>
  </si>
  <si>
    <t>IL_PUTNAM</t>
  </si>
  <si>
    <t>IL_RANDOLPH</t>
  </si>
  <si>
    <t>IL_RICHLAND</t>
  </si>
  <si>
    <t>IL_ROCK ISLAND</t>
  </si>
  <si>
    <t>IL_SALINE</t>
  </si>
  <si>
    <t>IL_SANGAMON</t>
  </si>
  <si>
    <t>IL_SCHUYLER</t>
  </si>
  <si>
    <t>IL_SCOTT</t>
  </si>
  <si>
    <t>IL_SHELBY</t>
  </si>
  <si>
    <t>IL_ST. CLAIR</t>
  </si>
  <si>
    <t>IL_STARK</t>
  </si>
  <si>
    <t>IL_STEPHENSON</t>
  </si>
  <si>
    <t>IL_TAZEWELL</t>
  </si>
  <si>
    <t>IL_UNION</t>
  </si>
  <si>
    <t>IL_VERMILION</t>
  </si>
  <si>
    <t>IL_WABASH</t>
  </si>
  <si>
    <t>IL_WARREN</t>
  </si>
  <si>
    <t>IL_WASHINGTON</t>
  </si>
  <si>
    <t>IL_WAYNE</t>
  </si>
  <si>
    <t>IL_WHITE</t>
  </si>
  <si>
    <t>IL_WHITESIDE</t>
  </si>
  <si>
    <t>IL_WILL</t>
  </si>
  <si>
    <t>IL_WILLIAMSON</t>
  </si>
  <si>
    <t>IL_WINNEBAGO</t>
  </si>
  <si>
    <t>IL_WOODFORD</t>
  </si>
  <si>
    <t>IN_ADAMS</t>
  </si>
  <si>
    <t>IN_ALLEN</t>
  </si>
  <si>
    <t>IN_BARTHOLOMEW</t>
  </si>
  <si>
    <t>IN_BENTON</t>
  </si>
  <si>
    <t>IN_BLACKFORD</t>
  </si>
  <si>
    <t>IN_BOONE</t>
  </si>
  <si>
    <t>IN_BROWN</t>
  </si>
  <si>
    <t>IN_CARROLL</t>
  </si>
  <si>
    <t>IN_CASS</t>
  </si>
  <si>
    <t>IN_CLARK</t>
  </si>
  <si>
    <t>IN_CLAY</t>
  </si>
  <si>
    <t>IN_CLINTON</t>
  </si>
  <si>
    <t>IN_CRAWFORD</t>
  </si>
  <si>
    <t>IN_DAVIESS</t>
  </si>
  <si>
    <t>IN_DE KALB</t>
  </si>
  <si>
    <t>IN_DEARBORN</t>
  </si>
  <si>
    <t>IN_DECATUR</t>
  </si>
  <si>
    <t>IN_DELAWARE</t>
  </si>
  <si>
    <t>IN_DUBOIS</t>
  </si>
  <si>
    <t>IN_ELKHART</t>
  </si>
  <si>
    <t>IN_FAYETTE</t>
  </si>
  <si>
    <t>IN_FLOYD</t>
  </si>
  <si>
    <t>IN_FOUNTAIN</t>
  </si>
  <si>
    <t>IN_FRANKLIN</t>
  </si>
  <si>
    <t>IN_FULTON</t>
  </si>
  <si>
    <t>IN_GIBSON</t>
  </si>
  <si>
    <t>IN_GRANT</t>
  </si>
  <si>
    <t>IN_GREENE</t>
  </si>
  <si>
    <t>IN_HAMILTON</t>
  </si>
  <si>
    <t>IN_HANCOCK</t>
  </si>
  <si>
    <t>IN_HARRISON</t>
  </si>
  <si>
    <t>IN_HENDRICKS</t>
  </si>
  <si>
    <t>IN_HENRY</t>
  </si>
  <si>
    <t>IN_HOWARD</t>
  </si>
  <si>
    <t>IN_HUNTINGTON</t>
  </si>
  <si>
    <t>IN_JACKSON</t>
  </si>
  <si>
    <t>IN_JASPER</t>
  </si>
  <si>
    <t>IN_JAY</t>
  </si>
  <si>
    <t>IN_JEFFERSON</t>
  </si>
  <si>
    <t>IN_JENNINGS</t>
  </si>
  <si>
    <t>IN_JOHNSON</t>
  </si>
  <si>
    <t>IN_KNOX</t>
  </si>
  <si>
    <t>IN_KOSCIUSKO</t>
  </si>
  <si>
    <t>IN_LA PORTE</t>
  </si>
  <si>
    <t>LaGrange</t>
  </si>
  <si>
    <t>IN_LAGRANGE</t>
  </si>
  <si>
    <t>IN_LAKE</t>
  </si>
  <si>
    <t>IN_LAWRENCE</t>
  </si>
  <si>
    <t>IN_MADISON</t>
  </si>
  <si>
    <t>IN_MARION</t>
  </si>
  <si>
    <t>IN_MARSHALL</t>
  </si>
  <si>
    <t>IN_MARTIN</t>
  </si>
  <si>
    <t>IN_MIAMI</t>
  </si>
  <si>
    <t>IN_MONROE</t>
  </si>
  <si>
    <t>IN_MONTGOMERY</t>
  </si>
  <si>
    <t>IN_MORGAN</t>
  </si>
  <si>
    <t>IN_NEWTON</t>
  </si>
  <si>
    <t>IN_NOBLE</t>
  </si>
  <si>
    <t>IN_OHIO</t>
  </si>
  <si>
    <t>IN_ORANGE</t>
  </si>
  <si>
    <t>IN_OWEN</t>
  </si>
  <si>
    <t>IN_PARKE</t>
  </si>
  <si>
    <t>IN_PERRY</t>
  </si>
  <si>
    <t>IN_PIKE</t>
  </si>
  <si>
    <t>IN_PORTER</t>
  </si>
  <si>
    <t>IN_POSEY</t>
  </si>
  <si>
    <t>IN_PULASKI</t>
  </si>
  <si>
    <t>IN_PUTNAM</t>
  </si>
  <si>
    <t>IN_RANDOLPH</t>
  </si>
  <si>
    <t>IN_RIPLEY</t>
  </si>
  <si>
    <t>IN_RUSH</t>
  </si>
  <si>
    <t>IN_SCOTT</t>
  </si>
  <si>
    <t>IN_SHELBY</t>
  </si>
  <si>
    <t>IN_SPENCER</t>
  </si>
  <si>
    <t>IN_ST. JOSEPH</t>
  </si>
  <si>
    <t>IN_STARKE</t>
  </si>
  <si>
    <t>IN_STEUBEN</t>
  </si>
  <si>
    <t>IN_SULLIVAN</t>
  </si>
  <si>
    <t>IN_SWITZERLAND</t>
  </si>
  <si>
    <t>IN_TIPPECANOE</t>
  </si>
  <si>
    <t>IN_TIPTON</t>
  </si>
  <si>
    <t>IN_UNION</t>
  </si>
  <si>
    <t>IN_VANDERBURGH</t>
  </si>
  <si>
    <t>IN_VERMILLION</t>
  </si>
  <si>
    <t>IN_VIGO</t>
  </si>
  <si>
    <t>IN_WABASH</t>
  </si>
  <si>
    <t>IN_WARREN</t>
  </si>
  <si>
    <t>IN_WARRICK</t>
  </si>
  <si>
    <t>IN_WASHINGTON</t>
  </si>
  <si>
    <t>IN_WAYNE</t>
  </si>
  <si>
    <t>IN_WELLS</t>
  </si>
  <si>
    <t>IN_WHITE</t>
  </si>
  <si>
    <t>IN_WHITLEY</t>
  </si>
  <si>
    <t>KS_ALLEN</t>
  </si>
  <si>
    <t>KS_ANDERSON</t>
  </si>
  <si>
    <t>KS_ATCHISON</t>
  </si>
  <si>
    <t>KS_BARBER</t>
  </si>
  <si>
    <t>KS_BARTON</t>
  </si>
  <si>
    <t>KS_BOURBON</t>
  </si>
  <si>
    <t>KS_BROWN</t>
  </si>
  <si>
    <t>KS_BUTLER</t>
  </si>
  <si>
    <t>KS_CHASE</t>
  </si>
  <si>
    <t>KS_CHAUTAUQUA</t>
  </si>
  <si>
    <t>KS_CHEROKEE</t>
  </si>
  <si>
    <t>KS_CHEYENNE</t>
  </si>
  <si>
    <t>KS_CLARK</t>
  </si>
  <si>
    <t>KS_CLAY</t>
  </si>
  <si>
    <t>KS_CLOUD</t>
  </si>
  <si>
    <t>KS_COFFEY</t>
  </si>
  <si>
    <t>KS_COMANCHE</t>
  </si>
  <si>
    <t>KS_COWLEY</t>
  </si>
  <si>
    <t>KS_CRAWFORD</t>
  </si>
  <si>
    <t>KS_DECATUR</t>
  </si>
  <si>
    <t>KS_DICKINSON</t>
  </si>
  <si>
    <t>KS_DONIPHAN</t>
  </si>
  <si>
    <t>KS_DOUGLAS</t>
  </si>
  <si>
    <t>KS_EDWARDS</t>
  </si>
  <si>
    <t>KS_ELK</t>
  </si>
  <si>
    <t>KS_ELLIS</t>
  </si>
  <si>
    <t>KS_ELLSWORTH</t>
  </si>
  <si>
    <t>KS_FINNEY</t>
  </si>
  <si>
    <t>KS_FORD</t>
  </si>
  <si>
    <t>KS_FRANKLIN</t>
  </si>
  <si>
    <t>KS_GEARY</t>
  </si>
  <si>
    <t>KS_GOVE</t>
  </si>
  <si>
    <t>KS_GRAHAM</t>
  </si>
  <si>
    <t>KS_GRANT</t>
  </si>
  <si>
    <t>KS_GRAY</t>
  </si>
  <si>
    <t>KS_GREELEY</t>
  </si>
  <si>
    <t>KS_GREENWOOD</t>
  </si>
  <si>
    <t>KS_HAMILTON</t>
  </si>
  <si>
    <t>KS_HARPER</t>
  </si>
  <si>
    <t>KS_HARVEY</t>
  </si>
  <si>
    <t>KS_HASKELL</t>
  </si>
  <si>
    <t>KS_HODGEMAN</t>
  </si>
  <si>
    <t>KS_JACKSON</t>
  </si>
  <si>
    <t>KS_JEFFERSON</t>
  </si>
  <si>
    <t>KS_JEWELL</t>
  </si>
  <si>
    <t>KS_JOHNSON</t>
  </si>
  <si>
    <t>KS_KEARNY</t>
  </si>
  <si>
    <t>KS_KINGMAN</t>
  </si>
  <si>
    <t>KS_KIOWA</t>
  </si>
  <si>
    <t>KS_LABETTE</t>
  </si>
  <si>
    <t>KS_LANE</t>
  </si>
  <si>
    <t>KS_LEAVENWORTH</t>
  </si>
  <si>
    <t>KS_LINCOLN</t>
  </si>
  <si>
    <t>KS_LINN</t>
  </si>
  <si>
    <t>KS_LOGAN</t>
  </si>
  <si>
    <t>KS_LYON</t>
  </si>
  <si>
    <t>KS_MARION</t>
  </si>
  <si>
    <t>KS_MARSHALL</t>
  </si>
  <si>
    <t>KS_MCPHERSON</t>
  </si>
  <si>
    <t>KS_MEADE</t>
  </si>
  <si>
    <t>KS_MIAMI</t>
  </si>
  <si>
    <t>KS_MITCHELL</t>
  </si>
  <si>
    <t>KS_MONTGOMERY</t>
  </si>
  <si>
    <t>KS_MORRIS</t>
  </si>
  <si>
    <t>KS_MORTON</t>
  </si>
  <si>
    <t>KS_NEMAHA</t>
  </si>
  <si>
    <t>KS_NEOSHO</t>
  </si>
  <si>
    <t>KS_NESS</t>
  </si>
  <si>
    <t>KS_NORTON</t>
  </si>
  <si>
    <t>KS_OSAGE</t>
  </si>
  <si>
    <t>KS_OSBORNE</t>
  </si>
  <si>
    <t>KS_OTTAWA</t>
  </si>
  <si>
    <t>KS_PAWNEE</t>
  </si>
  <si>
    <t>KS_PHILLIPS</t>
  </si>
  <si>
    <t>KS_POTTAWATOMIE</t>
  </si>
  <si>
    <t>KS_PRATT</t>
  </si>
  <si>
    <t>KS_RAWLINS</t>
  </si>
  <si>
    <t>KS_RENO</t>
  </si>
  <si>
    <t>KS_REPUBLIC</t>
  </si>
  <si>
    <t>KS_RICE</t>
  </si>
  <si>
    <t>KS_RILEY</t>
  </si>
  <si>
    <t>KS_ROOKS</t>
  </si>
  <si>
    <t>KS_RUSH</t>
  </si>
  <si>
    <t>KS_RUSSELL</t>
  </si>
  <si>
    <t>KS_SALINE</t>
  </si>
  <si>
    <t>KS_SCOTT</t>
  </si>
  <si>
    <t>KS_SEDGWICK</t>
  </si>
  <si>
    <t>KS_SEWARD</t>
  </si>
  <si>
    <t>KS_SHAWNEE</t>
  </si>
  <si>
    <t>KS_SHERIDAN</t>
  </si>
  <si>
    <t>KS_SHERMAN</t>
  </si>
  <si>
    <t>KS_SMITH</t>
  </si>
  <si>
    <t>KS_STAFFORD</t>
  </si>
  <si>
    <t>KS_STANTON</t>
  </si>
  <si>
    <t>KS_STEVENS</t>
  </si>
  <si>
    <t>KS_SUMNER</t>
  </si>
  <si>
    <t>KS_THOMAS</t>
  </si>
  <si>
    <t>KS_TREGO</t>
  </si>
  <si>
    <t>KS_WABAUNSEE</t>
  </si>
  <si>
    <t>KS_WALLACE</t>
  </si>
  <si>
    <t>KS_WASHINGTON</t>
  </si>
  <si>
    <t>KS_WICHITA</t>
  </si>
  <si>
    <t>KS_WILSON</t>
  </si>
  <si>
    <t>KS_WOODSON</t>
  </si>
  <si>
    <t>KS_WYANDOTTE</t>
  </si>
  <si>
    <t>KY_ADAIR</t>
  </si>
  <si>
    <t>KY_ALLEN</t>
  </si>
  <si>
    <t>KY_ANDERSON</t>
  </si>
  <si>
    <t>KY_BALLARD</t>
  </si>
  <si>
    <t>KY_BARREN</t>
  </si>
  <si>
    <t>KY_BATH</t>
  </si>
  <si>
    <t>KY_BELL</t>
  </si>
  <si>
    <t>KY_BOONE</t>
  </si>
  <si>
    <t>KY_BOURBON</t>
  </si>
  <si>
    <t>KY_BOYD</t>
  </si>
  <si>
    <t>KY_BOYLE</t>
  </si>
  <si>
    <t>KY_BRACKEN</t>
  </si>
  <si>
    <t>KY_BREATHITT</t>
  </si>
  <si>
    <t>KY_BRECKINRIDGE</t>
  </si>
  <si>
    <t>KY_BULLITT</t>
  </si>
  <si>
    <t>KY_BUTLER</t>
  </si>
  <si>
    <t>KY_CALDWELL</t>
  </si>
  <si>
    <t>KY_CALLOWAY</t>
  </si>
  <si>
    <t>KY_CAMPBELL</t>
  </si>
  <si>
    <t>KY_CARLISLE</t>
  </si>
  <si>
    <t>KY_CARROLL</t>
  </si>
  <si>
    <t>KY_CARTER</t>
  </si>
  <si>
    <t>KY_CASEY</t>
  </si>
  <si>
    <t>KY_CHRISTIAN</t>
  </si>
  <si>
    <t>KY_CLARK</t>
  </si>
  <si>
    <t>KY_CLAY</t>
  </si>
  <si>
    <t>KY_CLINTON</t>
  </si>
  <si>
    <t>KY_CRITTENDEN</t>
  </si>
  <si>
    <t>KY_CUMBERLAND</t>
  </si>
  <si>
    <t>KY_DAVIESS</t>
  </si>
  <si>
    <t>KY_EDMONSON</t>
  </si>
  <si>
    <t>KY_ELLIOTT</t>
  </si>
  <si>
    <t>KY_ESTILL</t>
  </si>
  <si>
    <t>KY_FAYETTE</t>
  </si>
  <si>
    <t>KY_FLEMING</t>
  </si>
  <si>
    <t>KY_FLOYD</t>
  </si>
  <si>
    <t>KY_FRANKLIN</t>
  </si>
  <si>
    <t>KY_FULTON</t>
  </si>
  <si>
    <t>KY_GALLATIN</t>
  </si>
  <si>
    <t>KY_GARRARD</t>
  </si>
  <si>
    <t>KY_GRANT</t>
  </si>
  <si>
    <t>KY_GRAVES</t>
  </si>
  <si>
    <t>KY_GRAYSON</t>
  </si>
  <si>
    <t>KY_GREEN</t>
  </si>
  <si>
    <t>KY_GREENUP</t>
  </si>
  <si>
    <t>KY_HANCOCK</t>
  </si>
  <si>
    <t>KY_HARDIN</t>
  </si>
  <si>
    <t>KY_HARLAN</t>
  </si>
  <si>
    <t>KY_HARRISON</t>
  </si>
  <si>
    <t>KY_HART</t>
  </si>
  <si>
    <t>KY_HENDERSON</t>
  </si>
  <si>
    <t>KY_HENRY</t>
  </si>
  <si>
    <t>KY_HICKMAN</t>
  </si>
  <si>
    <t>KY_HOPKINS</t>
  </si>
  <si>
    <t>KY_JACKSON</t>
  </si>
  <si>
    <t>KY_JEFFERSON</t>
  </si>
  <si>
    <t>KY_JESSAMINE</t>
  </si>
  <si>
    <t>KY_JOHNSON</t>
  </si>
  <si>
    <t>KY_KENTON</t>
  </si>
  <si>
    <t>KY_KNOTT</t>
  </si>
  <si>
    <t>KY_KNOX</t>
  </si>
  <si>
    <t>KY_LARUE</t>
  </si>
  <si>
    <t>KY_LAUREL</t>
  </si>
  <si>
    <t>KY_LAWRENCE</t>
  </si>
  <si>
    <t>KY_LEE</t>
  </si>
  <si>
    <t>KY_LESLIE</t>
  </si>
  <si>
    <t>KY_LETCHER</t>
  </si>
  <si>
    <t>KY_LEWIS</t>
  </si>
  <si>
    <t>KY_LINCOLN</t>
  </si>
  <si>
    <t>KY_LIVINGSTON</t>
  </si>
  <si>
    <t>KY_LOGAN</t>
  </si>
  <si>
    <t>KY_LYON</t>
  </si>
  <si>
    <t>KY_MADISON</t>
  </si>
  <si>
    <t>KY_MAGOFFIN</t>
  </si>
  <si>
    <t>KY_MARION</t>
  </si>
  <si>
    <t>KY_MARSHALL</t>
  </si>
  <si>
    <t>KY_MARTIN</t>
  </si>
  <si>
    <t>KY_MASON</t>
  </si>
  <si>
    <t>KY_MCCRACKEN</t>
  </si>
  <si>
    <t>KY_MCCREARY</t>
  </si>
  <si>
    <t>KY_MCLEAN</t>
  </si>
  <si>
    <t>KY_MEADE</t>
  </si>
  <si>
    <t>KY_MENIFEE</t>
  </si>
  <si>
    <t>KY_MERCER</t>
  </si>
  <si>
    <t>KY_METCALFE</t>
  </si>
  <si>
    <t>KY_MONROE</t>
  </si>
  <si>
    <t>KY_MONTGOMERY</t>
  </si>
  <si>
    <t>KY_MORGAN</t>
  </si>
  <si>
    <t>KY_MUHLENBERG</t>
  </si>
  <si>
    <t>KY_NELSON</t>
  </si>
  <si>
    <t>KY_NICHOLAS</t>
  </si>
  <si>
    <t>KY_OHIO</t>
  </si>
  <si>
    <t>KY_OLDHAM</t>
  </si>
  <si>
    <t>KY_OWEN</t>
  </si>
  <si>
    <t>KY_OWSLEY</t>
  </si>
  <si>
    <t>KY_PENDLETON</t>
  </si>
  <si>
    <t>KY_PERRY</t>
  </si>
  <si>
    <t>KY_PIKE</t>
  </si>
  <si>
    <t>KY_POWELL</t>
  </si>
  <si>
    <t>KY_PULASKI</t>
  </si>
  <si>
    <t>KY_ROBERTSON</t>
  </si>
  <si>
    <t>KY_ROCKCASTLE</t>
  </si>
  <si>
    <t>KY_ROWAN</t>
  </si>
  <si>
    <t>KY_RUSSELL</t>
  </si>
  <si>
    <t>KY_SCOTT</t>
  </si>
  <si>
    <t>KY_SHELBY</t>
  </si>
  <si>
    <t>KY_SIMPSON</t>
  </si>
  <si>
    <t>KY_SPENCER</t>
  </si>
  <si>
    <t>KY_TAYLOR</t>
  </si>
  <si>
    <t>KY_TODD</t>
  </si>
  <si>
    <t>KY_TRIGG</t>
  </si>
  <si>
    <t>KY_TRIMBLE</t>
  </si>
  <si>
    <t>KY_UNION</t>
  </si>
  <si>
    <t>KY_WARREN</t>
  </si>
  <si>
    <t>KY_WASHINGTON</t>
  </si>
  <si>
    <t>KY_WAYNE</t>
  </si>
  <si>
    <t>KY_WEBSTER</t>
  </si>
  <si>
    <t>KY_WHITLEY</t>
  </si>
  <si>
    <t>KY_WOLFE</t>
  </si>
  <si>
    <t>KY_WOODFORD</t>
  </si>
  <si>
    <t>LA_ACADIA PARISH</t>
  </si>
  <si>
    <t>LA_ALLEN PARISH</t>
  </si>
  <si>
    <t>LA_ASCENSION PARISH</t>
  </si>
  <si>
    <t>LA_ASSUMPTION PARISH</t>
  </si>
  <si>
    <t>LA_AVOYELLES PARISH</t>
  </si>
  <si>
    <t>LA_BEAUREGARD PARISH</t>
  </si>
  <si>
    <t>LA_BIENVILLE PARISH</t>
  </si>
  <si>
    <t>LA_BOSSIER PARISH</t>
  </si>
  <si>
    <t>LA_CADDO PARISH</t>
  </si>
  <si>
    <t>LA_CALCASIEU PARISH</t>
  </si>
  <si>
    <t>LA_CALDWELL PARISH</t>
  </si>
  <si>
    <t>LA_CAMERON PARISH</t>
  </si>
  <si>
    <t>LA_CATAHOULA PARISH</t>
  </si>
  <si>
    <t>LA_CLAIBORNE PARISH</t>
  </si>
  <si>
    <t>LA_CONCORDIA PARISH</t>
  </si>
  <si>
    <t>LA_DE SOTO PARISH</t>
  </si>
  <si>
    <t>LA_EAST BATON ROUGE PARISH</t>
  </si>
  <si>
    <t>LA_EAST CARROLL PARISH</t>
  </si>
  <si>
    <t>LA_EAST FELICIANA PARISH</t>
  </si>
  <si>
    <t>LA_EVANGELINE PARISH</t>
  </si>
  <si>
    <t>LA_FRANKLIN PARISH</t>
  </si>
  <si>
    <t>LA_GRANT PARISH</t>
  </si>
  <si>
    <t>LA_IBERIA PARISH</t>
  </si>
  <si>
    <t>LA_IBERVILLE PARISH</t>
  </si>
  <si>
    <t>LA_JACKSON PARISH</t>
  </si>
  <si>
    <t>LA_JEFFERSON DAVIS PARISH</t>
  </si>
  <si>
    <t>LA_JEFFERSON PARISH</t>
  </si>
  <si>
    <t>LA_LA SALLE PARISH</t>
  </si>
  <si>
    <t>LA_LAFAYETTE PARISH</t>
  </si>
  <si>
    <t>LA_LAFOURCHE PARISH</t>
  </si>
  <si>
    <t>LA_LINCOLN PARISH</t>
  </si>
  <si>
    <t>LA_LIVINGSTON PARISH</t>
  </si>
  <si>
    <t>LA_MADISON PARISH</t>
  </si>
  <si>
    <t>LA_MOREHOUSE PARISH</t>
  </si>
  <si>
    <t>LA_NATCHITOCHES PARISH</t>
  </si>
  <si>
    <t>LA_ORLEANS PARISH</t>
  </si>
  <si>
    <t>LA_OUACHITA PARISH</t>
  </si>
  <si>
    <t>LA_PLAQUEMINES PARISH</t>
  </si>
  <si>
    <t>LA_POINTE COUPEE PARISH</t>
  </si>
  <si>
    <t>LA_RAPIDES PARISH</t>
  </si>
  <si>
    <t>LA_RED RIVER PARISH</t>
  </si>
  <si>
    <t>LA_RICHLAND PARISH</t>
  </si>
  <si>
    <t>LA_SABINE PARISH</t>
  </si>
  <si>
    <t>LA_ST. BERNARD PARISH</t>
  </si>
  <si>
    <t>LA_ST. CHARLES PARISH</t>
  </si>
  <si>
    <t>LA_ST. HELENA PARISH</t>
  </si>
  <si>
    <t>LA_ST. JAMES PARISH</t>
  </si>
  <si>
    <t>LA_ST. JOHN THE BAPTIST PARISH</t>
  </si>
  <si>
    <t>LA_ST. LANDRY PARISH</t>
  </si>
  <si>
    <t>LA_ST. MARTIN PARISH</t>
  </si>
  <si>
    <t>LA_ST. MARY PARISH</t>
  </si>
  <si>
    <t>LA_ST. TAMMANY PARISH</t>
  </si>
  <si>
    <t>LA_TANGIPAHOA PARISH</t>
  </si>
  <si>
    <t>LA_TENSAS PARISH</t>
  </si>
  <si>
    <t>LA_TERREBONNE PARISH</t>
  </si>
  <si>
    <t>LA_UNION PARISH</t>
  </si>
  <si>
    <t>LA_VERMILION PARISH</t>
  </si>
  <si>
    <t>LA_VERNON PARISH</t>
  </si>
  <si>
    <t>LA_WASHINGTON PARISH</t>
  </si>
  <si>
    <t>LA_WEBSTER PARISH</t>
  </si>
  <si>
    <t>LA_WEST BATON ROUGE PARISH</t>
  </si>
  <si>
    <t>LA_WEST CARROLL PARISH</t>
  </si>
  <si>
    <t>LA_WEST FELICIANA PARISH</t>
  </si>
  <si>
    <t>LA_WINN PARISH</t>
  </si>
  <si>
    <t>MA_BARNSTABLE</t>
  </si>
  <si>
    <t>MA_BERKSHIRE</t>
  </si>
  <si>
    <t>MA_BRISTOL</t>
  </si>
  <si>
    <t>MA_DUKES</t>
  </si>
  <si>
    <t>MA_ESSEX</t>
  </si>
  <si>
    <t>MA_FRANKLIN</t>
  </si>
  <si>
    <t>MA_HAMPDEN</t>
  </si>
  <si>
    <t>MA_HAMPSHIRE</t>
  </si>
  <si>
    <t>MA_MIDDLESEX</t>
  </si>
  <si>
    <t>MA_NANTUCKET</t>
  </si>
  <si>
    <t>MA_NORFOLK</t>
  </si>
  <si>
    <t>MA_PLYMOUTH</t>
  </si>
  <si>
    <t>MA_SUFFOLK</t>
  </si>
  <si>
    <t>MA_WORCESTER</t>
  </si>
  <si>
    <t>MD_ALLEGANY</t>
  </si>
  <si>
    <t>MD_ANNE ARUNDEL</t>
  </si>
  <si>
    <t>MD_BALTIMORE</t>
  </si>
  <si>
    <t>MD_BALTIMORE CITY</t>
  </si>
  <si>
    <t>MD_CALVERT</t>
  </si>
  <si>
    <t>MD_CAROLINE</t>
  </si>
  <si>
    <t>MD_CARROLL</t>
  </si>
  <si>
    <t>MD_CECIL</t>
  </si>
  <si>
    <t>MD_CHARLES</t>
  </si>
  <si>
    <t>MD_DORCHESTER</t>
  </si>
  <si>
    <t>MD_FREDERICK</t>
  </si>
  <si>
    <t>MD_GARRETT</t>
  </si>
  <si>
    <t>MD_HARFORD</t>
  </si>
  <si>
    <t>MD_HOWARD</t>
  </si>
  <si>
    <t>MD_KENT</t>
  </si>
  <si>
    <t>MD_MONTGOMERY</t>
  </si>
  <si>
    <t>MD_PRINCE GEORGE'S</t>
  </si>
  <si>
    <t>MD_QUEEN ANNE'S</t>
  </si>
  <si>
    <t>MD_SOMERSET</t>
  </si>
  <si>
    <t>MD_ST. MARY'S</t>
  </si>
  <si>
    <t>MD_TALBOT</t>
  </si>
  <si>
    <t>MD_WASHINGTON</t>
  </si>
  <si>
    <t>MD_WICOMICO</t>
  </si>
  <si>
    <t>MD_WORCESTER</t>
  </si>
  <si>
    <t>ME_ANDROSCOGGIN</t>
  </si>
  <si>
    <t>ME_AROOSTOOK</t>
  </si>
  <si>
    <t>ME_CUMBERLAND</t>
  </si>
  <si>
    <t>ME_FRANKLIN</t>
  </si>
  <si>
    <t>ME_HANCOCK</t>
  </si>
  <si>
    <t>ME_KENNEBEC</t>
  </si>
  <si>
    <t>ME_KNOX</t>
  </si>
  <si>
    <t>ME_LINCOLN</t>
  </si>
  <si>
    <t>ME_OXFORD</t>
  </si>
  <si>
    <t>ME_PENOBSCOT</t>
  </si>
  <si>
    <t>ME_PISCATAQUIS</t>
  </si>
  <si>
    <t>ME_SAGADAHOC</t>
  </si>
  <si>
    <t>ME_SOMERSET</t>
  </si>
  <si>
    <t>ME_WALDO</t>
  </si>
  <si>
    <t>ME_WASHINGTON</t>
  </si>
  <si>
    <t>ME_YORK</t>
  </si>
  <si>
    <t>MI_ALCONA</t>
  </si>
  <si>
    <t>MI_ALGER</t>
  </si>
  <si>
    <t>MI_ALLEGAN</t>
  </si>
  <si>
    <t>MI_ALPENA</t>
  </si>
  <si>
    <t>MI_ANTRIM</t>
  </si>
  <si>
    <t>MI_ARENAC</t>
  </si>
  <si>
    <t>MI_BARAGA</t>
  </si>
  <si>
    <t>MI_BARRY</t>
  </si>
  <si>
    <t>MI_BAY</t>
  </si>
  <si>
    <t>MI_BENZIE</t>
  </si>
  <si>
    <t>MI_BERRIEN</t>
  </si>
  <si>
    <t>MI_BRANCH</t>
  </si>
  <si>
    <t>MI_CALHOUN</t>
  </si>
  <si>
    <t>MI_CASS</t>
  </si>
  <si>
    <t>MI_CHARLEVOIX</t>
  </si>
  <si>
    <t>MI_CHEBOYGAN</t>
  </si>
  <si>
    <t>MI_CHIPPEWA</t>
  </si>
  <si>
    <t>MI_CLARE</t>
  </si>
  <si>
    <t>MI_CLINTON</t>
  </si>
  <si>
    <t>MI_CRAWFORD</t>
  </si>
  <si>
    <t>MI_DELTA</t>
  </si>
  <si>
    <t>MI_DICKINSON</t>
  </si>
  <si>
    <t>MI_EATON</t>
  </si>
  <si>
    <t>MI_EMMET</t>
  </si>
  <si>
    <t>MI_GENESEE</t>
  </si>
  <si>
    <t>MI_GLADWIN</t>
  </si>
  <si>
    <t>MI_GOGEBIC</t>
  </si>
  <si>
    <t>MI_GRAND TRAVERSE</t>
  </si>
  <si>
    <t>MI_GRATIOT</t>
  </si>
  <si>
    <t>MI_HILLSDALE</t>
  </si>
  <si>
    <t>MI_HOUGHTON</t>
  </si>
  <si>
    <t>MI_HURON</t>
  </si>
  <si>
    <t>MI_INGHAM</t>
  </si>
  <si>
    <t>MI_IONIA</t>
  </si>
  <si>
    <t>MI_IOSCO</t>
  </si>
  <si>
    <t>MI_IRON</t>
  </si>
  <si>
    <t>MI_ISABELLA</t>
  </si>
  <si>
    <t>MI_JACKSON</t>
  </si>
  <si>
    <t>MI_KALAMAZOO</t>
  </si>
  <si>
    <t>MI_KALKASKA</t>
  </si>
  <si>
    <t>MI_KENT</t>
  </si>
  <si>
    <t>MI_KEWEENAW</t>
  </si>
  <si>
    <t>MI_LAKE</t>
  </si>
  <si>
    <t>MI_LAPEER</t>
  </si>
  <si>
    <t>MI_LEELANAU</t>
  </si>
  <si>
    <t>MI_LENAWEE</t>
  </si>
  <si>
    <t>MI_LIVINGSTON</t>
  </si>
  <si>
    <t>MI_LUCE</t>
  </si>
  <si>
    <t>MI_MACKINAC</t>
  </si>
  <si>
    <t>MI_MACOMB</t>
  </si>
  <si>
    <t>MI_MANISTEE</t>
  </si>
  <si>
    <t>MI_MARQUETTE</t>
  </si>
  <si>
    <t>MI_MASON</t>
  </si>
  <si>
    <t>MI_MECOSTA</t>
  </si>
  <si>
    <t>MI_MENOMINEE</t>
  </si>
  <si>
    <t>MI_MIDLAND</t>
  </si>
  <si>
    <t>MI_MISSAUKEE</t>
  </si>
  <si>
    <t>MI_MONROE</t>
  </si>
  <si>
    <t>MI_MONTCALM</t>
  </si>
  <si>
    <t>MI_MONTMORENCY</t>
  </si>
  <si>
    <t>MI_MUSKEGON</t>
  </si>
  <si>
    <t>MI_NEWAYGO</t>
  </si>
  <si>
    <t>MI_OAKLAND</t>
  </si>
  <si>
    <t>MI_OCEANA</t>
  </si>
  <si>
    <t>MI_OGEMAW</t>
  </si>
  <si>
    <t>MI_ONTONAGON</t>
  </si>
  <si>
    <t>MI_OSCEOLA</t>
  </si>
  <si>
    <t>MI_OSCODA</t>
  </si>
  <si>
    <t>MI_OTSEGO</t>
  </si>
  <si>
    <t>MI_OTTAWA</t>
  </si>
  <si>
    <t>MI_PRESQUE ISLE</t>
  </si>
  <si>
    <t>MI_ROSCOMMON</t>
  </si>
  <si>
    <t>MI_SAGINAW</t>
  </si>
  <si>
    <t>MI_SANILAC</t>
  </si>
  <si>
    <t>MI_SCHOOLCRAFT</t>
  </si>
  <si>
    <t>MI_SHIAWASSEE</t>
  </si>
  <si>
    <t>MI_ST. CLAIR</t>
  </si>
  <si>
    <t>MI_ST. JOSEPH</t>
  </si>
  <si>
    <t>MI_TUSCOLA</t>
  </si>
  <si>
    <t>MI_VAN BUREN</t>
  </si>
  <si>
    <t>MI_WASHTENAW</t>
  </si>
  <si>
    <t>MI_WAYNE</t>
  </si>
  <si>
    <t>MI_WEXFORD</t>
  </si>
  <si>
    <t>MN_AITKIN</t>
  </si>
  <si>
    <t>MN_ANOKA</t>
  </si>
  <si>
    <t>MN_BECKER</t>
  </si>
  <si>
    <t>MN_BELTRAMI</t>
  </si>
  <si>
    <t>MN_BENTON</t>
  </si>
  <si>
    <t>MN_BIG STONE</t>
  </si>
  <si>
    <t>MN_BLUE EARTH</t>
  </si>
  <si>
    <t>MN_BROWN</t>
  </si>
  <si>
    <t>MN_CARLTON</t>
  </si>
  <si>
    <t>MN_CARVER</t>
  </si>
  <si>
    <t>MN_CASS</t>
  </si>
  <si>
    <t>MN_CHIPPEWA</t>
  </si>
  <si>
    <t>MN_CHISAGO</t>
  </si>
  <si>
    <t>MN_CLAY</t>
  </si>
  <si>
    <t>MN_CLEARWATER</t>
  </si>
  <si>
    <t>MN_COOK</t>
  </si>
  <si>
    <t>MN_COTTONWOOD</t>
  </si>
  <si>
    <t>MN_CROW WING</t>
  </si>
  <si>
    <t>MN_DAKOTA</t>
  </si>
  <si>
    <t>MN_DODGE</t>
  </si>
  <si>
    <t>MN_DOUGLAS</t>
  </si>
  <si>
    <t>MN_FARIBAULT</t>
  </si>
  <si>
    <t>MN_FILLMORE</t>
  </si>
  <si>
    <t>MN_FREEBORN</t>
  </si>
  <si>
    <t>MN_GOODHUE</t>
  </si>
  <si>
    <t>MN_GRANT</t>
  </si>
  <si>
    <t>MN_HENNEPIN</t>
  </si>
  <si>
    <t>MN_HOUSTON</t>
  </si>
  <si>
    <t>MN_HUBBARD</t>
  </si>
  <si>
    <t>MN_ISANTI</t>
  </si>
  <si>
    <t>MN_ITASCA</t>
  </si>
  <si>
    <t>MN_JACKSON</t>
  </si>
  <si>
    <t>MN_KANABEC</t>
  </si>
  <si>
    <t>MN_KANDIYOHI</t>
  </si>
  <si>
    <t>MN_KITTSON</t>
  </si>
  <si>
    <t>MN_KOOCHICHING</t>
  </si>
  <si>
    <t>MN_LAC QUI PARLE</t>
  </si>
  <si>
    <t>MN_LAKE</t>
  </si>
  <si>
    <t>MN_LAKE OF THE WOODS</t>
  </si>
  <si>
    <t>MN_LE SUEUR</t>
  </si>
  <si>
    <t>MN_LINCOLN</t>
  </si>
  <si>
    <t>MN_LYON</t>
  </si>
  <si>
    <t>MN_MAHNOMEN</t>
  </si>
  <si>
    <t>MN_MARSHALL</t>
  </si>
  <si>
    <t>MN_MARTIN</t>
  </si>
  <si>
    <t>MN_MCLEOD</t>
  </si>
  <si>
    <t>MN_MEEKER</t>
  </si>
  <si>
    <t>MN_MILLE LACS</t>
  </si>
  <si>
    <t>MN_MORRISON</t>
  </si>
  <si>
    <t>MN_MOWER</t>
  </si>
  <si>
    <t>MN_MURRAY</t>
  </si>
  <si>
    <t>MN_NICOLLET</t>
  </si>
  <si>
    <t>MN_NOBLES</t>
  </si>
  <si>
    <t>MN_NORMAN</t>
  </si>
  <si>
    <t>MN_OLMSTED</t>
  </si>
  <si>
    <t>MN_OTTER TAIL</t>
  </si>
  <si>
    <t>MN_PENNINGTON</t>
  </si>
  <si>
    <t>MN_PINE</t>
  </si>
  <si>
    <t>MN_PIPESTONE</t>
  </si>
  <si>
    <t>MN_POLK</t>
  </si>
  <si>
    <t>MN_POPE</t>
  </si>
  <si>
    <t>MN_RAMSEY</t>
  </si>
  <si>
    <t>MN_RED LAKE</t>
  </si>
  <si>
    <t>MN_REDWOOD</t>
  </si>
  <si>
    <t>MN_RENVILLE</t>
  </si>
  <si>
    <t>MN_RICE</t>
  </si>
  <si>
    <t>MN_ROCK</t>
  </si>
  <si>
    <t>MN_ROSEAU</t>
  </si>
  <si>
    <t>MN_SCOTT</t>
  </si>
  <si>
    <t>MN_SHERBURNE</t>
  </si>
  <si>
    <t>MN_SIBLEY</t>
  </si>
  <si>
    <t>MN_ST. LOUIS</t>
  </si>
  <si>
    <t>MN_STEARNS</t>
  </si>
  <si>
    <t>MN_STEELE</t>
  </si>
  <si>
    <t>MN_STEVENS</t>
  </si>
  <si>
    <t>MN_SWIFT</t>
  </si>
  <si>
    <t>MN_TODD</t>
  </si>
  <si>
    <t>MN_TRAVERSE</t>
  </si>
  <si>
    <t>MN_WABASHA</t>
  </si>
  <si>
    <t>MN_WADENA</t>
  </si>
  <si>
    <t>MN_WASECA</t>
  </si>
  <si>
    <t>MN_WASHINGTON</t>
  </si>
  <si>
    <t>MN_WATONWAN</t>
  </si>
  <si>
    <t>MN_WILKIN</t>
  </si>
  <si>
    <t>MN_WINONA</t>
  </si>
  <si>
    <t>MN_WRIGHT</t>
  </si>
  <si>
    <t>MN_YELLOW MEDICINE</t>
  </si>
  <si>
    <t>MO_ADAIR</t>
  </si>
  <si>
    <t>MO_ANDREW</t>
  </si>
  <si>
    <t>MO_ATCHISON</t>
  </si>
  <si>
    <t>MO_AUDRAIN</t>
  </si>
  <si>
    <t>MO_BARRY</t>
  </si>
  <si>
    <t>MO_BARTON</t>
  </si>
  <si>
    <t>MO_BATES</t>
  </si>
  <si>
    <t>MO_BENTON</t>
  </si>
  <si>
    <t>MO_BOLLINGER</t>
  </si>
  <si>
    <t>MO_BOONE</t>
  </si>
  <si>
    <t>MO_BUCHANAN</t>
  </si>
  <si>
    <t>MO_BUTLER</t>
  </si>
  <si>
    <t>MO_CALDWELL</t>
  </si>
  <si>
    <t>MO_CALLAWAY</t>
  </si>
  <si>
    <t>MO_CAMDEN</t>
  </si>
  <si>
    <t>MO_CAPE GIRARDEAU</t>
  </si>
  <si>
    <t>MO_CARROLL</t>
  </si>
  <si>
    <t>MO_CARTER</t>
  </si>
  <si>
    <t>MO_CASS</t>
  </si>
  <si>
    <t>MO_CEDAR</t>
  </si>
  <si>
    <t>MO_CHARITON</t>
  </si>
  <si>
    <t>MO_CHRISTIAN</t>
  </si>
  <si>
    <t>MO_CLARK</t>
  </si>
  <si>
    <t>MO_CLAY</t>
  </si>
  <si>
    <t>MO_CLINTON</t>
  </si>
  <si>
    <t>MO_COLE</t>
  </si>
  <si>
    <t>MO_COOPER</t>
  </si>
  <si>
    <t>MO_CRAWFORD</t>
  </si>
  <si>
    <t>MO_DADE</t>
  </si>
  <si>
    <t>MO_DALLAS</t>
  </si>
  <si>
    <t>MO_DAVIESS</t>
  </si>
  <si>
    <t>MO_DEKALB</t>
  </si>
  <si>
    <t>MO_DENT</t>
  </si>
  <si>
    <t>MO_DOUGLAS</t>
  </si>
  <si>
    <t>MO_DUNKLIN</t>
  </si>
  <si>
    <t>MO_FRANKLIN</t>
  </si>
  <si>
    <t>MO_GASCONADE</t>
  </si>
  <si>
    <t>MO_GENTRY</t>
  </si>
  <si>
    <t>MO_GREENE</t>
  </si>
  <si>
    <t>MO_GRUNDY</t>
  </si>
  <si>
    <t>MO_HARRISON</t>
  </si>
  <si>
    <t>MO_HENRY</t>
  </si>
  <si>
    <t>MO_HICKORY</t>
  </si>
  <si>
    <t>MO_HOLT</t>
  </si>
  <si>
    <t>MO_HOWARD</t>
  </si>
  <si>
    <t>MO_HOWELL</t>
  </si>
  <si>
    <t>MO_IRON</t>
  </si>
  <si>
    <t>MO_JACKSON</t>
  </si>
  <si>
    <t>MO_JASPER</t>
  </si>
  <si>
    <t>MO_JEFFERSON</t>
  </si>
  <si>
    <t>MO_JOHNSON</t>
  </si>
  <si>
    <t>MO_KNOX</t>
  </si>
  <si>
    <t>MO_LACLEDE</t>
  </si>
  <si>
    <t>MO_LAFAYETTE</t>
  </si>
  <si>
    <t>MO_LAWRENCE</t>
  </si>
  <si>
    <t>MO_LEWIS</t>
  </si>
  <si>
    <t>MO_LINCOLN</t>
  </si>
  <si>
    <t>MO_LINN</t>
  </si>
  <si>
    <t>MO_LIVINGSTON</t>
  </si>
  <si>
    <t>MO_MACON</t>
  </si>
  <si>
    <t>MO_MADISON</t>
  </si>
  <si>
    <t>MO_MARIES</t>
  </si>
  <si>
    <t>MO_MARION</t>
  </si>
  <si>
    <t>MO_MCDONALD</t>
  </si>
  <si>
    <t>MO_MERCER</t>
  </si>
  <si>
    <t>MO_MILLER</t>
  </si>
  <si>
    <t>MO_MISSISSIPPI</t>
  </si>
  <si>
    <t>MO_MONITEAU</t>
  </si>
  <si>
    <t>MO_MONROE</t>
  </si>
  <si>
    <t>MO_MONTGOMERY</t>
  </si>
  <si>
    <t>MO_MORGAN</t>
  </si>
  <si>
    <t>MO_NEW MADRID</t>
  </si>
  <si>
    <t>MO_NEWTON</t>
  </si>
  <si>
    <t>MO_NODAWAY</t>
  </si>
  <si>
    <t>MO_OREGON</t>
  </si>
  <si>
    <t>MO_OSAGE</t>
  </si>
  <si>
    <t>MO_OZARK</t>
  </si>
  <si>
    <t>MO_PEMISCOT</t>
  </si>
  <si>
    <t>MO_PERRY</t>
  </si>
  <si>
    <t>MO_PETTIS</t>
  </si>
  <si>
    <t>MO_PHELPS</t>
  </si>
  <si>
    <t>MO_PIKE</t>
  </si>
  <si>
    <t>MO_PLATTE</t>
  </si>
  <si>
    <t>MO_POLK</t>
  </si>
  <si>
    <t>MO_PULASKI</t>
  </si>
  <si>
    <t>MO_PUTNAM</t>
  </si>
  <si>
    <t>MO_RALLS</t>
  </si>
  <si>
    <t>MO_RANDOLPH</t>
  </si>
  <si>
    <t>MO_RAY</t>
  </si>
  <si>
    <t>MO_REYNOLDS</t>
  </si>
  <si>
    <t>MO_RIPLEY</t>
  </si>
  <si>
    <t>MO_SALINE</t>
  </si>
  <si>
    <t>MO_SCHUYLER</t>
  </si>
  <si>
    <t>MO_SCOTLAND</t>
  </si>
  <si>
    <t>MO_SCOTT</t>
  </si>
  <si>
    <t>MO_SHANNON</t>
  </si>
  <si>
    <t>MO_SHELBY</t>
  </si>
  <si>
    <t>MO_ST. CHARLES</t>
  </si>
  <si>
    <t>MO_ST. CLAIR</t>
  </si>
  <si>
    <t>MO_ST. FRANCOIS</t>
  </si>
  <si>
    <t>MO_ST. LOUIS</t>
  </si>
  <si>
    <t>MO_ST. LOUIS CITY</t>
  </si>
  <si>
    <t>MO_STE. GENEVIEVE</t>
  </si>
  <si>
    <t>MO_STODDARD</t>
  </si>
  <si>
    <t>MO_STONE</t>
  </si>
  <si>
    <t>MO_SULLIVAN</t>
  </si>
  <si>
    <t>MO_TANEY</t>
  </si>
  <si>
    <t>MO_TEXAS</t>
  </si>
  <si>
    <t>MO_VERNON</t>
  </si>
  <si>
    <t>MO_WARREN</t>
  </si>
  <si>
    <t>MO_WASHINGTON</t>
  </si>
  <si>
    <t>MO_WAYNE</t>
  </si>
  <si>
    <t>MO_WEBSTER</t>
  </si>
  <si>
    <t>MO_WORTH</t>
  </si>
  <si>
    <t>MO_WRIGHT</t>
  </si>
  <si>
    <t>MP_NORTHERN ISLANDS</t>
  </si>
  <si>
    <t>MP_ROTA</t>
  </si>
  <si>
    <t>MP_SAIPAN</t>
  </si>
  <si>
    <t>MP_TINIAN</t>
  </si>
  <si>
    <t>MS_ADAMS</t>
  </si>
  <si>
    <t>MS_ALCORN</t>
  </si>
  <si>
    <t>MS_AMITE</t>
  </si>
  <si>
    <t>MS_ATTALA</t>
  </si>
  <si>
    <t>MS_BENTON</t>
  </si>
  <si>
    <t>MS_BOLIVAR</t>
  </si>
  <si>
    <t>MS_CALHOUN</t>
  </si>
  <si>
    <t>MS_CARROLL</t>
  </si>
  <si>
    <t>MS_CHICKASAW</t>
  </si>
  <si>
    <t>MS_CHOCTAW</t>
  </si>
  <si>
    <t>MS_CLAIBORNE</t>
  </si>
  <si>
    <t>MS_CLARKE</t>
  </si>
  <si>
    <t>MS_CLAY</t>
  </si>
  <si>
    <t>MS_COAHOMA</t>
  </si>
  <si>
    <t>MS_COPIAH</t>
  </si>
  <si>
    <t>MS_COVINGTON</t>
  </si>
  <si>
    <t>MS_DE SOTO</t>
  </si>
  <si>
    <t>MS_FORREST</t>
  </si>
  <si>
    <t>MS_FRANKLIN</t>
  </si>
  <si>
    <t>MS_GEORGE</t>
  </si>
  <si>
    <t>MS_GREENE</t>
  </si>
  <si>
    <t>MS_GRENADA</t>
  </si>
  <si>
    <t>MS_HANCOCK</t>
  </si>
  <si>
    <t>MS_HARRISON</t>
  </si>
  <si>
    <t>MS_HINDS</t>
  </si>
  <si>
    <t>MS_HOLMES</t>
  </si>
  <si>
    <t>MS_HUMPHREYS</t>
  </si>
  <si>
    <t>MS_ISSAQUENA</t>
  </si>
  <si>
    <t>MS_ITAWAMBA</t>
  </si>
  <si>
    <t>MS_JACKSON</t>
  </si>
  <si>
    <t>MS_JASPER</t>
  </si>
  <si>
    <t>MS_JEFFERSON</t>
  </si>
  <si>
    <t>MS_JEFFERSON DAVIS</t>
  </si>
  <si>
    <t>MS_JONES</t>
  </si>
  <si>
    <t>MS_KEMPER</t>
  </si>
  <si>
    <t>MS_LAFAYETTE</t>
  </si>
  <si>
    <t>MS_LAMAR</t>
  </si>
  <si>
    <t>MS_LAUDERDALE</t>
  </si>
  <si>
    <t>MS_LAWRENCE</t>
  </si>
  <si>
    <t>MS_LEAKE</t>
  </si>
  <si>
    <t>MS_LEE</t>
  </si>
  <si>
    <t>MS_LEFLORE</t>
  </si>
  <si>
    <t>MS_LINCOLN</t>
  </si>
  <si>
    <t>MS_LOWNDES</t>
  </si>
  <si>
    <t>MS_MADISON</t>
  </si>
  <si>
    <t>MS_MARION</t>
  </si>
  <si>
    <t>MS_MARSHALL</t>
  </si>
  <si>
    <t>MS_MONROE</t>
  </si>
  <si>
    <t>MS_MONTGOMERY</t>
  </si>
  <si>
    <t>MS_NESHOBA</t>
  </si>
  <si>
    <t>MS_NEWTON</t>
  </si>
  <si>
    <t>MS_NOXUBEE</t>
  </si>
  <si>
    <t>MS_OKTIBBEHA</t>
  </si>
  <si>
    <t>MS_PANOLA</t>
  </si>
  <si>
    <t>MS_PEARL RIVER</t>
  </si>
  <si>
    <t>MS_PERRY</t>
  </si>
  <si>
    <t>MS_PIKE</t>
  </si>
  <si>
    <t>MS_PONTOTOC</t>
  </si>
  <si>
    <t>MS_PRENTISS</t>
  </si>
  <si>
    <t>MS_QUITMAN</t>
  </si>
  <si>
    <t>MS_RANKIN</t>
  </si>
  <si>
    <t>MS_SCOTT</t>
  </si>
  <si>
    <t>MS_SHARKEY</t>
  </si>
  <si>
    <t>MS_SIMPSON</t>
  </si>
  <si>
    <t>MS_SMITH</t>
  </si>
  <si>
    <t>MS_STONE</t>
  </si>
  <si>
    <t>MS_SUNFLOWER</t>
  </si>
  <si>
    <t>MS_TALLAHATCHIE</t>
  </si>
  <si>
    <t>MS_TATE</t>
  </si>
  <si>
    <t>MS_TIPPAH</t>
  </si>
  <si>
    <t>MS_TISHOMINGO</t>
  </si>
  <si>
    <t>MS_TUNICA</t>
  </si>
  <si>
    <t>MS_UNION</t>
  </si>
  <si>
    <t>MS_WALTHALL</t>
  </si>
  <si>
    <t>MS_WARREN</t>
  </si>
  <si>
    <t>MS_WASHINGTON</t>
  </si>
  <si>
    <t>MS_WAYNE</t>
  </si>
  <si>
    <t>MS_WEBSTER</t>
  </si>
  <si>
    <t>MS_WILKINSON</t>
  </si>
  <si>
    <t>MS_WINSTON</t>
  </si>
  <si>
    <t>MS_YALOBUSHA</t>
  </si>
  <si>
    <t>MS_YAZOO</t>
  </si>
  <si>
    <t>MT_BEAVERHEAD</t>
  </si>
  <si>
    <t>MT_BIG HORN</t>
  </si>
  <si>
    <t>MT_BLAINE</t>
  </si>
  <si>
    <t>MT_BROADWATER</t>
  </si>
  <si>
    <t>MT_CARBON</t>
  </si>
  <si>
    <t>MT_CARTER</t>
  </si>
  <si>
    <t>MT_CASCADE</t>
  </si>
  <si>
    <t>MT_CHOUTEAU</t>
  </si>
  <si>
    <t>MT_CUSTER</t>
  </si>
  <si>
    <t>MT_DANIELS</t>
  </si>
  <si>
    <t>MT_DAWSON</t>
  </si>
  <si>
    <t>MT_DEER LODGE</t>
  </si>
  <si>
    <t>MT_FALLON</t>
  </si>
  <si>
    <t>MT_FERGUS</t>
  </si>
  <si>
    <t>MT_FLATHEAD</t>
  </si>
  <si>
    <t>MT_GALLATIN</t>
  </si>
  <si>
    <t>MT_GARFIELD</t>
  </si>
  <si>
    <t>MT_GLACIER</t>
  </si>
  <si>
    <t>MT_GOLDEN VALLEY</t>
  </si>
  <si>
    <t>MT_GRANITE</t>
  </si>
  <si>
    <t>MT_HILL</t>
  </si>
  <si>
    <t>MT_JEFFERSON</t>
  </si>
  <si>
    <t>MT_JUDITH BASIN</t>
  </si>
  <si>
    <t>MT_LAKE</t>
  </si>
  <si>
    <t>MT_LEWIS AND CLARK</t>
  </si>
  <si>
    <t>MT_LIBERTY</t>
  </si>
  <si>
    <t>MT_LINCOLN</t>
  </si>
  <si>
    <t>MT_MADISON</t>
  </si>
  <si>
    <t>MT_MCCONE</t>
  </si>
  <si>
    <t>MT_MEAGHER</t>
  </si>
  <si>
    <t>MT_MINERAL</t>
  </si>
  <si>
    <t>MT_MISSOULA</t>
  </si>
  <si>
    <t>MT_MUSSELSHELL</t>
  </si>
  <si>
    <t>MT_PARK</t>
  </si>
  <si>
    <t>MT_PETROLEUM</t>
  </si>
  <si>
    <t>MT_PHILLIPS</t>
  </si>
  <si>
    <t>MT_PONDERA</t>
  </si>
  <si>
    <t>MT_POWDER RIVER</t>
  </si>
  <si>
    <t>MT_POWELL</t>
  </si>
  <si>
    <t>MT_PRAIRIE</t>
  </si>
  <si>
    <t>MT_RAVALLI</t>
  </si>
  <si>
    <t>MT_RICHLAND</t>
  </si>
  <si>
    <t>MT_ROOSEVELT</t>
  </si>
  <si>
    <t>MT_ROSEBUD</t>
  </si>
  <si>
    <t>MT_SANDERS</t>
  </si>
  <si>
    <t>MT_SHERIDAN</t>
  </si>
  <si>
    <t>MT_SILVER BOW</t>
  </si>
  <si>
    <t>MT_STILLWATER</t>
  </si>
  <si>
    <t>MT_SWEET GRASS</t>
  </si>
  <si>
    <t>MT_TETON</t>
  </si>
  <si>
    <t>MT_TOOLE</t>
  </si>
  <si>
    <t>MT_TREASURE</t>
  </si>
  <si>
    <t>MT_VALLEY</t>
  </si>
  <si>
    <t>MT_WHEATLAND</t>
  </si>
  <si>
    <t>MT_WIBAUX</t>
  </si>
  <si>
    <t>MT_YELLOWSTONE</t>
  </si>
  <si>
    <t>NC_ALAMANCE</t>
  </si>
  <si>
    <t>NC_ALEXANDER</t>
  </si>
  <si>
    <t>NC_ALLEGHANY</t>
  </si>
  <si>
    <t>NC_ANSON</t>
  </si>
  <si>
    <t>NC_ASHE</t>
  </si>
  <si>
    <t>NC_AVERY</t>
  </si>
  <si>
    <t>NC_BEAUFORT</t>
  </si>
  <si>
    <t>NC_BERTIE</t>
  </si>
  <si>
    <t>NC_BLADEN</t>
  </si>
  <si>
    <t>NC_BRUNSWICK</t>
  </si>
  <si>
    <t>NC_BUNCOMBE</t>
  </si>
  <si>
    <t>NC_BURKE</t>
  </si>
  <si>
    <t>NC_CABARRUS</t>
  </si>
  <si>
    <t>NC_CALDWELL</t>
  </si>
  <si>
    <t>NC_CAMDEN</t>
  </si>
  <si>
    <t>NC_CARTERET</t>
  </si>
  <si>
    <t>NC_CASWELL</t>
  </si>
  <si>
    <t>NC_CATAWBA</t>
  </si>
  <si>
    <t>NC_CHATHAM</t>
  </si>
  <si>
    <t>NC_CHEROKEE</t>
  </si>
  <si>
    <t>NC_CHOWAN</t>
  </si>
  <si>
    <t>NC_CLAY</t>
  </si>
  <si>
    <t>NC_CLEVELAND</t>
  </si>
  <si>
    <t>NC_COLUMBUS</t>
  </si>
  <si>
    <t>NC_CRAVEN</t>
  </si>
  <si>
    <t>NC_CUMBERLAND</t>
  </si>
  <si>
    <t>NC_CURRITUCK</t>
  </si>
  <si>
    <t>NC_DARE</t>
  </si>
  <si>
    <t>NC_DAVIDSON</t>
  </si>
  <si>
    <t>NC_DAVIE</t>
  </si>
  <si>
    <t>NC_DUPLIN</t>
  </si>
  <si>
    <t>NC_DURHAM</t>
  </si>
  <si>
    <t>NC_EDGECOMBE</t>
  </si>
  <si>
    <t>NC_FORSYTH</t>
  </si>
  <si>
    <t>NC_FRANKLIN</t>
  </si>
  <si>
    <t>NC_GASTON</t>
  </si>
  <si>
    <t>NC_GATES</t>
  </si>
  <si>
    <t>NC_GRAHAM</t>
  </si>
  <si>
    <t>NC_GRANVILLE</t>
  </si>
  <si>
    <t>NC_GREENE</t>
  </si>
  <si>
    <t>NC_GUILFORD</t>
  </si>
  <si>
    <t>NC_HALIFAX</t>
  </si>
  <si>
    <t>NC_HARNETT</t>
  </si>
  <si>
    <t>NC_HAYWOOD</t>
  </si>
  <si>
    <t>NC_HENDERSON</t>
  </si>
  <si>
    <t>NC_HERTFORD</t>
  </si>
  <si>
    <t>NC_HOKE</t>
  </si>
  <si>
    <t>NC_HYDE</t>
  </si>
  <si>
    <t>NC_IREDELL</t>
  </si>
  <si>
    <t>NC_JACKSON</t>
  </si>
  <si>
    <t>NC_JOHNSTON</t>
  </si>
  <si>
    <t>NC_JONES</t>
  </si>
  <si>
    <t>NC_LEE</t>
  </si>
  <si>
    <t>NC_LENOIR</t>
  </si>
  <si>
    <t>NC_LINCOLN</t>
  </si>
  <si>
    <t>NC_MACON</t>
  </si>
  <si>
    <t>NC_MADISON</t>
  </si>
  <si>
    <t>NC_MARTIN</t>
  </si>
  <si>
    <t>NC_MCDOWELL</t>
  </si>
  <si>
    <t>NC_MECKLENBURG</t>
  </si>
  <si>
    <t>NC_MITCHELL</t>
  </si>
  <si>
    <t>NC_MONTGOMERY</t>
  </si>
  <si>
    <t>NC_MOORE</t>
  </si>
  <si>
    <t>NC_NASH</t>
  </si>
  <si>
    <t>NC_NEW HANOVER</t>
  </si>
  <si>
    <t>NC_NORTHAMPTON</t>
  </si>
  <si>
    <t>NC_ONSLOW</t>
  </si>
  <si>
    <t>NC_ORANGE</t>
  </si>
  <si>
    <t>NC_PAMLICO</t>
  </si>
  <si>
    <t>NC_PASQUOTANK</t>
  </si>
  <si>
    <t>NC_PENDER</t>
  </si>
  <si>
    <t>NC_PERQUIMANS</t>
  </si>
  <si>
    <t>NC_PERSON</t>
  </si>
  <si>
    <t>NC_PITT</t>
  </si>
  <si>
    <t>NC_POLK</t>
  </si>
  <si>
    <t>NC_RANDOLPH</t>
  </si>
  <si>
    <t>NC_RICHMOND</t>
  </si>
  <si>
    <t>NC_ROBESON</t>
  </si>
  <si>
    <t>NC_ROCKINGHAM</t>
  </si>
  <si>
    <t>NC_ROWAN</t>
  </si>
  <si>
    <t>NC_RUTHERFORD</t>
  </si>
  <si>
    <t>NC_SAMPSON</t>
  </si>
  <si>
    <t>NC_SCOTLAND</t>
  </si>
  <si>
    <t>NC_STANLY</t>
  </si>
  <si>
    <t>NC_STOKES</t>
  </si>
  <si>
    <t>NC_SURRY</t>
  </si>
  <si>
    <t>NC_SWAIN</t>
  </si>
  <si>
    <t>NC_TRANSYLVANIA</t>
  </si>
  <si>
    <t>NC_TYRRELL</t>
  </si>
  <si>
    <t>NC_UNION</t>
  </si>
  <si>
    <t>NC_VANCE</t>
  </si>
  <si>
    <t>NC_WAKE</t>
  </si>
  <si>
    <t>NC_WARREN</t>
  </si>
  <si>
    <t>NC_WASHINGTON</t>
  </si>
  <si>
    <t>NC_WATAUGA</t>
  </si>
  <si>
    <t>NC_WAYNE</t>
  </si>
  <si>
    <t>NC_WILKES</t>
  </si>
  <si>
    <t>NC_WILSON</t>
  </si>
  <si>
    <t>NC_YADKIN</t>
  </si>
  <si>
    <t>NC_YANCEY</t>
  </si>
  <si>
    <t>ND_ADAMS</t>
  </si>
  <si>
    <t>ND_BARNES</t>
  </si>
  <si>
    <t>ND_BENSON</t>
  </si>
  <si>
    <t>ND_BILLINGS</t>
  </si>
  <si>
    <t>ND_BOTTINEAU</t>
  </si>
  <si>
    <t>ND_BOWMAN</t>
  </si>
  <si>
    <t>ND_BURKE</t>
  </si>
  <si>
    <t>ND_BURLEIGH</t>
  </si>
  <si>
    <t>ND_CASS</t>
  </si>
  <si>
    <t>ND_CAVALIER</t>
  </si>
  <si>
    <t>ND_DICKEY</t>
  </si>
  <si>
    <t>ND_DIVIDE</t>
  </si>
  <si>
    <t>ND_DUNN</t>
  </si>
  <si>
    <t>ND_EDDY</t>
  </si>
  <si>
    <t>ND_EMMONS</t>
  </si>
  <si>
    <t>ND_FOSTER</t>
  </si>
  <si>
    <t>ND_GOLDEN VALLEY</t>
  </si>
  <si>
    <t>ND_GRAND FORKS</t>
  </si>
  <si>
    <t>ND_GRANT</t>
  </si>
  <si>
    <t>ND_GRIGGS</t>
  </si>
  <si>
    <t>ND_HETTINGER</t>
  </si>
  <si>
    <t>ND_KIDDER</t>
  </si>
  <si>
    <t>ND_LAMOURE</t>
  </si>
  <si>
    <t>ND_LOGAN</t>
  </si>
  <si>
    <t>ND_MCHENRY</t>
  </si>
  <si>
    <t>ND_MCINTOSH</t>
  </si>
  <si>
    <t>ND_MCKENZIE</t>
  </si>
  <si>
    <t>ND_MCLEAN</t>
  </si>
  <si>
    <t>ND_MERCER</t>
  </si>
  <si>
    <t>ND_MORTON</t>
  </si>
  <si>
    <t>ND_MOUNTRAIL</t>
  </si>
  <si>
    <t>ND_NELSON</t>
  </si>
  <si>
    <t>ND_OLIVER</t>
  </si>
  <si>
    <t>ND_PEMBINA</t>
  </si>
  <si>
    <t>ND_PIERCE</t>
  </si>
  <si>
    <t>ND_RAMSEY</t>
  </si>
  <si>
    <t>ND_RANSOM</t>
  </si>
  <si>
    <t>ND_RENVILLE</t>
  </si>
  <si>
    <t>ND_RICHLAND</t>
  </si>
  <si>
    <t>ND_ROLETTE</t>
  </si>
  <si>
    <t>ND_SARGENT</t>
  </si>
  <si>
    <t>ND_SHERIDAN</t>
  </si>
  <si>
    <t>ND_SIOUX</t>
  </si>
  <si>
    <t>ND_SLOPE</t>
  </si>
  <si>
    <t>ND_STARK</t>
  </si>
  <si>
    <t>ND_STEELE</t>
  </si>
  <si>
    <t>ND_STUTSMAN</t>
  </si>
  <si>
    <t>ND_TOWNER</t>
  </si>
  <si>
    <t>ND_TRAILL</t>
  </si>
  <si>
    <t>ND_WALSH</t>
  </si>
  <si>
    <t>ND_WARD</t>
  </si>
  <si>
    <t>ND_WELLS</t>
  </si>
  <si>
    <t>ND_WILLIAMS</t>
  </si>
  <si>
    <t>NE_ADAMS</t>
  </si>
  <si>
    <t>NE_ANTELOPE</t>
  </si>
  <si>
    <t>NE_ARTHUR</t>
  </si>
  <si>
    <t>NE_BANNER</t>
  </si>
  <si>
    <t>NE_BLAINE</t>
  </si>
  <si>
    <t>NE_BOONE</t>
  </si>
  <si>
    <t>NE_BOX BUTTE</t>
  </si>
  <si>
    <t>NE_BOYD</t>
  </si>
  <si>
    <t>NE_BROWN</t>
  </si>
  <si>
    <t>NE_BUFFALO</t>
  </si>
  <si>
    <t>NE_BURT</t>
  </si>
  <si>
    <t>NE_BUTLER</t>
  </si>
  <si>
    <t>NE_CASS</t>
  </si>
  <si>
    <t>NE_CEDAR</t>
  </si>
  <si>
    <t>NE_CHASE</t>
  </si>
  <si>
    <t>NE_CHERRY</t>
  </si>
  <si>
    <t>NE_CHEYENNE</t>
  </si>
  <si>
    <t>NE_CLAY</t>
  </si>
  <si>
    <t>NE_COLFAX</t>
  </si>
  <si>
    <t>NE_CUMING</t>
  </si>
  <si>
    <t>NE_CUSTER</t>
  </si>
  <si>
    <t>NE_DAKOTA</t>
  </si>
  <si>
    <t>NE_DAWES</t>
  </si>
  <si>
    <t>NE_DAWSON</t>
  </si>
  <si>
    <t>NE_DEUEL</t>
  </si>
  <si>
    <t>NE_DIXON</t>
  </si>
  <si>
    <t>NE_DODGE</t>
  </si>
  <si>
    <t>NE_DOUGLAS</t>
  </si>
  <si>
    <t>NE_DUNDY</t>
  </si>
  <si>
    <t>NE_FILLMORE</t>
  </si>
  <si>
    <t>NE_FRANKLIN</t>
  </si>
  <si>
    <t>NE_FRONTIER</t>
  </si>
  <si>
    <t>NE_FURNAS</t>
  </si>
  <si>
    <t>NE_GAGE</t>
  </si>
  <si>
    <t>NE_GARDEN</t>
  </si>
  <si>
    <t>NE_GARFIELD</t>
  </si>
  <si>
    <t>NE_GOSPER</t>
  </si>
  <si>
    <t>NE_GRANT</t>
  </si>
  <si>
    <t>NE_GREELEY</t>
  </si>
  <si>
    <t>NE_HALL</t>
  </si>
  <si>
    <t>NE_HAMILTON</t>
  </si>
  <si>
    <t>NE_HARLAN</t>
  </si>
  <si>
    <t>NE_HAYES</t>
  </si>
  <si>
    <t>NE_HITCHCOCK</t>
  </si>
  <si>
    <t>NE_HOLT</t>
  </si>
  <si>
    <t>NE_HOOKER</t>
  </si>
  <si>
    <t>NE_HOWARD</t>
  </si>
  <si>
    <t>NE_JEFFERSON</t>
  </si>
  <si>
    <t>NE_JOHNSON</t>
  </si>
  <si>
    <t>NE_KEARNEY</t>
  </si>
  <si>
    <t>NE_KEITH</t>
  </si>
  <si>
    <t>NE_KEYA PAHA</t>
  </si>
  <si>
    <t>NE_KIMBALL</t>
  </si>
  <si>
    <t>NE_KNOX</t>
  </si>
  <si>
    <t>NE_LANCASTER</t>
  </si>
  <si>
    <t>NE_LINCOLN</t>
  </si>
  <si>
    <t>NE_LOGAN</t>
  </si>
  <si>
    <t>NE_LOUP</t>
  </si>
  <si>
    <t>NE_MADISON</t>
  </si>
  <si>
    <t>NE_MCPHERSON</t>
  </si>
  <si>
    <t>NE_MERRICK</t>
  </si>
  <si>
    <t>NE_MORRILL</t>
  </si>
  <si>
    <t>NE_NANCE</t>
  </si>
  <si>
    <t>NE_NEMAHA</t>
  </si>
  <si>
    <t>NE_NUCKOLLS</t>
  </si>
  <si>
    <t>NE_OTOE</t>
  </si>
  <si>
    <t>NE_PAWNEE</t>
  </si>
  <si>
    <t>NE_PERKINS</t>
  </si>
  <si>
    <t>NE_PHELPS</t>
  </si>
  <si>
    <t>NE_PIERCE</t>
  </si>
  <si>
    <t>NE_PLATTE</t>
  </si>
  <si>
    <t>NE_POLK</t>
  </si>
  <si>
    <t>NE_RED WILLOW</t>
  </si>
  <si>
    <t>NE_RICHARDSON</t>
  </si>
  <si>
    <t>NE_ROCK</t>
  </si>
  <si>
    <t>NE_SALINE</t>
  </si>
  <si>
    <t>NE_SARPY</t>
  </si>
  <si>
    <t>NE_SAUNDERS</t>
  </si>
  <si>
    <t>NE_SCOTTS BLUFF</t>
  </si>
  <si>
    <t>NE_SEWARD</t>
  </si>
  <si>
    <t>NE_SHERIDAN</t>
  </si>
  <si>
    <t>NE_SHERMAN</t>
  </si>
  <si>
    <t>NE_SIOUX</t>
  </si>
  <si>
    <t>NE_STANTON</t>
  </si>
  <si>
    <t>NE_THAYER</t>
  </si>
  <si>
    <t>NE_THOMAS</t>
  </si>
  <si>
    <t>NE_THURSTON</t>
  </si>
  <si>
    <t>NE_VALLEY</t>
  </si>
  <si>
    <t>NE_WASHINGTON</t>
  </si>
  <si>
    <t>NE_WAYNE</t>
  </si>
  <si>
    <t>NE_WEBSTER</t>
  </si>
  <si>
    <t>NE_WHEELER</t>
  </si>
  <si>
    <t>NE_YORK</t>
  </si>
  <si>
    <t>NH_BELKNAP</t>
  </si>
  <si>
    <t>NH_CARROLL</t>
  </si>
  <si>
    <t>NH_CHESHIRE</t>
  </si>
  <si>
    <t>NH_COOS</t>
  </si>
  <si>
    <t>NH_GRAFTON</t>
  </si>
  <si>
    <t>NH_HILLSBOROUGH</t>
  </si>
  <si>
    <t>NH_MERRIMACK</t>
  </si>
  <si>
    <t>NH_ROCKINGHAM</t>
  </si>
  <si>
    <t>NH_STRAFFORD</t>
  </si>
  <si>
    <t>NH_SULLIVAN</t>
  </si>
  <si>
    <t>NM_BERNALILLO</t>
  </si>
  <si>
    <t>NM_CATRON</t>
  </si>
  <si>
    <t>NM_CHAVES</t>
  </si>
  <si>
    <t>NM_CIBOLA</t>
  </si>
  <si>
    <t>NM_COLFAX</t>
  </si>
  <si>
    <t>NM_CURRY</t>
  </si>
  <si>
    <t>NM_DEBACA</t>
  </si>
  <si>
    <t>NM_DONA ANA</t>
  </si>
  <si>
    <t>NM_EDDY</t>
  </si>
  <si>
    <t>NM_GRANT</t>
  </si>
  <si>
    <t>NM_GUADALUPE</t>
  </si>
  <si>
    <t>NM_HARDING</t>
  </si>
  <si>
    <t>NM_HIDALGO</t>
  </si>
  <si>
    <t>NM_LEA</t>
  </si>
  <si>
    <t>NM_LINCOLN</t>
  </si>
  <si>
    <t>NM_LOS ALAMOS</t>
  </si>
  <si>
    <t>NM_LUNA</t>
  </si>
  <si>
    <t>NM_MCKINLEY</t>
  </si>
  <si>
    <t>NM_MORA</t>
  </si>
  <si>
    <t>NM_OTERO</t>
  </si>
  <si>
    <t>NM_QUAY</t>
  </si>
  <si>
    <t>NM_RIO ARRIBA</t>
  </si>
  <si>
    <t>NM_ROOSEVELT</t>
  </si>
  <si>
    <t>NM_SAN JUAN</t>
  </si>
  <si>
    <t>NM_SAN MIGUEL</t>
  </si>
  <si>
    <t>NM_SANDOVAL</t>
  </si>
  <si>
    <t>NM_SANTA FE</t>
  </si>
  <si>
    <t>NM_SIERRA</t>
  </si>
  <si>
    <t>NM_SOCORRO</t>
  </si>
  <si>
    <t>NM_TAOS</t>
  </si>
  <si>
    <t>NM_TORRANCE</t>
  </si>
  <si>
    <t>NM_UNION</t>
  </si>
  <si>
    <t>NM_VALENCIA</t>
  </si>
  <si>
    <t>NV_CARSON CITY</t>
  </si>
  <si>
    <t>NV_CHURCHILL</t>
  </si>
  <si>
    <t>NV_CLARK</t>
  </si>
  <si>
    <t>NV_DOUGLAS</t>
  </si>
  <si>
    <t>NV_ELKO</t>
  </si>
  <si>
    <t>NV_ESMERALDA</t>
  </si>
  <si>
    <t>NV_EUREKA</t>
  </si>
  <si>
    <t>NV_HUMBOLDT</t>
  </si>
  <si>
    <t>NV_LANDER</t>
  </si>
  <si>
    <t>NV_LINCOLN</t>
  </si>
  <si>
    <t>NV_LYON</t>
  </si>
  <si>
    <t>NV_MINERAL</t>
  </si>
  <si>
    <t>NV_NYE</t>
  </si>
  <si>
    <t>NV_PERSHING</t>
  </si>
  <si>
    <t>NV_STOREY</t>
  </si>
  <si>
    <t>NV_WASHOE</t>
  </si>
  <si>
    <t>NV_WHITE PINE</t>
  </si>
  <si>
    <t>OH_ADAMS</t>
  </si>
  <si>
    <t>OH_ALLEN</t>
  </si>
  <si>
    <t>OH_ASHLAND</t>
  </si>
  <si>
    <t>OH_ASHTABULA</t>
  </si>
  <si>
    <t>OH_ATHENS</t>
  </si>
  <si>
    <t>OH_AUGLAIZE</t>
  </si>
  <si>
    <t>OH_BELMONT</t>
  </si>
  <si>
    <t>OH_BROWN</t>
  </si>
  <si>
    <t>OH_BUTLER</t>
  </si>
  <si>
    <t>OH_CARROLL</t>
  </si>
  <si>
    <t>OH_CHAMPAIGN</t>
  </si>
  <si>
    <t>OH_CLARK</t>
  </si>
  <si>
    <t>OH_CLERMONT</t>
  </si>
  <si>
    <t>OH_CLINTON</t>
  </si>
  <si>
    <t>OH_COLUMBIANA</t>
  </si>
  <si>
    <t>OH_COSHOCTON</t>
  </si>
  <si>
    <t>OH_CRAWFORD</t>
  </si>
  <si>
    <t>OH_CUYAHOGA</t>
  </si>
  <si>
    <t>OH_DARKE</t>
  </si>
  <si>
    <t>OH_DEFIANCE</t>
  </si>
  <si>
    <t>OH_DELAWARE</t>
  </si>
  <si>
    <t>OH_ERIE</t>
  </si>
  <si>
    <t>OH_FAIRFIELD</t>
  </si>
  <si>
    <t>OH_FAYETTE</t>
  </si>
  <si>
    <t>OH_FRANKLIN</t>
  </si>
  <si>
    <t>OH_FULTON</t>
  </si>
  <si>
    <t>OH_GALLIA</t>
  </si>
  <si>
    <t>OH_GEAUGA</t>
  </si>
  <si>
    <t>OH_GREENE</t>
  </si>
  <si>
    <t>OH_GUERNSEY</t>
  </si>
  <si>
    <t>OH_HAMILTON</t>
  </si>
  <si>
    <t>OH_HANCOCK</t>
  </si>
  <si>
    <t>OH_HARDIN</t>
  </si>
  <si>
    <t>OH_HARRISON</t>
  </si>
  <si>
    <t>OH_HENRY</t>
  </si>
  <si>
    <t>OH_HIGHLAND</t>
  </si>
  <si>
    <t>OH_HOCKING</t>
  </si>
  <si>
    <t>OH_HOLMES</t>
  </si>
  <si>
    <t>OH_HURON</t>
  </si>
  <si>
    <t>OH_JACKSON</t>
  </si>
  <si>
    <t>OH_JEFFERSON</t>
  </si>
  <si>
    <t>OH_KNOX</t>
  </si>
  <si>
    <t>OH_LAKE</t>
  </si>
  <si>
    <t>OH_LAWRENCE</t>
  </si>
  <si>
    <t>OH_LICKING</t>
  </si>
  <si>
    <t>OH_LOGAN</t>
  </si>
  <si>
    <t>OH_LORAIN</t>
  </si>
  <si>
    <t>OH_LUCAS</t>
  </si>
  <si>
    <t>OH_MADISON</t>
  </si>
  <si>
    <t>OH_MAHONING</t>
  </si>
  <si>
    <t>OH_MARION</t>
  </si>
  <si>
    <t>OH_MEDINA</t>
  </si>
  <si>
    <t>OH_MEIGS</t>
  </si>
  <si>
    <t>OH_MERCER</t>
  </si>
  <si>
    <t>OH_MIAMI</t>
  </si>
  <si>
    <t>OH_MONROE</t>
  </si>
  <si>
    <t>OH_MONTGOMERY</t>
  </si>
  <si>
    <t>OH_MORGAN</t>
  </si>
  <si>
    <t>OH_MORROW</t>
  </si>
  <si>
    <t>OH_MUSKINGUM</t>
  </si>
  <si>
    <t>OH_NOBLE</t>
  </si>
  <si>
    <t>OH_OTTAWA</t>
  </si>
  <si>
    <t>OH_PAULDING</t>
  </si>
  <si>
    <t>OH_PERRY</t>
  </si>
  <si>
    <t>OH_PICKAWAY</t>
  </si>
  <si>
    <t>OH_PIKE</t>
  </si>
  <si>
    <t>OH_PORTAGE</t>
  </si>
  <si>
    <t>OH_PREBLE</t>
  </si>
  <si>
    <t>OH_PUTNAM</t>
  </si>
  <si>
    <t>OH_RICHLAND</t>
  </si>
  <si>
    <t>OH_ROSS</t>
  </si>
  <si>
    <t>OH_SANDUSKY</t>
  </si>
  <si>
    <t>OH_SCIOTO</t>
  </si>
  <si>
    <t>OH_SENECA</t>
  </si>
  <si>
    <t>OH_SHELBY</t>
  </si>
  <si>
    <t>OH_STARK</t>
  </si>
  <si>
    <t>OH_SUMMIT</t>
  </si>
  <si>
    <t>OH_TRUMBULL</t>
  </si>
  <si>
    <t>OH_TUSCARAWAS</t>
  </si>
  <si>
    <t>OH_UNION</t>
  </si>
  <si>
    <t>OH_VAN WERT</t>
  </si>
  <si>
    <t>OH_VINTON</t>
  </si>
  <si>
    <t>OH_WARREN</t>
  </si>
  <si>
    <t>OH_WASHINGTON</t>
  </si>
  <si>
    <t>OH_WAYNE</t>
  </si>
  <si>
    <t>OH_WILLIAMS</t>
  </si>
  <si>
    <t>OH_WOOD</t>
  </si>
  <si>
    <t>OH_WYANDOT</t>
  </si>
  <si>
    <t>OK_ADAIR</t>
  </si>
  <si>
    <t>OK_ALFALFA</t>
  </si>
  <si>
    <t>OK_ATOKA</t>
  </si>
  <si>
    <t>OK_BEAVER</t>
  </si>
  <si>
    <t>OK_BECKHAM</t>
  </si>
  <si>
    <t>OK_BLAINE</t>
  </si>
  <si>
    <t>OK_BRYAN</t>
  </si>
  <si>
    <t>OK_CADDO</t>
  </si>
  <si>
    <t>OK_CANADIAN</t>
  </si>
  <si>
    <t>OK_CARTER</t>
  </si>
  <si>
    <t>OK_CHEROKEE</t>
  </si>
  <si>
    <t>OK_CHOCTAW</t>
  </si>
  <si>
    <t>OK_CIMARRON</t>
  </si>
  <si>
    <t>OK_CLEVELAND</t>
  </si>
  <si>
    <t>OK_COAL</t>
  </si>
  <si>
    <t>OK_COMANCHE</t>
  </si>
  <si>
    <t>OK_COTTON</t>
  </si>
  <si>
    <t>OK_CRAIG</t>
  </si>
  <si>
    <t>OK_CREEK</t>
  </si>
  <si>
    <t>OK_CUSTER</t>
  </si>
  <si>
    <t>OK_DELAWARE</t>
  </si>
  <si>
    <t>OK_DEWEY</t>
  </si>
  <si>
    <t>OK_ELLIS</t>
  </si>
  <si>
    <t>OK_GARFIELD</t>
  </si>
  <si>
    <t>OK_GARVIN</t>
  </si>
  <si>
    <t>OK_GRADY</t>
  </si>
  <si>
    <t>OK_GRANT</t>
  </si>
  <si>
    <t>OK_GREER</t>
  </si>
  <si>
    <t>OK_HARMON</t>
  </si>
  <si>
    <t>OK_HARPER</t>
  </si>
  <si>
    <t>OK_HASKELL</t>
  </si>
  <si>
    <t>OK_HUGHES</t>
  </si>
  <si>
    <t>OK_JACKSON</t>
  </si>
  <si>
    <t>OK_JEFFERSON</t>
  </si>
  <si>
    <t>OK_JOHNSTON</t>
  </si>
  <si>
    <t>OK_KAY</t>
  </si>
  <si>
    <t>OK_KINGFISHER</t>
  </si>
  <si>
    <t>OK_KIOWA</t>
  </si>
  <si>
    <t>OK_LATIMER</t>
  </si>
  <si>
    <t>OK_LE FLORE</t>
  </si>
  <si>
    <t>OK_LINCOLN</t>
  </si>
  <si>
    <t>OK_LOGAN</t>
  </si>
  <si>
    <t>OK_LOVE</t>
  </si>
  <si>
    <t>OK_MAJOR</t>
  </si>
  <si>
    <t>OK_MARSHALL</t>
  </si>
  <si>
    <t>OK_MAYES</t>
  </si>
  <si>
    <t>OK_MCCLAIN</t>
  </si>
  <si>
    <t>OK_MCCURTAIN</t>
  </si>
  <si>
    <t>OK_MCINTOSH</t>
  </si>
  <si>
    <t>OK_MURRAY</t>
  </si>
  <si>
    <t>OK_MUSKOGEE</t>
  </si>
  <si>
    <t>OK_NOBLE</t>
  </si>
  <si>
    <t>OK_NOWATA</t>
  </si>
  <si>
    <t>OK_OKFUSKEE</t>
  </si>
  <si>
    <t>OK_OKLAHOMA</t>
  </si>
  <si>
    <t>OK_OKMULGEE</t>
  </si>
  <si>
    <t>OK_OSAGE</t>
  </si>
  <si>
    <t>OK_OTTAWA</t>
  </si>
  <si>
    <t>OK_PAWNEE</t>
  </si>
  <si>
    <t>OK_PAYNE</t>
  </si>
  <si>
    <t>OK_PITTSBURG</t>
  </si>
  <si>
    <t>OK_PONTOTOC</t>
  </si>
  <si>
    <t>OK_POTTAWATOMIE</t>
  </si>
  <si>
    <t>OK_PUSHMATAHA</t>
  </si>
  <si>
    <t>OK_ROGER MILLS</t>
  </si>
  <si>
    <t>OK_ROGERS</t>
  </si>
  <si>
    <t>OK_SEMINOLE</t>
  </si>
  <si>
    <t>OK_SEQUOYAH</t>
  </si>
  <si>
    <t>OK_STEPHENS</t>
  </si>
  <si>
    <t>OK_TEXAS</t>
  </si>
  <si>
    <t>OK_TILLMAN</t>
  </si>
  <si>
    <t>OK_TULSA</t>
  </si>
  <si>
    <t>OK_WAGONER</t>
  </si>
  <si>
    <t>OK_WASHINGTON</t>
  </si>
  <si>
    <t>OK_WASHITA</t>
  </si>
  <si>
    <t>OK_WOODS</t>
  </si>
  <si>
    <t>OK_WOODWARD</t>
  </si>
  <si>
    <t>OR_BAKER</t>
  </si>
  <si>
    <t>OR_BENTON</t>
  </si>
  <si>
    <t>OR_CLACKAMAS</t>
  </si>
  <si>
    <t>OR_CLATSOP</t>
  </si>
  <si>
    <t>OR_COLUMBIA</t>
  </si>
  <si>
    <t>OR_COOS</t>
  </si>
  <si>
    <t>OR_CROOK</t>
  </si>
  <si>
    <t>OR_CURRY</t>
  </si>
  <si>
    <t>OR_DESCHUTES</t>
  </si>
  <si>
    <t>OR_DOUGLAS</t>
  </si>
  <si>
    <t>OR_GILLIAM</t>
  </si>
  <si>
    <t>OR_GRANT</t>
  </si>
  <si>
    <t>OR_HARNEY</t>
  </si>
  <si>
    <t>OR_HOOD RIVER</t>
  </si>
  <si>
    <t>OR_JACKSON</t>
  </si>
  <si>
    <t>OR_JEFFERSON</t>
  </si>
  <si>
    <t>OR_JOSEPHINE</t>
  </si>
  <si>
    <t>OR_KLAMATH</t>
  </si>
  <si>
    <t>OR_LAKE</t>
  </si>
  <si>
    <t>OR_LANE</t>
  </si>
  <si>
    <t>OR_LINCOLN</t>
  </si>
  <si>
    <t>OR_LINN</t>
  </si>
  <si>
    <t>OR_MALHEUR</t>
  </si>
  <si>
    <t>OR_MARION</t>
  </si>
  <si>
    <t>OR_MORROW</t>
  </si>
  <si>
    <t>OR_MULTNOMAH</t>
  </si>
  <si>
    <t>OR_POLK</t>
  </si>
  <si>
    <t>OR_SHERMAN</t>
  </si>
  <si>
    <t>OR_TILLAMOOK</t>
  </si>
  <si>
    <t>OR_UMATILLA</t>
  </si>
  <si>
    <t>OR_UNION</t>
  </si>
  <si>
    <t>OR_WALLOWA</t>
  </si>
  <si>
    <t>OR_WASCO</t>
  </si>
  <si>
    <t>OR_WASHINGTON</t>
  </si>
  <si>
    <t>OR_WHEELER</t>
  </si>
  <si>
    <t>OR_YAMHILL</t>
  </si>
  <si>
    <t>PA_ADAMS</t>
  </si>
  <si>
    <t>PA_ALLEGHENY</t>
  </si>
  <si>
    <t>PA_ARMSTRONG</t>
  </si>
  <si>
    <t>PA_BEAVER</t>
  </si>
  <si>
    <t>PA_BEDFORD</t>
  </si>
  <si>
    <t>PA_BERKS</t>
  </si>
  <si>
    <t>PA_BLAIR</t>
  </si>
  <si>
    <t>PA_BRADFORD</t>
  </si>
  <si>
    <t>PA_BUCKS</t>
  </si>
  <si>
    <t>PA_BUTLER</t>
  </si>
  <si>
    <t>PA_CAMBRIA</t>
  </si>
  <si>
    <t>PA_CAMERON</t>
  </si>
  <si>
    <t>PA_CARBON</t>
  </si>
  <si>
    <t>PA_CENTRE</t>
  </si>
  <si>
    <t>PA_CHESTER</t>
  </si>
  <si>
    <t>PA_CLARION</t>
  </si>
  <si>
    <t>PA_CLEARFIELD</t>
  </si>
  <si>
    <t>PA_CLINTON</t>
  </si>
  <si>
    <t>PA_COLUMBIA</t>
  </si>
  <si>
    <t>PA_CRAWFORD</t>
  </si>
  <si>
    <t>PA_CUMBERLAND</t>
  </si>
  <si>
    <t>PA_DAUPHIN</t>
  </si>
  <si>
    <t>PA_DELAWARE</t>
  </si>
  <si>
    <t>PA_ELK</t>
  </si>
  <si>
    <t>PA_ERIE</t>
  </si>
  <si>
    <t>PA_FAYETTE</t>
  </si>
  <si>
    <t>PA_FOREST</t>
  </si>
  <si>
    <t>PA_FRANKLIN</t>
  </si>
  <si>
    <t>PA_FULTON</t>
  </si>
  <si>
    <t>PA_GREENE</t>
  </si>
  <si>
    <t>PA_HUNTINGDON</t>
  </si>
  <si>
    <t>PA_INDIANA</t>
  </si>
  <si>
    <t>PA_JEFFERSON</t>
  </si>
  <si>
    <t>PA_JUNIATA</t>
  </si>
  <si>
    <t>PA_LACKAWANNA</t>
  </si>
  <si>
    <t>PA_LANCASTER</t>
  </si>
  <si>
    <t>PA_LAWRENCE</t>
  </si>
  <si>
    <t>PA_LEBANON</t>
  </si>
  <si>
    <t>PA_LEHIGH</t>
  </si>
  <si>
    <t>PA_LUZERNE</t>
  </si>
  <si>
    <t>PA_LYCOMING</t>
  </si>
  <si>
    <t>PA_MC KEAN</t>
  </si>
  <si>
    <t>PA_MERCER</t>
  </si>
  <si>
    <t>PA_MIFFLIN</t>
  </si>
  <si>
    <t>PA_MONROE</t>
  </si>
  <si>
    <t>PA_MONTGOMERY</t>
  </si>
  <si>
    <t>PA_MONTOUR</t>
  </si>
  <si>
    <t>PA_NORTHAMPTON</t>
  </si>
  <si>
    <t>PA_NORTHUMBERLAND</t>
  </si>
  <si>
    <t>PA_PERRY</t>
  </si>
  <si>
    <t>PA_PHILADELPHIA</t>
  </si>
  <si>
    <t>PA_PIKE</t>
  </si>
  <si>
    <t>PA_POTTER</t>
  </si>
  <si>
    <t>PA_SCHUYLKILL</t>
  </si>
  <si>
    <t>PA_SNYDER</t>
  </si>
  <si>
    <t>PA_SOMERSET</t>
  </si>
  <si>
    <t>PA_SULLIVAN</t>
  </si>
  <si>
    <t>PA_SUSQUEHANNA</t>
  </si>
  <si>
    <t>PA_TIOGA</t>
  </si>
  <si>
    <t>PA_UNION</t>
  </si>
  <si>
    <t>PA_VENANGO</t>
  </si>
  <si>
    <t>PA_WARREN</t>
  </si>
  <si>
    <t>PA_WASHINGTON</t>
  </si>
  <si>
    <t>PA_WAYNE</t>
  </si>
  <si>
    <t>PA_WESTMORELAND</t>
  </si>
  <si>
    <t>PA_WYOMING</t>
  </si>
  <si>
    <t>PA_YORK</t>
  </si>
  <si>
    <t>RI_BRISTOL</t>
  </si>
  <si>
    <t>RI_KENT</t>
  </si>
  <si>
    <t>RI_NEWPORT</t>
  </si>
  <si>
    <t>RI_PROVIDENCE</t>
  </si>
  <si>
    <t>RI_WASHINGTON</t>
  </si>
  <si>
    <t>SC_ABBEVILLE</t>
  </si>
  <si>
    <t>SC_AIKEN</t>
  </si>
  <si>
    <t>SC_ALLENDALE</t>
  </si>
  <si>
    <t>SC_ANDERSON</t>
  </si>
  <si>
    <t>SC_BAMBERG</t>
  </si>
  <si>
    <t>SC_BARNWELL</t>
  </si>
  <si>
    <t>SC_BEAUFORT</t>
  </si>
  <si>
    <t>SC_BERKELEY</t>
  </si>
  <si>
    <t>SC_CALHOUN</t>
  </si>
  <si>
    <t>SC_CHARLESTON</t>
  </si>
  <si>
    <t>SC_CHEROKEE</t>
  </si>
  <si>
    <t>SC_CHESTER</t>
  </si>
  <si>
    <t>SC_CHESTERFIELD</t>
  </si>
  <si>
    <t>SC_CLARENDON</t>
  </si>
  <si>
    <t>SC_COLLETON</t>
  </si>
  <si>
    <t>SC_DARLINGTON</t>
  </si>
  <si>
    <t>SC_DILLON</t>
  </si>
  <si>
    <t>SC_DORCHESTER</t>
  </si>
  <si>
    <t>SC_EDGEFIELD</t>
  </si>
  <si>
    <t>SC_FAIRFIELD</t>
  </si>
  <si>
    <t>SC_FLORENCE</t>
  </si>
  <si>
    <t>SC_GEORGETOWN</t>
  </si>
  <si>
    <t>SC_GREENVILLE</t>
  </si>
  <si>
    <t>SC_GREENWOOD</t>
  </si>
  <si>
    <t>SC_HAMPTON</t>
  </si>
  <si>
    <t>SC_HORRY</t>
  </si>
  <si>
    <t>SC_JASPER</t>
  </si>
  <si>
    <t>SC_KERSHAW</t>
  </si>
  <si>
    <t>SC_LANCASTER</t>
  </si>
  <si>
    <t>SC_LAURENS</t>
  </si>
  <si>
    <t>SC_LEE</t>
  </si>
  <si>
    <t>SC_LEXINGTON</t>
  </si>
  <si>
    <t>SC_MARION</t>
  </si>
  <si>
    <t>SC_MARLBORO</t>
  </si>
  <si>
    <t>SC_MCCORMICK</t>
  </si>
  <si>
    <t>SC_NEWBERRY</t>
  </si>
  <si>
    <t>SC_OCONEE</t>
  </si>
  <si>
    <t>SC_ORANGEBURG</t>
  </si>
  <si>
    <t>SC_PICKENS</t>
  </si>
  <si>
    <t>SC_RICHLAND</t>
  </si>
  <si>
    <t>SC_SALUDA</t>
  </si>
  <si>
    <t>SC_SPARTANBURG</t>
  </si>
  <si>
    <t>SC_SUMTER</t>
  </si>
  <si>
    <t>SC_UNION</t>
  </si>
  <si>
    <t>SC_WILLIAMSBURG</t>
  </si>
  <si>
    <t>SC_YORK</t>
  </si>
  <si>
    <t>SD_AURORA</t>
  </si>
  <si>
    <t>SD_BEADLE</t>
  </si>
  <si>
    <t>SD_BENNETT</t>
  </si>
  <si>
    <t>SD_BON HOMME</t>
  </si>
  <si>
    <t>SD_BROOKINGS</t>
  </si>
  <si>
    <t>SD_BROWN</t>
  </si>
  <si>
    <t>SD_BRULE</t>
  </si>
  <si>
    <t>SD_BUFFALO</t>
  </si>
  <si>
    <t>SD_BUTTE</t>
  </si>
  <si>
    <t>SD_CAMPBELL</t>
  </si>
  <si>
    <t>SD_CHARLES MIX</t>
  </si>
  <si>
    <t>SD_CLARK</t>
  </si>
  <si>
    <t>SD_CLAY</t>
  </si>
  <si>
    <t>SD_CODINGTON</t>
  </si>
  <si>
    <t>SD_CORSON</t>
  </si>
  <si>
    <t>SD_CUSTER</t>
  </si>
  <si>
    <t>SD_DAVISON</t>
  </si>
  <si>
    <t>SD_DAY</t>
  </si>
  <si>
    <t>SD_DEUEL</t>
  </si>
  <si>
    <t>SD_DEWEY</t>
  </si>
  <si>
    <t>SD_DOUGLAS</t>
  </si>
  <si>
    <t>SD_EDMUNDS</t>
  </si>
  <si>
    <t>SD_FALL RIVER</t>
  </si>
  <si>
    <t>SD_FAULK</t>
  </si>
  <si>
    <t>SD_GRANT</t>
  </si>
  <si>
    <t>SD_GREGORY</t>
  </si>
  <si>
    <t>SD_HAAKON</t>
  </si>
  <si>
    <t>SD_HAMLIN</t>
  </si>
  <si>
    <t>SD_HAND</t>
  </si>
  <si>
    <t>SD_HANSON</t>
  </si>
  <si>
    <t>SD_HARDING</t>
  </si>
  <si>
    <t>SD_HUGHES</t>
  </si>
  <si>
    <t>SD_HUTCHINSON</t>
  </si>
  <si>
    <t>SD_HYDE</t>
  </si>
  <si>
    <t>SD_JACKSON</t>
  </si>
  <si>
    <t>SD_JERAULD</t>
  </si>
  <si>
    <t>SD_JONES</t>
  </si>
  <si>
    <t>SD_KINGSBURY</t>
  </si>
  <si>
    <t>SD_LAKE</t>
  </si>
  <si>
    <t>SD_LAWRENCE</t>
  </si>
  <si>
    <t>SD_LINCOLN</t>
  </si>
  <si>
    <t>SD_LYMAN</t>
  </si>
  <si>
    <t>SD_MARSHALL</t>
  </si>
  <si>
    <t>SD_MCCOOK</t>
  </si>
  <si>
    <t>SD_MCPHERSON</t>
  </si>
  <si>
    <t>SD_MEADE</t>
  </si>
  <si>
    <t>SD_MELLETTE</t>
  </si>
  <si>
    <t>SD_MINER</t>
  </si>
  <si>
    <t>SD_MINNEHAHA</t>
  </si>
  <si>
    <t>SD_MOODY</t>
  </si>
  <si>
    <t>Oglala Lakota</t>
  </si>
  <si>
    <t>SD_OGLALA LAKOTA</t>
  </si>
  <si>
    <t>SD_PENNINGTON</t>
  </si>
  <si>
    <t>SD_PERKINS</t>
  </si>
  <si>
    <t>SD_POTTER</t>
  </si>
  <si>
    <t>SD_ROBERTS</t>
  </si>
  <si>
    <t>SD_SANBORN</t>
  </si>
  <si>
    <t>SD_SPINK</t>
  </si>
  <si>
    <t>SD_STANLEY</t>
  </si>
  <si>
    <t>SD_SULLY</t>
  </si>
  <si>
    <t>SD_TODD</t>
  </si>
  <si>
    <t>SD_TRIPP</t>
  </si>
  <si>
    <t>SD_TURNER</t>
  </si>
  <si>
    <t>SD_UNION</t>
  </si>
  <si>
    <t>SD_WALWORTH</t>
  </si>
  <si>
    <t>SD_YANKTON</t>
  </si>
  <si>
    <t>SD_ZIEBACH</t>
  </si>
  <si>
    <t>TN_ANDERSON</t>
  </si>
  <si>
    <t>TN_BEDFORD</t>
  </si>
  <si>
    <t>TN_BENTON</t>
  </si>
  <si>
    <t>TN_BLEDSOE</t>
  </si>
  <si>
    <t>TN_BLOUNT</t>
  </si>
  <si>
    <t>TN_BRADLEY</t>
  </si>
  <si>
    <t>TN_CAMPBELL</t>
  </si>
  <si>
    <t>TN_CANNON</t>
  </si>
  <si>
    <t>TN_CARROLL</t>
  </si>
  <si>
    <t>TN_CARTER</t>
  </si>
  <si>
    <t>TN_CHEATHAM</t>
  </si>
  <si>
    <t>TN_CHESTER</t>
  </si>
  <si>
    <t>TN_CLAIBORNE</t>
  </si>
  <si>
    <t>TN_CLAY</t>
  </si>
  <si>
    <t>TN_COCKE</t>
  </si>
  <si>
    <t>TN_COFFEE</t>
  </si>
  <si>
    <t>TN_CROCKETT</t>
  </si>
  <si>
    <t>TN_CUMBERLAND</t>
  </si>
  <si>
    <t>TN_DAVIDSON</t>
  </si>
  <si>
    <t>TN_DECATUR</t>
  </si>
  <si>
    <t>TN_DEKALB</t>
  </si>
  <si>
    <t>TN_DICKSON</t>
  </si>
  <si>
    <t>TN_DYER</t>
  </si>
  <si>
    <t>TN_FAYETTE</t>
  </si>
  <si>
    <t>TN_FENTRESS</t>
  </si>
  <si>
    <t>TN_FRANKLIN</t>
  </si>
  <si>
    <t>TN_GIBSON</t>
  </si>
  <si>
    <t>TN_GILES</t>
  </si>
  <si>
    <t>TN_GRAINGER</t>
  </si>
  <si>
    <t>TN_GREENE</t>
  </si>
  <si>
    <t>TN_GRUNDY</t>
  </si>
  <si>
    <t>TN_HAMBLEN</t>
  </si>
  <si>
    <t>TN_HAMILTON</t>
  </si>
  <si>
    <t>TN_HANCOCK</t>
  </si>
  <si>
    <t>TN_HARDEMAN</t>
  </si>
  <si>
    <t>TN_HARDIN</t>
  </si>
  <si>
    <t>TN_HAWKINS</t>
  </si>
  <si>
    <t>TN_HAYWOOD</t>
  </si>
  <si>
    <t>TN_HENDERSON</t>
  </si>
  <si>
    <t>TN_HENRY</t>
  </si>
  <si>
    <t>TN_HICKMAN</t>
  </si>
  <si>
    <t>TN_HOUSTON</t>
  </si>
  <si>
    <t>TN_HUMPHREYS</t>
  </si>
  <si>
    <t>TN_JACKSON</t>
  </si>
  <si>
    <t>TN_JEFFERSON</t>
  </si>
  <si>
    <t>TN_JOHNSON</t>
  </si>
  <si>
    <t>TN_KNOX</t>
  </si>
  <si>
    <t>TN_LAKE</t>
  </si>
  <si>
    <t>TN_LAUDERDALE</t>
  </si>
  <si>
    <t>TN_LAWRENCE</t>
  </si>
  <si>
    <t>TN_LEWIS</t>
  </si>
  <si>
    <t>TN_LINCOLN</t>
  </si>
  <si>
    <t>TN_LOUDON</t>
  </si>
  <si>
    <t>TN_MACON</t>
  </si>
  <si>
    <t>TN_MADISON</t>
  </si>
  <si>
    <t>TN_MARION</t>
  </si>
  <si>
    <t>TN_MARSHALL</t>
  </si>
  <si>
    <t>TN_MAURY</t>
  </si>
  <si>
    <t>TN_MCMINN</t>
  </si>
  <si>
    <t>TN_MCNAIRY</t>
  </si>
  <si>
    <t>TN_MEIGS</t>
  </si>
  <si>
    <t>TN_MONROE</t>
  </si>
  <si>
    <t>TN_MONTGOMERY</t>
  </si>
  <si>
    <t>TN_MOORE</t>
  </si>
  <si>
    <t>TN_MORGAN</t>
  </si>
  <si>
    <t>TN_OBION</t>
  </si>
  <si>
    <t>TN_OVERTON</t>
  </si>
  <si>
    <t>TN_PERRY</t>
  </si>
  <si>
    <t>TN_PICKETT</t>
  </si>
  <si>
    <t>TN_POLK</t>
  </si>
  <si>
    <t>TN_PUTNAM</t>
  </si>
  <si>
    <t>TN_RHEA</t>
  </si>
  <si>
    <t>TN_ROANE</t>
  </si>
  <si>
    <t>TN_ROBERTSON</t>
  </si>
  <si>
    <t>TN_RUTHERFORD</t>
  </si>
  <si>
    <t>TN_SCOTT</t>
  </si>
  <si>
    <t>TN_SEQUATCHIE</t>
  </si>
  <si>
    <t>TN_SEVIER</t>
  </si>
  <si>
    <t>TN_SHELBY</t>
  </si>
  <si>
    <t>TN_SMITH</t>
  </si>
  <si>
    <t>TN_STEWART</t>
  </si>
  <si>
    <t>TN_SULLIVAN</t>
  </si>
  <si>
    <t>TN_SUMNER</t>
  </si>
  <si>
    <t>TN_TIPTON</t>
  </si>
  <si>
    <t>TN_TROUSDALE</t>
  </si>
  <si>
    <t>TN_UNICOI</t>
  </si>
  <si>
    <t>TN_UNION</t>
  </si>
  <si>
    <t>TN_VAN BUREN</t>
  </si>
  <si>
    <t>TN_WARREN</t>
  </si>
  <si>
    <t>TN_WASHINGTON</t>
  </si>
  <si>
    <t>TN_WAYNE</t>
  </si>
  <si>
    <t>TN_WEAKLEY</t>
  </si>
  <si>
    <t>TN_WHITE</t>
  </si>
  <si>
    <t>TN_WILLIAMSON</t>
  </si>
  <si>
    <t>TN_WILSON</t>
  </si>
  <si>
    <t>TX_ANDERSON</t>
  </si>
  <si>
    <t>TX_ANDREWS</t>
  </si>
  <si>
    <t>TX_ANGELINA</t>
  </si>
  <si>
    <t>TX_ARANSAS</t>
  </si>
  <si>
    <t>TX_ARCHER</t>
  </si>
  <si>
    <t>TX_ARMSTRONG</t>
  </si>
  <si>
    <t>TX_ATASCOSA</t>
  </si>
  <si>
    <t>TX_AUSTIN</t>
  </si>
  <si>
    <t>TX_BAILEY</t>
  </si>
  <si>
    <t>TX_BANDERA</t>
  </si>
  <si>
    <t>TX_BASTROP</t>
  </si>
  <si>
    <t>TX_BAYLOR</t>
  </si>
  <si>
    <t>TX_BEE</t>
  </si>
  <si>
    <t>TX_BELL</t>
  </si>
  <si>
    <t>TX_BEXAR</t>
  </si>
  <si>
    <t>TX_BLANCO</t>
  </si>
  <si>
    <t>TX_BORDEN</t>
  </si>
  <si>
    <t>TX_BOSQUE</t>
  </si>
  <si>
    <t>TX_BOWIE</t>
  </si>
  <si>
    <t>TX_BRAZORIA</t>
  </si>
  <si>
    <t>TX_BRAZOS</t>
  </si>
  <si>
    <t>TX_BREWSTER</t>
  </si>
  <si>
    <t>TX_BRISCOE</t>
  </si>
  <si>
    <t>TX_BROOKS</t>
  </si>
  <si>
    <t>TX_BROWN</t>
  </si>
  <si>
    <t>TX_BURLESON</t>
  </si>
  <si>
    <t>TX_BURNET</t>
  </si>
  <si>
    <t>TX_CALDWELL</t>
  </si>
  <si>
    <t>TX_CALHOUN</t>
  </si>
  <si>
    <t>TX_CALLAHAN</t>
  </si>
  <si>
    <t>TX_CAMERON</t>
  </si>
  <si>
    <t>TX_CAMP</t>
  </si>
  <si>
    <t>TX_CARSON</t>
  </si>
  <si>
    <t>TX_CASS</t>
  </si>
  <si>
    <t>TX_CASTRO</t>
  </si>
  <si>
    <t>TX_CHAMBERS</t>
  </si>
  <si>
    <t>TX_CHEROKEE</t>
  </si>
  <si>
    <t>TX_CHILDRESS</t>
  </si>
  <si>
    <t>TX_CLAY</t>
  </si>
  <si>
    <t>TX_COCHRAN</t>
  </si>
  <si>
    <t>TX_COKE</t>
  </si>
  <si>
    <t>TX_COLEMAN</t>
  </si>
  <si>
    <t>TX_COLLIN</t>
  </si>
  <si>
    <t>TX_COLLINGSWORTH</t>
  </si>
  <si>
    <t>TX_COLORADO</t>
  </si>
  <si>
    <t>TX_COMAL</t>
  </si>
  <si>
    <t>TX_COMANCHE</t>
  </si>
  <si>
    <t>TX_CONCHO</t>
  </si>
  <si>
    <t>TX_COOKE</t>
  </si>
  <si>
    <t>TX_CORYELL</t>
  </si>
  <si>
    <t>TX_COTTLE</t>
  </si>
  <si>
    <t>TX_CRANE</t>
  </si>
  <si>
    <t>TX_CROCKETT</t>
  </si>
  <si>
    <t>TX_CROSBY</t>
  </si>
  <si>
    <t>TX_CULBERSON</t>
  </si>
  <si>
    <t>TX_DALLAM</t>
  </si>
  <si>
    <t>TX_DALLAS</t>
  </si>
  <si>
    <t>TX_DAWSON</t>
  </si>
  <si>
    <t>TX_DEAF SMITH</t>
  </si>
  <si>
    <t>TX_DELTA</t>
  </si>
  <si>
    <t>TX_DENTON</t>
  </si>
  <si>
    <t>TX_DEWITT</t>
  </si>
  <si>
    <t>TX_DICKENS</t>
  </si>
  <si>
    <t>TX_DIMMIT</t>
  </si>
  <si>
    <t>TX_DONLEY</t>
  </si>
  <si>
    <t>TX_DUVAL</t>
  </si>
  <si>
    <t>TX_EASTLAND</t>
  </si>
  <si>
    <t>TX_ECTOR</t>
  </si>
  <si>
    <t>TX_EDWARDS</t>
  </si>
  <si>
    <t>TX_EL PASO</t>
  </si>
  <si>
    <t>TX_ELLIS</t>
  </si>
  <si>
    <t>TX_ERATH</t>
  </si>
  <si>
    <t>TX_FALLS</t>
  </si>
  <si>
    <t>TX_FANNIN</t>
  </si>
  <si>
    <t>TX_FAYETTE</t>
  </si>
  <si>
    <t>TX_FISHER</t>
  </si>
  <si>
    <t>TX_FLOYD</t>
  </si>
  <si>
    <t>TX_FOARD</t>
  </si>
  <si>
    <t>TX_FORT BEND</t>
  </si>
  <si>
    <t>TX_FRANKLIN</t>
  </si>
  <si>
    <t>TX_FREESTONE</t>
  </si>
  <si>
    <t>TX_FRIO</t>
  </si>
  <si>
    <t>TX_GAINES</t>
  </si>
  <si>
    <t>TX_GALVESTON</t>
  </si>
  <si>
    <t>TX_GARZA</t>
  </si>
  <si>
    <t>TX_GILLESPIE</t>
  </si>
  <si>
    <t>TX_GLASSCOCK</t>
  </si>
  <si>
    <t>TX_GOLIAD</t>
  </si>
  <si>
    <t>TX_GONZALES</t>
  </si>
  <si>
    <t>TX_GRAY</t>
  </si>
  <si>
    <t>TX_GRAYSON</t>
  </si>
  <si>
    <t>TX_GREGG</t>
  </si>
  <si>
    <t>TX_GRIMES</t>
  </si>
  <si>
    <t>TX_GUADALUPE</t>
  </si>
  <si>
    <t>TX_HALE</t>
  </si>
  <si>
    <t>TX_HALL</t>
  </si>
  <si>
    <t>TX_HAMILTON</t>
  </si>
  <si>
    <t>TX_HANSFORD</t>
  </si>
  <si>
    <t>TX_HARDEMAN</t>
  </si>
  <si>
    <t>TX_HARDIN</t>
  </si>
  <si>
    <t>TX_HARRIS</t>
  </si>
  <si>
    <t>TX_HARRISON</t>
  </si>
  <si>
    <t>TX_HARTLEY</t>
  </si>
  <si>
    <t>TX_HASKELL</t>
  </si>
  <si>
    <t>TX_HAYS</t>
  </si>
  <si>
    <t>TX_HEMPHILL</t>
  </si>
  <si>
    <t>TX_HENDERSON</t>
  </si>
  <si>
    <t>TX_HIDALGO</t>
  </si>
  <si>
    <t>TX_HILL</t>
  </si>
  <si>
    <t>TX_HOCKLEY</t>
  </si>
  <si>
    <t>TX_HOOD</t>
  </si>
  <si>
    <t>TX_HOPKINS</t>
  </si>
  <si>
    <t>TX_HOUSTON</t>
  </si>
  <si>
    <t>TX_HOWARD</t>
  </si>
  <si>
    <t>TX_HUDSPETH</t>
  </si>
  <si>
    <t>TX_HUNT</t>
  </si>
  <si>
    <t>TX_HUTCHINSON</t>
  </si>
  <si>
    <t>TX_IRION</t>
  </si>
  <si>
    <t>TX_JACK</t>
  </si>
  <si>
    <t>TX_JACKSON</t>
  </si>
  <si>
    <t>TX_JASPER</t>
  </si>
  <si>
    <t>TX_JEFF DAVIS</t>
  </si>
  <si>
    <t>TX_JEFFERSON</t>
  </si>
  <si>
    <t>TX_JIM HOGG</t>
  </si>
  <si>
    <t>TX_JIM WELLS</t>
  </si>
  <si>
    <t>TX_JOHNSON</t>
  </si>
  <si>
    <t>TX_JONES</t>
  </si>
  <si>
    <t>TX_KARNES</t>
  </si>
  <si>
    <t>TX_KAUFMAN</t>
  </si>
  <si>
    <t>TX_KENDALL</t>
  </si>
  <si>
    <t>TX_KENEDY</t>
  </si>
  <si>
    <t>TX_KENT</t>
  </si>
  <si>
    <t>TX_KERR</t>
  </si>
  <si>
    <t>TX_KIMBLE</t>
  </si>
  <si>
    <t>TX_KING</t>
  </si>
  <si>
    <t>TX_KINNEY</t>
  </si>
  <si>
    <t>TX_KLEBERG</t>
  </si>
  <si>
    <t>TX_KNOX</t>
  </si>
  <si>
    <t>TX_LA SALLE</t>
  </si>
  <si>
    <t>TX_LAMAR</t>
  </si>
  <si>
    <t>TX_LAMB</t>
  </si>
  <si>
    <t>TX_LAMPASAS</t>
  </si>
  <si>
    <t>TX_LAVACA</t>
  </si>
  <si>
    <t>TX_LEE</t>
  </si>
  <si>
    <t>TX_LEON</t>
  </si>
  <si>
    <t>TX_LIBERTY</t>
  </si>
  <si>
    <t>TX_LIMESTONE</t>
  </si>
  <si>
    <t>TX_LIPSCOMB</t>
  </si>
  <si>
    <t>TX_LIVE OAK</t>
  </si>
  <si>
    <t>TX_LLANO</t>
  </si>
  <si>
    <t>TX_LOVING</t>
  </si>
  <si>
    <t>TX_LUBBOCK</t>
  </si>
  <si>
    <t>TX_LYNN</t>
  </si>
  <si>
    <t>TX_MADISON</t>
  </si>
  <si>
    <t>TX_MARION</t>
  </si>
  <si>
    <t>TX_MARTIN</t>
  </si>
  <si>
    <t>TX_MASON</t>
  </si>
  <si>
    <t>TX_MATAGORDA</t>
  </si>
  <si>
    <t>TX_MAVERICK</t>
  </si>
  <si>
    <t>TX_MCCULLOCH</t>
  </si>
  <si>
    <t>TX_MCLENNAN</t>
  </si>
  <si>
    <t>TX_MCMULLEN</t>
  </si>
  <si>
    <t>TX_MEDINA</t>
  </si>
  <si>
    <t>TX_MENARD</t>
  </si>
  <si>
    <t>TX_MIDLAND</t>
  </si>
  <si>
    <t>TX_MILAM</t>
  </si>
  <si>
    <t>TX_MILLS</t>
  </si>
  <si>
    <t>TX_MITCHELL</t>
  </si>
  <si>
    <t>TX_MONTAGUE</t>
  </si>
  <si>
    <t>TX_MONTGOMERY</t>
  </si>
  <si>
    <t>TX_MOORE</t>
  </si>
  <si>
    <t>TX_MORRIS</t>
  </si>
  <si>
    <t>TX_MOTLEY</t>
  </si>
  <si>
    <t>TX_NACOGDOCHES</t>
  </si>
  <si>
    <t>TX_NAVARRO</t>
  </si>
  <si>
    <t>TX_NEWTON</t>
  </si>
  <si>
    <t>TX_NOLAN</t>
  </si>
  <si>
    <t>TX_NUECES</t>
  </si>
  <si>
    <t>TX_OCHILTREE</t>
  </si>
  <si>
    <t>TX_OLDHAM</t>
  </si>
  <si>
    <t>TX_ORANGE</t>
  </si>
  <si>
    <t>TX_PALO PINTO</t>
  </si>
  <si>
    <t>TX_PANOLA</t>
  </si>
  <si>
    <t>TX_PARKER</t>
  </si>
  <si>
    <t>TX_PARMER</t>
  </si>
  <si>
    <t>TX_PECOS</t>
  </si>
  <si>
    <t>TX_POLK</t>
  </si>
  <si>
    <t>TX_POTTER</t>
  </si>
  <si>
    <t>TX_PRESIDIO</t>
  </si>
  <si>
    <t>TX_RAINS</t>
  </si>
  <si>
    <t>TX_RANDALL</t>
  </si>
  <si>
    <t>TX_REAGAN</t>
  </si>
  <si>
    <t>TX_REAL</t>
  </si>
  <si>
    <t>TX_RED RIVER</t>
  </si>
  <si>
    <t>TX_REEVES</t>
  </si>
  <si>
    <t>TX_REFUGIO</t>
  </si>
  <si>
    <t>TX_ROBERTS</t>
  </si>
  <si>
    <t>TX_ROBERTSON</t>
  </si>
  <si>
    <t>TX_ROCKWALL</t>
  </si>
  <si>
    <t>TX_RUNNELS</t>
  </si>
  <si>
    <t>TX_RUSK</t>
  </si>
  <si>
    <t>TX_SABINE</t>
  </si>
  <si>
    <t>TX_SAN AUGUSTINE</t>
  </si>
  <si>
    <t>TX_SAN JACINTO</t>
  </si>
  <si>
    <t>TX_SAN PATRICIO</t>
  </si>
  <si>
    <t>TX_SAN SABA</t>
  </si>
  <si>
    <t>TX_SCHLEICHER</t>
  </si>
  <si>
    <t>TX_SCURRY</t>
  </si>
  <si>
    <t>TX_SHACKELFORD</t>
  </si>
  <si>
    <t>TX_SHELBY</t>
  </si>
  <si>
    <t>TX_SHERMAN</t>
  </si>
  <si>
    <t>TX_SMITH</t>
  </si>
  <si>
    <t>TX_SOMERVELL</t>
  </si>
  <si>
    <t>TX_STARR</t>
  </si>
  <si>
    <t>TX_STEPHENS</t>
  </si>
  <si>
    <t>TX_STERLING</t>
  </si>
  <si>
    <t>TX_STONEWALL</t>
  </si>
  <si>
    <t>TX_SUTTON</t>
  </si>
  <si>
    <t>TX_SWISHER</t>
  </si>
  <si>
    <t>TX_TARRANT</t>
  </si>
  <si>
    <t>TX_TAYLOR</t>
  </si>
  <si>
    <t>TX_TERRELL</t>
  </si>
  <si>
    <t>TX_TERRY</t>
  </si>
  <si>
    <t>TX_THROCKMORTON</t>
  </si>
  <si>
    <t>TX_TITUS</t>
  </si>
  <si>
    <t>TX_TOM GREEN</t>
  </si>
  <si>
    <t>TX_TRAVIS</t>
  </si>
  <si>
    <t>TX_TRINITY</t>
  </si>
  <si>
    <t>TX_TYLER</t>
  </si>
  <si>
    <t>TX_UPSHUR</t>
  </si>
  <si>
    <t>TX_UPTON</t>
  </si>
  <si>
    <t>TX_UVALDE</t>
  </si>
  <si>
    <t>TX_VAL VERDE</t>
  </si>
  <si>
    <t>TX_VAN ZANDT</t>
  </si>
  <si>
    <t>TX_VICTORIA</t>
  </si>
  <si>
    <t>TX_WALKER</t>
  </si>
  <si>
    <t>TX_WALLER</t>
  </si>
  <si>
    <t>TX_WARD</t>
  </si>
  <si>
    <t>TX_WASHINGTON</t>
  </si>
  <si>
    <t>TX_WEBB</t>
  </si>
  <si>
    <t>TX_WHARTON</t>
  </si>
  <si>
    <t>TX_WHEELER</t>
  </si>
  <si>
    <t>TX_WICHITA</t>
  </si>
  <si>
    <t>TX_WILBARGER</t>
  </si>
  <si>
    <t>TX_WILLACY</t>
  </si>
  <si>
    <t>TX_WILLIAMSON</t>
  </si>
  <si>
    <t>TX_WILSON</t>
  </si>
  <si>
    <t>TX_WINKLER</t>
  </si>
  <si>
    <t>TX_WISE</t>
  </si>
  <si>
    <t>TX_WOOD</t>
  </si>
  <si>
    <t>TX_YOAKUM</t>
  </si>
  <si>
    <t>TX_YOUNG</t>
  </si>
  <si>
    <t>TX_ZAPATA</t>
  </si>
  <si>
    <t>TX_ZAVALA</t>
  </si>
  <si>
    <t>UT_BEAVER</t>
  </si>
  <si>
    <t>UT_BOX ELDER</t>
  </si>
  <si>
    <t>UT_CACHE</t>
  </si>
  <si>
    <t>UT_CARBON</t>
  </si>
  <si>
    <t>UT_DAGGETT</t>
  </si>
  <si>
    <t>UT_DAVIS</t>
  </si>
  <si>
    <t>UT_DUCHESNE</t>
  </si>
  <si>
    <t>UT_EMERY</t>
  </si>
  <si>
    <t>UT_GARFIELD</t>
  </si>
  <si>
    <t>UT_GRAND</t>
  </si>
  <si>
    <t>UT_IRON</t>
  </si>
  <si>
    <t>UT_JUAB</t>
  </si>
  <si>
    <t>UT_KANE</t>
  </si>
  <si>
    <t>UT_MILLARD</t>
  </si>
  <si>
    <t>UT_MORGAN</t>
  </si>
  <si>
    <t>UT_PIUTE</t>
  </si>
  <si>
    <t>UT_RICH</t>
  </si>
  <si>
    <t>UT_SALT LAKE</t>
  </si>
  <si>
    <t>UT_SAN JUAN</t>
  </si>
  <si>
    <t>UT_SANPETE</t>
  </si>
  <si>
    <t>UT_SEVIER</t>
  </si>
  <si>
    <t>UT_SUMMIT</t>
  </si>
  <si>
    <t>UT_TOOELE</t>
  </si>
  <si>
    <t>UT_UINTAH</t>
  </si>
  <si>
    <t>UT_UTAH</t>
  </si>
  <si>
    <t>UT_WASATCH</t>
  </si>
  <si>
    <t>UT_WASHINGTON</t>
  </si>
  <si>
    <t>UT_WAYNE</t>
  </si>
  <si>
    <t>UT_WEBER</t>
  </si>
  <si>
    <t>VA_ACCOMACK</t>
  </si>
  <si>
    <t>VA_ALBEMARLE</t>
  </si>
  <si>
    <t>VA_ALEXANDRIA CITY</t>
  </si>
  <si>
    <t>VA_ALLEGHANY</t>
  </si>
  <si>
    <t>VA_AMELIA</t>
  </si>
  <si>
    <t>VA_AMHERST</t>
  </si>
  <si>
    <t>VA_APPOMATTOX</t>
  </si>
  <si>
    <t>VA_ARLINGTON</t>
  </si>
  <si>
    <t>VA_AUGUSTA</t>
  </si>
  <si>
    <t>VA_BATH</t>
  </si>
  <si>
    <t>VA_BEDFORD</t>
  </si>
  <si>
    <t>VA_BLAND</t>
  </si>
  <si>
    <t>VA_BOTETOURT</t>
  </si>
  <si>
    <t>VA_BRISTOL CITY</t>
  </si>
  <si>
    <t>VA_BRUNSWICK</t>
  </si>
  <si>
    <t>VA_BUCHANAN</t>
  </si>
  <si>
    <t>VA_BUCKINGHAM</t>
  </si>
  <si>
    <t>VA_BUENA VISTA CITY</t>
  </si>
  <si>
    <t>VA_CAMPBELL</t>
  </si>
  <si>
    <t>VA_CAROLINE</t>
  </si>
  <si>
    <t>VA_CARROLL</t>
  </si>
  <si>
    <t>VA_CHARLES CITY</t>
  </si>
  <si>
    <t>VA_CHARLOTTE</t>
  </si>
  <si>
    <t>VA_CHARLOTTESVILLE CITY</t>
  </si>
  <si>
    <t>VA_CHESAPEAKE CITY</t>
  </si>
  <si>
    <t>VA_CHESTERFIELD</t>
  </si>
  <si>
    <t>VA_CLARKE</t>
  </si>
  <si>
    <t>VA_COLONIAL HEIGHTS CITY</t>
  </si>
  <si>
    <t>VA_COVINGTON CITY</t>
  </si>
  <si>
    <t>VA_CRAIG</t>
  </si>
  <si>
    <t>VA_CULPEPER</t>
  </si>
  <si>
    <t>VA_CUMBERLAND</t>
  </si>
  <si>
    <t>VA_DANVILLE CITY</t>
  </si>
  <si>
    <t>VA_DICKENSON</t>
  </si>
  <si>
    <t>VA_DINWIDDIE</t>
  </si>
  <si>
    <t>VA_EMPORIA CITY</t>
  </si>
  <si>
    <t>VA_ESSEX</t>
  </si>
  <si>
    <t>VA_FAIRFAX</t>
  </si>
  <si>
    <t>VA_FAIRFAX CITY</t>
  </si>
  <si>
    <t>VA_FALLS CHURCH CITY</t>
  </si>
  <si>
    <t>VA_FAUQUIER</t>
  </si>
  <si>
    <t>VA_FLOYD</t>
  </si>
  <si>
    <t>VA_FLUVANNA</t>
  </si>
  <si>
    <t>VA_FRANKLIN</t>
  </si>
  <si>
    <t>VA_FRANKLIN CITY</t>
  </si>
  <si>
    <t>VA_FREDERICK</t>
  </si>
  <si>
    <t>VA_FREDERICKSBURG CITY</t>
  </si>
  <si>
    <t>VA_GALAX CITY</t>
  </si>
  <si>
    <t>VA_GILES</t>
  </si>
  <si>
    <t>VA_GLOUCESTER</t>
  </si>
  <si>
    <t>VA_GOOCHLAND</t>
  </si>
  <si>
    <t>VA_GRAYSON</t>
  </si>
  <si>
    <t>VA_GREENE</t>
  </si>
  <si>
    <t>VA_GREENSVILLE</t>
  </si>
  <si>
    <t>VA_HALIFAX</t>
  </si>
  <si>
    <t>VA_HAMPTON CITY</t>
  </si>
  <si>
    <t>VA_HANOVER</t>
  </si>
  <si>
    <t>VA_HARRISONBURG CITY</t>
  </si>
  <si>
    <t>VA_HENRICO</t>
  </si>
  <si>
    <t>VA_HENRY</t>
  </si>
  <si>
    <t>VA_HIGHLAND</t>
  </si>
  <si>
    <t>VA_HOPEWELL CITY</t>
  </si>
  <si>
    <t>VA_ISLE OF WIGHT</t>
  </si>
  <si>
    <t>VA_JAMES CITY</t>
  </si>
  <si>
    <t>VA_KING AND QUEEN</t>
  </si>
  <si>
    <t>VA_KING GEORGE</t>
  </si>
  <si>
    <t>VA_KING WILLIAM</t>
  </si>
  <si>
    <t>VA_LANCASTER</t>
  </si>
  <si>
    <t>VA_LEE</t>
  </si>
  <si>
    <t>VA_LEXINGTON CITY</t>
  </si>
  <si>
    <t>VA_LOUDOUN</t>
  </si>
  <si>
    <t>VA_LOUISA</t>
  </si>
  <si>
    <t>VA_LUNENBURG</t>
  </si>
  <si>
    <t>VA_LYNCHBURG CITY</t>
  </si>
  <si>
    <t>VA_MADISON</t>
  </si>
  <si>
    <t>VA_MANASSAS CITY</t>
  </si>
  <si>
    <t>VA_MANASSAS PARK CITY</t>
  </si>
  <si>
    <t>VA_MARTINSVILLE CITY</t>
  </si>
  <si>
    <t>VA_MATHEWS</t>
  </si>
  <si>
    <t>VA_MECKLENBURG</t>
  </si>
  <si>
    <t>VA_MIDDLESEX</t>
  </si>
  <si>
    <t>VA_MONTGOMERY</t>
  </si>
  <si>
    <t>VA_NELSON</t>
  </si>
  <si>
    <t>VA_NEW KENT</t>
  </si>
  <si>
    <t>VA_NEWPORT NEWS CITY</t>
  </si>
  <si>
    <t>VA_NORFOLK CITY</t>
  </si>
  <si>
    <t>VA_NORTHAMPTON</t>
  </si>
  <si>
    <t>VA_NORTHUMBERLAND</t>
  </si>
  <si>
    <t>VA_NORTON CITY</t>
  </si>
  <si>
    <t>VA_NOTTOWAY</t>
  </si>
  <si>
    <t>VA_ORANGE</t>
  </si>
  <si>
    <t>VA_PAGE</t>
  </si>
  <si>
    <t>VA_PATRICK</t>
  </si>
  <si>
    <t>VA_PETERSBURG CITY</t>
  </si>
  <si>
    <t>VA_PITTSYLVANIA</t>
  </si>
  <si>
    <t>VA_POQUOSON CITY</t>
  </si>
  <si>
    <t>VA_PORTSMOUTH CITY</t>
  </si>
  <si>
    <t>VA_POWHATAN</t>
  </si>
  <si>
    <t>VA_PRINCE EDWARD</t>
  </si>
  <si>
    <t>VA_PRINCE GEORGE</t>
  </si>
  <si>
    <t>VA_PRINCE WILLIAM</t>
  </si>
  <si>
    <t>VA_PULASKI</t>
  </si>
  <si>
    <t>VA_RADFORD CITY</t>
  </si>
  <si>
    <t>VA_RAPPAHANNOCK</t>
  </si>
  <si>
    <t>VA_RICHMOND</t>
  </si>
  <si>
    <t>VA_RICHMOND CITY</t>
  </si>
  <si>
    <t>VA_ROANOKE</t>
  </si>
  <si>
    <t>VA_ROANOKE CITY</t>
  </si>
  <si>
    <t>VA_ROCKBRIDGE</t>
  </si>
  <si>
    <t>VA_ROCKINGHAM</t>
  </si>
  <si>
    <t>VA_RUSSELL</t>
  </si>
  <si>
    <t>VA_SALEM CITY</t>
  </si>
  <si>
    <t>VA_SCOTT</t>
  </si>
  <si>
    <t>VA_SHENANDOAH</t>
  </si>
  <si>
    <t>VA_SMYTH</t>
  </si>
  <si>
    <t>VA_SOUTHAMPTON</t>
  </si>
  <si>
    <t>VA_SPOTSYLVANIA</t>
  </si>
  <si>
    <t>VA_STAFFORD</t>
  </si>
  <si>
    <t>VA_STAUNTON CITY</t>
  </si>
  <si>
    <t>VA_SUFFOLK CITY</t>
  </si>
  <si>
    <t>VA_SURRY</t>
  </si>
  <si>
    <t>VA_SUSSEX</t>
  </si>
  <si>
    <t>VA_TAZEWELL</t>
  </si>
  <si>
    <t>VA_VIRGINIA BEACH CITY</t>
  </si>
  <si>
    <t>VA_WARREN</t>
  </si>
  <si>
    <t>VA_WASHINGTON</t>
  </si>
  <si>
    <t>VA_WAYNESBORO CITY</t>
  </si>
  <si>
    <t>VA_WESTMORELAND</t>
  </si>
  <si>
    <t>VA_WILLIAMSBURG CITY</t>
  </si>
  <si>
    <t>VA_WINCHESTER CITY</t>
  </si>
  <si>
    <t>VA_WISE</t>
  </si>
  <si>
    <t>VA_WYTHE</t>
  </si>
  <si>
    <t>VA_YORK</t>
  </si>
  <si>
    <t>VI_ST CROIX</t>
  </si>
  <si>
    <t>VI_ST JOHN</t>
  </si>
  <si>
    <t>VI_ST THOMAS</t>
  </si>
  <si>
    <t>VT_ADDISON</t>
  </si>
  <si>
    <t>VT_BENNINGTON</t>
  </si>
  <si>
    <t>VT_CALEDONIA</t>
  </si>
  <si>
    <t>VT_CHITTENDEN</t>
  </si>
  <si>
    <t>VT_ESSEX</t>
  </si>
  <si>
    <t>VT_FRANKLIN</t>
  </si>
  <si>
    <t>VT_GRAND ISLE</t>
  </si>
  <si>
    <t>VT_LAMOILLE</t>
  </si>
  <si>
    <t>VT_ORANGE</t>
  </si>
  <si>
    <t>VT_ORLEANS</t>
  </si>
  <si>
    <t>VT_RUTLAND</t>
  </si>
  <si>
    <t>VT_WASHINGTON</t>
  </si>
  <si>
    <t>VT_WINDHAM</t>
  </si>
  <si>
    <t>VT_WINDSOR</t>
  </si>
  <si>
    <t>WA_ADAMS</t>
  </si>
  <si>
    <t>WA_ASOTIN</t>
  </si>
  <si>
    <t>WA_BENTON</t>
  </si>
  <si>
    <t>WA_CHELAN</t>
  </si>
  <si>
    <t>WA_CLALLAM</t>
  </si>
  <si>
    <t>WA_CLARK</t>
  </si>
  <si>
    <t>WA_COLUMBIA</t>
  </si>
  <si>
    <t>WA_COWLITZ</t>
  </si>
  <si>
    <t>WA_DOUGLAS</t>
  </si>
  <si>
    <t>WA_FERRY</t>
  </si>
  <si>
    <t>WA_FRANKLIN</t>
  </si>
  <si>
    <t>WA_GARFIELD</t>
  </si>
  <si>
    <t>WA_GRANT</t>
  </si>
  <si>
    <t>WA_GRAYS HARBOR</t>
  </si>
  <si>
    <t>WA_ISLAND</t>
  </si>
  <si>
    <t>WA_JEFFERSON</t>
  </si>
  <si>
    <t>WA_KING</t>
  </si>
  <si>
    <t>WA_KITSAP</t>
  </si>
  <si>
    <t>WA_KITTITAS</t>
  </si>
  <si>
    <t>WA_KLICKITAT</t>
  </si>
  <si>
    <t>WA_LEWIS</t>
  </si>
  <si>
    <t>WA_LINCOLN</t>
  </si>
  <si>
    <t>WA_MASON</t>
  </si>
  <si>
    <t>WA_OKANOGAN</t>
  </si>
  <si>
    <t>WA_PACIFIC</t>
  </si>
  <si>
    <t>WA_PEND OREILLE</t>
  </si>
  <si>
    <t>WA_PIERCE</t>
  </si>
  <si>
    <t>WA_SAN JUAN</t>
  </si>
  <si>
    <t>WA_SKAGIT</t>
  </si>
  <si>
    <t>WA_SKAMANIA</t>
  </si>
  <si>
    <t>WA_SNOHOMISH</t>
  </si>
  <si>
    <t>WA_SPOKANE</t>
  </si>
  <si>
    <t>WA_STEVENS</t>
  </si>
  <si>
    <t>WA_THURSTON</t>
  </si>
  <si>
    <t>WA_WAHKIAKUM</t>
  </si>
  <si>
    <t>WA_WALLA WALLA</t>
  </si>
  <si>
    <t>WA_WHATCOM</t>
  </si>
  <si>
    <t>WA_WHITMAN</t>
  </si>
  <si>
    <t>WA_YAKIMA</t>
  </si>
  <si>
    <t>WI_ADAMS</t>
  </si>
  <si>
    <t>WI_ASHLAND</t>
  </si>
  <si>
    <t>WI_BARRON</t>
  </si>
  <si>
    <t>WI_BAYFIELD</t>
  </si>
  <si>
    <t>WI_BROWN</t>
  </si>
  <si>
    <t>WI_BUFFALO</t>
  </si>
  <si>
    <t>WI_BURNETT</t>
  </si>
  <si>
    <t>WI_CALUMET</t>
  </si>
  <si>
    <t>WI_CHIPPEWA</t>
  </si>
  <si>
    <t>WI_CLARK</t>
  </si>
  <si>
    <t>WI_COLUMBIA</t>
  </si>
  <si>
    <t>WI_CRAWFORD</t>
  </si>
  <si>
    <t>WI_DANE</t>
  </si>
  <si>
    <t>WI_DODGE</t>
  </si>
  <si>
    <t>WI_DOOR</t>
  </si>
  <si>
    <t>WI_DOUGLAS</t>
  </si>
  <si>
    <t>WI_DUNN</t>
  </si>
  <si>
    <t>WI_EAU CLAIRE</t>
  </si>
  <si>
    <t>WI_FLORENCE</t>
  </si>
  <si>
    <t>WI_FOND DU LAC</t>
  </si>
  <si>
    <t>WI_FOREST</t>
  </si>
  <si>
    <t>WI_GRANT</t>
  </si>
  <si>
    <t>WI_GREEN</t>
  </si>
  <si>
    <t>WI_GREEN LAKE</t>
  </si>
  <si>
    <t>WI_IOWA</t>
  </si>
  <si>
    <t>WI_IRON</t>
  </si>
  <si>
    <t>WI_JACKSON</t>
  </si>
  <si>
    <t>WI_JEFFERSON</t>
  </si>
  <si>
    <t>WI_JUNEAU</t>
  </si>
  <si>
    <t>WI_KENOSHA</t>
  </si>
  <si>
    <t>WI_KEWAUNEE</t>
  </si>
  <si>
    <t>WI_LA CROSSE</t>
  </si>
  <si>
    <t>WI_LAFAYETTE</t>
  </si>
  <si>
    <t>WI_LANGLADE</t>
  </si>
  <si>
    <t>WI_LINCOLN</t>
  </si>
  <si>
    <t>WI_MANITOWOC</t>
  </si>
  <si>
    <t>WI_MARATHON</t>
  </si>
  <si>
    <t>WI_MARINETTE</t>
  </si>
  <si>
    <t>WI_MARQUETTE</t>
  </si>
  <si>
    <t>WI_MENOMINEE</t>
  </si>
  <si>
    <t>WI_MILWAUKEE</t>
  </si>
  <si>
    <t>WI_MONROE</t>
  </si>
  <si>
    <t>WI_OCONTO</t>
  </si>
  <si>
    <t>WI_ONEIDA</t>
  </si>
  <si>
    <t>WI_OUTAGAMIE</t>
  </si>
  <si>
    <t>WI_OZAUKEE</t>
  </si>
  <si>
    <t>WI_PEPIN</t>
  </si>
  <si>
    <t>WI_PIERCE</t>
  </si>
  <si>
    <t>WI_POLK</t>
  </si>
  <si>
    <t>WI_PORTAGE</t>
  </si>
  <si>
    <t>WI_PRICE</t>
  </si>
  <si>
    <t>WI_RACINE</t>
  </si>
  <si>
    <t>WI_RICHLAND</t>
  </si>
  <si>
    <t>WI_ROCK</t>
  </si>
  <si>
    <t>WI_RUSK</t>
  </si>
  <si>
    <t>WI_SAUK</t>
  </si>
  <si>
    <t>WI_SAWYER</t>
  </si>
  <si>
    <t>WI_SHAWANO</t>
  </si>
  <si>
    <t>WI_SHEBOYGAN</t>
  </si>
  <si>
    <t>WI_ST. CROIX</t>
  </si>
  <si>
    <t>WI_TAYLOR</t>
  </si>
  <si>
    <t>WI_TREMPEALEAU</t>
  </si>
  <si>
    <t>WI_VERNON</t>
  </si>
  <si>
    <t>WI_VILAS</t>
  </si>
  <si>
    <t>WI_WALWORTH</t>
  </si>
  <si>
    <t>WI_WASHBURN</t>
  </si>
  <si>
    <t>WI_WASHINGTON</t>
  </si>
  <si>
    <t>WI_WAUKESHA</t>
  </si>
  <si>
    <t>WI_WAUPACA</t>
  </si>
  <si>
    <t>WI_WAUSHARA</t>
  </si>
  <si>
    <t>WI_WINNEBAGO</t>
  </si>
  <si>
    <t>WI_WOOD</t>
  </si>
  <si>
    <t>WV_BARBOUR</t>
  </si>
  <si>
    <t>WV_BERKELEY</t>
  </si>
  <si>
    <t>WV_BOONE</t>
  </si>
  <si>
    <t>WV_BRAXTON</t>
  </si>
  <si>
    <t>WV_BROOKE</t>
  </si>
  <si>
    <t>WV_CABELL</t>
  </si>
  <si>
    <t>WV_CALHOUN</t>
  </si>
  <si>
    <t>WV_CLAY</t>
  </si>
  <si>
    <t>WV_DODDRIDGE</t>
  </si>
  <si>
    <t>WV_FAYETTE</t>
  </si>
  <si>
    <t>WV_GILMER</t>
  </si>
  <si>
    <t>WV_GRANT</t>
  </si>
  <si>
    <t>WV_GREENBRIER</t>
  </si>
  <si>
    <t>WV_HAMPSHIRE</t>
  </si>
  <si>
    <t>WV_HANCOCK</t>
  </si>
  <si>
    <t>WV_HARDY</t>
  </si>
  <si>
    <t>WV_HARRISON</t>
  </si>
  <si>
    <t>WV_JACKSON</t>
  </si>
  <si>
    <t>WV_JEFFERSON</t>
  </si>
  <si>
    <t>WV_KANAWHA</t>
  </si>
  <si>
    <t>WV_LEWIS</t>
  </si>
  <si>
    <t>WV_LINCOLN</t>
  </si>
  <si>
    <t>WV_LOGAN</t>
  </si>
  <si>
    <t>WV_MARION</t>
  </si>
  <si>
    <t>WV_MARSHALL</t>
  </si>
  <si>
    <t>WV_MASON</t>
  </si>
  <si>
    <t>WV_MCDOWELL</t>
  </si>
  <si>
    <t>WV_MERCER</t>
  </si>
  <si>
    <t>WV_MINERAL</t>
  </si>
  <si>
    <t>WV_MINGO</t>
  </si>
  <si>
    <t>WV_MONONGALIA</t>
  </si>
  <si>
    <t>WV_MONROE</t>
  </si>
  <si>
    <t>WV_MORGAN</t>
  </si>
  <si>
    <t>WV_NICHOLAS</t>
  </si>
  <si>
    <t>WV_OHIO</t>
  </si>
  <si>
    <t>WV_PENDLETON</t>
  </si>
  <si>
    <t>WV_PLEASANTS</t>
  </si>
  <si>
    <t>WV_POCAHONTAS</t>
  </si>
  <si>
    <t>WV_PRESTON</t>
  </si>
  <si>
    <t>WV_PUTNAM</t>
  </si>
  <si>
    <t>WV_RALEIGH</t>
  </si>
  <si>
    <t>WV_RANDOLPH</t>
  </si>
  <si>
    <t>WV_RITCHIE</t>
  </si>
  <si>
    <t>WV_ROANE</t>
  </si>
  <si>
    <t>WV_SUMMERS</t>
  </si>
  <si>
    <t>WV_TAYLOR</t>
  </si>
  <si>
    <t>WV_TUCKER</t>
  </si>
  <si>
    <t>WV_TYLER</t>
  </si>
  <si>
    <t>WV_UPSHUR</t>
  </si>
  <si>
    <t>WV_WAYNE</t>
  </si>
  <si>
    <t>WV_WEBSTER</t>
  </si>
  <si>
    <t>WV_WETZEL</t>
  </si>
  <si>
    <t>WV_WIRT</t>
  </si>
  <si>
    <t>WV_WOOD</t>
  </si>
  <si>
    <t>WV_WYOMING</t>
  </si>
  <si>
    <t>WY_ALBANY</t>
  </si>
  <si>
    <t>WY_BIG HORN</t>
  </si>
  <si>
    <t>WY_CAMPBELL</t>
  </si>
  <si>
    <t>WY_CARBON</t>
  </si>
  <si>
    <t>WY_CONVERSE</t>
  </si>
  <si>
    <t>WY_CROOK</t>
  </si>
  <si>
    <t>WY_FREMONT</t>
  </si>
  <si>
    <t>WY_GOSHEN</t>
  </si>
  <si>
    <t>WY_HOT SPRINGS</t>
  </si>
  <si>
    <t>WY_JOHNSON</t>
  </si>
  <si>
    <t>WY_LARAMIE</t>
  </si>
  <si>
    <t>WY_LINCOLN</t>
  </si>
  <si>
    <t>WY_NATRONA</t>
  </si>
  <si>
    <t>WY_NIOBRARA</t>
  </si>
  <si>
    <t>WY_PARK</t>
  </si>
  <si>
    <t>WY_PLATTE</t>
  </si>
  <si>
    <t>WY_SHERIDAN</t>
  </si>
  <si>
    <t>WY_SUBLETTE</t>
  </si>
  <si>
    <t>WY_SWEETWATER</t>
  </si>
  <si>
    <t>WY_TETON</t>
  </si>
  <si>
    <t>WY_UINTA</t>
  </si>
  <si>
    <t>WY_WASHAKIE</t>
  </si>
  <si>
    <t>WY_WESTON</t>
  </si>
  <si>
    <t>INCOME_AREA_NAME</t>
  </si>
  <si>
    <t>NJ_ATLANTIC</t>
  </si>
  <si>
    <t>Atlantic County, NJ</t>
  </si>
  <si>
    <t>NJ_BERGEN</t>
  </si>
  <si>
    <t>Bergen County, NJ</t>
  </si>
  <si>
    <t>NJ_BURLINGTON</t>
  </si>
  <si>
    <t>Burlington County, NJ</t>
  </si>
  <si>
    <t>NJ_CAMDEN</t>
  </si>
  <si>
    <t>Camden County, NJ</t>
  </si>
  <si>
    <t>NJ_CAPE MAY</t>
  </si>
  <si>
    <t>Cape May County, NJ</t>
  </si>
  <si>
    <t>NJ_CUMBERLAND</t>
  </si>
  <si>
    <t>Cumberland County, NJ</t>
  </si>
  <si>
    <t>NJ_ESSEX</t>
  </si>
  <si>
    <t>Essex County, NJ</t>
  </si>
  <si>
    <t>NJ_GLOUCESTER</t>
  </si>
  <si>
    <t>Gloucester County, NJ</t>
  </si>
  <si>
    <t>NJ_HUDSON</t>
  </si>
  <si>
    <t>Hudson County, NJ</t>
  </si>
  <si>
    <t>NJ_HUNTERDON</t>
  </si>
  <si>
    <t>Hunterdon County, NJ</t>
  </si>
  <si>
    <t>NJ_MERCER</t>
  </si>
  <si>
    <t>Mercer County, NJ</t>
  </si>
  <si>
    <t>NJ_MIDDLESEX</t>
  </si>
  <si>
    <t>Middlesex County, NJ</t>
  </si>
  <si>
    <t>NJ_MONMOUTH</t>
  </si>
  <si>
    <t>Monmouth County, NJ</t>
  </si>
  <si>
    <t>NJ_MORRIS</t>
  </si>
  <si>
    <t>Morris County, NJ</t>
  </si>
  <si>
    <t>NJ_OCEAN</t>
  </si>
  <si>
    <t>Ocean County, NJ</t>
  </si>
  <si>
    <t>NJ_PASSAIC</t>
  </si>
  <si>
    <t>Passaic County, NJ</t>
  </si>
  <si>
    <t>NJ_SALEM</t>
  </si>
  <si>
    <t>Salem County, NJ</t>
  </si>
  <si>
    <t>NJ_SOMERSET</t>
  </si>
  <si>
    <t>Somerset County, NJ</t>
  </si>
  <si>
    <t>NJ_SUSSEX</t>
  </si>
  <si>
    <t>Sussex County, NJ</t>
  </si>
  <si>
    <t>NJ_UNION</t>
  </si>
  <si>
    <t>Union County, NJ</t>
  </si>
  <si>
    <t>NJ_WARREN</t>
  </si>
  <si>
    <t>Warren County, NJ</t>
  </si>
  <si>
    <t>NY_ALBANY</t>
  </si>
  <si>
    <t>Albany County, NY</t>
  </si>
  <si>
    <t>NY_ALLEGANY</t>
  </si>
  <si>
    <t>Allegany County, NY</t>
  </si>
  <si>
    <t>NY_BRONX</t>
  </si>
  <si>
    <t>Bronx County, NY</t>
  </si>
  <si>
    <t>NY_BROOME</t>
  </si>
  <si>
    <t>Broome County, NY</t>
  </si>
  <si>
    <t>NY_CATTARAUGUS</t>
  </si>
  <si>
    <t>Cattaraugus County, NY</t>
  </si>
  <si>
    <t>NY_CAYUGA</t>
  </si>
  <si>
    <t>Cayuga County, NY</t>
  </si>
  <si>
    <t>NY_CHAUTAUQUA</t>
  </si>
  <si>
    <t>Chautauqua County, NY</t>
  </si>
  <si>
    <t>NY_CHEMUNG</t>
  </si>
  <si>
    <t>Chemung County, NY</t>
  </si>
  <si>
    <t>NY_CHENANGO</t>
  </si>
  <si>
    <t>Chenango County, NY</t>
  </si>
  <si>
    <t>NY_CLINTON</t>
  </si>
  <si>
    <t>Clinton County, NY</t>
  </si>
  <si>
    <t>NY_COLUMBIA</t>
  </si>
  <si>
    <t>Columbia County, NY</t>
  </si>
  <si>
    <t>NY_CORTLAND</t>
  </si>
  <si>
    <t>Cortland County, NY</t>
  </si>
  <si>
    <t>NY_DELAWARE</t>
  </si>
  <si>
    <t>Delaware County, NY</t>
  </si>
  <si>
    <t>NY_DUTCHESS</t>
  </si>
  <si>
    <t>Dutchess County, NY</t>
  </si>
  <si>
    <t>NY_ERIE</t>
  </si>
  <si>
    <t>Erie County, NY</t>
  </si>
  <si>
    <t>NY_ESSEX</t>
  </si>
  <si>
    <t>Essex County, NY</t>
  </si>
  <si>
    <t>NY_FRANKLIN</t>
  </si>
  <si>
    <t>Franklin County, NY</t>
  </si>
  <si>
    <t>NY_FULTON</t>
  </si>
  <si>
    <t>Fulton County, NY</t>
  </si>
  <si>
    <t>NY_GENESEE</t>
  </si>
  <si>
    <t>Genesee County, NY</t>
  </si>
  <si>
    <t>NY_GREENE</t>
  </si>
  <si>
    <t>Greene County, NY</t>
  </si>
  <si>
    <t>NY_HAMILTON</t>
  </si>
  <si>
    <t>Hamilton County, NY</t>
  </si>
  <si>
    <t>NY_HERKIMER</t>
  </si>
  <si>
    <t>Herkimer County, NY</t>
  </si>
  <si>
    <t>NY_JEFFERSON</t>
  </si>
  <si>
    <t>Jefferson County, NY</t>
  </si>
  <si>
    <t>NY_KINGS</t>
  </si>
  <si>
    <t>Kings County, NY</t>
  </si>
  <si>
    <t>NY_LEWIS</t>
  </si>
  <si>
    <t>Lewis County, NY</t>
  </si>
  <si>
    <t>NY_LIVINGSTON</t>
  </si>
  <si>
    <t>Livingston County, NY</t>
  </si>
  <si>
    <t>NY_MADISON</t>
  </si>
  <si>
    <t>Madison County, NY</t>
  </si>
  <si>
    <t>NY_MONROE</t>
  </si>
  <si>
    <t>Monroe County, NY</t>
  </si>
  <si>
    <t>NY_MONTGOMERY</t>
  </si>
  <si>
    <t>Montgomery County, NY</t>
  </si>
  <si>
    <t>NY_NASSAU</t>
  </si>
  <si>
    <t>Nassau County, NY</t>
  </si>
  <si>
    <t>NY_NEW YORK</t>
  </si>
  <si>
    <t>New York County, NY</t>
  </si>
  <si>
    <t>NY_NIAGARA</t>
  </si>
  <si>
    <t>Niagara County, NY</t>
  </si>
  <si>
    <t>NY_ONEIDA</t>
  </si>
  <si>
    <t>Oneida County, NY</t>
  </si>
  <si>
    <t>NY_ONONDAGA</t>
  </si>
  <si>
    <t>Onondaga County, NY</t>
  </si>
  <si>
    <t>NY_ONTARIO</t>
  </si>
  <si>
    <t>Ontario County, NY</t>
  </si>
  <si>
    <t>NY_ORANGE</t>
  </si>
  <si>
    <t>Orange County, NY</t>
  </si>
  <si>
    <t>NY_ORLEANS</t>
  </si>
  <si>
    <t>Orleans County, NY</t>
  </si>
  <si>
    <t>NY_OSWEGO</t>
  </si>
  <si>
    <t>Oswego County, NY</t>
  </si>
  <si>
    <t>NY_OTSEGO</t>
  </si>
  <si>
    <t>Otsego County, NY</t>
  </si>
  <si>
    <t>NY_PUTNAM</t>
  </si>
  <si>
    <t>Putnam County, NY</t>
  </si>
  <si>
    <t>NY_QUEENS</t>
  </si>
  <si>
    <t>Queens County, NY</t>
  </si>
  <si>
    <t>NY_RENSSELAER</t>
  </si>
  <si>
    <t>Rensselaer County, NY</t>
  </si>
  <si>
    <t>NY_RICHMOND</t>
  </si>
  <si>
    <t>Richmond County, NY</t>
  </si>
  <si>
    <t>NY_ROCKLAND</t>
  </si>
  <si>
    <t>Rockland County, NY</t>
  </si>
  <si>
    <t>NY_SARATOGA</t>
  </si>
  <si>
    <t>Saratoga County, NY</t>
  </si>
  <si>
    <t>NY_SCHENECTADY</t>
  </si>
  <si>
    <t>Schenectady County, NY</t>
  </si>
  <si>
    <t>NY_SCHOHARIE</t>
  </si>
  <si>
    <t>Schoharie County, NY</t>
  </si>
  <si>
    <t>NY_SCHUYLER</t>
  </si>
  <si>
    <t>Schuyler County, NY</t>
  </si>
  <si>
    <t>NY_SENECA</t>
  </si>
  <si>
    <t>Seneca County, NY</t>
  </si>
  <si>
    <t>NY_ST. LAWRENCE</t>
  </si>
  <si>
    <t>St. Lawrence County, NY</t>
  </si>
  <si>
    <t>NY_STEUBEN</t>
  </si>
  <si>
    <t>Steuben County, NY</t>
  </si>
  <si>
    <t>NY_SUFFOLK</t>
  </si>
  <si>
    <t>Suffolk County, NY</t>
  </si>
  <si>
    <t>NY_SULLIVAN</t>
  </si>
  <si>
    <t>Sullivan County, NY</t>
  </si>
  <si>
    <t>NY_TIOGA</t>
  </si>
  <si>
    <t>Tioga County, NY</t>
  </si>
  <si>
    <t>NY_TOMPKINS</t>
  </si>
  <si>
    <t>Tompkins County, NY</t>
  </si>
  <si>
    <t>NY_ULSTER</t>
  </si>
  <si>
    <t>Ulster County, NY</t>
  </si>
  <si>
    <t>NY_WARREN</t>
  </si>
  <si>
    <t>Warren County, NY</t>
  </si>
  <si>
    <t>NY_WASHINGTON</t>
  </si>
  <si>
    <t>Washington County, NY</t>
  </si>
  <si>
    <t>NY_WAYNE</t>
  </si>
  <si>
    <t>Wayne County, NY</t>
  </si>
  <si>
    <t>NY_WESTCHESTER</t>
  </si>
  <si>
    <t>Westchester County, NY</t>
  </si>
  <si>
    <t>NY_WYOMING</t>
  </si>
  <si>
    <t>Wyoming County, NY</t>
  </si>
  <si>
    <t>NY_YATES</t>
  </si>
  <si>
    <t>Yates County, NY</t>
  </si>
  <si>
    <t>PR_ADJUNTAS</t>
  </si>
  <si>
    <t>Adjuntas County, PR</t>
  </si>
  <si>
    <t>PR_AGUADA</t>
  </si>
  <si>
    <t>Aguada County, PR</t>
  </si>
  <si>
    <t>PR_AGUADILLA</t>
  </si>
  <si>
    <t>Aguadilla County, PR</t>
  </si>
  <si>
    <t>PR_AGUAS BUENAS</t>
  </si>
  <si>
    <t>Aguas Buenas County, PR</t>
  </si>
  <si>
    <t>PR_AIBONITO</t>
  </si>
  <si>
    <t>Aibonito County, PR</t>
  </si>
  <si>
    <t>PR_ANASCO</t>
  </si>
  <si>
    <t>Anasco County, PR</t>
  </si>
  <si>
    <t>PR_ARECIBO</t>
  </si>
  <si>
    <t>Arecibo County, PR</t>
  </si>
  <si>
    <t>PR_ARROYO</t>
  </si>
  <si>
    <t>Arroyo County, PR</t>
  </si>
  <si>
    <t>PR_BARCELONETA</t>
  </si>
  <si>
    <t>Barceloneta County, PR</t>
  </si>
  <si>
    <t>PR_BARRANQUITAS</t>
  </si>
  <si>
    <t>Barranquitas County, PR</t>
  </si>
  <si>
    <t>PR_BAYAMON</t>
  </si>
  <si>
    <t>Bayamon County, PR</t>
  </si>
  <si>
    <t>PR_CABO ROJO</t>
  </si>
  <si>
    <t>Cabo Rojo County, PR</t>
  </si>
  <si>
    <t>PR_CAGUAS</t>
  </si>
  <si>
    <t>Caguas County, PR</t>
  </si>
  <si>
    <t>PR_CAMUY</t>
  </si>
  <si>
    <t>Camuy County, PR</t>
  </si>
  <si>
    <t>PR_CANOVANAS</t>
  </si>
  <si>
    <t>Canovanas County, PR</t>
  </si>
  <si>
    <t>PR_CAROLINA</t>
  </si>
  <si>
    <t>Carolina County, PR</t>
  </si>
  <si>
    <t>PR_CATANO</t>
  </si>
  <si>
    <t>Catano County, PR</t>
  </si>
  <si>
    <t>PR_CAYEY</t>
  </si>
  <si>
    <t>Cayey County, PR</t>
  </si>
  <si>
    <t>PR_CEIBA</t>
  </si>
  <si>
    <t>Ceiba County, PR</t>
  </si>
  <si>
    <t>PR_CIALES</t>
  </si>
  <si>
    <t>Ciales County, PR</t>
  </si>
  <si>
    <t>PR_CIDRA</t>
  </si>
  <si>
    <t>Cidra County, PR</t>
  </si>
  <si>
    <t>PR_COAMA</t>
  </si>
  <si>
    <t>Coama County, PR</t>
  </si>
  <si>
    <t>PR_COMERIO</t>
  </si>
  <si>
    <t>Comerio County, PR</t>
  </si>
  <si>
    <t>PR_COROZAL</t>
  </si>
  <si>
    <t>Corozal County, PR</t>
  </si>
  <si>
    <t>PR_CULEBRA</t>
  </si>
  <si>
    <t>Culebra County, PR</t>
  </si>
  <si>
    <t>PR_DORADO</t>
  </si>
  <si>
    <t>Dorado County, PR</t>
  </si>
  <si>
    <t>PR_FAJARDO</t>
  </si>
  <si>
    <t>Fajardo County, PR</t>
  </si>
  <si>
    <t>PR_FLORIDA</t>
  </si>
  <si>
    <t>Florida County, PR</t>
  </si>
  <si>
    <t>PR_GUANICA</t>
  </si>
  <si>
    <t>Guanica County, PR</t>
  </si>
  <si>
    <t>PR_GUAYAMA</t>
  </si>
  <si>
    <t>Guayama County, PR</t>
  </si>
  <si>
    <t>PR_GUAYANILLA</t>
  </si>
  <si>
    <t>Guayanilla County, PR</t>
  </si>
  <si>
    <t>PR_GUAYNABO</t>
  </si>
  <si>
    <t>Guaynabo County, PR</t>
  </si>
  <si>
    <t>PR_GURABO</t>
  </si>
  <si>
    <t>Gurabo County, PR</t>
  </si>
  <si>
    <t>PR_HATILLO</t>
  </si>
  <si>
    <t>Hatillo County, PR</t>
  </si>
  <si>
    <t>PR_HORMIGUEROS</t>
  </si>
  <si>
    <t>Hormigueros County, PR</t>
  </si>
  <si>
    <t>PR_HUMACAO</t>
  </si>
  <si>
    <t>Humacao County, PR</t>
  </si>
  <si>
    <t>PR_ISABELA</t>
  </si>
  <si>
    <t>Isabela County, PR</t>
  </si>
  <si>
    <t>PR_JAYUYA</t>
  </si>
  <si>
    <t>Jayuya County, PR</t>
  </si>
  <si>
    <t>PR_JUANA DIAZ</t>
  </si>
  <si>
    <t>Juana Diaz County, PR</t>
  </si>
  <si>
    <t>PR_JUNCOS</t>
  </si>
  <si>
    <t>Juncos County, PR</t>
  </si>
  <si>
    <t>PR_LAJAS</t>
  </si>
  <si>
    <t>Lajas County, PR</t>
  </si>
  <si>
    <t>PR_LARES</t>
  </si>
  <si>
    <t>Lares County, PR</t>
  </si>
  <si>
    <t>PR_LAS MARIAS</t>
  </si>
  <si>
    <t>Las Marias County, PR</t>
  </si>
  <si>
    <t>PR_LAS PIEDRAS</t>
  </si>
  <si>
    <t>Las Piedras County, PR</t>
  </si>
  <si>
    <t>PR_LOIZA</t>
  </si>
  <si>
    <t>Loiza County, PR</t>
  </si>
  <si>
    <t>PR_LUQUILLO</t>
  </si>
  <si>
    <t>Luquillo County, PR</t>
  </si>
  <si>
    <t>PR_MANATI</t>
  </si>
  <si>
    <t>Manati County, PR</t>
  </si>
  <si>
    <t>PR_MARICAO</t>
  </si>
  <si>
    <t>Maricao County, PR</t>
  </si>
  <si>
    <t>PR_MAUNABO</t>
  </si>
  <si>
    <t>Maunabo County, PR</t>
  </si>
  <si>
    <t>PR_MAYAGUEZ</t>
  </si>
  <si>
    <t>Mayaguez County, PR</t>
  </si>
  <si>
    <t>PR_MOCA</t>
  </si>
  <si>
    <t>Moca County, PR</t>
  </si>
  <si>
    <t>PR_MOROVIS</t>
  </si>
  <si>
    <t>Morovis County, PR</t>
  </si>
  <si>
    <t>PR_NAGUABO</t>
  </si>
  <si>
    <t>Naguabo County, PR</t>
  </si>
  <si>
    <t>PR_NARANJITO</t>
  </si>
  <si>
    <t>Naranjito County, PR</t>
  </si>
  <si>
    <t>PR_OROCOVIS</t>
  </si>
  <si>
    <t>Orocovis County, PR</t>
  </si>
  <si>
    <t>PR_PATILLAS</t>
  </si>
  <si>
    <t>Patillas County, PR</t>
  </si>
  <si>
    <t>PR_PENUELAS</t>
  </si>
  <si>
    <t>Penuelas County, PR</t>
  </si>
  <si>
    <t>PR_PONCE</t>
  </si>
  <si>
    <t>Ponce County, PR</t>
  </si>
  <si>
    <t>PR_QUEBRADILLAS</t>
  </si>
  <si>
    <t>Quebradillas County, PR</t>
  </si>
  <si>
    <t>PR_RINCON</t>
  </si>
  <si>
    <t>Rincon County, PR</t>
  </si>
  <si>
    <t>PR_RIO GRANDE</t>
  </si>
  <si>
    <t>Rio Grande County, PR</t>
  </si>
  <si>
    <t>PR_SABANA GRANDE</t>
  </si>
  <si>
    <t>Sabana Grande County, PR</t>
  </si>
  <si>
    <t>PR_SALINAS</t>
  </si>
  <si>
    <t>Salinas County, PR</t>
  </si>
  <si>
    <t>PR_SAN GERMAN</t>
  </si>
  <si>
    <t>San German County, PR</t>
  </si>
  <si>
    <t>PR_SAN JUAN</t>
  </si>
  <si>
    <t>San Juan County, PR</t>
  </si>
  <si>
    <t>PR_SAN LORENZO</t>
  </si>
  <si>
    <t>San Lorenzo County, PR</t>
  </si>
  <si>
    <t>PR_SAN SEBASTIAN</t>
  </si>
  <si>
    <t>San Sebastian County, PR</t>
  </si>
  <si>
    <t>PR_SANTA ISABEL</t>
  </si>
  <si>
    <t>Santa Isabel County, PR</t>
  </si>
  <si>
    <t>PR_TOA ALTA</t>
  </si>
  <si>
    <t>Toa Alta County, PR</t>
  </si>
  <si>
    <t>PR_TOA BAJA</t>
  </si>
  <si>
    <t>Toa Baja County, PR</t>
  </si>
  <si>
    <t>PR_TRUJILLO ALTO</t>
  </si>
  <si>
    <t>Trujillo Alto County, PR</t>
  </si>
  <si>
    <t>PR_UTUADO</t>
  </si>
  <si>
    <t>Utuado County, PR</t>
  </si>
  <si>
    <t>PR_VEGA ALTA</t>
  </si>
  <si>
    <t>Vega Alta County, PR</t>
  </si>
  <si>
    <t>PR_VEGA BAJA</t>
  </si>
  <si>
    <t>Vega Baja County, PR</t>
  </si>
  <si>
    <t>PR_VIEQUES</t>
  </si>
  <si>
    <t>Vieques County, PR</t>
  </si>
  <si>
    <t>PR_VILLALBA</t>
  </si>
  <si>
    <t>Villalba County, PR</t>
  </si>
  <si>
    <t>PR_YABUCOA</t>
  </si>
  <si>
    <t>Yabucoa County, PR</t>
  </si>
  <si>
    <t>PR_YAUCO</t>
  </si>
  <si>
    <t>Yauco County, PR</t>
  </si>
  <si>
    <t>$DB.LOOKUP.RANGE_LOOKUP_INCOMEAREAMAP_MRB</t>
  </si>
  <si>
    <t>$DB.LOOKUP.RANGE_LOOKUP_INCOMEAREAMAP_HUD</t>
  </si>
  <si>
    <t>Select Valid Purchase Property State &amp; County First</t>
  </si>
  <si>
    <t>Income Lookup Helper: Property State &amp; County Key</t>
  </si>
  <si>
    <t>INC_LOOKUP_STATE_CNTY_KEY</t>
  </si>
  <si>
    <t>INC_LOOKUP_AREA_HEADER_PTR</t>
  </si>
  <si>
    <t>Income Lookup Helper: Area Name Header Pointer</t>
  </si>
  <si>
    <t>INC_LOOKUP_OFFSET_ROW</t>
  </si>
  <si>
    <t>Income Lookup Helper: Area Offset Row</t>
  </si>
  <si>
    <t>Income Lookup Helper: # Areas in County</t>
  </si>
  <si>
    <t>INC_AREA_KEY</t>
  </si>
  <si>
    <t>Income Area Key (Internal Lookup to Fetch AMI $)</t>
  </si>
  <si>
    <t>Income Area Name (User-Selected)</t>
  </si>
  <si>
    <t>INC_LOOKUP_AREA_ARR_LEN</t>
  </si>
  <si>
    <t>Income Area ID (AHP SA System, Future Export)</t>
  </si>
  <si>
    <t>140</t>
  </si>
  <si>
    <t>141</t>
  </si>
  <si>
    <t>111</t>
  </si>
  <si>
    <t>112</t>
  </si>
  <si>
    <t>113</t>
  </si>
  <si>
    <t>114</t>
  </si>
  <si>
    <t>200</t>
  </si>
  <si>
    <t>115</t>
  </si>
  <si>
    <t>116</t>
  </si>
  <si>
    <t>117</t>
  </si>
  <si>
    <t>142</t>
  </si>
  <si>
    <t>143</t>
  </si>
  <si>
    <t>144</t>
  </si>
  <si>
    <t>145</t>
  </si>
  <si>
    <t>146</t>
  </si>
  <si>
    <t>147</t>
  </si>
  <si>
    <t>148</t>
  </si>
  <si>
    <t>149</t>
  </si>
  <si>
    <t>150</t>
  </si>
  <si>
    <t>151</t>
  </si>
  <si>
    <t>101</t>
  </si>
  <si>
    <t>123</t>
  </si>
  <si>
    <t>015</t>
  </si>
  <si>
    <t>119</t>
  </si>
  <si>
    <t>124</t>
  </si>
  <si>
    <t>016</t>
  </si>
  <si>
    <t>105</t>
  </si>
  <si>
    <t>106</t>
  </si>
  <si>
    <t>107</t>
  </si>
  <si>
    <t>017</t>
  </si>
  <si>
    <t>018</t>
  </si>
  <si>
    <t>019</t>
  </si>
  <si>
    <t>020</t>
  </si>
  <si>
    <t>021</t>
  </si>
  <si>
    <t>004</t>
  </si>
  <si>
    <t>108</t>
  </si>
  <si>
    <t>022</t>
  </si>
  <si>
    <t>023</t>
  </si>
  <si>
    <t>024</t>
  </si>
  <si>
    <t>109</t>
  </si>
  <si>
    <t>025</t>
  </si>
  <si>
    <t>026</t>
  </si>
  <si>
    <t>110</t>
  </si>
  <si>
    <t>027</t>
  </si>
  <si>
    <t>104</t>
  </si>
  <si>
    <t>028</t>
  </si>
  <si>
    <t>118</t>
  </si>
  <si>
    <t>125</t>
  </si>
  <si>
    <t>100</t>
  </si>
  <si>
    <t>126</t>
  </si>
  <si>
    <t>120</t>
  </si>
  <si>
    <t>009</t>
  </si>
  <si>
    <t>127</t>
  </si>
  <si>
    <t>128</t>
  </si>
  <si>
    <t>129</t>
  </si>
  <si>
    <t>130</t>
  </si>
  <si>
    <t>121</t>
  </si>
  <si>
    <t>131</t>
  </si>
  <si>
    <t>132</t>
  </si>
  <si>
    <t>029</t>
  </si>
  <si>
    <t>102</t>
  </si>
  <si>
    <t>153</t>
  </si>
  <si>
    <t>133</t>
  </si>
  <si>
    <t>103</t>
  </si>
  <si>
    <t>048</t>
  </si>
  <si>
    <t>134</t>
  </si>
  <si>
    <t>135</t>
  </si>
  <si>
    <t>136</t>
  </si>
  <si>
    <t>031</t>
  </si>
  <si>
    <t>032</t>
  </si>
  <si>
    <t>030</t>
  </si>
  <si>
    <t>003</t>
  </si>
  <si>
    <t>122</t>
  </si>
  <si>
    <t>034</t>
  </si>
  <si>
    <t>137</t>
  </si>
  <si>
    <t>035</t>
  </si>
  <si>
    <t>036</t>
  </si>
  <si>
    <t>152</t>
  </si>
  <si>
    <t>138</t>
  </si>
  <si>
    <t>139</t>
  </si>
  <si>
    <t>010</t>
  </si>
  <si>
    <t>037</t>
  </si>
  <si>
    <t>038</t>
  </si>
  <si>
    <t>501</t>
  </si>
  <si>
    <t>503</t>
  </si>
  <si>
    <t>505</t>
  </si>
  <si>
    <t>507</t>
  </si>
  <si>
    <t>509</t>
  </si>
  <si>
    <t>511</t>
  </si>
  <si>
    <t>513</t>
  </si>
  <si>
    <t>515</t>
  </si>
  <si>
    <t>517</t>
  </si>
  <si>
    <t>519</t>
  </si>
  <si>
    <t>521</t>
  </si>
  <si>
    <t>523</t>
  </si>
  <si>
    <t>525</t>
  </si>
  <si>
    <t>527</t>
  </si>
  <si>
    <t>529</t>
  </si>
  <si>
    <t>531</t>
  </si>
  <si>
    <t>533</t>
  </si>
  <si>
    <t>535</t>
  </si>
  <si>
    <t>537</t>
  </si>
  <si>
    <t>539</t>
  </si>
  <si>
    <t>541</t>
  </si>
  <si>
    <t>543</t>
  </si>
  <si>
    <t>545</t>
  </si>
  <si>
    <t>547</t>
  </si>
  <si>
    <t>549</t>
  </si>
  <si>
    <t>551</t>
  </si>
  <si>
    <t>553</t>
  </si>
  <si>
    <t>554</t>
  </si>
  <si>
    <t>555</t>
  </si>
  <si>
    <t>557</t>
  </si>
  <si>
    <t>559</t>
  </si>
  <si>
    <t>561</t>
  </si>
  <si>
    <t>563</t>
  </si>
  <si>
    <t>565</t>
  </si>
  <si>
    <t>567</t>
  </si>
  <si>
    <t>569</t>
  </si>
  <si>
    <t>571</t>
  </si>
  <si>
    <t>573</t>
  </si>
  <si>
    <t>575</t>
  </si>
  <si>
    <t>577</t>
  </si>
  <si>
    <t>579</t>
  </si>
  <si>
    <t>581</t>
  </si>
  <si>
    <t>583</t>
  </si>
  <si>
    <t>585</t>
  </si>
  <si>
    <t>587</t>
  </si>
  <si>
    <t>589</t>
  </si>
  <si>
    <t>591</t>
  </si>
  <si>
    <t>593</t>
  </si>
  <si>
    <t>595</t>
  </si>
  <si>
    <t>597</t>
  </si>
  <si>
    <t>599</t>
  </si>
  <si>
    <t>601</t>
  </si>
  <si>
    <t>603</t>
  </si>
  <si>
    <t>605</t>
  </si>
  <si>
    <t>607</t>
  </si>
  <si>
    <t>609</t>
  </si>
  <si>
    <t>611</t>
  </si>
  <si>
    <t>613</t>
  </si>
  <si>
    <t>615</t>
  </si>
  <si>
    <t>617</t>
  </si>
  <si>
    <t>619</t>
  </si>
  <si>
    <t>621</t>
  </si>
  <si>
    <t>623</t>
  </si>
  <si>
    <t>625</t>
  </si>
  <si>
    <t>627</t>
  </si>
  <si>
    <t>629</t>
  </si>
  <si>
    <t>631</t>
  </si>
  <si>
    <t>633</t>
  </si>
  <si>
    <t>635</t>
  </si>
  <si>
    <t>637</t>
  </si>
  <si>
    <t>639</t>
  </si>
  <si>
    <t>641</t>
  </si>
  <si>
    <t>643</t>
  </si>
  <si>
    <t>645</t>
  </si>
  <si>
    <t>647</t>
  </si>
  <si>
    <t>649</t>
  </si>
  <si>
    <t>651</t>
  </si>
  <si>
    <t>653</t>
  </si>
  <si>
    <t>Sullivan part</t>
  </si>
  <si>
    <t>Anchorage Municipality</t>
  </si>
  <si>
    <t>AK_ANCHORAGE MUNICIPALITY</t>
  </si>
  <si>
    <t>MO_SULLIVAN PART</t>
  </si>
  <si>
    <t>FHLBNY Homebuyer Dream Program Plus (HDP Plus) Webpage</t>
  </si>
  <si>
    <t>FHLBNY Homebuyer Dream Program Wealth Builder (HDP Wealth Builder) Webpage</t>
  </si>
  <si>
    <t>HDP</t>
  </si>
  <si>
    <t>HDP Plus</t>
  </si>
  <si>
    <t>HDP Wealth Builder</t>
  </si>
  <si>
    <t>EFORM_VERSION_NO_PROG</t>
  </si>
  <si>
    <t>Selected Program eForm Version #</t>
  </si>
  <si>
    <t>Consolidated eForm Document &amp; Version Maintenance</t>
  </si>
  <si>
    <t>Round Attribute</t>
  </si>
  <si>
    <t>Min.</t>
  </si>
  <si>
    <t>Max</t>
  </si>
  <si>
    <t>New Jersey (NJ)</t>
  </si>
  <si>
    <t>New York (NY)</t>
  </si>
  <si>
    <t>Puerto Rico (PR)</t>
  </si>
  <si>
    <t>Virgin Islands (VI)</t>
  </si>
  <si>
    <t>Other States/Territories (Out of District)</t>
  </si>
  <si>
    <t>eForm Version (Program-Specific)</t>
  </si>
  <si>
    <t>Program Specific Settings &amp; Thresholds</t>
  </si>
  <si>
    <t>Household Income Eligibility Thresholds (% of AMI)</t>
  </si>
  <si>
    <t>Program &amp; Round Maintenance</t>
  </si>
  <si>
    <t>$DB.LOOKUP.TBL_LOOKUP_EFORM_TYPE</t>
  </si>
  <si>
    <t>$DB.LOOKUP.RANGE_LOOKUP_STATE</t>
  </si>
  <si>
    <t>$DB.LOOKUP.TBL_LOOKUP_PROGRAM_TYPE</t>
  </si>
  <si>
    <t>Homebuyer Dream Program Plus</t>
  </si>
  <si>
    <t>Homebuyer Dream Program Wealth Builder</t>
  </si>
  <si>
    <t>PROGRAM_NAME</t>
  </si>
  <si>
    <t>REQUEST_TYPE_NAME</t>
  </si>
  <si>
    <t>REQUEST_TYPE_CODE</t>
  </si>
  <si>
    <t>PROGRAM_CODE</t>
  </si>
  <si>
    <t>WORKFLOW_START</t>
  </si>
  <si>
    <t>Workflow Start Target</t>
  </si>
  <si>
    <t>eForm Type Code Selected</t>
  </si>
  <si>
    <t>QUESTION_2_DISPLAY_FLAG</t>
  </si>
  <si>
    <t>BUTTON_DISPLAY_FLAG</t>
  </si>
  <si>
    <t xml:space="preserve">Note that once you've started the request form, you will not be able to change the form type; please ensure the correct type is selected before proceeding.
</t>
  </si>
  <si>
    <t>EFORM_TYPE_NAME</t>
  </si>
  <si>
    <t>eForm Type Name Selected</t>
  </si>
  <si>
    <t>EFORM_SHEET_REF</t>
  </si>
  <si>
    <t>eForm Sheet Ref</t>
  </si>
  <si>
    <t>Homebuyer Dream Program® Request Form</t>
  </si>
  <si>
    <t>Document Name</t>
  </si>
  <si>
    <t>MIN_ALLOWABLE_INCOME_PCT</t>
  </si>
  <si>
    <t>Min Allowable Income - % of AMI (Config Driven)</t>
  </si>
  <si>
    <t>MAX_ALLOWABLE_INCOME_PCT</t>
  </si>
  <si>
    <t>Max Allowable Income - % of AMI (Config Driven)</t>
  </si>
  <si>
    <t>INC_MFI_AMT</t>
  </si>
  <si>
    <t>Income Area MFI Amount (100% AMI)</t>
  </si>
  <si>
    <t>MIN_ALLOWABLE_INCOME</t>
  </si>
  <si>
    <t>Min Allowable Income</t>
  </si>
  <si>
    <t>INC_AREA_STATE_CODE</t>
  </si>
  <si>
    <t>Income Area State Code (NY,NJ,PR,VI,OOD)</t>
  </si>
  <si>
    <t>Min. Allowable Income</t>
  </si>
  <si>
    <t>Household Size:</t>
  </si>
  <si>
    <t>(“Member”) hereby confirms that it has been informed of the requirements of the Federal Home Loan Bank of New York (“FHLBNY”) Homebuyer Dream Program Plus (“HDP Plus” or “Program”), which provides grants for the purchase of a primary residence for first-time home buyers who meet HDP requirements as set forth in the FHLBNY Homebuyer Dream Program Plus Guidelines, as the same may be amended and supplemented from time to time (“Program Guidelines”).  The HDP Plus Guidelines are available on the FHLBNY website.
In connection with the Member’s request for HDP Plus subsidy funding, the undersigned acknowledges that: 
(1) The Member shall comply with all applicable rules and regulations.
(2) the FHLBNY may deny or recover the grant if the FHLBNY discovers that the household does not meet Program requirements, the Member provided false, misleading or incomplete information to the FHLBNY, or pursuant to the terms and conditions set forth in the Program Guidelines; and
(3) nothing contained in the Program Guidelines or this Program Request Form may be construed as an agreement or commitment on the part of the FHLBNY to provide reimbursement of grant subsidy to the Member.
(4) The fully executed Purchase and Sale Agreement (“Agreement”) is signed by all parties, including a household member on the reservation request, is dated prior to the reservation request, the property address matches the HDP Plus Request Form and the Agreement has not expired and is effective at the time of submitting the Request Form. The Agreement complies with all the requirements of the HDP Plus Guidelines.
The undersigned has read and fully understands and agrees to comply with the requirements of the Program as described above and in the Program Guidelines and certifies that the information contained in this Program Request Form is true and accurate.  The undersigned understands that limited funds are available and shall be allocated at the discretion of the FHLBNY in accordance with the Program Guidelines, as the same may be amended and supplemented from time to time.  The FHLBNY reserves the right to change the terms and conditions of the Program at any time, without prior notice and, the FHLBNY in its sole discretion, may refuse to honor a request for an HDP Plus grant. 
By typing or signing your name below, you agree that you signed this document with an electronic signature. You intend your authorized electronic signature to have the effect of your written signature. You have viewed and read this disclosure and this document before you signed it and you agree to be bound by the terms contained in this document.   
Please print and/or save a copy of this document. The FHLBNY may rely on, and enforce, this document in electronic form or as a paper version of the electronic form.</t>
  </si>
  <si>
    <t>(“Member”) hereby confirms that it has been informed of the requirements of the Federal Home Loan Bank of New York (“FHLBNY”) Homebuyer Dream Program Plus (“HDP Plus” or “Program”), which provides grants for the purchase of a primary residence for first-time home buyers who meet HDP Plus requirements as set forth in the FHLBNY Homebuyer Dream Program Plus Guidelines, as the same may be amended and supplemented from time to time (“Program Guidelines”).  The HDP Plus Guidelines are available on the FHLBNY website.
In connection with the Member’s request for HDP Plus subsidy funding, the undersigned acknowledges that: 
(1) The Member shall comply with all applicable rules and regulations. 
(2) the FHLBNY may deny or recover the grant if the FHLBNY discovers that the household does not meet Program requirements, the Member provided false, misleading or incomplete information to the FHLBNY, or pursuant to the terms and conditions set forth in the Program Guidelines; and
(3) nothing contained in the Program Guidelines or this Program Request Form may be construed as an agreement or commitment on the part of the FHLBNY to provide reimbursement of grant subsidy to the Member.  
The undersigned has read and fully understands and agrees to comply with the requirements of the Program as described above and in the Program Guidelines and certifies that the information contained in this Program Request Form is true and accurate.  The undersigned understands that limited funds are available and shall be allocated at the discretion of the FHLBNY in accordance with the Program Guidelines, as the same may be amended and supplemented from time to time.  The FHLBNY reserves the right to change the terms and conditions of the Program at any time, without prior notice and, the FHLBNY in its sole discretion, may refuse to honor a request for an HDP Plus grant. 
By typing or signing your name below, you agree that you signed this document with an electronic signature. You intend your authorized electronic signature to have the effect of your written signature. You have viewed and read this disclosure and this document before you signed it and you agree to be bound by the terms contained in this document.   
Please print and/or save a copy of this document. The FHLBNY may rely on, and enforce, this document in electronic form or as a paper version of the electronic form.</t>
  </si>
  <si>
    <t>(“Member”) hereby confirms that it has been informed of the requirements of the Federal Home Loan Bank of New York (“FHLBNY”) Homebuyer Dream Program Plus (“HDP Plus” or “Program”), which provides grants for the purchase of a primary residence for first-time home buyers who meet HDP Plus requirements as set forth in the FHLBNY Homebuyer Dream Program Plus Guidelines, as the same may be amended and supplemented from time to time (“Program Guidelines”).  The HDP Plus Guidelines are available on the FHLBNY website.
In connection with the Member’s request for HDP Plus subsidy funding, the undersigned acknowledges that: 
(1) The Member shall comply with all applicable rules and regulations.
(2) the FHLBNY may deny or recover the grant if the FHLBNY discovers that the household does not meet Program requirements, the Member provided false, misleading or incomplete information to the FHLBNY, or pursuant to the terms and conditions set forth in the Program Guidelines; and
(3) nothing contained in the Program Guidelines or this Program Request Form may be construed as an agreement or commitment on the part of the FHLBNY to provide reimbursement of grant subsidy to the Member.  
The undersigned has read and fully understands and agrees to comply with the requirements of the Program as described above and in the Program Guidelines and certifies that the information contained in this Program Request Form is true and accurate.  The undersigned understands that limited funds are available and shall be allocated at the discretion of the FHLBNY in accordance with the Program Guidelines, as the same may be amended and supplemented from time to time.  The FHLBNY reserves the right to change the terms and conditions of the Program at any time, without prior notice and, the FHLBNY in its sole discretion, may refuse to honor a request for an HDP Plus grant. 
By typing or signing your name below, you agree that you signed this document with an electronic signature. You intend your authorized electronic signature to have the effect of your written signature. You have viewed and read this disclosure and this document before you signed it and you agree to be bound by the terms contained in this document.   
Please print and/or save a copy of this document. The FHLBNY may rely on, and enforce, this document in electronic form or as a paper version of the electronic form.</t>
  </si>
  <si>
    <t>RES_2,RES_3</t>
  </si>
  <si>
    <t>Name of Grant(s)</t>
  </si>
  <si>
    <t>Total Amount</t>
  </si>
  <si>
    <r>
      <rPr>
        <b/>
        <sz val="11"/>
        <color theme="1"/>
        <rFont val="Calibri"/>
        <family val="2"/>
        <scheme val="minor"/>
      </rPr>
      <t>If Yes</t>
    </r>
    <r>
      <rPr>
        <sz val="11"/>
        <color theme="1"/>
        <rFont val="Calibri"/>
        <family val="2"/>
        <scheme val="minor"/>
      </rPr>
      <t>, please list all other FHLBNY grants included in this transaction and the sum total of the other FHLBNY grants</t>
    </r>
  </si>
  <si>
    <t>Is the household also requesting a grant under another FHLBNY program?</t>
  </si>
  <si>
    <t>Program</t>
  </si>
  <si>
    <t>Grant Requested?</t>
  </si>
  <si>
    <t>Affordable Housing Program General Fund</t>
  </si>
  <si>
    <r>
      <t xml:space="preserve">Total </t>
    </r>
    <r>
      <rPr>
        <sz val="11"/>
        <color theme="1"/>
        <rFont val="Calibri"/>
        <family val="2"/>
        <scheme val="minor"/>
      </rPr>
      <t>(All FHLBNY Grants for Household):</t>
    </r>
  </si>
  <si>
    <t>Subtotal:</t>
  </si>
  <si>
    <t>HSEHLD_OTHER_GRANT_HDP_FLAG</t>
  </si>
  <si>
    <t>HSEHLD_OTHER_GRANT_FHLBNY_FLAG</t>
  </si>
  <si>
    <t>HSEHLD_OTHER_GRANT_HDPP_FLAG</t>
  </si>
  <si>
    <t>HSEHLD_OTHER_GRANT_HDP_AMT</t>
  </si>
  <si>
    <t>HSEHLD_OTHER_GRANT_HDPP_AMT</t>
  </si>
  <si>
    <t>HSEHLD_OTHER_GRANT_HDPWB_FLAG</t>
  </si>
  <si>
    <t>HSEHLD_OTHER_GRANT_HDPWB_AMT</t>
  </si>
  <si>
    <t>HSEHLD_OTHER_GRANT_AHP_FLAG</t>
  </si>
  <si>
    <t>HSEHLD_OTHER_GRANT_AHP_AMT</t>
  </si>
  <si>
    <t>HSEHLD_OTHER_GRANT_TOTAL_AMT</t>
  </si>
  <si>
    <t>Household Other FHLBNY Grant Flag</t>
  </si>
  <si>
    <t>Household Other Grant - HDP Flag</t>
  </si>
  <si>
    <t>Household Other Grant - HDP Amount</t>
  </si>
  <si>
    <t>RES_4</t>
  </si>
  <si>
    <t>RES_2,RES_3,RES_4</t>
  </si>
  <si>
    <t>Household Other Grant - HDP Wealth Builder Flag</t>
  </si>
  <si>
    <t>Household Other Grant - HDP Wealth Builder Amount</t>
  </si>
  <si>
    <t>Household Other Grant - AHP Flag</t>
  </si>
  <si>
    <t>Household Other Grant - AHP Amount</t>
  </si>
  <si>
    <t>Household Other Grant - Total Amount</t>
  </si>
  <si>
    <t>Household Other Grant - HDP Plus Flag</t>
  </si>
  <si>
    <t>Household Other Grant - HDP Plus Amount</t>
  </si>
  <si>
    <t>Household Total Grant Amount (All FHLBNY Grants)</t>
  </si>
  <si>
    <t>FHLBNY Per Household Maximum Total</t>
  </si>
  <si>
    <t>FHLBNY_PER_HSEHLD_MAX_TOTAL</t>
  </si>
  <si>
    <t>Household Maximum Total FHLBNY Grants</t>
  </si>
  <si>
    <t>HSEHLD_GRANT_FHLBNY_TOTAL_AMT</t>
  </si>
  <si>
    <t>HSEHLD_OTHER_GRANT_HDP</t>
  </si>
  <si>
    <t>HSEHLD_OTHER_GRANT_HDPP</t>
  </si>
  <si>
    <t>HSEHLD_OTHER_GRANT_HDPWB</t>
  </si>
  <si>
    <t>HSEHLD_OTHER_GRANT_AHP</t>
  </si>
  <si>
    <t>DSB_2,DSB_3,DSB_4</t>
  </si>
  <si>
    <t>RES_2,RES_3,RES_4,ADL_2,ADL_3,ADL_4,DSB_2,DSB_3,DSB_4</t>
  </si>
  <si>
    <t>RES_2,RES_3,RES_4,ADL_2,ADL_3,ADL_4</t>
  </si>
  <si>
    <t>ADL_2,ADL_3,ADL_4</t>
  </si>
  <si>
    <t>ADL_2,ADL_3,ADL_4,DSB_2,DSB_3,DSB_4</t>
  </si>
  <si>
    <t>RES_2,RES_3,RES_4,DSB_2,DSB_3,DSB_4</t>
  </si>
  <si>
    <t>HSEHLD_DEMO_CRLNDNEED_FLAG</t>
  </si>
  <si>
    <t>HSEHLD_DEMO_FRSTGENBUYER_FLAG</t>
  </si>
  <si>
    <t>Household Demo - Credit Lending Need Flag</t>
  </si>
  <si>
    <t>Household Demo - First Gen. Homebuyer Flag</t>
  </si>
  <si>
    <t>Demographics</t>
  </si>
  <si>
    <t xml:space="preserve">Are any borrowers a first-generation homebuyer? </t>
  </si>
  <si>
    <t>HSEHLD_DEMO_QUALIFIED_FLAG</t>
  </si>
  <si>
    <t>Household Demo - Qualified (At Least One Yes)</t>
  </si>
  <si>
    <t>SECTION_2_WARNING_02</t>
  </si>
  <si>
    <t>ICW_BONUS_ONETIME_CERTIFICATION</t>
  </si>
  <si>
    <t>ICW_BONUS_SUBTOTAL</t>
  </si>
  <si>
    <t>ICW_BONUS_CERT_REQ_FLAG</t>
  </si>
  <si>
    <t>ICW_BONUS_CERT_COMPLETE_FLAG</t>
  </si>
  <si>
    <t>Maximum Requested Grant Amount</t>
  </si>
  <si>
    <t>(“Member”) hereby confirms that it has been informed of the requirements of the Federal Home Loan Bank of New York (“FHLBNY”) Homebuyer Dream Program Wealth Builder (“HDP Wealth Builder” or “Program”), which provides grants for the purchase of a primary residence for first-time home buyers who meet HDP Wealth Builder requirements as set forth in the FHLBNY Homebuyer Dream Program Wealth Builder Guidelines, as the same may be amended and supplemented from time to time (“Program Guidelines”).  The HDP Wealth Builder Guidelines are available on the FHLBNY website.
In connection with the Member’s request for HDP Wealth Builder subsidy funding, the undersigned acknowledges that: 
(1) The Member shall comply with all applicable rules and regulations.
(2) the FHLBNY may deny or recover the grant if the FHLBNY discovers that the household does not meet Program requirements, the Member provided false, misleading or incomplete information to the FHLBNY, or pursuant to the terms and conditions set forth in the Program Guidelines; and
(3) nothing contained in the Program Guidelines or this Program Request Form may be construed as an agreement or commitment on the part of the FHLBNY to provide reimbursement of grant subsidy to the Member.
(4) The fully executed Purchase and Sale Agreement (“Agreement”) is signed by all parties, including a household member on the reservation request, is dated prior to the reservation request, the property address matches the HDP Wealth Builder Request Form and the Agreement has not expired and is effective at the time of submitting the Request Form. The Agreement complies with all the requirements of the HDP Wealth Builder Guidelines.
The undersigned has read and fully understands and agrees to comply with the requirements of the Program as described above and in the Program Guidelines and certifies that the information contained in this Program Request Form is true and accurate.  The undersigned understands that limited funds are available and shall be allocated at the discretion of the FHLBNY in accordance with the Program Guidelines, as the same may be amended and supplemented from time to time.  The FHLBNY reserves the right to change the terms and conditions of the Program at any time, without prior notice and, the FHLBNY in its sole discretion, may refuse to honor a request for an HDP Wealth Builder grant. 
By typing or signing your name below, you agree that you signed this document with an electronic signature. You intend your authorized electronic signature to have the effect of your written signature. You have viewed and read this disclosure and this document before you signed it and you agree to be bound by the terms contained in this document.   
Please print and/or save a copy of this document. The FHLBNY may rely on, and enforce, this document in electronic form or as a paper version of the electronic form.</t>
  </si>
  <si>
    <t>(“Member”) hereby confirms that it has been informed of the requirements of the Federal Home Loan Bank of New York (“FHLBNY”) Homebuyer Dream Program Wealth Builder (“HDP Wealth Builder” or “Program”), which provides grants for the purchase of a primary residence for first-time home buyers who meet HDP Wealth Builder requirements as set forth in the FHLBNY Homebuyer Dream Program Wealth Builder Guidelines, as the same may be amended and supplemented from time to time (“Program Guidelines”).  The HDP Wealth Builder Guidelines are available on the FHLBNY website.
In connection with the Member’s request for HDP Wealth Builder subsidy funding, the undersigned acknowledges that: 
(1) The Member shall comply with all applicable rules and regulations. 
(2) the FHLBNY may deny or recover the grant if the FHLBNY discovers that the household does not meet Program requirements, the Member provided false, misleading or incomplete information to the FHLBNY, or pursuant to the terms and conditions set forth in the Program Guidelines; and
(3) nothing contained in the Program Guidelines or this Program Request Form may be construed as an agreement or commitment on the part of the FHLBNY to provide reimbursement of grant subsidy to the Member.  
The undersigned has read and fully understands and agrees to comply with the requirements of the Program as described above and in the Program Guidelines and certifies that the information contained in this Program Request Form is true and accurate.  The undersigned understands that limited funds are available and shall be allocated at the discretion of the FHLBNY in accordance with the Program Guidelines, as the same may be amended and supplemented from time to time.  The FHLBNY reserves the right to change the terms and conditions of the Program at any time, without prior notice and, the FHLBNY in its sole discretion, may refuse to honor a request for an HDP Wealth Builder grant. 
By typing or signing your name below, you agree that you signed this document with an electronic signature. You intend your authorized electronic signature to have the effect of your written signature. You have viewed and read this disclosure and this document before you signed it and you agree to be bound by the terms contained in this document.   
Please print and/or save a copy of this document. The FHLBNY may rely on, and enforce, this document in electronic form or as a paper version of the electronic form.</t>
  </si>
  <si>
    <t>(“Member”) hereby confirms that it has been informed of the requirements of the Federal Home Loan Bank of New York (“FHLBNY”) Homebuyer Dream Program Wealth Builder (“HDP Wealth Builder” or “Program”), which provides grants for the purchase of a primary residence for first-time home buyers who meet HDP Wealth Builder requirements as set forth in the FHLBNY Homebuyer Dream Program Wealth Builder Guidelines, as the same may be amended and supplemented from time to time (“Program Guidelines”).  The HDP Wealth Builder Guidelines are available on the FHLBNY website.
In connection with the Member’s request for HDP Wealth Builder subsidy funding, the undersigned acknowledges that: 
(1) The Member shall comply with all applicable rules and regulations.
(2) the FHLBNY may deny or recover the grant if the FHLBNY discovers that the household does not meet Program requirements, the Member provided false, misleading or incomplete information to the FHLBNY, or pursuant to the terms and conditions set forth in the Program Guidelines; and
(3) nothing contained in the Program Guidelines or this Program Request Form may be construed as an agreement or commitment on the part of the FHLBNY to provide reimbursement of grant subsidy to the Member.  
The undersigned has read and fully understands and agrees to comply with the requirements of the Program as described above and in the Program Guidelines and certifies that the information contained in this Program Request Form is true and accurate.  The undersigned understands that limited funds are available and shall be allocated at the discretion of the FHLBNY in accordance with the Program Guidelines, as the same may be amended and supplemented from time to time.  The FHLBNY reserves the right to change the terms and conditions of the Program at any time, without prior notice and, the FHLBNY in its sole discretion, may refuse to honor a request for an HDP Wealth Builder grant. 
By typing or signing your name below, you agree that you signed this document with an electronic signature. You intend your authorized electronic signature to have the effect of your written signature. You have viewed and read this disclosure and this document before you signed it and you agree to be bound by the terms contained in this document.   
Please print and/or save a copy of this document. The FHLBNY may rely on, and enforce, this document in electronic form or as a paper version of the electronic form.</t>
  </si>
  <si>
    <t>HSEHLD_DEMO_MINORITYTRACT_FLAG</t>
  </si>
  <si>
    <t>Household Demo - Majority-Minority Census Tract Flag</t>
  </si>
  <si>
    <t>Household Other Grant - EXPORT- HDP (Y/N)</t>
  </si>
  <si>
    <t>Household Other Grant - EXPORT- HDP Plus (Y/N</t>
  </si>
  <si>
    <t>Household Other Grant - EXPORT- HDP WB (Y/N)</t>
  </si>
  <si>
    <t>Household Other Grant - EXPORT- AHP (Y/N)</t>
  </si>
  <si>
    <t>Which program would you like to select?</t>
  </si>
  <si>
    <r>
      <rPr>
        <b/>
        <sz val="11"/>
        <color theme="1"/>
        <rFont val="Calibri"/>
        <family val="2"/>
        <scheme val="minor"/>
      </rPr>
      <t>If yes,</t>
    </r>
    <r>
      <rPr>
        <sz val="11"/>
        <color theme="1"/>
        <rFont val="Calibri"/>
        <family val="2"/>
        <scheme val="minor"/>
      </rPr>
      <t xml:space="preserve"> please indicate which other FHLBNY programs are being requested for this household and their respective grant amounts. Please note that</t>
    </r>
    <r>
      <rPr>
        <b/>
        <sz val="11"/>
        <color theme="1"/>
        <rFont val="Calibri"/>
        <family val="2"/>
        <scheme val="minor"/>
      </rPr>
      <t xml:space="preserve"> indicating “Yes” does not constitute a submission for this household into any other FHLBNY program</t>
    </r>
    <r>
      <rPr>
        <sz val="11"/>
        <color theme="1"/>
        <rFont val="Calibri"/>
        <family val="2"/>
        <scheme val="minor"/>
      </rPr>
      <t xml:space="preserve"> and is captured here solely for informational purposes as part of this Homebuyer Dream Program reservation request.</t>
    </r>
  </si>
  <si>
    <r>
      <rPr>
        <b/>
        <sz val="11"/>
        <color theme="1"/>
        <rFont val="Calibri"/>
        <family val="2"/>
        <scheme val="minor"/>
      </rPr>
      <t>If yes,</t>
    </r>
    <r>
      <rPr>
        <sz val="11"/>
        <color theme="1"/>
        <rFont val="Calibri"/>
        <family val="2"/>
        <scheme val="minor"/>
      </rPr>
      <t xml:space="preserve"> please indicate which other FHLBNY programs are being requested for this household and their respective grant amounts. Please note that</t>
    </r>
    <r>
      <rPr>
        <b/>
        <sz val="11"/>
        <color theme="1"/>
        <rFont val="Calibri"/>
        <family val="2"/>
        <scheme val="minor"/>
      </rPr>
      <t xml:space="preserve"> indicating “Yes” does not constitute a submission for this household into any other FHLBNY program</t>
    </r>
    <r>
      <rPr>
        <sz val="11"/>
        <color theme="1"/>
        <rFont val="Calibri"/>
        <family val="2"/>
        <scheme val="minor"/>
      </rPr>
      <t xml:space="preserve"> and is captured here solely for informational purposes as part of this Homebuyer Dream Program Plus reservation request.</t>
    </r>
  </si>
  <si>
    <r>
      <rPr>
        <b/>
        <sz val="11"/>
        <color theme="1"/>
        <rFont val="Calibri"/>
        <family val="2"/>
        <scheme val="minor"/>
      </rPr>
      <t>If yes,</t>
    </r>
    <r>
      <rPr>
        <sz val="11"/>
        <color theme="1"/>
        <rFont val="Calibri"/>
        <family val="2"/>
        <scheme val="minor"/>
      </rPr>
      <t xml:space="preserve"> please indicate which other FHLBNY programs are being requested for this household and their respective grant amounts. Please note that</t>
    </r>
    <r>
      <rPr>
        <b/>
        <sz val="11"/>
        <color theme="1"/>
        <rFont val="Calibri"/>
        <family val="2"/>
        <scheme val="minor"/>
      </rPr>
      <t xml:space="preserve"> indicating “Yes” does not constitute a submission for this household into any other FHLBNY program</t>
    </r>
    <r>
      <rPr>
        <sz val="11"/>
        <color theme="1"/>
        <rFont val="Calibri"/>
        <family val="2"/>
        <scheme val="minor"/>
      </rPr>
      <t xml:space="preserve"> and is captured here solely for informational purposes as part of this Homebuyer Dream Program Wealth Builder reservation request.</t>
    </r>
  </si>
  <si>
    <t>8.0.</t>
  </si>
  <si>
    <t>3.0.</t>
  </si>
  <si>
    <t>HDP-005</t>
  </si>
  <si>
    <t>2026 Round</t>
  </si>
  <si>
    <t>https://www.fhlbny.com/community/housing-programs/hdp-suite/#HDP</t>
  </si>
  <si>
    <t>https://www.fhlbny.com/community/housing-programs/hdp-suite/#HDP-Plus</t>
  </si>
  <si>
    <t>https://www.fhlbny.com/community/housing-programs/hdp-suite/#HDP-WB</t>
  </si>
  <si>
    <r>
      <t>MSA</t>
    </r>
    <r>
      <rPr>
        <i/>
        <sz val="9"/>
        <color theme="1"/>
        <rFont val="Calibri"/>
        <family val="2"/>
        <scheme val="minor"/>
      </rPr>
      <t xml:space="preserve"> (leave blank if not applicable)</t>
    </r>
  </si>
  <si>
    <t>Fairbanks-College, AK MSA</t>
  </si>
  <si>
    <t>Anniston-Oxford, AL MSA</t>
  </si>
  <si>
    <t>Auburn-Opelika, AL HUD Metro FMR Area</t>
  </si>
  <si>
    <t>Macon County, AL HUD Metro FMR Area</t>
  </si>
  <si>
    <t>Mobile, AL MSA</t>
  </si>
  <si>
    <t>Walker County, AL HUD Metro FMR Area</t>
  </si>
  <si>
    <t>Washington County, AL</t>
  </si>
  <si>
    <t>Cleveland County, AR</t>
  </si>
  <si>
    <t>Fort Smith, AR-OK MSA</t>
  </si>
  <si>
    <t>Franklin County, AR</t>
  </si>
  <si>
    <t>Jefferson County, AR</t>
  </si>
  <si>
    <t>Lincoln County, AR</t>
  </si>
  <si>
    <t>Phoenix-Mesa-Chandler, AZ MSA</t>
  </si>
  <si>
    <t>Fresno, CA HUD Metro FMR Area</t>
  </si>
  <si>
    <t>Bakersfield-Delano, CA MSA</t>
  </si>
  <si>
    <t>Madera County, CA HUD Metro FMR Area</t>
  </si>
  <si>
    <t>San Diego-Chula Vista-Carlsbad, CA MSA</t>
  </si>
  <si>
    <t>San Luis Obispo-Paso Robles, CA MSA</t>
  </si>
  <si>
    <t>Vallejo, CA MSA</t>
  </si>
  <si>
    <t>Santa Rosa-Petaluma, CA MSA</t>
  </si>
  <si>
    <t>Visalia, CA MSA</t>
  </si>
  <si>
    <t>Denver-Aurora-Centennial, CO MSA</t>
  </si>
  <si>
    <t>Fort Collins-Loveland, CO MSA</t>
  </si>
  <si>
    <t>Westport town, CT Exception Area</t>
  </si>
  <si>
    <t>Bridgeport town, CT Exception Area</t>
  </si>
  <si>
    <t>Easton town, CT Exception Area</t>
  </si>
  <si>
    <t>Fairfield town, CT Exception Area</t>
  </si>
  <si>
    <t>Monroe town, CT Exception Area</t>
  </si>
  <si>
    <t>Stratford town, CT Exception Area</t>
  </si>
  <si>
    <t>Trumbull town, CT Exception Area</t>
  </si>
  <si>
    <t>Bridgeport-Stamford-Danbury, CT MSA</t>
  </si>
  <si>
    <t>Waterbury-Shelton, CT MSA</t>
  </si>
  <si>
    <t>New Canaan town, CT Exception Area</t>
  </si>
  <si>
    <t>Wilton town, CT Exception Area</t>
  </si>
  <si>
    <t>Weston town, CT Exception Area</t>
  </si>
  <si>
    <t>Greenwich town, CT Exception Area</t>
  </si>
  <si>
    <t>Darien town, CT Exception Area</t>
  </si>
  <si>
    <t>Stamford town, CT Exception Area</t>
  </si>
  <si>
    <t>Norwalk town, CT Exception Area</t>
  </si>
  <si>
    <t>Bristol town, CT Exception Area</t>
  </si>
  <si>
    <t>Hartford-West Hartford-East Hartford, CT MSA</t>
  </si>
  <si>
    <t>Northwest Hills Planning Region, CT</t>
  </si>
  <si>
    <t>Bridgewater town, CT Exception Area</t>
  </si>
  <si>
    <t>New Milford town, CT Exception Area</t>
  </si>
  <si>
    <t>Westbrook town, CT Exception Area</t>
  </si>
  <si>
    <t>Clinton town, CT Exception Area</t>
  </si>
  <si>
    <t>Deep River town, CT Exception Area</t>
  </si>
  <si>
    <t>Essex town, CT Exception Area</t>
  </si>
  <si>
    <t>Killingworth town, CT Exception Area</t>
  </si>
  <si>
    <t>Old Saybrook town, CT Exception Area</t>
  </si>
  <si>
    <t>Ansonia town, CT Exception Area</t>
  </si>
  <si>
    <t>Seymour town, CT Exception Area</t>
  </si>
  <si>
    <t>Oxford town, CT Exception Area</t>
  </si>
  <si>
    <t>New Haven, CT MSA</t>
  </si>
  <si>
    <t>Derby town, CT Exception Area</t>
  </si>
  <si>
    <t>Milford town, CT Exception Area</t>
  </si>
  <si>
    <t>Beacon Falls town, CT Exception Area</t>
  </si>
  <si>
    <t>Colchester town, CT Exception Area</t>
  </si>
  <si>
    <t>Lyme town, CT Exception Area</t>
  </si>
  <si>
    <t>Old Lyme town, CT Exception Area</t>
  </si>
  <si>
    <t>Northeastern Connecticut Planning Region, CT</t>
  </si>
  <si>
    <t>Norwich-New London-Willimantic, CT MSA</t>
  </si>
  <si>
    <t>Lebanon town, CT Exception Area</t>
  </si>
  <si>
    <t>Union town, CT Exception Area</t>
  </si>
  <si>
    <t>Sussex County, DE</t>
  </si>
  <si>
    <t>Panama City, FL HUD Metro FMR Area</t>
  </si>
  <si>
    <t>Naples-Marco Island, FL MSA</t>
  </si>
  <si>
    <t>Sebastian-Vero Beach-West Vero Corridor, FL MSA</t>
  </si>
  <si>
    <t>North Port-Bradenton-Sarasota, FL MSA</t>
  </si>
  <si>
    <t>Wildwood-The Villages, FL MSA</t>
  </si>
  <si>
    <t>Washington County, FL HUD Metro FMR Area</t>
  </si>
  <si>
    <t>Brunswick-St. Simons, GA MSA</t>
  </si>
  <si>
    <t>Lamar County, GA</t>
  </si>
  <si>
    <t>Lumpkin County, GA HUD Metro FMR Area</t>
  </si>
  <si>
    <t>Kalawao County, HI HUD Metro FMR Area</t>
  </si>
  <si>
    <t>Kahului-Wailuku-Lahaina, HI HUD Metro FMR Area</t>
  </si>
  <si>
    <t>Pocatello, ID MSA</t>
  </si>
  <si>
    <t>Power County, ID</t>
  </si>
  <si>
    <t>Champaign-Urbana, IL HUD Metro FMR Area</t>
  </si>
  <si>
    <t>Ford County, IL HUD Metro FMR Area</t>
  </si>
  <si>
    <t>Fulton County, IL</t>
  </si>
  <si>
    <t>Jackson County, IL</t>
  </si>
  <si>
    <t>Johnson County, IL</t>
  </si>
  <si>
    <t>Peoria, IL MSA</t>
  </si>
  <si>
    <t>Massac County, IL HUD Metro FMR Area</t>
  </si>
  <si>
    <t>Vermilion County, IL</t>
  </si>
  <si>
    <t>Williamson County, IL</t>
  </si>
  <si>
    <t>Fort Wayne, IN HUD Metro FMR Area</t>
  </si>
  <si>
    <t>Parke County, IN</t>
  </si>
  <si>
    <t>Evansville, IN MSA</t>
  </si>
  <si>
    <t>Putnam County, IN</t>
  </si>
  <si>
    <t>Tipton County, IN HUD Metro FMR Area</t>
  </si>
  <si>
    <t>Union County, IN</t>
  </si>
  <si>
    <t>Wells County, IN HUD Metro FMR Area</t>
  </si>
  <si>
    <t>Cherokee County, KS HUD Metro FMR Area</t>
  </si>
  <si>
    <t>Ballard County, KY HUD Metro FMR Area</t>
  </si>
  <si>
    <t>Carlisle County, KY HUD Metro FMR Area</t>
  </si>
  <si>
    <t>Hancock County, KY</t>
  </si>
  <si>
    <t>Henderson County, KY</t>
  </si>
  <si>
    <t>Lawrence County, KY HUD Metro FMR Area</t>
  </si>
  <si>
    <t>Livingston County, KY HUD Metro FMR Area</t>
  </si>
  <si>
    <t>McCracken County, KY HUD Metro FMR Area</t>
  </si>
  <si>
    <t>Nelson County, KY HUD Metro FMR Area</t>
  </si>
  <si>
    <t>Lake Charles, LA HUD Metro FMR Area</t>
  </si>
  <si>
    <t>Iberia Parish, LA</t>
  </si>
  <si>
    <t>Jefferson Davis Parish, LA HUD Metro FMR Area</t>
  </si>
  <si>
    <t>Houma-Bayou Cane-Thibodaux, LA MSA</t>
  </si>
  <si>
    <t>Richland Parish, LA HUD Metro FMR Area</t>
  </si>
  <si>
    <t>Slidell-Mandeville-Covington, LA MSA</t>
  </si>
  <si>
    <t>Franklin County, MA</t>
  </si>
  <si>
    <t>Springfield, MA MSA</t>
  </si>
  <si>
    <t>Amherst Town-Northampton, MA MSA</t>
  </si>
  <si>
    <t>Allegany County, MD</t>
  </si>
  <si>
    <t>Calvert County, MD HUD Metro FMR Area</t>
  </si>
  <si>
    <t>St. Mary's County, MD HUD Metro FMR Area</t>
  </si>
  <si>
    <t>Worcester County, MD</t>
  </si>
  <si>
    <t>Barry County, MI HUD Metro FMR Area</t>
  </si>
  <si>
    <t>Benzie County, MI HUD Metro FMR Area</t>
  </si>
  <si>
    <t>Niles, MI MSA</t>
  </si>
  <si>
    <t>Lansing-East Lansing, MI MSA</t>
  </si>
  <si>
    <t>Grand Traverse County, MI HUD Metro FMR Area</t>
  </si>
  <si>
    <t>Kalkaska County, MI HUD Metro FMR Area</t>
  </si>
  <si>
    <t>Leelanau County, MI HUD Metro FMR Area</t>
  </si>
  <si>
    <t>Muskegon-Norton Shores, MI MSA</t>
  </si>
  <si>
    <t>Shiawassee County, MI</t>
  </si>
  <si>
    <t>Mankato, MN MSA</t>
  </si>
  <si>
    <t>Duluth, MN-WI MSA</t>
  </si>
  <si>
    <t>La Crosse-Onalaska, WI-MN HUD Metro FMR Area</t>
  </si>
  <si>
    <t>Lake County, MN</t>
  </si>
  <si>
    <t>Rock County, MN HUD Metro FMR Area</t>
  </si>
  <si>
    <t>Joplin, MO HUD Metro FMR Area</t>
  </si>
  <si>
    <t>Benton County, MS HUD Metro FMR Area</t>
  </si>
  <si>
    <t>Covington County, MS</t>
  </si>
  <si>
    <t>Hattiesburg, MS MSA</t>
  </si>
  <si>
    <t>Scott County, MS HUD Metro FMR Area</t>
  </si>
  <si>
    <t>Broadwater County, MT HUD Metro FMR Area</t>
  </si>
  <si>
    <t>Bozeman, MT MSA</t>
  </si>
  <si>
    <t>Jefferson County, MT HUD Metro FMR Area</t>
  </si>
  <si>
    <t>Lewis and Clark County, MT HUD Metro FMR Area</t>
  </si>
  <si>
    <t>Mineral County, MT HUD Metro FMR Area</t>
  </si>
  <si>
    <t>Missoula, MT HUD Metro FMR Area</t>
  </si>
  <si>
    <t>Asheville, NC MSA</t>
  </si>
  <si>
    <t>Craven County, NC</t>
  </si>
  <si>
    <t>Raleigh-Cary, NC MSA</t>
  </si>
  <si>
    <t>Granville County, NC</t>
  </si>
  <si>
    <t>Harnett County, NC</t>
  </si>
  <si>
    <t>Haywood County, NC</t>
  </si>
  <si>
    <t>Jones County, NC</t>
  </si>
  <si>
    <t>Pinehurst-Southern Pines, NC MSA</t>
  </si>
  <si>
    <t>Pamlico County, NC</t>
  </si>
  <si>
    <t>McHenry County, ND HUD Metro FMR Area</t>
  </si>
  <si>
    <t>Renville County, ND HUD Metro FMR Area</t>
  </si>
  <si>
    <t>Ward County, ND HUD Metro FMR Area</t>
  </si>
  <si>
    <t>Dixon County, NE</t>
  </si>
  <si>
    <t>Las Vegas-Henderson-North Las Vegas, NV MSA</t>
  </si>
  <si>
    <t>Lyon County, NV HUD Metro FMR Area</t>
  </si>
  <si>
    <t>Reno, NV HUD Metro FMR Area</t>
  </si>
  <si>
    <t>Ashtabula County, OH HUD Metro FMR Area</t>
  </si>
  <si>
    <t>Cleveland, OH HUD Metro FMR Area</t>
  </si>
  <si>
    <t>Erie County, OH HUD Metro FMR Area</t>
  </si>
  <si>
    <t>Dayton-Kettering-Beavercreek, OH MSA</t>
  </si>
  <si>
    <t>Youngstown-Warren, OH MSA</t>
  </si>
  <si>
    <t>Crook County, OR HUD Metro FMR Area</t>
  </si>
  <si>
    <t>Bend-Redmond, OR HUD Metro FMR Area</t>
  </si>
  <si>
    <t>Jefferson County, OR HUD Metro FMR Area</t>
  </si>
  <si>
    <t>Columbia County, PA</t>
  </si>
  <si>
    <t>Chambersburg, PA MSA</t>
  </si>
  <si>
    <t>Lawrence County, PA HUD Metro FMR Area</t>
  </si>
  <si>
    <t>Mercer County, PA</t>
  </si>
  <si>
    <t>Monroe County, PA</t>
  </si>
  <si>
    <t>Montour County, PA</t>
  </si>
  <si>
    <t>Pike County, PA</t>
  </si>
  <si>
    <t>Clarendon County, SC</t>
  </si>
  <si>
    <t>Spartanburg, SC HUD Metro FMR Area</t>
  </si>
  <si>
    <t>Sumter, SC MSA</t>
  </si>
  <si>
    <t>Union County, SC HUD Metro FMR Area</t>
  </si>
  <si>
    <t>Custer County, SD HUD Metro FMR Area</t>
  </si>
  <si>
    <t>Sioux Falls, SD HUD Metro FMR Area</t>
  </si>
  <si>
    <t>Kingsport-Bristol, TN-VA MSA</t>
  </si>
  <si>
    <t>Hickman County, TN HUD Metro FMR Area</t>
  </si>
  <si>
    <t>Aransas County, TX HUD Metro FMR Area</t>
  </si>
  <si>
    <t>Austin-Round Rock-San Marcos, TX MSA</t>
  </si>
  <si>
    <t>Bosque County, TX HUD Metro FMR Area</t>
  </si>
  <si>
    <t>Cochran County, TX HUD Metro FMR Area</t>
  </si>
  <si>
    <t>Garza County, TX HUD Metro FMR Area</t>
  </si>
  <si>
    <t>Hockley County, TX HUD Metro FMR Area</t>
  </si>
  <si>
    <t>San Angelo, TX MSA</t>
  </si>
  <si>
    <t>Eagle Pass, TX MSA</t>
  </si>
  <si>
    <t>Corpus Christi, TX HUD Metro FMR Area</t>
  </si>
  <si>
    <t>San Jacinto County, TX HUD Metro FMR Area</t>
  </si>
  <si>
    <t>Sterling County, TX</t>
  </si>
  <si>
    <t>Box Elder County, UT</t>
  </si>
  <si>
    <t>Ogden, UT MSA</t>
  </si>
  <si>
    <t>Provo-Orem-Lehi, UT MSA</t>
  </si>
  <si>
    <t>Richmond, VA HUD Metro FMR Area</t>
  </si>
  <si>
    <t>Staunton-Stuarts Draft, VA MSA</t>
  </si>
  <si>
    <t>Floyd County, VA HUD Metro FMR Area</t>
  </si>
  <si>
    <t>Southampton County-Franklin city, VA HUD Nonmetro FMR Area</t>
  </si>
  <si>
    <t>Madison County, VA</t>
  </si>
  <si>
    <t>Surry County, VA HUD Metro FMR Area</t>
  </si>
  <si>
    <t>Wenatchee-East Wenatchee, WA MSA</t>
  </si>
  <si>
    <t>Longview-Kelso, WA MSA</t>
  </si>
  <si>
    <t>Bremerton-Silverdale-Port Orchard, WA MSA</t>
  </si>
  <si>
    <t>Olympia-Lacey-Tumwater, WA MSA</t>
  </si>
  <si>
    <t>Kenosha, WI MSA</t>
  </si>
  <si>
    <t>Lincoln County, WI</t>
  </si>
  <si>
    <t>Wausau, WI MSA</t>
  </si>
  <si>
    <t>Milwaukee-Waukesha, WI MSA</t>
  </si>
  <si>
    <t>Racine-Mount Pleasant, WI MSA</t>
  </si>
  <si>
    <t>Vernon County, WI HUD Metro FMR Area</t>
  </si>
  <si>
    <t>Jackson County, WV</t>
  </si>
  <si>
    <t>Lincoln County, WV</t>
  </si>
  <si>
    <t>Mineral County, WV</t>
  </si>
  <si>
    <t>ACQUISITION_COST_LTV</t>
  </si>
  <si>
    <t>FEES_EXCLUDED_LTV</t>
  </si>
  <si>
    <t>Purchase Price (Acquisition) for LTV Calculation</t>
  </si>
  <si>
    <t>Fees Excluded from LTV for LTV Calculation</t>
  </si>
  <si>
    <t>Purchase Price (Acquisition)</t>
  </si>
  <si>
    <t>Fees Excluded from LTV</t>
  </si>
  <si>
    <t>PAYSTUB_NO</t>
  </si>
  <si>
    <t>FIRST_PERIOD_PRIOR_YEAR_FLAG</t>
  </si>
  <si>
    <t>(1) Household members 18 years of age or older.
(2) Income documentation must be provided and must be itemized in each section of the worksheet.</t>
  </si>
  <si>
    <t>To calculate Section A1 of the Income Calculation Worksheet, one (1) month of consecutive paystubs with accompanying earnings/deductions statements dated with the check dates within 60 days of the reservation date. The pay period end date, not the check date, must be utilized in calculating income. Weekly pay requires four (4) paystubs and bi-weekly/semi-monthly requires two (2) paystubs. The Income Calculation Worksheet will perform two calculations and use the higher figure as the annual income. The two calculations are as follows:
• The annualized forecast of current year-to-date (“YTD”) earnings; and
• The annualized forecast based on the average of one month of consecutive paystubs. 
Note:
• In cases when the year-to-date income includes income from a pay period that occurs fully within the year prior, the first paystub received for the year must be provided to document number of YTD paystubs.  Additionally, the box entitled “First Pay Period Fully within the Prior Year” must be checked to ensure the correct calculation.</t>
  </si>
  <si>
    <t>Section A1, Total Paystub Income</t>
  </si>
  <si>
    <r>
      <t xml:space="preserve">1. </t>
    </r>
    <r>
      <rPr>
        <b/>
        <u/>
        <sz val="10"/>
        <color theme="1"/>
        <rFont val="Calibri"/>
        <family val="2"/>
        <scheme val="minor"/>
      </rPr>
      <t>Paystubs</t>
    </r>
    <r>
      <rPr>
        <b/>
        <sz val="10"/>
        <color theme="1"/>
        <rFont val="Calibri"/>
        <family val="2"/>
        <scheme val="minor"/>
      </rPr>
      <t xml:space="preserve"> - Instructions / Documentation</t>
    </r>
  </si>
  <si>
    <r>
      <t xml:space="preserve">3. </t>
    </r>
    <r>
      <rPr>
        <b/>
        <u/>
        <sz val="10"/>
        <color theme="1"/>
        <rFont val="Calibri"/>
        <family val="2"/>
        <scheme val="minor"/>
      </rPr>
      <t>Contracts and Employment Letters</t>
    </r>
    <r>
      <rPr>
        <b/>
        <sz val="10"/>
        <color theme="1"/>
        <rFont val="Calibri"/>
        <family val="2"/>
        <scheme val="minor"/>
      </rPr>
      <t xml:space="preserve"> - Instructions / Documentation</t>
    </r>
  </si>
  <si>
    <t>To complete Section A3, the contract and/or employment letter must provide enough information to perform an annualization of income, including base and any other income earned.
Individuals working under contractual agreements (i.e., teachers) should provide the most recent contract in effect within the year of the reservation date. The contracted salary and any additional income listed above salary must be included in the income analysis.
Employment letters may be accepted as income documentation in cases where a complete and formal Verification of Employment (VOE) is unable to be obtained and must be dated within 60 days of the reservation date.
Offer letters may be accepted only if the borrower has commenced employment within 15 days of the reservation date.</t>
  </si>
  <si>
    <t>Section A3, Total Contract and Employment Letter Income</t>
  </si>
  <si>
    <r>
      <t xml:space="preserve">4. </t>
    </r>
    <r>
      <rPr>
        <b/>
        <u/>
        <sz val="10"/>
        <color theme="1"/>
        <rFont val="Calibri"/>
        <family val="2"/>
        <scheme val="minor"/>
      </rPr>
      <t>Variable/Bonus Income</t>
    </r>
    <r>
      <rPr>
        <b/>
        <sz val="10"/>
        <color theme="1"/>
        <rFont val="Calibri"/>
        <family val="2"/>
        <scheme val="minor"/>
      </rPr>
      <t xml:space="preserve"> - Instructions / Documentation</t>
    </r>
  </si>
  <si>
    <t>Section A4, Total Variable/Bonus Income</t>
  </si>
  <si>
    <t>Description</t>
  </si>
  <si>
    <t>Section B - Social Security, Retirement/Pension, Public Assistance, and Disability Income</t>
  </si>
  <si>
    <t>Social Security, Pension, Public Assistance, and Disability Income should be captured in Section B of the Income Calculation Worksheet. Acceptable third-party documentation includes the following: 
• Social Security Supplemental Income award letter or 1099.
• Social Security award letter or 1099.
• Retirement, pension and/or disability benefit statements or 1099. In cases of distributions, an average of the year-to-date payments must be calculated and input into the Income Calculation
   Worksheet as the payment amount.
• Letters or case management forms from public assistance agencies. 
• Section 8 Homeownership Voucher Program approval letter.
• Other third-party documentation evidencing the amount and frequency of the benefit being received. 
The gross benefit amount should be entered in the Income Calculation Worksheet. The worksheet will calculate an annualized income amount.</t>
  </si>
  <si>
    <t>Retirement/Pension</t>
  </si>
  <si>
    <t>Semi-Monthly</t>
  </si>
  <si>
    <t>Annual</t>
  </si>
  <si>
    <t xml:space="preserve">   </t>
  </si>
  <si>
    <t>Self-Employment income should be captured in Section C of the Income Calculation Worksheet. Household members that report their annual earnings to the IRS through a Schedule C, 1099 statement, own a C or S Corporation, or an ownership interest in a partnership, are self-employed. Acceptable documentation includes one of the following:
• Most recent year completed copies of U.S. Individual Income Tax Returns (i.e., IRS 1040 Forms) accompanied by all supporting schedules and statements.
   o In lieu of U.S. Individual Income Tax Returns, an IRS form 4506-T (Request for Transcript Tax Return) can be submitted to the IRS, and the member can rely on and submit the 
      transcripts furnished by the IRS; or
• If the household member began self-employment within the year of reservation, a year-to-date Profit and Loss (“P&amp;L”) Statement prepared by the household member must be provided. The P&amp;L must be signed by the applicable household member.
Note: If a household member owns 25% or greater of a business, the applicable business tax returns must be provided. If less than 25% ownership in a partnership, S corporation or LLC, the applicable K-1 must be provided.
The following items claimed by the borrower must be added back to the net income: depreciation, depletion, business use of a home, amortization, and casualty losses.
The exclusion for meals and entertainment expenses must be deducted from the net income.
The household’s net income and duration of self-employment, as covered in the supporting documentation, must be entered in the Income Calculation Worksheet. For example, a tax return that reflects one full year of self-employment income should indicate 12 months or a P&amp;L that reflects six months of self-employment income should indicate six months in Section C of the Income Calculation Worksheet, the worksheet will calculate an annualized income amount.</t>
  </si>
  <si>
    <t>Seasonal Employment</t>
  </si>
  <si>
    <t>If the homebuyer(s) is purchasing a 2-4 family property, anticipated rental income must be captured in Section F of the Income Calculation Worksheet. Rental income must be verified with a Real Estate Market Analysis, or a Small Residential Income Property Appraisal Report (Fannie Mae form 1025) dated within 120 days of the reservation date. In line with program requirements, 75% of the total gross annualized rental income will be calculated within the Income Calculation Worksheet. The member should default to using the highest market rents in the calculator, unless otherwise verified.
When verifying rental income on properties other than the subject property, the gross monthly rental income may be verified with the most recent tax return or current lease agreement(s). If tax returns are being utilized, then the net annual income (adding back depreciation) may be inputted in Section C – Self-Employment Income.</t>
  </si>
  <si>
    <t>All household members over the age of 18 years, who will reside in the property, but do not receive any income from any source, must be listed in Section G of the Income Calculation Worksheet. A fully executed Zero-Income Certification dated within 60 days of the reservation date is required for each household member listed in this section of the Income Calculation Worksheet.</t>
  </si>
  <si>
    <r>
      <t xml:space="preserve">2. </t>
    </r>
    <r>
      <rPr>
        <b/>
        <u/>
        <sz val="10"/>
        <color theme="1"/>
        <rFont val="Calibri"/>
        <family val="2"/>
        <scheme val="minor"/>
      </rPr>
      <t>Verification of Employment (VOE)</t>
    </r>
    <r>
      <rPr>
        <b/>
        <sz val="10"/>
        <color theme="1"/>
        <rFont val="Calibri"/>
        <family val="2"/>
        <scheme val="minor"/>
      </rPr>
      <t xml:space="preserve"> - Instructions / Documentation</t>
    </r>
  </si>
  <si>
    <t>To calculate Section A2 of the Income Calculation Worksheet, the Verification of Employment must be completed on the Fannie Mae Form 1005 and dated within 60 days of the reservation date. The Income Calculation Worksheet will perform two calculations and use the higher figure as the annual income. The two calculations are as follows:
• The annualized forecast of year-to-date (“YTD”) base pay, and
• The annualization of current base pay rate.
Note: 
• The YTD recurring non-base income, such as overtime, commission, and bonuses must be added to their respective fields.  The sum of these amounts will be annualized and added to the borrower’s annual income.
• If an individual has anticipated income based on historical earnings, such as an annual bonus, seasonal overtime, or other forms of income, the member may use the previous year’s amount if that income has not yet been received for the current year.  The income amount should be captured in Section A4. The remarks section of VOE should indicate why an annualization cannot be performed.</t>
  </si>
  <si>
    <t>Section A2, Total VOE Income</t>
  </si>
  <si>
    <t>Seasonal employment, unemployment, and miscellaneous income should be captured in Section E of the Income Calculation Worksheet. The acceptable documentation will vary dependent upon income type.
For seasonal employment, the supporting documentation should include a fully completed Verification of Employment Form providing income amount earned over the most recent year, a W2, or other third- party documentation providing this information.
To verify unemployment income, worker’s compensation, or severance pay, the benefit notification, award letter, or 1099 should be obtained.
To document miscellaneous income such as interest or dividends, the most recent tax return, 1099, or brokerage statements verifying stock portfolio earnings, should be obtained. Other options for documentation include IRS form 4506-T (Request for Transcript Tax Return). Interest and dividend income must be included in the total household income when the combined annual amount exceeds $100 per filing year.
The gross amount should be entered in the Income Calculation Worksheet. The worksheet will calculate an annualized income amount.</t>
  </si>
  <si>
    <t>Current Gross Base Pay</t>
  </si>
  <si>
    <t>Check Period</t>
  </si>
  <si>
    <t>Average Hours / Week</t>
  </si>
  <si>
    <t>Base Pay Rate</t>
  </si>
  <si>
    <t>PYMT_FREQ</t>
  </si>
  <si>
    <t>$DB.LOOKUP.RANGE_LOOKUP_VOE_FREQ</t>
  </si>
  <si>
    <t>Hourly</t>
  </si>
  <si>
    <t>Date of Employment</t>
  </si>
  <si>
    <t>YTD Thru</t>
  </si>
  <si>
    <t>YTD Base Pay</t>
  </si>
  <si>
    <t>YTD Weeks</t>
  </si>
  <si>
    <t>Annual Base Income</t>
  </si>
  <si>
    <t>YTD Overtime</t>
  </si>
  <si>
    <t>YTD Commissions</t>
  </si>
  <si>
    <t>YTD Bonus</t>
  </si>
  <si>
    <t>Annual Other Income</t>
  </si>
  <si>
    <r>
      <t xml:space="preserve">Complete form in MS Excel format, containing the .xlsx file extension in its entirety.
Cells shaded yellow are required fields.
Submit form with required documentation (in PDF format) to FHLBNY via the Online Portal as one Zip file per household.
Refer to the </t>
    </r>
    <r>
      <rPr>
        <i/>
        <sz val="10"/>
        <color theme="1"/>
        <rFont val="Calibri"/>
        <family val="2"/>
        <scheme val="minor"/>
      </rPr>
      <t>Homebuyer Dream Program® Guidelines</t>
    </r>
    <r>
      <rPr>
        <sz val="10"/>
        <color theme="1"/>
        <rFont val="Calibri"/>
        <family val="2"/>
        <scheme val="minor"/>
      </rPr>
      <t xml:space="preserve"> for additional details including a list of required supplemental documentation.</t>
    </r>
  </si>
  <si>
    <r>
      <t xml:space="preserve">Complete form in MS Excel format, containing the .xlsx file extension in its entirety.  
Cells shaded yellow are required fields.
Submit form with required documentation (in PDF format) to FHLBNY via the Online Portal as one Zip file per household.
Refer to the </t>
    </r>
    <r>
      <rPr>
        <i/>
        <sz val="10"/>
        <color theme="1"/>
        <rFont val="Calibri"/>
        <family val="2"/>
        <scheme val="minor"/>
      </rPr>
      <t>Homebuyer Dream Program® Guidelines</t>
    </r>
    <r>
      <rPr>
        <sz val="10"/>
        <color theme="1"/>
        <rFont val="Calibri"/>
        <family val="2"/>
        <scheme val="minor"/>
      </rPr>
      <t xml:space="preserve"> for additional details including a list of required supplemental documentation.</t>
    </r>
  </si>
  <si>
    <t>Refer to the Homebuyer Dream Program® Guidelines for requirements and embedded instructions below for additional information on how to complete this Income Calculation Worksheet.
The household’s total income must meet the income requirements as defined in the Homebuyer Dream Program Guidelines.
The member is responsible for verifying all sources of income for all individuals, 18 years and older, who will reside in the home. The income of non-occupying co-signers, co-borrowers, or guarantors must also be included in the calculation for determining income eligibility.
The homebuyer(s) must demonstrate a reliable stream of income; examples include full time employment (defined as ≥ 32 hours a week), pension, disability award, Social Security, Individual Retirement Accounts, or other recurring sources. 
Household members, 18 years and older, who do not receive income must execute a HDP Zero-Income Certification located on the FHLBNY’s website and be identified under Section G of the Income Calculation Worksheet.  If an individual is separated from his/her spouse, then the individual must also provide evidence of such separation with a legal separation agreement, legal documents filed with a court seeking a divorce or a divorce decree.
The income documentation utilized to qualify the household must provide the necessary information to perform an annualization of income on the Income Calculation Worksheet.
Please be aware that, with regard to all Homebuyer Dream Program requests that you submit, you are solely responsible for (i) the accuracy and the validity of the data that you provide and (ii) the accurate input of such data.</t>
  </si>
  <si>
    <t>SECTION_3_WARNING_01</t>
  </si>
  <si>
    <t>Variable/Bonus income is defined as income that should not be annualized, such as bonus income, profit sharing, incentive pay, seasonal overtime, etc. Such income should be removed from the household’s year to date gross income and captured in Section A4 of the Income Calculation Worksheet. The amounts listed in the section will be added to the household’s income.
The member will be required to certify within the Homebuyer Dream Program Request Form that the household has confirmed the income itemized in this section is variable/bonus income.</t>
  </si>
  <si>
    <t>Child support should be captured in Section D of the Income Calculation Worksheet and should be documented via a court order, printouts from the court or agency responsible for enforcing support payments or any other third-party documentation evidencing the amount and frequency of support payments received.  If there is a private arrangement, the details of the arrangement along with proof of receipt of two support payments must be provided.
When completing the fields on the worksheet, the following guidelines should be followed:
• Children’s names cannot be entered on the worksheet; the dropdown menu within the worksheet identifies children as Child #1, Child #2, etc.
• Arrear payments should not be included in the income calculation.
• Income payment frequency must be provided so that the worksheet can calculate the annualized income.
• In the case where child support is not received in line with the court order, an average of the year-to-date payments must be calculated and input into the Income Calculation Worksheet as the payment amount.  
• Evidence of unpaid child support must be documented to be excluded from household income (e.g., court orders, child support service confirming non-payment, etc.). If unable to provide evidence, the member will default to amount stated on court order/divorce decree/separation agreement.</t>
  </si>
  <si>
    <t>2.2</t>
  </si>
  <si>
    <t>2.1.</t>
  </si>
  <si>
    <t>HARDCODED TO 'N' IN MAY 2026 PER BIZ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</si>
</sst>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quot;$&quot;* #,##0.00_);_(&quot;$&quot;* \(#,##0.00\);_(&quot;$&quot;* &quot;-&quot;??_);_(@_)"/>
    <numFmt numFmtId="43" formatCode="_(* #,##0.00_);_(* \(#,##0.00\);_(* &quot;-&quot;??_);_(@_)"/>
    <numFmt numFmtId="164" formatCode="00000\-0000"/>
    <numFmt numFmtId="165" formatCode="00000"/>
    <numFmt numFmtId="166" formatCode="0000"/>
    <numFmt numFmtId="167" formatCode="00"/>
    <numFmt numFmtId="168" formatCode="000"/>
    <numFmt numFmtId="169" formatCode="m/d/yyyy;@"/>
    <numFmt numFmtId="170" formatCode="&quot;$&quot;#,##0.00"/>
    <numFmt numFmtId="171" formatCode="_(&quot;$&quot;* #,##0_);_(&quot;$&quot;* \(#,##0\);_(&quot;$&quot;* &quot;-&quot;??_);_(@_)"/>
    <numFmt numFmtId="172" formatCode="@\ *."/>
    <numFmt numFmtId="173" formatCode="0.0000%"/>
    <numFmt numFmtId="174" formatCode="&quot;$&quot;#,##0"/>
  </numFmts>
  <fonts count="55" x14ac:knownFonts="1">
    <font>
      <sz val="11"/>
      <color theme="1"/>
      <name val="Calibri"/>
      <family val="2"/>
      <scheme val="minor"/>
    </font>
    <font>
      <sz val="11"/>
      <color theme="1"/>
      <name val="Calibri"/>
      <family val="2"/>
      <scheme val="minor"/>
    </font>
    <font>
      <sz val="10"/>
      <color theme="1"/>
      <name val="Calibri"/>
      <family val="2"/>
      <scheme val="minor"/>
    </font>
    <font>
      <sz val="9"/>
      <color indexed="81"/>
      <name val="Tahoma"/>
      <family val="2"/>
    </font>
    <font>
      <b/>
      <sz val="9"/>
      <color indexed="81"/>
      <name val="Tahoma"/>
      <family val="2"/>
    </font>
    <font>
      <b/>
      <sz val="10"/>
      <color theme="1"/>
      <name val="Calibri"/>
      <family val="2"/>
      <scheme val="minor"/>
    </font>
    <font>
      <i/>
      <sz val="10"/>
      <color theme="1"/>
      <name val="Calibri"/>
      <family val="2"/>
      <scheme val="minor"/>
    </font>
    <font>
      <i/>
      <sz val="9"/>
      <color theme="1"/>
      <name val="Calibri"/>
      <family val="2"/>
      <scheme val="minor"/>
    </font>
    <font>
      <i/>
      <sz val="11"/>
      <color theme="1"/>
      <name val="Calibri"/>
      <family val="2"/>
      <scheme val="minor"/>
    </font>
    <font>
      <b/>
      <sz val="11"/>
      <color theme="1"/>
      <name val="Calibri"/>
      <family val="2"/>
      <scheme val="minor"/>
    </font>
    <font>
      <u/>
      <sz val="11"/>
      <color theme="10"/>
      <name val="Calibri"/>
      <family val="2"/>
    </font>
    <font>
      <b/>
      <sz val="16"/>
      <color theme="1"/>
      <name val="Calibri"/>
      <family val="2"/>
      <scheme val="minor"/>
    </font>
    <font>
      <b/>
      <sz val="20"/>
      <color theme="1"/>
      <name val="Calibri"/>
      <family val="2"/>
      <scheme val="minor"/>
    </font>
    <font>
      <b/>
      <sz val="11"/>
      <name val="Calibri"/>
      <family val="2"/>
      <scheme val="minor"/>
    </font>
    <font>
      <b/>
      <sz val="10"/>
      <color theme="0"/>
      <name val="Calibri"/>
      <family val="2"/>
      <scheme val="minor"/>
    </font>
    <font>
      <b/>
      <sz val="9"/>
      <color theme="1"/>
      <name val="Calibri"/>
      <family val="2"/>
      <scheme val="minor"/>
    </font>
    <font>
      <sz val="8"/>
      <color theme="1"/>
      <name val="Calibri"/>
      <family val="2"/>
      <scheme val="minor"/>
    </font>
    <font>
      <b/>
      <i/>
      <sz val="9"/>
      <color theme="1"/>
      <name val="Calibri"/>
      <family val="2"/>
      <scheme val="minor"/>
    </font>
    <font>
      <b/>
      <u/>
      <sz val="11"/>
      <color theme="1"/>
      <name val="Calibri"/>
      <family val="2"/>
      <scheme val="minor"/>
    </font>
    <font>
      <sz val="10"/>
      <color theme="1"/>
      <name val="Calibri"/>
      <family val="2"/>
      <scheme val="minor"/>
    </font>
    <font>
      <b/>
      <sz val="11"/>
      <color theme="0"/>
      <name val="Calibri"/>
      <family val="2"/>
      <scheme val="minor"/>
    </font>
    <font>
      <sz val="10"/>
      <color theme="1"/>
      <name val="Calibri"/>
      <family val="2"/>
      <scheme val="minor"/>
    </font>
    <font>
      <b/>
      <sz val="9"/>
      <name val="Calibri"/>
      <family val="2"/>
      <scheme val="minor"/>
    </font>
    <font>
      <b/>
      <i/>
      <sz val="9"/>
      <name val="Calibri"/>
      <family val="2"/>
      <scheme val="minor"/>
    </font>
    <font>
      <b/>
      <sz val="10"/>
      <color rgb="FFFF0000"/>
      <name val="Calibri"/>
      <family val="2"/>
      <scheme val="minor"/>
    </font>
    <font>
      <b/>
      <i/>
      <sz val="10"/>
      <color theme="1"/>
      <name val="Calibri"/>
      <family val="2"/>
      <scheme val="minor"/>
    </font>
    <font>
      <sz val="9"/>
      <color theme="1"/>
      <name val="Calibri"/>
      <family val="2"/>
      <scheme val="minor"/>
    </font>
    <font>
      <sz val="10"/>
      <color rgb="FFFF0000"/>
      <name val="Calibri"/>
      <family val="2"/>
      <scheme val="minor"/>
    </font>
    <font>
      <b/>
      <sz val="12"/>
      <color theme="1"/>
      <name val="Calibri"/>
      <family val="2"/>
      <scheme val="minor"/>
    </font>
    <font>
      <b/>
      <u/>
      <sz val="11"/>
      <color theme="4" tint="-0.499984740745262"/>
      <name val="Calibri"/>
      <family val="2"/>
    </font>
    <font>
      <b/>
      <sz val="11"/>
      <color theme="4" tint="-0.499984740745262"/>
      <name val="Calibri"/>
      <family val="2"/>
      <scheme val="minor"/>
    </font>
    <font>
      <sz val="2"/>
      <color theme="1"/>
      <name val="Calibri"/>
      <family val="2"/>
      <scheme val="minor"/>
    </font>
    <font>
      <sz val="10"/>
      <name val="Arial"/>
      <family val="2"/>
    </font>
    <font>
      <i/>
      <sz val="11"/>
      <name val="Calibri"/>
      <family val="2"/>
      <scheme val="minor"/>
    </font>
    <font>
      <b/>
      <sz val="14"/>
      <name val="Calibri"/>
      <family val="2"/>
      <scheme val="minor"/>
    </font>
    <font>
      <sz val="8"/>
      <color rgb="FF000000"/>
      <name val="Tahoma"/>
      <family val="2"/>
    </font>
    <font>
      <sz val="8"/>
      <color theme="0"/>
      <name val="Calibri"/>
      <family val="2"/>
      <scheme val="minor"/>
    </font>
    <font>
      <sz val="10"/>
      <color theme="1"/>
      <name val="Calibri"/>
      <family val="2"/>
      <scheme val="minor"/>
    </font>
    <font>
      <u/>
      <sz val="11"/>
      <color theme="1"/>
      <name val="Calibri"/>
      <family val="2"/>
      <scheme val="minor"/>
    </font>
    <font>
      <sz val="11"/>
      <color theme="0"/>
      <name val="Calibri"/>
      <family val="2"/>
      <scheme val="minor"/>
    </font>
    <font>
      <b/>
      <sz val="10"/>
      <name val="Calibri"/>
      <family val="2"/>
      <scheme val="minor"/>
    </font>
    <font>
      <b/>
      <u/>
      <sz val="10"/>
      <color theme="1"/>
      <name val="Calibri"/>
      <family val="2"/>
      <scheme val="minor"/>
    </font>
    <font>
      <sz val="10"/>
      <name val="Calibri"/>
      <family val="2"/>
      <scheme val="minor"/>
    </font>
    <font>
      <sz val="10"/>
      <color theme="0"/>
      <name val="Calibri"/>
      <family val="2"/>
      <scheme val="minor"/>
    </font>
    <font>
      <sz val="9"/>
      <color theme="5"/>
      <name val="Calibri"/>
      <family val="2"/>
      <scheme val="minor"/>
    </font>
    <font>
      <b/>
      <vertAlign val="superscript"/>
      <sz val="10"/>
      <color theme="1"/>
      <name val="Calibri"/>
      <family val="2"/>
      <scheme val="minor"/>
    </font>
    <font>
      <b/>
      <sz val="12"/>
      <color theme="0"/>
      <name val="Calibri"/>
      <family val="2"/>
      <scheme val="minor"/>
    </font>
    <font>
      <i/>
      <sz val="10"/>
      <color theme="0"/>
      <name val="Calibri"/>
      <family val="2"/>
      <scheme val="minor"/>
    </font>
    <font>
      <b/>
      <sz val="14"/>
      <color theme="0"/>
      <name val="Calibri"/>
      <family val="2"/>
    </font>
    <font>
      <sz val="9"/>
      <name val="Calibri"/>
      <family val="2"/>
      <scheme val="minor"/>
    </font>
    <font>
      <b/>
      <sz val="11"/>
      <color theme="0"/>
      <name val="Calibri"/>
      <family val="2"/>
    </font>
    <font>
      <sz val="10.5"/>
      <color theme="1"/>
      <name val="Calibri"/>
      <family val="2"/>
      <scheme val="minor"/>
    </font>
    <font>
      <sz val="10"/>
      <color theme="1"/>
      <name val="Calibri"/>
      <family val="2"/>
    </font>
    <font>
      <sz val="8"/>
      <name val="Calibri"/>
      <family val="2"/>
      <scheme val="minor"/>
    </font>
    <font>
      <sz val="8"/>
      <color rgb="FF000000"/>
      <name val="Segoe UI"/>
      <family val="2"/>
    </font>
  </fonts>
  <fills count="30">
    <fill>
      <patternFill patternType="none"/>
    </fill>
    <fill>
      <patternFill patternType="gray125"/>
    </fill>
    <fill>
      <gradientFill degree="90">
        <stop position="0">
          <color rgb="FF8EB149"/>
        </stop>
        <stop position="1">
          <color rgb="FF708B39"/>
        </stop>
      </gradientFill>
    </fill>
    <fill>
      <patternFill patternType="solid">
        <fgColor rgb="FFFFFFCC"/>
        <bgColor indexed="64"/>
      </patternFill>
    </fill>
    <fill>
      <patternFill patternType="solid">
        <fgColor theme="5"/>
        <bgColor theme="5"/>
      </patternFill>
    </fill>
    <fill>
      <patternFill patternType="solid">
        <fgColor theme="5" tint="0.59999389629810485"/>
        <bgColor theme="5" tint="0.59999389629810485"/>
      </patternFill>
    </fill>
    <fill>
      <patternFill patternType="solid">
        <fgColor theme="5" tint="0.79998168889431442"/>
        <bgColor theme="5" tint="0.79998168889431442"/>
      </patternFill>
    </fill>
    <fill>
      <patternFill patternType="solid">
        <fgColor theme="4" tint="0.79998168889431442"/>
        <bgColor indexed="64"/>
      </patternFill>
    </fill>
    <fill>
      <patternFill patternType="solid">
        <fgColor theme="0"/>
        <bgColor indexed="64"/>
      </patternFill>
    </fill>
    <fill>
      <patternFill patternType="solid">
        <fgColor theme="8" tint="-0.249977111117893"/>
        <bgColor indexed="64"/>
      </patternFill>
    </fill>
    <fill>
      <patternFill patternType="solid">
        <fgColor theme="6" tint="0.39997558519241921"/>
        <bgColor indexed="64"/>
      </patternFill>
    </fill>
    <fill>
      <patternFill patternType="solid">
        <fgColor theme="9"/>
        <bgColor theme="9"/>
      </patternFill>
    </fill>
    <fill>
      <patternFill patternType="solid">
        <fgColor theme="9" tint="0.79998168889431442"/>
        <bgColor theme="9" tint="0.79998168889431442"/>
      </patternFill>
    </fill>
    <fill>
      <patternFill patternType="solid">
        <fgColor theme="6"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tint="-0.499984740745262"/>
        <bgColor indexed="64"/>
      </patternFill>
    </fill>
    <fill>
      <patternFill patternType="lightUp">
        <fgColor theme="0" tint="-0.34998626667073579"/>
        <bgColor theme="0" tint="-0.14996795556505021"/>
      </patternFill>
    </fill>
    <fill>
      <patternFill patternType="solid">
        <fgColor rgb="FFFFFF00"/>
        <bgColor indexed="64"/>
      </patternFill>
    </fill>
    <fill>
      <patternFill patternType="solid">
        <fgColor theme="3" tint="-0.249977111117893"/>
        <bgColor indexed="64"/>
      </patternFill>
    </fill>
    <fill>
      <patternFill patternType="solid">
        <fgColor theme="3" tint="0.79998168889431442"/>
        <bgColor indexed="64"/>
      </patternFill>
    </fill>
    <fill>
      <patternFill patternType="solid">
        <fgColor rgb="FFDCE6F2"/>
        <bgColor indexed="64"/>
      </patternFill>
    </fill>
    <fill>
      <patternFill patternType="solid">
        <fgColor theme="1" tint="0.499984740745262"/>
        <bgColor indexed="64"/>
      </patternFill>
    </fill>
    <fill>
      <patternFill patternType="solid">
        <fgColor theme="4" tint="0.59999389629810485"/>
        <bgColor indexed="64"/>
      </patternFill>
    </fill>
    <fill>
      <patternFill patternType="mediumGray">
        <fgColor theme="0" tint="-4.9989318521683403E-2"/>
        <bgColor indexed="65"/>
      </patternFill>
    </fill>
    <fill>
      <patternFill patternType="solid">
        <fgColor rgb="FF00305E"/>
        <bgColor indexed="64"/>
      </patternFill>
    </fill>
    <fill>
      <patternFill patternType="solid">
        <fgColor theme="5" tint="-0.249977111117893"/>
        <bgColor indexed="64"/>
      </patternFill>
    </fill>
    <fill>
      <patternFill patternType="solid">
        <fgColor rgb="FFFF0000"/>
        <bgColor indexed="64"/>
      </patternFill>
    </fill>
    <fill>
      <patternFill patternType="solid">
        <fgColor rgb="FF9CACB9"/>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0"/>
      </bottom>
      <diagonal/>
    </border>
    <border>
      <left/>
      <right/>
      <top/>
      <bottom style="thin">
        <color theme="0"/>
      </bottom>
      <diagonal/>
    </border>
    <border>
      <left/>
      <right/>
      <top/>
      <bottom style="thin">
        <color theme="9" tint="0.39997558519241921"/>
      </bottom>
      <diagonal/>
    </border>
    <border>
      <left/>
      <right/>
      <top style="thin">
        <color indexed="64"/>
      </top>
      <bottom/>
      <diagonal/>
    </border>
    <border>
      <left/>
      <right style="thin">
        <color theme="0"/>
      </right>
      <top/>
      <bottom style="thick">
        <color theme="0"/>
      </bottom>
      <diagonal/>
    </border>
    <border>
      <left/>
      <right style="thin">
        <color theme="0"/>
      </right>
      <top/>
      <bottom style="thin">
        <color theme="0"/>
      </bottom>
      <diagonal/>
    </border>
    <border>
      <left/>
      <right/>
      <top/>
      <bottom style="double">
        <color indexed="64"/>
      </bottom>
      <diagonal/>
    </border>
    <border>
      <left/>
      <right/>
      <top/>
      <bottom style="medium">
        <color indexed="64"/>
      </bottom>
      <diagonal/>
    </border>
    <border>
      <left/>
      <right/>
      <top/>
      <bottom style="medium">
        <color rgb="FF00305E"/>
      </bottom>
      <diagonal/>
    </border>
    <border>
      <left/>
      <right/>
      <top/>
      <bottom style="thin">
        <color rgb="FF00305E"/>
      </bottom>
      <diagonal/>
    </border>
    <border>
      <left style="thin">
        <color rgb="FF00305E"/>
      </left>
      <right style="thin">
        <color rgb="FF00305E"/>
      </right>
      <top style="thin">
        <color rgb="FF00305E"/>
      </top>
      <bottom style="thin">
        <color rgb="FF00305E"/>
      </bottom>
      <diagonal/>
    </border>
    <border>
      <left/>
      <right style="thin">
        <color theme="0"/>
      </right>
      <top/>
      <bottom/>
      <diagonal/>
    </border>
    <border>
      <left/>
      <right/>
      <top style="medium">
        <color indexed="64"/>
      </top>
      <bottom/>
      <diagonal/>
    </border>
    <border>
      <left style="thin">
        <color indexed="64"/>
      </left>
      <right/>
      <top/>
      <bottom/>
      <diagonal/>
    </border>
    <border>
      <left/>
      <right style="thin">
        <color theme="0"/>
      </right>
      <top style="thin">
        <color theme="0"/>
      </top>
      <bottom/>
      <diagonal/>
    </border>
    <border>
      <left style="thin">
        <color theme="0"/>
      </left>
      <right/>
      <top style="thin">
        <color theme="0"/>
      </top>
      <bottom/>
      <diagonal/>
    </border>
    <border>
      <left style="thin">
        <color theme="0"/>
      </left>
      <right style="thin">
        <color theme="0"/>
      </right>
      <top style="thin">
        <color theme="0"/>
      </top>
      <bottom/>
      <diagonal/>
    </border>
    <border>
      <left/>
      <right/>
      <top style="thin">
        <color indexed="64"/>
      </top>
      <bottom style="medium">
        <color indexed="64"/>
      </bottom>
      <diagonal/>
    </border>
    <border>
      <left/>
      <right style="thin">
        <color theme="0"/>
      </right>
      <top/>
      <bottom style="thin">
        <color theme="9" tint="0.39997558519241921"/>
      </bottom>
      <diagonal/>
    </border>
    <border>
      <left style="thin">
        <color theme="0"/>
      </left>
      <right style="thin">
        <color theme="0"/>
      </right>
      <top/>
      <bottom style="thin">
        <color theme="9" tint="0.39997558519241921"/>
      </bottom>
      <diagonal/>
    </border>
    <border>
      <left style="thin">
        <color theme="0"/>
      </left>
      <right/>
      <top/>
      <bottom style="thin">
        <color theme="9" tint="0.39997558519241921"/>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left>
      <right style="thin">
        <color theme="0"/>
      </right>
      <top/>
      <bottom style="thin">
        <color rgb="FFFABF8F"/>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thick">
        <color theme="0" tint="-0.24994659260841701"/>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s>
  <cellStyleXfs count="8">
    <xf numFmtId="0" fontId="0" fillId="0" borderId="0"/>
    <xf numFmtId="44" fontId="1" fillId="0" borderId="0" applyFont="0" applyFill="0" applyBorder="0" applyAlignment="0" applyProtection="0"/>
    <xf numFmtId="0" fontId="10" fillId="0" borderId="0" applyNumberFormat="0" applyFill="0" applyBorder="0" applyAlignment="0" applyProtection="0">
      <alignment vertical="top"/>
      <protection locked="0"/>
    </xf>
    <xf numFmtId="9" fontId="1" fillId="0" borderId="0" applyFont="0" applyFill="0" applyBorder="0" applyAlignment="0" applyProtection="0"/>
    <xf numFmtId="0" fontId="32" fillId="0" borderId="0"/>
    <xf numFmtId="9"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cellStyleXfs>
  <cellXfs count="488">
    <xf numFmtId="0" fontId="0" fillId="0" borderId="0" xfId="0"/>
    <xf numFmtId="0" fontId="2" fillId="0" borderId="0" xfId="0" applyFont="1"/>
    <xf numFmtId="0" fontId="2" fillId="0" borderId="0" xfId="0" applyFont="1" applyAlignment="1">
      <alignment horizontal="left"/>
    </xf>
    <xf numFmtId="0" fontId="5" fillId="0" borderId="0" xfId="0" applyFont="1"/>
    <xf numFmtId="0" fontId="6" fillId="0" borderId="0" xfId="0" applyFont="1"/>
    <xf numFmtId="0" fontId="5" fillId="0" borderId="0" xfId="0" applyFont="1" applyAlignment="1">
      <alignment horizontal="left"/>
    </xf>
    <xf numFmtId="0" fontId="0" fillId="0" borderId="0" xfId="0" applyProtection="1">
      <protection hidden="1"/>
    </xf>
    <xf numFmtId="0" fontId="7" fillId="0" borderId="0" xfId="0" applyFont="1" applyAlignment="1" applyProtection="1">
      <alignment horizontal="left"/>
      <protection hidden="1"/>
    </xf>
    <xf numFmtId="0" fontId="6" fillId="0" borderId="0" xfId="0" quotePrefix="1" applyFont="1" applyAlignment="1">
      <alignment horizontal="center"/>
    </xf>
    <xf numFmtId="0" fontId="7" fillId="3" borderId="1" xfId="0" applyFont="1" applyFill="1" applyBorder="1" applyAlignment="1" applyProtection="1">
      <alignment horizontal="left"/>
      <protection hidden="1"/>
    </xf>
    <xf numFmtId="164" fontId="2" fillId="0" borderId="0" xfId="0" applyNumberFormat="1" applyFont="1"/>
    <xf numFmtId="0" fontId="14" fillId="4" borderId="5" xfId="0" applyFont="1" applyFill="1" applyBorder="1"/>
    <xf numFmtId="0" fontId="0" fillId="5" borderId="6" xfId="0" applyFill="1" applyBorder="1"/>
    <xf numFmtId="0" fontId="0" fillId="6" borderId="6" xfId="0" applyFill="1" applyBorder="1"/>
    <xf numFmtId="0" fontId="19" fillId="0" borderId="0" xfId="0" applyFont="1"/>
    <xf numFmtId="0" fontId="19" fillId="0" borderId="0" xfId="0" applyFont="1" applyAlignment="1">
      <alignment horizontal="left"/>
    </xf>
    <xf numFmtId="0" fontId="2" fillId="0" borderId="0" xfId="0" applyFont="1" applyAlignment="1">
      <alignment horizontal="center"/>
    </xf>
    <xf numFmtId="0" fontId="19" fillId="0" borderId="0" xfId="0" applyFont="1" applyAlignment="1">
      <alignment horizontal="center"/>
    </xf>
    <xf numFmtId="0" fontId="2" fillId="9" borderId="0" xfId="0" applyFont="1" applyFill="1"/>
    <xf numFmtId="0" fontId="2" fillId="10" borderId="0" xfId="0" applyFont="1" applyFill="1" applyAlignment="1">
      <alignment horizontal="left"/>
    </xf>
    <xf numFmtId="0" fontId="20" fillId="11" borderId="7" xfId="0" applyFont="1" applyFill="1" applyBorder="1"/>
    <xf numFmtId="0" fontId="0" fillId="12" borderId="0" xfId="0" applyFill="1"/>
    <xf numFmtId="0" fontId="21" fillId="0" borderId="0" xfId="0" applyFont="1"/>
    <xf numFmtId="0" fontId="21" fillId="0" borderId="0" xfId="0" applyFont="1" applyAlignment="1">
      <alignment horizontal="left"/>
    </xf>
    <xf numFmtId="0" fontId="21" fillId="0" borderId="0" xfId="0" applyFont="1" applyAlignment="1">
      <alignment horizontal="center"/>
    </xf>
    <xf numFmtId="0" fontId="23" fillId="14" borderId="1" xfId="0" applyFont="1" applyFill="1" applyBorder="1" applyAlignment="1" applyProtection="1">
      <alignment horizontal="left"/>
      <protection hidden="1"/>
    </xf>
    <xf numFmtId="0" fontId="7" fillId="15" borderId="1" xfId="0" applyFont="1" applyFill="1" applyBorder="1" applyAlignment="1" applyProtection="1">
      <alignment horizontal="left"/>
      <protection hidden="1"/>
    </xf>
    <xf numFmtId="0" fontId="14" fillId="4" borderId="9" xfId="0" applyFont="1" applyFill="1" applyBorder="1"/>
    <xf numFmtId="0" fontId="2" fillId="5" borderId="10" xfId="0" applyFont="1" applyFill="1" applyBorder="1"/>
    <xf numFmtId="0" fontId="2" fillId="6" borderId="10" xfId="0" applyFont="1" applyFill="1" applyBorder="1"/>
    <xf numFmtId="0" fontId="2" fillId="5" borderId="10" xfId="0" applyFont="1" applyFill="1" applyBorder="1" applyAlignment="1">
      <alignment horizontal="center"/>
    </xf>
    <xf numFmtId="0" fontId="2" fillId="6" borderId="10" xfId="0" applyFont="1" applyFill="1" applyBorder="1" applyAlignment="1">
      <alignment horizontal="center"/>
    </xf>
    <xf numFmtId="0" fontId="0" fillId="0" borderId="13" xfId="0" applyBorder="1" applyProtection="1">
      <protection hidden="1"/>
    </xf>
    <xf numFmtId="0" fontId="0" fillId="0" borderId="13" xfId="0" applyBorder="1" applyAlignment="1" applyProtection="1">
      <alignment horizontal="center" vertical="center"/>
      <protection hidden="1"/>
    </xf>
    <xf numFmtId="0" fontId="0" fillId="7" borderId="14" xfId="0" applyFill="1" applyBorder="1"/>
    <xf numFmtId="0" fontId="5" fillId="7" borderId="14" xfId="0" applyFont="1" applyFill="1" applyBorder="1" applyAlignment="1">
      <alignment vertical="center"/>
    </xf>
    <xf numFmtId="0" fontId="0" fillId="0" borderId="0" xfId="0" applyAlignment="1">
      <alignment vertical="center"/>
    </xf>
    <xf numFmtId="0" fontId="9" fillId="0" borderId="0" xfId="0" applyFont="1" applyAlignment="1">
      <alignment vertical="center"/>
    </xf>
    <xf numFmtId="0" fontId="16" fillId="15" borderId="15" xfId="0" applyFont="1" applyFill="1" applyBorder="1"/>
    <xf numFmtId="0" fontId="0" fillId="0" borderId="0" xfId="0" applyProtection="1">
      <protection locked="0"/>
    </xf>
    <xf numFmtId="0" fontId="0" fillId="3" borderId="1" xfId="0" applyFill="1" applyBorder="1" applyAlignment="1" applyProtection="1">
      <alignment horizontal="center" vertical="center"/>
      <protection locked="0"/>
    </xf>
    <xf numFmtId="166" fontId="0" fillId="3" borderId="2" xfId="0" applyNumberFormat="1" applyFill="1" applyBorder="1" applyAlignment="1" applyProtection="1">
      <alignment horizontal="center" vertical="center"/>
      <protection locked="0"/>
    </xf>
    <xf numFmtId="167" fontId="0" fillId="3" borderId="4" xfId="0" applyNumberFormat="1" applyFill="1" applyBorder="1" applyAlignment="1" applyProtection="1">
      <alignment horizontal="center" vertical="center"/>
      <protection locked="0"/>
    </xf>
    <xf numFmtId="0" fontId="23" fillId="14" borderId="1" xfId="0" applyFont="1" applyFill="1" applyBorder="1" applyAlignment="1">
      <alignment horizontal="left"/>
    </xf>
    <xf numFmtId="0" fontId="0" fillId="0" borderId="0" xfId="0" applyAlignment="1">
      <alignment horizontal="center" vertical="center"/>
    </xf>
    <xf numFmtId="0" fontId="7" fillId="15" borderId="0" xfId="0" applyFont="1" applyFill="1" applyAlignment="1">
      <alignment horizontal="left"/>
    </xf>
    <xf numFmtId="0" fontId="5" fillId="7" borderId="0" xfId="0" applyFont="1" applyFill="1" applyAlignment="1">
      <alignment horizontal="left" vertical="center" indent="1"/>
    </xf>
    <xf numFmtId="0" fontId="0" fillId="7" borderId="0" xfId="0" applyFill="1" applyAlignment="1">
      <alignment horizontal="left" vertical="center"/>
    </xf>
    <xf numFmtId="9" fontId="15" fillId="7" borderId="0" xfId="3" applyFont="1" applyFill="1" applyBorder="1" applyAlignment="1" applyProtection="1">
      <alignment horizontal="center" vertical="center"/>
    </xf>
    <xf numFmtId="0" fontId="0" fillId="7" borderId="0" xfId="0" applyFill="1"/>
    <xf numFmtId="0" fontId="0" fillId="7" borderId="0" xfId="0" applyFill="1" applyAlignment="1">
      <alignment horizontal="center" vertical="center"/>
    </xf>
    <xf numFmtId="0" fontId="7" fillId="15" borderId="1" xfId="0" applyFont="1" applyFill="1" applyBorder="1" applyAlignment="1">
      <alignment horizontal="left"/>
    </xf>
    <xf numFmtId="0" fontId="24" fillId="0" borderId="0" xfId="0" applyFont="1" applyAlignment="1">
      <alignment horizontal="center" vertical="center"/>
    </xf>
    <xf numFmtId="0" fontId="2" fillId="3" borderId="1" xfId="0" applyFont="1" applyFill="1" applyBorder="1" applyAlignment="1">
      <alignment horizontal="center" vertical="center"/>
    </xf>
    <xf numFmtId="0" fontId="7" fillId="15" borderId="1" xfId="0" applyFont="1" applyFill="1" applyBorder="1" applyAlignment="1">
      <alignment horizontal="left" vertical="center"/>
    </xf>
    <xf numFmtId="0" fontId="28" fillId="0" borderId="12" xfId="0" applyFont="1" applyBorder="1" applyAlignment="1">
      <alignment vertical="center"/>
    </xf>
    <xf numFmtId="0" fontId="25" fillId="0" borderId="12" xfId="0" applyFont="1" applyBorder="1" applyAlignment="1">
      <alignment horizontal="right" vertical="center"/>
    </xf>
    <xf numFmtId="0" fontId="0" fillId="0" borderId="0" xfId="0" applyAlignment="1">
      <alignment horizontal="left" vertical="center" indent="1"/>
    </xf>
    <xf numFmtId="0" fontId="18" fillId="0" borderId="0" xfId="0" applyFont="1" applyAlignment="1">
      <alignment vertical="center"/>
    </xf>
    <xf numFmtId="0" fontId="2" fillId="0" borderId="0" xfId="0" applyFont="1" applyAlignment="1">
      <alignment horizontal="center" vertical="center"/>
    </xf>
    <xf numFmtId="0" fontId="5" fillId="0" borderId="0" xfId="0" applyFont="1" applyAlignment="1">
      <alignment vertical="center"/>
    </xf>
    <xf numFmtId="0" fontId="7" fillId="15" borderId="1" xfId="0" applyFont="1" applyFill="1" applyBorder="1" applyAlignment="1">
      <alignment horizontal="left" vertical="center" indent="1"/>
    </xf>
    <xf numFmtId="165" fontId="0" fillId="0" borderId="0" xfId="0" applyNumberFormat="1" applyAlignment="1">
      <alignment vertical="center"/>
    </xf>
    <xf numFmtId="165" fontId="0" fillId="0" borderId="0" xfId="0" applyNumberFormat="1" applyAlignment="1">
      <alignment horizontal="left" vertical="center"/>
    </xf>
    <xf numFmtId="0" fontId="9" fillId="0" borderId="11" xfId="0" applyFont="1" applyBorder="1" applyAlignment="1">
      <alignment vertical="center"/>
    </xf>
    <xf numFmtId="0" fontId="7" fillId="13" borderId="1" xfId="0" applyFont="1" applyFill="1" applyBorder="1" applyAlignment="1">
      <alignment horizontal="left" vertical="center"/>
    </xf>
    <xf numFmtId="0" fontId="27" fillId="3" borderId="4" xfId="0" applyFont="1" applyFill="1" applyBorder="1" applyAlignment="1">
      <alignment horizontal="center" vertical="center"/>
    </xf>
    <xf numFmtId="0" fontId="7" fillId="0" borderId="0" xfId="0" applyFont="1" applyAlignment="1">
      <alignment horizontal="left"/>
    </xf>
    <xf numFmtId="0" fontId="2" fillId="5" borderId="6" xfId="0" applyFont="1" applyFill="1" applyBorder="1"/>
    <xf numFmtId="0" fontId="2" fillId="6" borderId="6" xfId="0" applyFont="1" applyFill="1" applyBorder="1"/>
    <xf numFmtId="0" fontId="2" fillId="6" borderId="16" xfId="0" applyFont="1" applyFill="1" applyBorder="1"/>
    <xf numFmtId="0" fontId="2" fillId="6" borderId="0" xfId="0" applyFont="1" applyFill="1"/>
    <xf numFmtId="0" fontId="2" fillId="5" borderId="0" xfId="0" applyFont="1" applyFill="1"/>
    <xf numFmtId="9" fontId="2" fillId="0" borderId="0" xfId="0" applyNumberFormat="1" applyFont="1" applyAlignment="1">
      <alignment vertical="center"/>
    </xf>
    <xf numFmtId="0" fontId="2" fillId="0" borderId="0" xfId="0" applyFont="1" applyAlignment="1">
      <alignment horizontal="left" vertical="center"/>
    </xf>
    <xf numFmtId="0" fontId="5" fillId="7" borderId="0" xfId="0" applyFont="1" applyFill="1" applyAlignment="1">
      <alignment horizontal="left" vertical="center"/>
    </xf>
    <xf numFmtId="0" fontId="5" fillId="7" borderId="0" xfId="0" applyFont="1" applyFill="1" applyAlignment="1">
      <alignment horizontal="right" vertical="center"/>
    </xf>
    <xf numFmtId="0" fontId="7" fillId="16" borderId="1" xfId="0" applyFont="1" applyFill="1" applyBorder="1" applyAlignment="1">
      <alignment horizontal="left" vertical="center" indent="1"/>
    </xf>
    <xf numFmtId="0" fontId="24" fillId="0" borderId="0" xfId="0" applyFont="1" applyAlignment="1">
      <alignment horizontal="left" vertical="center"/>
    </xf>
    <xf numFmtId="0" fontId="5" fillId="0" borderId="0" xfId="0" applyFont="1" applyAlignment="1">
      <alignment horizontal="left" vertical="center"/>
    </xf>
    <xf numFmtId="0" fontId="5" fillId="0" borderId="0" xfId="0" applyFont="1" applyAlignment="1">
      <alignment horizontal="right" vertical="center"/>
    </xf>
    <xf numFmtId="0" fontId="2" fillId="10" borderId="0" xfId="0" applyFont="1" applyFill="1" applyAlignment="1">
      <alignment horizontal="center"/>
    </xf>
    <xf numFmtId="0" fontId="0" fillId="0" borderId="13" xfId="0" applyBorder="1"/>
    <xf numFmtId="0" fontId="0" fillId="0" borderId="13" xfId="0" applyBorder="1" applyAlignment="1">
      <alignment horizontal="center" vertical="center"/>
    </xf>
    <xf numFmtId="0" fontId="23" fillId="14" borderId="2" xfId="0" applyFont="1" applyFill="1" applyBorder="1" applyAlignment="1">
      <alignment horizontal="left"/>
    </xf>
    <xf numFmtId="0" fontId="5" fillId="7" borderId="14" xfId="0" applyFont="1" applyFill="1" applyBorder="1" applyAlignment="1">
      <alignment horizontal="left" vertical="center"/>
    </xf>
    <xf numFmtId="0" fontId="5" fillId="7" borderId="14" xfId="0" applyFont="1" applyFill="1" applyBorder="1" applyAlignment="1">
      <alignment horizontal="right" vertical="center"/>
    </xf>
    <xf numFmtId="0" fontId="0" fillId="7" borderId="14" xfId="0" applyFill="1" applyBorder="1" applyAlignment="1">
      <alignment horizontal="center" vertical="center"/>
    </xf>
    <xf numFmtId="0" fontId="0" fillId="15" borderId="0" xfId="0" applyFill="1" applyProtection="1">
      <protection hidden="1"/>
    </xf>
    <xf numFmtId="0" fontId="31" fillId="15" borderId="0" xfId="0" applyFont="1" applyFill="1" applyAlignment="1" applyProtection="1">
      <alignment horizontal="center" vertical="center"/>
      <protection hidden="1"/>
    </xf>
    <xf numFmtId="170" fontId="0" fillId="0" borderId="0" xfId="0" applyNumberFormat="1" applyAlignment="1" applyProtection="1">
      <alignment horizontal="right" vertical="center" indent="1"/>
      <protection hidden="1"/>
    </xf>
    <xf numFmtId="0" fontId="17" fillId="17" borderId="1" xfId="0" applyFont="1" applyFill="1" applyBorder="1" applyAlignment="1">
      <alignment horizontal="left" vertical="center"/>
    </xf>
    <xf numFmtId="0" fontId="7" fillId="17" borderId="1" xfId="0" applyFont="1" applyFill="1" applyBorder="1" applyAlignment="1">
      <alignment horizontal="left" vertical="center"/>
    </xf>
    <xf numFmtId="0" fontId="20" fillId="17" borderId="1" xfId="0" applyFont="1" applyFill="1" applyBorder="1" applyAlignment="1">
      <alignment horizontal="left" vertical="center"/>
    </xf>
    <xf numFmtId="0" fontId="7" fillId="13" borderId="1" xfId="0" applyFont="1" applyFill="1" applyBorder="1" applyAlignment="1">
      <alignment horizontal="left"/>
    </xf>
    <xf numFmtId="0" fontId="7" fillId="7" borderId="1" xfId="0" applyFont="1" applyFill="1" applyBorder="1" applyAlignment="1">
      <alignment horizontal="left" vertical="center"/>
    </xf>
    <xf numFmtId="0" fontId="7" fillId="8" borderId="1" xfId="0" applyFont="1" applyFill="1" applyBorder="1" applyAlignment="1">
      <alignment horizontal="left" vertical="center"/>
    </xf>
    <xf numFmtId="9" fontId="7" fillId="13" borderId="1" xfId="3" applyFont="1" applyFill="1" applyBorder="1" applyAlignment="1" applyProtection="1">
      <alignment horizontal="left" vertical="center"/>
    </xf>
    <xf numFmtId="0" fontId="2" fillId="0" borderId="12" xfId="0" applyFont="1" applyBorder="1"/>
    <xf numFmtId="0" fontId="2" fillId="0" borderId="12" xfId="0" applyFont="1" applyBorder="1" applyAlignment="1">
      <alignment horizontal="center"/>
    </xf>
    <xf numFmtId="0" fontId="2" fillId="0" borderId="12" xfId="0" applyFont="1" applyBorder="1" applyAlignment="1">
      <alignment horizontal="left"/>
    </xf>
    <xf numFmtId="0" fontId="2" fillId="10" borderId="12" xfId="0" applyFont="1" applyFill="1" applyBorder="1" applyAlignment="1">
      <alignment horizontal="left"/>
    </xf>
    <xf numFmtId="0" fontId="19" fillId="0" borderId="12" xfId="0" applyFont="1" applyBorder="1"/>
    <xf numFmtId="0" fontId="5" fillId="19" borderId="0" xfId="0" applyFont="1" applyFill="1" applyAlignment="1">
      <alignment horizontal="left"/>
    </xf>
    <xf numFmtId="0" fontId="2" fillId="19" borderId="0" xfId="0" applyFont="1" applyFill="1" applyAlignment="1">
      <alignment horizontal="left"/>
    </xf>
    <xf numFmtId="0" fontId="7" fillId="15" borderId="1" xfId="0" applyFont="1" applyFill="1" applyBorder="1" applyAlignment="1" applyProtection="1">
      <alignment horizontal="left" vertical="center"/>
      <protection hidden="1"/>
    </xf>
    <xf numFmtId="0" fontId="7" fillId="3" borderId="1" xfId="0" applyFont="1" applyFill="1" applyBorder="1" applyAlignment="1" applyProtection="1">
      <alignment horizontal="left" vertical="center"/>
      <protection hidden="1"/>
    </xf>
    <xf numFmtId="0" fontId="21" fillId="0" borderId="12" xfId="0" applyFont="1" applyBorder="1" applyAlignment="1">
      <alignment horizontal="center"/>
    </xf>
    <xf numFmtId="0" fontId="2" fillId="10" borderId="0" xfId="0" applyFont="1" applyFill="1"/>
    <xf numFmtId="0" fontId="0" fillId="0" borderId="0" xfId="0" applyAlignment="1">
      <alignment horizontal="left" vertical="center"/>
    </xf>
    <xf numFmtId="0" fontId="0" fillId="0" borderId="2" xfId="0" applyBorder="1" applyAlignment="1">
      <alignment horizontal="center" vertical="center"/>
    </xf>
    <xf numFmtId="49" fontId="2" fillId="0" borderId="0" xfId="0" applyNumberFormat="1" applyFont="1" applyAlignment="1">
      <alignment horizontal="left"/>
    </xf>
    <xf numFmtId="0" fontId="0" fillId="3" borderId="3" xfId="0" applyFill="1" applyBorder="1" applyAlignment="1" applyProtection="1">
      <alignment horizontal="left" vertical="center" indent="1" shrinkToFit="1"/>
      <protection locked="0"/>
    </xf>
    <xf numFmtId="0" fontId="0" fillId="3" borderId="3" xfId="0" applyFill="1" applyBorder="1" applyAlignment="1" applyProtection="1">
      <alignment horizontal="left" vertical="center" indent="1"/>
      <protection locked="0"/>
    </xf>
    <xf numFmtId="0" fontId="5" fillId="0" borderId="12" xfId="0" applyFont="1" applyBorder="1" applyAlignment="1">
      <alignment vertical="center"/>
    </xf>
    <xf numFmtId="0" fontId="2" fillId="0" borderId="12" xfId="0" applyFont="1" applyBorder="1" applyAlignment="1">
      <alignment horizontal="center" vertical="center"/>
    </xf>
    <xf numFmtId="14" fontId="7" fillId="7" borderId="1" xfId="0" applyNumberFormat="1" applyFont="1" applyFill="1" applyBorder="1" applyAlignment="1">
      <alignment horizontal="left" vertical="center"/>
    </xf>
    <xf numFmtId="0" fontId="2" fillId="7" borderId="0" xfId="0" applyFont="1" applyFill="1" applyAlignment="1">
      <alignment horizontal="center" vertical="center"/>
    </xf>
    <xf numFmtId="0" fontId="0" fillId="3" borderId="3" xfId="0" applyFill="1" applyBorder="1" applyAlignment="1" applyProtection="1">
      <alignment horizontal="center" vertical="center" shrinkToFit="1"/>
      <protection locked="0"/>
    </xf>
    <xf numFmtId="0" fontId="11" fillId="3" borderId="3" xfId="0" applyFont="1" applyFill="1" applyBorder="1" applyAlignment="1">
      <alignment horizontal="center" vertical="center"/>
    </xf>
    <xf numFmtId="165" fontId="0" fillId="3" borderId="1" xfId="0" applyNumberFormat="1" applyFill="1" applyBorder="1" applyAlignment="1" applyProtection="1">
      <alignment horizontal="center" vertical="center"/>
      <protection locked="0"/>
    </xf>
    <xf numFmtId="0" fontId="6" fillId="0" borderId="0" xfId="0" applyFont="1" applyAlignment="1">
      <alignment horizontal="left" vertical="center"/>
    </xf>
    <xf numFmtId="0" fontId="28" fillId="0" borderId="0" xfId="0" applyFont="1" applyAlignment="1">
      <alignment vertical="center"/>
    </xf>
    <xf numFmtId="0" fontId="25" fillId="0" borderId="0" xfId="0" applyFont="1" applyAlignment="1">
      <alignment horizontal="right" vertical="center"/>
    </xf>
    <xf numFmtId="0" fontId="7" fillId="0" borderId="0" xfId="0" applyFont="1" applyAlignment="1">
      <alignment vertical="center"/>
    </xf>
    <xf numFmtId="165" fontId="0" fillId="0" borderId="0" xfId="0" applyNumberFormat="1" applyAlignment="1">
      <alignment vertical="center" wrapText="1"/>
    </xf>
    <xf numFmtId="0" fontId="0" fillId="3" borderId="2" xfId="0" applyFill="1" applyBorder="1"/>
    <xf numFmtId="0" fontId="0" fillId="3" borderId="3" xfId="0" applyFill="1" applyBorder="1"/>
    <xf numFmtId="0" fontId="0" fillId="3" borderId="4" xfId="0" applyFill="1" applyBorder="1"/>
    <xf numFmtId="0" fontId="0" fillId="0" borderId="11" xfId="0" applyBorder="1" applyAlignment="1">
      <alignment horizontal="center" vertical="center"/>
    </xf>
    <xf numFmtId="0" fontId="0" fillId="0" borderId="11" xfId="0" applyBorder="1"/>
    <xf numFmtId="0" fontId="6" fillId="0" borderId="11" xfId="0" applyFont="1" applyBorder="1" applyAlignment="1">
      <alignment horizontal="left" vertical="center"/>
    </xf>
    <xf numFmtId="0" fontId="24" fillId="0" borderId="11" xfId="0" applyFont="1" applyBorder="1" applyAlignment="1">
      <alignment horizontal="center" vertical="center"/>
    </xf>
    <xf numFmtId="9" fontId="16" fillId="8" borderId="15" xfId="3" applyFont="1" applyFill="1" applyBorder="1" applyAlignment="1" applyProtection="1">
      <alignment horizontal="center" vertical="center"/>
    </xf>
    <xf numFmtId="0" fontId="7" fillId="7" borderId="1" xfId="0" applyFont="1" applyFill="1" applyBorder="1" applyAlignment="1" applyProtection="1">
      <alignment horizontal="left" vertical="center"/>
      <protection locked="0"/>
    </xf>
    <xf numFmtId="0" fontId="0" fillId="0" borderId="11" xfId="0" applyBorder="1" applyAlignment="1">
      <alignment vertical="center"/>
    </xf>
    <xf numFmtId="0" fontId="0" fillId="0" borderId="1" xfId="0" applyBorder="1" applyAlignment="1">
      <alignment horizontal="center" vertical="center"/>
    </xf>
    <xf numFmtId="0" fontId="9" fillId="15" borderId="1" xfId="0" applyFont="1" applyFill="1" applyBorder="1" applyAlignment="1">
      <alignment horizontal="center" vertical="center"/>
    </xf>
    <xf numFmtId="0" fontId="16" fillId="15" borderId="0" xfId="0" applyFont="1" applyFill="1"/>
    <xf numFmtId="0" fontId="36" fillId="0" borderId="0" xfId="0" applyFont="1"/>
    <xf numFmtId="0" fontId="37" fillId="0" borderId="0" xfId="0" applyFont="1"/>
    <xf numFmtId="0" fontId="37" fillId="0" borderId="0" xfId="0" applyFont="1" applyAlignment="1">
      <alignment horizontal="center"/>
    </xf>
    <xf numFmtId="0" fontId="37" fillId="0" borderId="0" xfId="0" applyFont="1" applyAlignment="1">
      <alignment horizontal="left"/>
    </xf>
    <xf numFmtId="0" fontId="37" fillId="10" borderId="0" xfId="0" applyFont="1" applyFill="1" applyAlignment="1">
      <alignment horizontal="left"/>
    </xf>
    <xf numFmtId="0" fontId="14" fillId="4" borderId="0" xfId="0" applyFont="1" applyFill="1"/>
    <xf numFmtId="0" fontId="2" fillId="0" borderId="22" xfId="0" applyFont="1" applyBorder="1"/>
    <xf numFmtId="0" fontId="2" fillId="0" borderId="22" xfId="0" applyFont="1" applyBorder="1" applyAlignment="1">
      <alignment horizontal="center"/>
    </xf>
    <xf numFmtId="0" fontId="2" fillId="0" borderId="22" xfId="0" applyFont="1" applyBorder="1" applyAlignment="1">
      <alignment horizontal="left"/>
    </xf>
    <xf numFmtId="0" fontId="20" fillId="11" borderId="23" xfId="0" applyFont="1" applyFill="1" applyBorder="1"/>
    <xf numFmtId="0" fontId="20" fillId="11" borderId="24" xfId="0" applyFont="1" applyFill="1" applyBorder="1"/>
    <xf numFmtId="0" fontId="0" fillId="12" borderId="19" xfId="0" applyFill="1" applyBorder="1"/>
    <xf numFmtId="0" fontId="0" fillId="12" borderId="21" xfId="0" applyFill="1" applyBorder="1"/>
    <xf numFmtId="0" fontId="20" fillId="11" borderId="25" xfId="0" applyFont="1" applyFill="1" applyBorder="1"/>
    <xf numFmtId="0" fontId="0" fillId="12" borderId="20" xfId="0" applyFill="1" applyBorder="1"/>
    <xf numFmtId="0" fontId="2" fillId="0" borderId="0" xfId="0" applyFont="1" applyAlignment="1">
      <alignment vertical="center" wrapText="1"/>
    </xf>
    <xf numFmtId="0" fontId="6" fillId="0" borderId="0" xfId="0" applyFont="1" applyAlignment="1">
      <alignment horizontal="right" vertical="center"/>
    </xf>
    <xf numFmtId="0" fontId="20" fillId="11" borderId="32" xfId="0" applyFont="1" applyFill="1" applyBorder="1"/>
    <xf numFmtId="0" fontId="0" fillId="0" borderId="11" xfId="0" applyBorder="1" applyAlignment="1">
      <alignment horizontal="right" vertical="center"/>
    </xf>
    <xf numFmtId="0" fontId="2" fillId="10" borderId="12" xfId="0" applyFont="1" applyFill="1" applyBorder="1" applyAlignment="1">
      <alignment horizontal="center"/>
    </xf>
    <xf numFmtId="10" fontId="0" fillId="3" borderId="1" xfId="3" applyNumberFormat="1" applyFont="1" applyFill="1" applyBorder="1" applyAlignment="1" applyProtection="1">
      <alignment horizontal="center" vertical="center"/>
      <protection locked="0"/>
    </xf>
    <xf numFmtId="0" fontId="2" fillId="10" borderId="22" xfId="0" applyFont="1" applyFill="1" applyBorder="1" applyAlignment="1">
      <alignment horizontal="left"/>
    </xf>
    <xf numFmtId="0" fontId="20" fillId="11" borderId="34" xfId="0" applyFont="1" applyFill="1" applyBorder="1"/>
    <xf numFmtId="0" fontId="22" fillId="0" borderId="0" xfId="0" applyFont="1" applyAlignment="1">
      <alignment vertical="center" shrinkToFit="1"/>
    </xf>
    <xf numFmtId="0" fontId="0" fillId="5" borderId="6" xfId="0" applyFill="1" applyBorder="1" applyAlignment="1">
      <alignment horizontal="left"/>
    </xf>
    <xf numFmtId="0" fontId="0" fillId="6" borderId="6" xfId="0" applyFill="1" applyBorder="1" applyAlignment="1">
      <alignment horizontal="left"/>
    </xf>
    <xf numFmtId="0" fontId="2" fillId="0" borderId="0" xfId="0" applyFont="1" applyAlignment="1">
      <alignment vertical="center"/>
    </xf>
    <xf numFmtId="44" fontId="40" fillId="15" borderId="1" xfId="1" applyFont="1" applyFill="1" applyBorder="1" applyAlignment="1" applyProtection="1">
      <alignment vertical="center"/>
    </xf>
    <xf numFmtId="44" fontId="2" fillId="0" borderId="1" xfId="0" applyNumberFormat="1" applyFont="1" applyBorder="1" applyAlignment="1">
      <alignment vertical="center"/>
    </xf>
    <xf numFmtId="0" fontId="5" fillId="22" borderId="1" xfId="0" applyFont="1" applyFill="1" applyBorder="1" applyAlignment="1">
      <alignment horizontal="center" vertical="center"/>
    </xf>
    <xf numFmtId="44" fontId="2" fillId="3" borderId="1" xfId="1" applyFont="1" applyFill="1" applyBorder="1" applyAlignment="1" applyProtection="1">
      <alignment vertical="center"/>
      <protection locked="0"/>
    </xf>
    <xf numFmtId="44" fontId="2" fillId="0" borderId="33" xfId="0" applyNumberFormat="1" applyFont="1" applyBorder="1" applyAlignment="1">
      <alignment vertical="center"/>
    </xf>
    <xf numFmtId="44" fontId="2" fillId="3" borderId="1" xfId="1" applyFont="1" applyFill="1" applyBorder="1" applyAlignment="1" applyProtection="1">
      <alignment horizontal="right" vertical="center"/>
      <protection locked="0"/>
    </xf>
    <xf numFmtId="0" fontId="2" fillId="3" borderId="1" xfId="1" applyNumberFormat="1" applyFont="1" applyFill="1" applyBorder="1" applyAlignment="1" applyProtection="1">
      <alignment horizontal="center" vertical="center"/>
      <protection locked="0"/>
    </xf>
    <xf numFmtId="0" fontId="2" fillId="3" borderId="1" xfId="0" applyFont="1" applyFill="1" applyBorder="1" applyAlignment="1" applyProtection="1">
      <alignment vertical="center"/>
      <protection locked="0"/>
    </xf>
    <xf numFmtId="0" fontId="5" fillId="22" borderId="1" xfId="0" applyFont="1" applyFill="1" applyBorder="1" applyAlignment="1">
      <alignment vertical="center"/>
    </xf>
    <xf numFmtId="44" fontId="2" fillId="3" borderId="4" xfId="1" applyFont="1" applyFill="1" applyBorder="1" applyAlignment="1" applyProtection="1">
      <alignment vertical="center"/>
      <protection locked="0"/>
    </xf>
    <xf numFmtId="44" fontId="2" fillId="3" borderId="1" xfId="0" applyNumberFormat="1" applyFont="1" applyFill="1" applyBorder="1" applyAlignment="1" applyProtection="1">
      <alignment vertical="center"/>
      <protection locked="0"/>
    </xf>
    <xf numFmtId="14" fontId="2" fillId="3" borderId="1" xfId="0" applyNumberFormat="1" applyFont="1" applyFill="1" applyBorder="1" applyAlignment="1" applyProtection="1">
      <alignment horizontal="center" vertical="center"/>
      <protection locked="0"/>
    </xf>
    <xf numFmtId="0" fontId="5" fillId="0" borderId="28" xfId="0" applyFont="1" applyBorder="1" applyAlignment="1">
      <alignment horizontal="right" vertical="center"/>
    </xf>
    <xf numFmtId="0" fontId="5" fillId="24" borderId="37" xfId="0" applyFont="1" applyFill="1" applyBorder="1" applyAlignment="1">
      <alignment horizontal="center" vertical="center"/>
    </xf>
    <xf numFmtId="0" fontId="5" fillId="0" borderId="27" xfId="0" applyFont="1" applyBorder="1" applyAlignment="1">
      <alignment horizontal="right" vertical="center"/>
    </xf>
    <xf numFmtId="0" fontId="2" fillId="0" borderId="8" xfId="0" applyFont="1" applyBorder="1" applyAlignment="1">
      <alignment vertical="center"/>
    </xf>
    <xf numFmtId="44" fontId="2" fillId="0" borderId="38" xfId="0" applyNumberFormat="1" applyFont="1" applyBorder="1" applyAlignment="1">
      <alignment vertical="center"/>
    </xf>
    <xf numFmtId="44" fontId="2" fillId="3" borderId="38" xfId="1" applyFont="1" applyFill="1" applyBorder="1" applyAlignment="1" applyProtection="1">
      <alignment horizontal="right" vertical="center"/>
      <protection locked="0"/>
    </xf>
    <xf numFmtId="170" fontId="2" fillId="0" borderId="38" xfId="1" applyNumberFormat="1" applyFont="1" applyFill="1" applyBorder="1" applyAlignment="1" applyProtection="1">
      <alignment horizontal="center" vertical="center"/>
    </xf>
    <xf numFmtId="0" fontId="2" fillId="3" borderId="2" xfId="0" applyFont="1" applyFill="1" applyBorder="1" applyAlignment="1" applyProtection="1">
      <alignment horizontal="center" vertical="center"/>
      <protection locked="0"/>
    </xf>
    <xf numFmtId="0" fontId="2" fillId="0" borderId="33" xfId="0" applyFont="1" applyBorder="1" applyAlignment="1">
      <alignment horizontal="center" vertical="center"/>
    </xf>
    <xf numFmtId="44" fontId="2" fillId="3" borderId="33" xfId="1" applyFont="1" applyFill="1" applyBorder="1" applyAlignment="1" applyProtection="1">
      <alignment horizontal="right" vertical="center"/>
      <protection locked="0"/>
    </xf>
    <xf numFmtId="170" fontId="2" fillId="0" borderId="33" xfId="1" applyNumberFormat="1" applyFont="1" applyFill="1" applyBorder="1" applyAlignment="1" applyProtection="1">
      <alignment horizontal="center" vertical="center"/>
    </xf>
    <xf numFmtId="0" fontId="5" fillId="22" borderId="33" xfId="0" applyFont="1" applyFill="1" applyBorder="1" applyAlignment="1">
      <alignment horizontal="center" vertical="center"/>
    </xf>
    <xf numFmtId="44" fontId="5" fillId="0" borderId="0" xfId="0" applyNumberFormat="1" applyFont="1" applyAlignment="1">
      <alignment vertical="center"/>
    </xf>
    <xf numFmtId="14" fontId="2" fillId="0" borderId="0" xfId="0" applyNumberFormat="1" applyFont="1" applyAlignment="1">
      <alignment horizontal="center" vertical="center"/>
    </xf>
    <xf numFmtId="0" fontId="43" fillId="0" borderId="0" xfId="0" applyFont="1" applyAlignment="1" applyProtection="1">
      <alignment vertical="center"/>
      <protection locked="0"/>
    </xf>
    <xf numFmtId="0" fontId="2" fillId="25" borderId="39" xfId="0" applyFont="1" applyFill="1" applyBorder="1" applyAlignment="1">
      <alignment vertical="center"/>
    </xf>
    <xf numFmtId="44" fontId="5" fillId="25" borderId="39" xfId="0" applyNumberFormat="1" applyFont="1" applyFill="1" applyBorder="1" applyAlignment="1">
      <alignment vertical="center"/>
    </xf>
    <xf numFmtId="0" fontId="2" fillId="25" borderId="39" xfId="0" applyFont="1" applyFill="1" applyBorder="1" applyAlignment="1">
      <alignment horizontal="center" vertical="center"/>
    </xf>
    <xf numFmtId="14" fontId="2" fillId="25" borderId="39" xfId="0" applyNumberFormat="1" applyFont="1" applyFill="1" applyBorder="1" applyAlignment="1">
      <alignment horizontal="center" vertical="center"/>
    </xf>
    <xf numFmtId="0" fontId="2" fillId="25" borderId="39" xfId="0" applyFont="1" applyFill="1" applyBorder="1" applyAlignment="1">
      <alignment horizontal="left" vertical="center"/>
    </xf>
    <xf numFmtId="0" fontId="2" fillId="25" borderId="0" xfId="0" applyFont="1" applyFill="1" applyAlignment="1">
      <alignment vertical="center"/>
    </xf>
    <xf numFmtId="0" fontId="2" fillId="8" borderId="0" xfId="0" applyFont="1" applyFill="1" applyAlignment="1">
      <alignment horizontal="center"/>
    </xf>
    <xf numFmtId="0" fontId="2" fillId="8" borderId="0" xfId="0" applyFont="1" applyFill="1"/>
    <xf numFmtId="0" fontId="2" fillId="8" borderId="0" xfId="0" applyFont="1" applyFill="1" applyAlignment="1">
      <alignment vertical="center"/>
    </xf>
    <xf numFmtId="0" fontId="2" fillId="25" borderId="18" xfId="0" applyFont="1" applyFill="1" applyBorder="1" applyAlignment="1">
      <alignment vertical="center"/>
    </xf>
    <xf numFmtId="0" fontId="2" fillId="3" borderId="1" xfId="0" applyFont="1" applyFill="1" applyBorder="1" applyAlignment="1" applyProtection="1">
      <alignment horizontal="center" vertical="center"/>
      <protection locked="0"/>
    </xf>
    <xf numFmtId="14" fontId="2" fillId="8" borderId="1" xfId="0" applyNumberFormat="1" applyFont="1" applyFill="1" applyBorder="1" applyAlignment="1">
      <alignment horizontal="center" vertical="center"/>
    </xf>
    <xf numFmtId="0" fontId="2" fillId="25" borderId="0" xfId="0" applyFont="1" applyFill="1"/>
    <xf numFmtId="0" fontId="14" fillId="25" borderId="0" xfId="0" applyFont="1" applyFill="1" applyAlignment="1">
      <alignment horizontal="left" vertical="center"/>
    </xf>
    <xf numFmtId="0" fontId="0" fillId="25" borderId="0" xfId="0" applyFill="1" applyAlignment="1">
      <alignment vertical="center"/>
    </xf>
    <xf numFmtId="0" fontId="15" fillId="25" borderId="0" xfId="0" applyFont="1" applyFill="1" applyAlignment="1">
      <alignment vertical="center"/>
    </xf>
    <xf numFmtId="0" fontId="44" fillId="25" borderId="0" xfId="0" applyFont="1" applyFill="1" applyAlignment="1">
      <alignment vertical="center"/>
    </xf>
    <xf numFmtId="0" fontId="46" fillId="26" borderId="0" xfId="0" applyFont="1" applyFill="1" applyAlignment="1">
      <alignment vertical="center"/>
    </xf>
    <xf numFmtId="0" fontId="47" fillId="26" borderId="0" xfId="0" applyFont="1" applyFill="1" applyAlignment="1">
      <alignment horizontal="right" vertical="center"/>
    </xf>
    <xf numFmtId="0" fontId="20" fillId="26" borderId="0" xfId="0" applyFont="1" applyFill="1" applyAlignment="1">
      <alignment vertical="center"/>
    </xf>
    <xf numFmtId="0" fontId="5" fillId="0" borderId="1" xfId="0" applyFont="1" applyBorder="1" applyAlignment="1">
      <alignment horizontal="center" vertical="center"/>
    </xf>
    <xf numFmtId="44" fontId="5" fillId="0" borderId="1" xfId="0" applyNumberFormat="1" applyFont="1" applyBorder="1" applyAlignment="1">
      <alignment vertical="center"/>
    </xf>
    <xf numFmtId="0" fontId="39" fillId="0" borderId="0" xfId="0" applyFont="1" applyProtection="1">
      <protection locked="0"/>
    </xf>
    <xf numFmtId="0" fontId="2" fillId="0" borderId="0" xfId="0" quotePrefix="1" applyFont="1"/>
    <xf numFmtId="0" fontId="0" fillId="0" borderId="0" xfId="0" applyAlignment="1">
      <alignment horizontal="right" vertical="center"/>
    </xf>
    <xf numFmtId="14" fontId="2" fillId="10" borderId="0" xfId="0" applyNumberFormat="1" applyFont="1" applyFill="1" applyAlignment="1">
      <alignment horizontal="left"/>
    </xf>
    <xf numFmtId="44" fontId="2" fillId="10" borderId="0" xfId="0" applyNumberFormat="1" applyFont="1" applyFill="1" applyAlignment="1">
      <alignment horizontal="left"/>
    </xf>
    <xf numFmtId="1" fontId="2" fillId="10" borderId="0" xfId="0" applyNumberFormat="1" applyFont="1" applyFill="1" applyAlignment="1">
      <alignment horizontal="left"/>
    </xf>
    <xf numFmtId="9" fontId="2" fillId="10" borderId="0" xfId="0" applyNumberFormat="1" applyFont="1" applyFill="1" applyAlignment="1">
      <alignment horizontal="left"/>
    </xf>
    <xf numFmtId="0" fontId="20" fillId="17" borderId="1" xfId="0" quotePrefix="1" applyFont="1" applyFill="1" applyBorder="1" applyAlignment="1">
      <alignment horizontal="left" vertical="center"/>
    </xf>
    <xf numFmtId="0" fontId="26" fillId="13" borderId="1" xfId="0" applyFont="1" applyFill="1" applyBorder="1" applyAlignment="1">
      <alignment horizontal="left" vertical="center"/>
    </xf>
    <xf numFmtId="0" fontId="49" fillId="25" borderId="0" xfId="0" applyFont="1" applyFill="1" applyAlignment="1">
      <alignment vertical="center"/>
    </xf>
    <xf numFmtId="0" fontId="0" fillId="0" borderId="0" xfId="0" applyAlignment="1">
      <alignment horizontal="left" vertical="center" wrapText="1"/>
    </xf>
    <xf numFmtId="0" fontId="0" fillId="0" borderId="8" xfId="0" applyBorder="1" applyAlignment="1">
      <alignment vertical="center"/>
    </xf>
    <xf numFmtId="0" fontId="0" fillId="0" borderId="8" xfId="0" applyBorder="1" applyAlignment="1">
      <alignment horizontal="center" vertical="center"/>
    </xf>
    <xf numFmtId="0" fontId="0" fillId="0" borderId="0" xfId="0" applyAlignment="1">
      <alignment vertical="center" wrapText="1"/>
    </xf>
    <xf numFmtId="0" fontId="5" fillId="0" borderId="0" xfId="0" applyFont="1" applyAlignment="1">
      <alignment horizontal="left" vertical="center" indent="1"/>
    </xf>
    <xf numFmtId="0" fontId="9" fillId="0" borderId="0" xfId="0" applyFont="1" applyAlignment="1">
      <alignment vertical="center" wrapText="1"/>
    </xf>
    <xf numFmtId="0" fontId="0" fillId="0" borderId="0" xfId="0" applyAlignment="1" applyProtection="1">
      <alignment vertical="center"/>
      <protection locked="0"/>
    </xf>
    <xf numFmtId="0" fontId="2" fillId="27" borderId="0" xfId="0" applyFont="1" applyFill="1"/>
    <xf numFmtId="0" fontId="43" fillId="27" borderId="0" xfId="0" applyFont="1" applyFill="1"/>
    <xf numFmtId="0" fontId="21" fillId="27" borderId="0" xfId="0" applyFont="1" applyFill="1" applyAlignment="1">
      <alignment horizontal="center"/>
    </xf>
    <xf numFmtId="0" fontId="2" fillId="27" borderId="0" xfId="0" applyFont="1" applyFill="1" applyAlignment="1">
      <alignment horizontal="left"/>
    </xf>
    <xf numFmtId="1" fontId="0" fillId="3" borderId="1" xfId="0" applyNumberFormat="1" applyFill="1" applyBorder="1" applyAlignment="1" applyProtection="1">
      <alignment horizontal="center" vertical="center"/>
      <protection locked="0"/>
    </xf>
    <xf numFmtId="0" fontId="51" fillId="0" borderId="0" xfId="0" applyFont="1" applyAlignment="1">
      <alignment vertical="center"/>
    </xf>
    <xf numFmtId="173" fontId="0" fillId="3" borderId="1" xfId="3" applyNumberFormat="1" applyFont="1" applyFill="1" applyBorder="1" applyAlignment="1" applyProtection="1">
      <alignment horizontal="center" vertical="center"/>
      <protection locked="0"/>
    </xf>
    <xf numFmtId="0" fontId="0" fillId="12" borderId="34" xfId="0" applyFill="1" applyBorder="1"/>
    <xf numFmtId="0" fontId="52" fillId="0" borderId="0" xfId="0" applyFont="1"/>
    <xf numFmtId="0" fontId="43" fillId="27" borderId="0" xfId="0" applyFont="1" applyFill="1" applyAlignment="1">
      <alignment horizontal="left"/>
    </xf>
    <xf numFmtId="0" fontId="43" fillId="27" borderId="0" xfId="0" applyFont="1" applyFill="1" applyAlignment="1">
      <alignment horizontal="center"/>
    </xf>
    <xf numFmtId="0" fontId="2" fillId="27" borderId="0" xfId="0" applyFont="1" applyFill="1" applyAlignment="1">
      <alignment horizontal="center"/>
    </xf>
    <xf numFmtId="0" fontId="7" fillId="28" borderId="1" xfId="0" applyFont="1" applyFill="1" applyBorder="1" applyAlignment="1">
      <alignment horizontal="left" vertical="center" indent="1"/>
    </xf>
    <xf numFmtId="0" fontId="7" fillId="28" borderId="1" xfId="0" applyFont="1" applyFill="1" applyBorder="1" applyAlignment="1">
      <alignment horizontal="left" vertical="center"/>
    </xf>
    <xf numFmtId="171" fontId="0" fillId="3" borderId="1" xfId="1" applyNumberFormat="1" applyFont="1" applyFill="1" applyBorder="1" applyAlignment="1" applyProtection="1">
      <alignment horizontal="centerContinuous" vertical="center"/>
      <protection locked="0"/>
    </xf>
    <xf numFmtId="9" fontId="5" fillId="22" borderId="1" xfId="0" applyNumberFormat="1" applyFont="1" applyFill="1" applyBorder="1" applyAlignment="1">
      <alignment horizontal="center" vertical="center"/>
    </xf>
    <xf numFmtId="0" fontId="5" fillId="22" borderId="1" xfId="0" applyFont="1" applyFill="1" applyBorder="1" applyAlignment="1">
      <alignment horizontal="left" vertical="center" indent="1"/>
    </xf>
    <xf numFmtId="0" fontId="2" fillId="0" borderId="1" xfId="0" applyFont="1" applyBorder="1" applyAlignment="1">
      <alignment horizontal="left" vertical="center" indent="1"/>
    </xf>
    <xf numFmtId="0" fontId="20" fillId="26" borderId="0" xfId="0" applyFont="1" applyFill="1" applyAlignment="1">
      <alignment horizontal="right" vertical="center"/>
    </xf>
    <xf numFmtId="0" fontId="13" fillId="25" borderId="0" xfId="0" applyFont="1" applyFill="1" applyAlignment="1">
      <alignment horizontal="left" vertical="center"/>
    </xf>
    <xf numFmtId="174" fontId="2" fillId="0" borderId="1" xfId="0" applyNumberFormat="1" applyFont="1" applyBorder="1" applyAlignment="1">
      <alignment horizontal="center" vertical="center"/>
    </xf>
    <xf numFmtId="10" fontId="0" fillId="0" borderId="0" xfId="3" applyNumberFormat="1" applyFont="1" applyFill="1" applyBorder="1" applyAlignment="1" applyProtection="1">
      <alignment horizontal="center" vertical="center"/>
    </xf>
    <xf numFmtId="171" fontId="0" fillId="0" borderId="1" xfId="0" applyNumberFormat="1" applyBorder="1" applyAlignment="1">
      <alignment horizontal="center" vertical="center"/>
    </xf>
    <xf numFmtId="0" fontId="39" fillId="29" borderId="0" xfId="0" applyFont="1" applyFill="1" applyAlignment="1">
      <alignment vertical="center"/>
    </xf>
    <xf numFmtId="0" fontId="20" fillId="29" borderId="0" xfId="0" applyFont="1" applyFill="1" applyAlignment="1">
      <alignment horizontal="left" vertical="center" indent="1"/>
    </xf>
    <xf numFmtId="0" fontId="0" fillId="0" borderId="35" xfId="0" applyBorder="1" applyAlignment="1">
      <alignment horizontal="center" vertical="center"/>
    </xf>
    <xf numFmtId="171" fontId="0" fillId="3" borderId="35" xfId="1" applyNumberFormat="1" applyFont="1" applyFill="1" applyBorder="1" applyAlignment="1" applyProtection="1">
      <alignment horizontal="centerContinuous" vertical="center"/>
      <protection locked="0"/>
    </xf>
    <xf numFmtId="0" fontId="0" fillId="0" borderId="38" xfId="0" applyBorder="1" applyAlignment="1">
      <alignment horizontal="center" vertical="center"/>
    </xf>
    <xf numFmtId="171" fontId="0" fillId="3" borderId="38" xfId="1" applyNumberFormat="1" applyFont="1" applyFill="1" applyBorder="1" applyAlignment="1" applyProtection="1">
      <alignment horizontal="centerContinuous" vertical="center"/>
      <protection locked="0"/>
    </xf>
    <xf numFmtId="0" fontId="9" fillId="15" borderId="1" xfId="0" applyFont="1" applyFill="1" applyBorder="1" applyAlignment="1">
      <alignment horizontal="left" vertical="center" indent="1"/>
    </xf>
    <xf numFmtId="0" fontId="0" fillId="0" borderId="1" xfId="0" applyBorder="1" applyAlignment="1">
      <alignment horizontal="left" vertical="center" indent="1"/>
    </xf>
    <xf numFmtId="0" fontId="0" fillId="0" borderId="38" xfId="0" applyBorder="1" applyAlignment="1">
      <alignment horizontal="left" vertical="center" indent="1"/>
    </xf>
    <xf numFmtId="0" fontId="0" fillId="0" borderId="35" xfId="0" applyBorder="1" applyAlignment="1">
      <alignment horizontal="left" vertical="center" indent="1"/>
    </xf>
    <xf numFmtId="0" fontId="2" fillId="0" borderId="1" xfId="0" applyFont="1" applyBorder="1" applyAlignment="1">
      <alignment horizontal="center" vertical="center"/>
    </xf>
    <xf numFmtId="0" fontId="2" fillId="0" borderId="1" xfId="0" applyFont="1" applyBorder="1" applyAlignment="1">
      <alignment horizontal="left" vertical="center"/>
    </xf>
    <xf numFmtId="49" fontId="2" fillId="0" borderId="0" xfId="0" applyNumberFormat="1" applyFont="1"/>
    <xf numFmtId="0" fontId="5" fillId="22" borderId="1" xfId="0" applyFont="1" applyFill="1" applyBorder="1" applyAlignment="1">
      <alignment horizontal="left" vertical="center"/>
    </xf>
    <xf numFmtId="0" fontId="12" fillId="0" borderId="0" xfId="0" applyFont="1" applyAlignment="1" applyProtection="1">
      <alignment horizontal="center" wrapText="1"/>
      <protection hidden="1"/>
    </xf>
    <xf numFmtId="0" fontId="12" fillId="0" borderId="0" xfId="0" applyFont="1" applyAlignment="1" applyProtection="1">
      <alignment horizontal="center"/>
      <protection hidden="1"/>
    </xf>
    <xf numFmtId="0" fontId="24" fillId="0" borderId="0" xfId="0" applyFont="1" applyAlignment="1">
      <alignment horizontal="left"/>
    </xf>
    <xf numFmtId="0" fontId="0" fillId="15" borderId="1" xfId="3" applyNumberFormat="1" applyFont="1" applyFill="1" applyBorder="1" applyAlignment="1" applyProtection="1">
      <alignment horizontal="center" vertical="center"/>
      <protection locked="0"/>
    </xf>
    <xf numFmtId="10" fontId="0" fillId="0" borderId="1" xfId="3" applyNumberFormat="1" applyFont="1" applyFill="1" applyBorder="1" applyAlignment="1" applyProtection="1">
      <alignment horizontal="center" vertical="center"/>
    </xf>
    <xf numFmtId="0" fontId="14" fillId="4" borderId="40" xfId="0" applyFont="1" applyFill="1" applyBorder="1"/>
    <xf numFmtId="0" fontId="2" fillId="5" borderId="41" xfId="0" applyFont="1" applyFill="1" applyBorder="1"/>
    <xf numFmtId="0" fontId="2" fillId="5" borderId="42" xfId="0" applyFont="1" applyFill="1" applyBorder="1"/>
    <xf numFmtId="0" fontId="2" fillId="6" borderId="41" xfId="0" applyFont="1" applyFill="1" applyBorder="1"/>
    <xf numFmtId="0" fontId="2" fillId="6" borderId="42" xfId="0" applyFont="1" applyFill="1" applyBorder="1"/>
    <xf numFmtId="0" fontId="2" fillId="5" borderId="19" xfId="0" applyFont="1" applyFill="1" applyBorder="1"/>
    <xf numFmtId="0" fontId="2" fillId="5" borderId="20" xfId="0" applyFont="1" applyFill="1" applyBorder="1"/>
    <xf numFmtId="0" fontId="0" fillId="0" borderId="0" xfId="0" applyAlignment="1" applyProtection="1">
      <alignment horizontal="center" wrapText="1"/>
      <protection hidden="1"/>
    </xf>
    <xf numFmtId="0" fontId="0" fillId="0" borderId="0" xfId="0" applyAlignment="1" applyProtection="1">
      <alignment horizontal="center"/>
      <protection hidden="1"/>
    </xf>
    <xf numFmtId="170" fontId="2" fillId="0" borderId="1" xfId="0" applyNumberFormat="1" applyFont="1" applyBorder="1" applyAlignment="1">
      <alignment horizontal="center" vertical="center"/>
    </xf>
    <xf numFmtId="0" fontId="14" fillId="23" borderId="1" xfId="0" applyFont="1" applyFill="1" applyBorder="1" applyAlignment="1">
      <alignment horizontal="right" vertical="center" indent="1"/>
    </xf>
    <xf numFmtId="0" fontId="5" fillId="22" borderId="1" xfId="0" applyFont="1" applyFill="1" applyBorder="1" applyAlignment="1">
      <alignment horizontal="center" vertical="center" wrapText="1"/>
    </xf>
    <xf numFmtId="0" fontId="0" fillId="8" borderId="1" xfId="0" applyFill="1" applyBorder="1" applyAlignment="1">
      <alignment horizontal="center" vertical="center"/>
    </xf>
    <xf numFmtId="0" fontId="24" fillId="3" borderId="4" xfId="0" applyFont="1" applyFill="1" applyBorder="1" applyAlignment="1">
      <alignment horizontal="center" vertical="center"/>
    </xf>
    <xf numFmtId="0" fontId="0" fillId="0" borderId="31" xfId="0" applyBorder="1" applyAlignment="1">
      <alignment horizontal="center" vertical="center"/>
    </xf>
    <xf numFmtId="0" fontId="24" fillId="0" borderId="4" xfId="0" applyFont="1" applyBorder="1" applyAlignment="1">
      <alignment horizontal="center" vertical="center"/>
    </xf>
    <xf numFmtId="0" fontId="2" fillId="7" borderId="1"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2" fillId="7" borderId="1" xfId="0" applyFont="1" applyFill="1" applyBorder="1" applyAlignment="1">
      <alignment horizontal="center" vertical="center"/>
    </xf>
    <xf numFmtId="0" fontId="7" fillId="0" borderId="0" xfId="0" applyFont="1" applyAlignment="1">
      <alignment vertical="top"/>
    </xf>
    <xf numFmtId="10" fontId="0" fillId="8" borderId="1" xfId="3" applyNumberFormat="1" applyFont="1" applyFill="1" applyBorder="1" applyAlignment="1" applyProtection="1">
      <alignment horizontal="center" vertical="center"/>
    </xf>
    <xf numFmtId="0" fontId="2" fillId="3" borderId="1" xfId="0" applyFont="1" applyFill="1" applyBorder="1" applyAlignment="1" applyProtection="1">
      <alignment horizontal="left" vertical="center"/>
      <protection locked="0"/>
    </xf>
    <xf numFmtId="1" fontId="2" fillId="0" borderId="1" xfId="0" applyNumberFormat="1" applyFont="1" applyBorder="1" applyAlignment="1">
      <alignment horizontal="center" vertical="center"/>
    </xf>
    <xf numFmtId="14" fontId="2" fillId="3" borderId="1" xfId="0" applyNumberFormat="1" applyFont="1" applyFill="1" applyBorder="1" applyAlignment="1" applyProtection="1">
      <alignment horizontal="left" vertical="center"/>
      <protection locked="0"/>
    </xf>
    <xf numFmtId="0" fontId="2" fillId="19" borderId="0" xfId="0" applyFont="1" applyFill="1"/>
    <xf numFmtId="0" fontId="29" fillId="15" borderId="0" xfId="2" applyFont="1" applyFill="1" applyBorder="1" applyAlignment="1" applyProtection="1">
      <alignment horizontal="left" vertical="center"/>
      <protection hidden="1"/>
    </xf>
    <xf numFmtId="0" fontId="30" fillId="15" borderId="0" xfId="0" applyFont="1" applyFill="1" applyAlignment="1" applyProtection="1">
      <alignment horizontal="left" vertical="center"/>
      <protection hidden="1"/>
    </xf>
    <xf numFmtId="0" fontId="14" fillId="20" borderId="18" xfId="0" applyFont="1" applyFill="1" applyBorder="1" applyAlignment="1" applyProtection="1">
      <alignment horizontal="right" vertical="center" indent="1"/>
      <protection hidden="1"/>
    </xf>
    <xf numFmtId="0" fontId="14" fillId="20" borderId="0" xfId="0" applyFont="1" applyFill="1" applyAlignment="1" applyProtection="1">
      <alignment horizontal="right" vertical="center" indent="1"/>
      <protection hidden="1"/>
    </xf>
    <xf numFmtId="0" fontId="34" fillId="0" borderId="0" xfId="0" applyFont="1" applyAlignment="1" applyProtection="1">
      <alignment horizontal="left" vertical="center"/>
      <protection hidden="1"/>
    </xf>
    <xf numFmtId="0" fontId="13" fillId="14" borderId="18" xfId="0" applyFont="1" applyFill="1" applyBorder="1" applyAlignment="1" applyProtection="1">
      <alignment horizontal="left" vertical="center"/>
      <protection hidden="1"/>
    </xf>
    <xf numFmtId="0" fontId="13" fillId="14" borderId="0" xfId="0" applyFont="1" applyFill="1" applyAlignment="1" applyProtection="1">
      <alignment horizontal="left" vertical="center"/>
      <protection hidden="1"/>
    </xf>
    <xf numFmtId="0" fontId="33" fillId="0" borderId="0" xfId="0" applyFont="1" applyAlignment="1" applyProtection="1">
      <alignment horizontal="left" vertical="top" wrapText="1"/>
      <protection hidden="1"/>
    </xf>
    <xf numFmtId="0" fontId="0" fillId="3" borderId="2" xfId="0" applyFill="1" applyBorder="1" applyAlignment="1" applyProtection="1">
      <alignment horizontal="left" vertical="center" indent="1"/>
      <protection locked="0" hidden="1"/>
    </xf>
    <xf numFmtId="0" fontId="0" fillId="3" borderId="3" xfId="0" applyFill="1" applyBorder="1" applyAlignment="1" applyProtection="1">
      <alignment horizontal="left" vertical="center" indent="1"/>
      <protection locked="0" hidden="1"/>
    </xf>
    <xf numFmtId="0" fontId="0" fillId="3" borderId="4" xfId="0" applyFill="1" applyBorder="1" applyAlignment="1" applyProtection="1">
      <alignment horizontal="left" vertical="center" indent="1"/>
      <protection locked="0" hidden="1"/>
    </xf>
    <xf numFmtId="0" fontId="48" fillId="2" borderId="0" xfId="2" applyFont="1" applyFill="1" applyBorder="1" applyAlignment="1" applyProtection="1">
      <alignment horizontal="center" vertical="center" wrapText="1"/>
      <protection hidden="1"/>
    </xf>
    <xf numFmtId="0" fontId="12" fillId="0" borderId="0" xfId="0" applyFont="1" applyAlignment="1" applyProtection="1">
      <alignment horizontal="center" wrapText="1"/>
      <protection hidden="1"/>
    </xf>
    <xf numFmtId="0" fontId="12" fillId="0" borderId="0" xfId="0" applyFont="1" applyAlignment="1" applyProtection="1">
      <alignment horizontal="center"/>
      <protection hidden="1"/>
    </xf>
    <xf numFmtId="49" fontId="0" fillId="3" borderId="2" xfId="0" applyNumberFormat="1" applyFill="1" applyBorder="1" applyAlignment="1" applyProtection="1">
      <alignment horizontal="center" vertical="center"/>
      <protection locked="0"/>
    </xf>
    <xf numFmtId="49" fontId="0" fillId="3" borderId="3" xfId="0" applyNumberFormat="1" applyFill="1" applyBorder="1" applyAlignment="1" applyProtection="1">
      <alignment horizontal="center" vertical="center"/>
      <protection locked="0"/>
    </xf>
    <xf numFmtId="49" fontId="0" fillId="3" borderId="4" xfId="0" applyNumberFormat="1" applyFill="1" applyBorder="1" applyAlignment="1" applyProtection="1">
      <alignment horizontal="center" vertical="center"/>
      <protection locked="0"/>
    </xf>
    <xf numFmtId="0" fontId="0" fillId="3" borderId="2" xfId="0" applyFill="1" applyBorder="1" applyAlignment="1" applyProtection="1">
      <alignment horizontal="left" vertical="center" indent="1"/>
      <protection locked="0"/>
    </xf>
    <xf numFmtId="0" fontId="0" fillId="3" borderId="3" xfId="0" applyFill="1" applyBorder="1" applyAlignment="1" applyProtection="1">
      <alignment horizontal="left" vertical="center" indent="1"/>
      <protection locked="0"/>
    </xf>
    <xf numFmtId="0" fontId="0" fillId="3" borderId="4" xfId="0" applyFill="1" applyBorder="1" applyAlignment="1" applyProtection="1">
      <alignment horizontal="left" vertical="center" indent="1"/>
      <protection locked="0"/>
    </xf>
    <xf numFmtId="0" fontId="0" fillId="3" borderId="2" xfId="0" applyFill="1" applyBorder="1" applyAlignment="1" applyProtection="1">
      <alignment horizontal="center" vertical="center"/>
      <protection locked="0"/>
    </xf>
    <xf numFmtId="0" fontId="0" fillId="3" borderId="3" xfId="0" applyFill="1" applyBorder="1" applyAlignment="1" applyProtection="1">
      <alignment horizontal="center" vertical="center"/>
      <protection locked="0"/>
    </xf>
    <xf numFmtId="0" fontId="0" fillId="3" borderId="4" xfId="0" applyFill="1" applyBorder="1" applyAlignment="1" applyProtection="1">
      <alignment horizontal="center" vertical="center"/>
      <protection locked="0"/>
    </xf>
    <xf numFmtId="0" fontId="22" fillId="0" borderId="8" xfId="0" applyFont="1" applyBorder="1" applyAlignment="1">
      <alignment horizontal="center" vertical="center" wrapText="1" shrinkToFit="1"/>
    </xf>
    <xf numFmtId="0" fontId="22" fillId="0" borderId="0" xfId="0" applyFont="1" applyAlignment="1">
      <alignment horizontal="center" vertical="center" wrapText="1" shrinkToFit="1"/>
    </xf>
    <xf numFmtId="0" fontId="0" fillId="3" borderId="1" xfId="0" applyFill="1" applyBorder="1" applyAlignment="1" applyProtection="1">
      <alignment horizontal="left" vertical="center" indent="1"/>
      <protection locked="0"/>
    </xf>
    <xf numFmtId="44" fontId="0" fillId="3" borderId="1" xfId="1" applyFont="1" applyFill="1" applyBorder="1" applyAlignment="1" applyProtection="1">
      <alignment horizontal="center" vertical="center"/>
      <protection locked="0"/>
    </xf>
    <xf numFmtId="0" fontId="0" fillId="8" borderId="2" xfId="0" applyFill="1" applyBorder="1" applyAlignment="1">
      <alignment horizontal="center" vertical="center"/>
    </xf>
    <xf numFmtId="0" fontId="0" fillId="8" borderId="3" xfId="0" applyFill="1" applyBorder="1" applyAlignment="1">
      <alignment horizontal="center" vertical="center"/>
    </xf>
    <xf numFmtId="0" fontId="0" fillId="8" borderId="4" xfId="0" applyFill="1" applyBorder="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22" fillId="0" borderId="8" xfId="0" applyFont="1" applyBorder="1" applyAlignment="1">
      <alignment horizontal="center" vertical="center" shrinkToFit="1"/>
    </xf>
    <xf numFmtId="44" fontId="0" fillId="3" borderId="2" xfId="1" applyFont="1" applyFill="1" applyBorder="1" applyAlignment="1" applyProtection="1">
      <alignment horizontal="center" vertical="center"/>
      <protection locked="0"/>
    </xf>
    <xf numFmtId="44" fontId="0" fillId="3" borderId="3" xfId="1" applyFont="1" applyFill="1" applyBorder="1" applyAlignment="1" applyProtection="1">
      <alignment horizontal="center" vertical="center"/>
      <protection locked="0"/>
    </xf>
    <xf numFmtId="0" fontId="9" fillId="0" borderId="2" xfId="0" applyFont="1" applyBorder="1" applyAlignment="1">
      <alignment horizontal="right" vertical="center" indent="1"/>
    </xf>
    <xf numFmtId="0" fontId="9" fillId="0" borderId="3" xfId="0" applyFont="1" applyBorder="1" applyAlignment="1">
      <alignment horizontal="right" vertical="center" indent="1"/>
    </xf>
    <xf numFmtId="0" fontId="9" fillId="0" borderId="30" xfId="0" applyFont="1" applyBorder="1" applyAlignment="1">
      <alignment horizontal="right" vertical="center" indent="1"/>
    </xf>
    <xf numFmtId="0" fontId="9" fillId="0" borderId="31" xfId="0" applyFont="1" applyBorder="1" applyAlignment="1">
      <alignment horizontal="right" vertical="center" indent="1"/>
    </xf>
    <xf numFmtId="14" fontId="0" fillId="3" borderId="2" xfId="0" applyNumberFormat="1" applyFill="1" applyBorder="1" applyAlignment="1" applyProtection="1">
      <alignment horizontal="center" vertical="center"/>
      <protection locked="0"/>
    </xf>
    <xf numFmtId="14" fontId="0" fillId="3" borderId="3" xfId="0" applyNumberFormat="1" applyFill="1" applyBorder="1" applyAlignment="1" applyProtection="1">
      <alignment horizontal="center" vertical="center"/>
      <protection locked="0"/>
    </xf>
    <xf numFmtId="14" fontId="0" fillId="3" borderId="4" xfId="0" applyNumberFormat="1" applyFill="1" applyBorder="1" applyAlignment="1" applyProtection="1">
      <alignment horizontal="center" vertical="center"/>
      <protection locked="0"/>
    </xf>
    <xf numFmtId="0" fontId="9" fillId="15" borderId="2" xfId="0" applyFont="1" applyFill="1" applyBorder="1" applyAlignment="1">
      <alignment horizontal="center" vertical="center"/>
    </xf>
    <xf numFmtId="0" fontId="9" fillId="15" borderId="4" xfId="0" applyFont="1" applyFill="1" applyBorder="1" applyAlignment="1">
      <alignment horizontal="center" vertical="center"/>
    </xf>
    <xf numFmtId="0" fontId="9" fillId="15" borderId="1" xfId="0" applyFont="1" applyFill="1" applyBorder="1" applyAlignment="1">
      <alignment horizontal="left" vertical="center" indent="1"/>
    </xf>
    <xf numFmtId="0" fontId="9" fillId="15" borderId="2" xfId="0" applyFont="1" applyFill="1" applyBorder="1" applyAlignment="1">
      <alignment horizontal="left" vertical="center" indent="1"/>
    </xf>
    <xf numFmtId="0" fontId="9" fillId="15" borderId="3" xfId="0" applyFont="1" applyFill="1" applyBorder="1" applyAlignment="1">
      <alignment horizontal="left" vertical="center" indent="1"/>
    </xf>
    <xf numFmtId="0" fontId="9" fillId="15" borderId="4" xfId="0" applyFont="1" applyFill="1" applyBorder="1" applyAlignment="1">
      <alignment horizontal="left" vertical="center" indent="1"/>
    </xf>
    <xf numFmtId="0" fontId="0" fillId="3" borderId="26" xfId="0" applyFill="1" applyBorder="1" applyAlignment="1" applyProtection="1">
      <alignment horizontal="left" vertical="center" indent="1" shrinkToFit="1"/>
      <protection locked="0"/>
    </xf>
    <xf numFmtId="0" fontId="0" fillId="3" borderId="8" xfId="0" applyFill="1" applyBorder="1" applyAlignment="1" applyProtection="1">
      <alignment horizontal="left" vertical="center" indent="1" shrinkToFit="1"/>
      <protection locked="0"/>
    </xf>
    <xf numFmtId="49" fontId="0" fillId="3" borderId="1" xfId="1" applyNumberFormat="1" applyFont="1" applyFill="1" applyBorder="1" applyAlignment="1" applyProtection="1">
      <alignment horizontal="left" vertical="center" indent="1"/>
      <protection locked="0"/>
    </xf>
    <xf numFmtId="0" fontId="22" fillId="0" borderId="0" xfId="0" applyFont="1" applyAlignment="1">
      <alignment horizontal="center" vertical="center" shrinkToFit="1"/>
    </xf>
    <xf numFmtId="165" fontId="0" fillId="3" borderId="2" xfId="0" applyNumberFormat="1" applyFill="1" applyBorder="1" applyAlignment="1" applyProtection="1">
      <alignment horizontal="left" vertical="center" indent="1"/>
      <protection locked="0"/>
    </xf>
    <xf numFmtId="165" fontId="0" fillId="3" borderId="3" xfId="0" applyNumberFormat="1" applyFill="1" applyBorder="1" applyAlignment="1" applyProtection="1">
      <alignment horizontal="left" vertical="center" indent="1"/>
      <protection locked="0"/>
    </xf>
    <xf numFmtId="165" fontId="0" fillId="3" borderId="4" xfId="0" applyNumberFormat="1" applyFill="1" applyBorder="1" applyAlignment="1" applyProtection="1">
      <alignment horizontal="left" vertical="center" indent="1"/>
      <protection locked="0"/>
    </xf>
    <xf numFmtId="49" fontId="0" fillId="3" borderId="1" xfId="0" applyNumberFormat="1" applyFill="1" applyBorder="1" applyAlignment="1" applyProtection="1">
      <alignment horizontal="left" vertical="center" indent="1"/>
      <protection locked="0"/>
    </xf>
    <xf numFmtId="168" fontId="0" fillId="3" borderId="2" xfId="0" applyNumberFormat="1" applyFill="1" applyBorder="1" applyAlignment="1" applyProtection="1">
      <alignment horizontal="left" vertical="center" indent="1"/>
      <protection locked="0"/>
    </xf>
    <xf numFmtId="168" fontId="0" fillId="3" borderId="3" xfId="0" applyNumberFormat="1" applyFill="1" applyBorder="1" applyAlignment="1" applyProtection="1">
      <alignment horizontal="left" vertical="center" indent="1"/>
      <protection locked="0"/>
    </xf>
    <xf numFmtId="168" fontId="0" fillId="3" borderId="4" xfId="0" applyNumberFormat="1" applyFill="1" applyBorder="1" applyAlignment="1" applyProtection="1">
      <alignment horizontal="left" vertical="center" indent="1"/>
      <protection locked="0"/>
    </xf>
    <xf numFmtId="0" fontId="0" fillId="0" borderId="0" xfId="0" applyAlignment="1">
      <alignment horizontal="left" wrapText="1"/>
    </xf>
    <xf numFmtId="44" fontId="0" fillId="0" borderId="29" xfId="1" applyFont="1" applyBorder="1" applyAlignment="1">
      <alignment horizontal="center" vertical="center"/>
    </xf>
    <xf numFmtId="44" fontId="0" fillId="0" borderId="30" xfId="1" applyFont="1" applyBorder="1" applyAlignment="1">
      <alignment horizontal="center" vertical="center"/>
    </xf>
    <xf numFmtId="0" fontId="9" fillId="15" borderId="26" xfId="0" applyFont="1" applyFill="1" applyBorder="1" applyAlignment="1">
      <alignment horizontal="center" vertical="center"/>
    </xf>
    <xf numFmtId="0" fontId="9" fillId="15" borderId="8" xfId="0" applyFont="1" applyFill="1" applyBorder="1" applyAlignment="1">
      <alignment horizontal="center" vertical="center"/>
    </xf>
    <xf numFmtId="0" fontId="9" fillId="15" borderId="27" xfId="0" applyFont="1" applyFill="1" applyBorder="1" applyAlignment="1">
      <alignment horizontal="center" vertical="center"/>
    </xf>
    <xf numFmtId="0" fontId="9" fillId="15" borderId="33" xfId="0" applyFont="1" applyFill="1" applyBorder="1" applyAlignment="1">
      <alignment horizontal="center" vertical="center"/>
    </xf>
    <xf numFmtId="0" fontId="0" fillId="0" borderId="1" xfId="0" applyBorder="1" applyAlignment="1">
      <alignment horizontal="left" vertical="center" indent="1"/>
    </xf>
    <xf numFmtId="0" fontId="0" fillId="0" borderId="2" xfId="0" applyBorder="1" applyAlignment="1">
      <alignment horizontal="left" vertical="center" indent="1"/>
    </xf>
    <xf numFmtId="0" fontId="0" fillId="0" borderId="0" xfId="0" applyAlignment="1">
      <alignment horizontal="left" vertical="center" wrapText="1"/>
    </xf>
    <xf numFmtId="44" fontId="0" fillId="8" borderId="2" xfId="1" applyFont="1" applyFill="1" applyBorder="1" applyAlignment="1" applyProtection="1">
      <alignment horizontal="center" vertical="center"/>
    </xf>
    <xf numFmtId="44" fontId="0" fillId="8" borderId="3" xfId="1" applyFont="1" applyFill="1" applyBorder="1" applyAlignment="1" applyProtection="1">
      <alignment horizontal="center" vertical="center"/>
    </xf>
    <xf numFmtId="44" fontId="0" fillId="8" borderId="4" xfId="1" applyFont="1" applyFill="1" applyBorder="1" applyAlignment="1" applyProtection="1">
      <alignment horizontal="center" vertical="center"/>
    </xf>
    <xf numFmtId="10" fontId="0" fillId="0" borderId="2" xfId="3" applyNumberFormat="1" applyFont="1" applyFill="1" applyBorder="1" applyAlignment="1" applyProtection="1">
      <alignment horizontal="center" vertical="center"/>
    </xf>
    <xf numFmtId="10" fontId="0" fillId="0" borderId="3" xfId="3" applyNumberFormat="1" applyFont="1" applyFill="1" applyBorder="1" applyAlignment="1" applyProtection="1">
      <alignment horizontal="center" vertical="center"/>
    </xf>
    <xf numFmtId="10" fontId="0" fillId="0" borderId="4" xfId="3" applyNumberFormat="1" applyFont="1" applyFill="1" applyBorder="1" applyAlignment="1" applyProtection="1">
      <alignment horizontal="center" vertical="center"/>
    </xf>
    <xf numFmtId="0" fontId="9" fillId="0" borderId="4" xfId="0" applyFont="1" applyBorder="1" applyAlignment="1">
      <alignment horizontal="right" vertical="center" indent="1"/>
    </xf>
    <xf numFmtId="44" fontId="0" fillId="0" borderId="2" xfId="1" applyFont="1" applyBorder="1" applyAlignment="1">
      <alignment horizontal="center" vertical="center"/>
    </xf>
    <xf numFmtId="44" fontId="0" fillId="0" borderId="3" xfId="1" applyFont="1" applyBorder="1" applyAlignment="1">
      <alignment horizontal="center" vertical="center"/>
    </xf>
    <xf numFmtId="0" fontId="0" fillId="3" borderId="2" xfId="0" applyFill="1" applyBorder="1" applyAlignment="1" applyProtection="1">
      <alignment horizontal="left" vertical="center" indent="1" shrinkToFit="1"/>
      <protection locked="0"/>
    </xf>
    <xf numFmtId="0" fontId="0" fillId="3" borderId="3" xfId="0" applyFill="1" applyBorder="1" applyAlignment="1" applyProtection="1">
      <alignment horizontal="left" vertical="center" indent="1" shrinkToFit="1"/>
      <protection locked="0"/>
    </xf>
    <xf numFmtId="0" fontId="0" fillId="0" borderId="2" xfId="0" applyBorder="1" applyAlignment="1">
      <alignment horizontal="center" vertical="center"/>
    </xf>
    <xf numFmtId="0" fontId="0" fillId="0" borderId="4" xfId="0" applyBorder="1" applyAlignment="1">
      <alignment horizontal="center" vertical="center"/>
    </xf>
    <xf numFmtId="0" fontId="26" fillId="0" borderId="0" xfId="0" applyFont="1" applyAlignment="1">
      <alignment horizontal="center" vertical="center"/>
    </xf>
    <xf numFmtId="0" fontId="5" fillId="0" borderId="0" xfId="0" applyFont="1" applyAlignment="1">
      <alignment horizontal="left" vertical="center"/>
    </xf>
    <xf numFmtId="0" fontId="5" fillId="0" borderId="0" xfId="0" applyFont="1" applyAlignment="1">
      <alignment horizontal="left" vertical="center" indent="1"/>
    </xf>
    <xf numFmtId="0" fontId="2" fillId="18" borderId="2" xfId="0" applyFont="1" applyFill="1" applyBorder="1" applyAlignment="1">
      <alignment horizontal="center" vertical="center"/>
    </xf>
    <xf numFmtId="0" fontId="2" fillId="18" borderId="3" xfId="0" applyFont="1" applyFill="1" applyBorder="1" applyAlignment="1">
      <alignment horizontal="center" vertical="center"/>
    </xf>
    <xf numFmtId="0" fontId="2" fillId="18" borderId="4" xfId="0" applyFont="1" applyFill="1" applyBorder="1" applyAlignment="1">
      <alignment horizontal="center" vertical="center"/>
    </xf>
    <xf numFmtId="0" fontId="2" fillId="0" borderId="17" xfId="0" applyFont="1" applyBorder="1" applyAlignment="1">
      <alignment horizontal="left" vertical="center" wrapText="1"/>
    </xf>
    <xf numFmtId="44" fontId="0" fillId="3" borderId="1" xfId="1" applyFont="1" applyFill="1" applyBorder="1" applyAlignment="1" applyProtection="1">
      <alignment horizontal="right" vertical="center"/>
      <protection locked="0"/>
    </xf>
    <xf numFmtId="0" fontId="0" fillId="3" borderId="26" xfId="0" applyFill="1" applyBorder="1" applyAlignment="1" applyProtection="1">
      <alignment horizontal="left" vertical="top" wrapText="1"/>
      <protection locked="0"/>
    </xf>
    <xf numFmtId="0" fontId="0" fillId="3" borderId="8" xfId="0" applyFill="1" applyBorder="1" applyAlignment="1" applyProtection="1">
      <alignment horizontal="left" vertical="top" wrapText="1"/>
      <protection locked="0"/>
    </xf>
    <xf numFmtId="0" fontId="0" fillId="3" borderId="27" xfId="0" applyFill="1" applyBorder="1" applyAlignment="1" applyProtection="1">
      <alignment horizontal="left" vertical="top" wrapText="1"/>
      <protection locked="0"/>
    </xf>
    <xf numFmtId="0" fontId="0" fillId="3" borderId="18" xfId="0" applyFill="1" applyBorder="1" applyAlignment="1" applyProtection="1">
      <alignment horizontal="left" vertical="top" wrapText="1"/>
      <protection locked="0"/>
    </xf>
    <xf numFmtId="0" fontId="0" fillId="3" borderId="0" xfId="0" applyFill="1" applyAlignment="1" applyProtection="1">
      <alignment horizontal="left" vertical="top" wrapText="1"/>
      <protection locked="0"/>
    </xf>
    <xf numFmtId="0" fontId="0" fillId="3" borderId="28" xfId="0" applyFill="1" applyBorder="1" applyAlignment="1" applyProtection="1">
      <alignment horizontal="left" vertical="top" wrapText="1"/>
      <protection locked="0"/>
    </xf>
    <xf numFmtId="0" fontId="0" fillId="3" borderId="29" xfId="0" applyFill="1" applyBorder="1" applyAlignment="1" applyProtection="1">
      <alignment horizontal="left" vertical="top" wrapText="1"/>
      <protection locked="0"/>
    </xf>
    <xf numFmtId="0" fontId="0" fillId="3" borderId="30" xfId="0" applyFill="1" applyBorder="1" applyAlignment="1" applyProtection="1">
      <alignment horizontal="left" vertical="top" wrapText="1"/>
      <protection locked="0"/>
    </xf>
    <xf numFmtId="0" fontId="0" fillId="3" borderId="31" xfId="0" applyFill="1" applyBorder="1" applyAlignment="1" applyProtection="1">
      <alignment horizontal="left" vertical="top" wrapText="1"/>
      <protection locked="0"/>
    </xf>
    <xf numFmtId="44" fontId="0" fillId="3" borderId="2" xfId="1" applyFont="1" applyFill="1" applyBorder="1" applyAlignment="1" applyProtection="1">
      <alignment horizontal="right" vertical="center"/>
      <protection locked="0"/>
    </xf>
    <xf numFmtId="44" fontId="0" fillId="3" borderId="3" xfId="1" applyFont="1" applyFill="1" applyBorder="1" applyAlignment="1" applyProtection="1">
      <alignment horizontal="right" vertical="center"/>
      <protection locked="0"/>
    </xf>
    <xf numFmtId="0" fontId="9" fillId="15" borderId="33" xfId="0" applyFont="1" applyFill="1" applyBorder="1" applyAlignment="1">
      <alignment horizontal="left" vertical="center" indent="1"/>
    </xf>
    <xf numFmtId="1" fontId="0" fillId="3" borderId="2" xfId="0" applyNumberFormat="1" applyFill="1" applyBorder="1" applyAlignment="1" applyProtection="1">
      <alignment horizontal="center" vertical="center"/>
      <protection locked="0"/>
    </xf>
    <xf numFmtId="1" fontId="0" fillId="3" borderId="3" xfId="0" applyNumberFormat="1" applyFill="1" applyBorder="1" applyAlignment="1" applyProtection="1">
      <alignment horizontal="center" vertical="center"/>
      <protection locked="0"/>
    </xf>
    <xf numFmtId="1" fontId="0" fillId="3" borderId="4" xfId="0" applyNumberFormat="1" applyFill="1" applyBorder="1" applyAlignment="1" applyProtection="1">
      <alignment horizontal="center" vertical="center"/>
      <protection locked="0"/>
    </xf>
    <xf numFmtId="173" fontId="0" fillId="3" borderId="2" xfId="3" applyNumberFormat="1" applyFont="1" applyFill="1" applyBorder="1" applyAlignment="1" applyProtection="1">
      <alignment horizontal="center" vertical="center"/>
      <protection locked="0"/>
    </xf>
    <xf numFmtId="173" fontId="0" fillId="3" borderId="3" xfId="3" applyNumberFormat="1" applyFont="1" applyFill="1" applyBorder="1" applyAlignment="1" applyProtection="1">
      <alignment horizontal="center" vertical="center"/>
      <protection locked="0"/>
    </xf>
    <xf numFmtId="173" fontId="0" fillId="3" borderId="4" xfId="3" applyNumberFormat="1" applyFont="1" applyFill="1" applyBorder="1" applyAlignment="1" applyProtection="1">
      <alignment horizontal="center" vertical="center"/>
      <protection locked="0"/>
    </xf>
    <xf numFmtId="0" fontId="0" fillId="0" borderId="0" xfId="0" applyAlignment="1">
      <alignment horizontal="left" vertical="center"/>
    </xf>
    <xf numFmtId="0" fontId="9" fillId="0" borderId="0" xfId="0" applyFont="1" applyAlignment="1">
      <alignment horizontal="left" wrapText="1"/>
    </xf>
    <xf numFmtId="0" fontId="10" fillId="3" borderId="2" xfId="2" applyFill="1" applyBorder="1" applyAlignment="1" applyProtection="1">
      <alignment horizontal="left" vertical="center" indent="1"/>
      <protection locked="0"/>
    </xf>
    <xf numFmtId="44" fontId="0" fillId="8" borderId="1" xfId="1" applyFont="1" applyFill="1" applyBorder="1" applyAlignment="1" applyProtection="1">
      <alignment horizontal="center" vertical="center"/>
    </xf>
    <xf numFmtId="0" fontId="5" fillId="15" borderId="1" xfId="0" applyFont="1" applyFill="1" applyBorder="1" applyAlignment="1">
      <alignment horizontal="left" vertical="center"/>
    </xf>
    <xf numFmtId="0" fontId="42" fillId="0" borderId="2" xfId="0" applyFont="1" applyBorder="1" applyAlignment="1">
      <alignment horizontal="left" vertical="top" wrapText="1"/>
    </xf>
    <xf numFmtId="0" fontId="42" fillId="0" borderId="3" xfId="0" applyFont="1" applyBorder="1" applyAlignment="1">
      <alignment horizontal="left" vertical="top" wrapText="1"/>
    </xf>
    <xf numFmtId="0" fontId="42" fillId="0" borderId="4" xfId="0" applyFont="1" applyBorder="1" applyAlignment="1">
      <alignment horizontal="left" vertical="top" wrapText="1"/>
    </xf>
    <xf numFmtId="0" fontId="40" fillId="15" borderId="1" xfId="0" applyFont="1" applyFill="1" applyBorder="1" applyAlignment="1">
      <alignment horizontal="right" vertical="center" indent="1"/>
    </xf>
    <xf numFmtId="14" fontId="2" fillId="3" borderId="2" xfId="0" applyNumberFormat="1" applyFont="1" applyFill="1" applyBorder="1" applyAlignment="1" applyProtection="1">
      <alignment horizontal="left" vertical="center"/>
      <protection locked="0"/>
    </xf>
    <xf numFmtId="14" fontId="2" fillId="3" borderId="3" xfId="0" applyNumberFormat="1" applyFont="1" applyFill="1" applyBorder="1" applyAlignment="1" applyProtection="1">
      <alignment horizontal="left" vertical="center"/>
      <protection locked="0"/>
    </xf>
    <xf numFmtId="14" fontId="2" fillId="3" borderId="4" xfId="0" applyNumberFormat="1" applyFont="1" applyFill="1" applyBorder="1" applyAlignment="1" applyProtection="1">
      <alignment horizontal="left" vertical="center"/>
      <protection locked="0"/>
    </xf>
    <xf numFmtId="0" fontId="5" fillId="22" borderId="2" xfId="0" applyFont="1" applyFill="1" applyBorder="1" applyAlignment="1">
      <alignment horizontal="left" vertical="center"/>
    </xf>
    <xf numFmtId="0" fontId="5" fillId="22" borderId="3" xfId="0" applyFont="1" applyFill="1" applyBorder="1" applyAlignment="1">
      <alignment horizontal="left" vertical="center"/>
    </xf>
    <xf numFmtId="0" fontId="5" fillId="22" borderId="4" xfId="0" applyFont="1" applyFill="1" applyBorder="1" applyAlignment="1">
      <alignment horizontal="left" vertical="center"/>
    </xf>
    <xf numFmtId="0" fontId="5" fillId="22" borderId="1" xfId="0" applyFont="1" applyFill="1" applyBorder="1" applyAlignment="1">
      <alignment horizontal="center" vertical="center"/>
    </xf>
    <xf numFmtId="0" fontId="2" fillId="3" borderId="1" xfId="0" applyFont="1" applyFill="1" applyBorder="1" applyAlignment="1" applyProtection="1">
      <alignment horizontal="center" vertical="center"/>
      <protection locked="0"/>
    </xf>
    <xf numFmtId="0" fontId="2" fillId="3" borderId="2" xfId="0" applyFont="1" applyFill="1" applyBorder="1" applyAlignment="1" applyProtection="1">
      <alignment horizontal="center" vertical="center"/>
      <protection locked="0"/>
    </xf>
    <xf numFmtId="0" fontId="2" fillId="3" borderId="4" xfId="0" applyFont="1" applyFill="1" applyBorder="1" applyAlignment="1" applyProtection="1">
      <alignment horizontal="center" vertical="center"/>
      <protection locked="0"/>
    </xf>
    <xf numFmtId="0" fontId="5" fillId="22" borderId="1" xfId="0" applyFont="1" applyFill="1" applyBorder="1" applyAlignment="1">
      <alignment horizontal="left" vertical="center"/>
    </xf>
    <xf numFmtId="0" fontId="2" fillId="3" borderId="1" xfId="0" applyFont="1" applyFill="1" applyBorder="1" applyAlignment="1" applyProtection="1">
      <alignment horizontal="left" vertical="center"/>
      <protection locked="0"/>
    </xf>
    <xf numFmtId="0" fontId="2" fillId="3" borderId="2" xfId="0" applyFont="1" applyFill="1" applyBorder="1" applyAlignment="1" applyProtection="1">
      <alignment horizontal="left" vertical="center"/>
      <protection locked="0"/>
    </xf>
    <xf numFmtId="0" fontId="2" fillId="3" borderId="3" xfId="0" applyFont="1" applyFill="1" applyBorder="1" applyAlignment="1" applyProtection="1">
      <alignment horizontal="left" vertical="center"/>
      <protection locked="0"/>
    </xf>
    <xf numFmtId="0" fontId="2" fillId="3" borderId="4" xfId="0" applyFont="1" applyFill="1" applyBorder="1" applyAlignment="1" applyProtection="1">
      <alignment horizontal="left" vertical="center"/>
      <protection locked="0"/>
    </xf>
    <xf numFmtId="0" fontId="14" fillId="23" borderId="0" xfId="0" applyFont="1" applyFill="1" applyAlignment="1">
      <alignment horizontal="left" vertical="center"/>
    </xf>
    <xf numFmtId="0" fontId="2" fillId="0" borderId="0" xfId="0" applyFont="1" applyAlignment="1">
      <alignment horizontal="left" vertical="top" wrapText="1"/>
    </xf>
    <xf numFmtId="0" fontId="50" fillId="2" borderId="0" xfId="2" applyFont="1" applyFill="1" applyBorder="1" applyAlignment="1" applyProtection="1">
      <alignment horizontal="center" vertical="center" wrapText="1"/>
      <protection hidden="1"/>
    </xf>
    <xf numFmtId="44" fontId="2" fillId="0" borderId="33" xfId="0" applyNumberFormat="1" applyFont="1" applyBorder="1" applyAlignment="1">
      <alignment horizontal="center" vertical="center"/>
    </xf>
    <xf numFmtId="44" fontId="2" fillId="0" borderId="28" xfId="0" applyNumberFormat="1" applyFont="1" applyBorder="1" applyAlignment="1">
      <alignment horizontal="center" vertical="center"/>
    </xf>
    <xf numFmtId="44" fontId="2" fillId="0" borderId="31" xfId="0" applyNumberFormat="1" applyFont="1" applyBorder="1" applyAlignment="1">
      <alignment horizontal="center" vertical="center"/>
    </xf>
    <xf numFmtId="44" fontId="2" fillId="0" borderId="36" xfId="0" applyNumberFormat="1" applyFont="1" applyBorder="1" applyAlignment="1">
      <alignment horizontal="center" vertical="center"/>
    </xf>
    <xf numFmtId="44" fontId="2" fillId="0" borderId="35" xfId="0" applyNumberFormat="1" applyFont="1" applyBorder="1" applyAlignment="1">
      <alignment horizontal="center" vertical="center"/>
    </xf>
    <xf numFmtId="0" fontId="42" fillId="3" borderId="2" xfId="0" applyFont="1" applyFill="1" applyBorder="1" applyAlignment="1">
      <alignment horizontal="center" vertical="top" wrapText="1"/>
    </xf>
    <xf numFmtId="0" fontId="42" fillId="3" borderId="3" xfId="0" applyFont="1" applyFill="1" applyBorder="1" applyAlignment="1">
      <alignment horizontal="center" vertical="top" wrapText="1"/>
    </xf>
    <xf numFmtId="0" fontId="42" fillId="0" borderId="2" xfId="0" applyFont="1" applyBorder="1" applyAlignment="1">
      <alignment horizontal="left" vertical="center" wrapText="1"/>
    </xf>
    <xf numFmtId="0" fontId="42" fillId="0" borderId="3" xfId="0" applyFont="1" applyBorder="1" applyAlignment="1">
      <alignment horizontal="left" vertical="center" wrapText="1"/>
    </xf>
    <xf numFmtId="0" fontId="42" fillId="0" borderId="4" xfId="0" applyFont="1" applyBorder="1" applyAlignment="1">
      <alignment horizontal="left" vertical="center" wrapText="1"/>
    </xf>
    <xf numFmtId="0" fontId="49" fillId="25" borderId="0" xfId="0" applyFont="1" applyFill="1" applyAlignment="1">
      <alignment horizontal="left" vertical="top" wrapText="1"/>
    </xf>
    <xf numFmtId="0" fontId="2" fillId="8" borderId="2" xfId="0" applyFont="1" applyFill="1" applyBorder="1" applyAlignment="1">
      <alignment horizontal="left" vertical="center"/>
    </xf>
    <xf numFmtId="0" fontId="2" fillId="8" borderId="3" xfId="0" applyFont="1" applyFill="1" applyBorder="1" applyAlignment="1">
      <alignment horizontal="left" vertical="center"/>
    </xf>
    <xf numFmtId="0" fontId="2" fillId="8" borderId="4" xfId="0" applyFont="1" applyFill="1" applyBorder="1" applyAlignment="1">
      <alignment horizontal="left" vertical="center"/>
    </xf>
    <xf numFmtId="0" fontId="2" fillId="8" borderId="2" xfId="0" applyFont="1" applyFill="1" applyBorder="1" applyAlignment="1">
      <alignment horizontal="left" vertical="center" indent="1"/>
    </xf>
    <xf numFmtId="0" fontId="2" fillId="8" borderId="3" xfId="0" applyFont="1" applyFill="1" applyBorder="1" applyAlignment="1">
      <alignment horizontal="left" vertical="center" indent="1"/>
    </xf>
    <xf numFmtId="0" fontId="2" fillId="8" borderId="4" xfId="0" applyFont="1" applyFill="1" applyBorder="1" applyAlignment="1">
      <alignment horizontal="left" vertical="center" indent="1"/>
    </xf>
    <xf numFmtId="172" fontId="42" fillId="8" borderId="0" xfId="0" applyNumberFormat="1" applyFont="1" applyFill="1" applyAlignment="1">
      <alignment horizontal="left" vertical="center"/>
    </xf>
    <xf numFmtId="172" fontId="42" fillId="8" borderId="28" xfId="0" applyNumberFormat="1" applyFont="1" applyFill="1" applyBorder="1" applyAlignment="1">
      <alignment horizontal="left" vertical="center"/>
    </xf>
    <xf numFmtId="0" fontId="2" fillId="0" borderId="3" xfId="0" applyFont="1" applyBorder="1"/>
    <xf numFmtId="0" fontId="2" fillId="0" borderId="4" xfId="0" applyFont="1" applyBorder="1"/>
    <xf numFmtId="44" fontId="2" fillId="0" borderId="1" xfId="1" applyFont="1" applyBorder="1" applyAlignment="1" applyProtection="1">
      <alignment horizontal="center" vertical="center"/>
    </xf>
    <xf numFmtId="44" fontId="2" fillId="3" borderId="1" xfId="0" applyNumberFormat="1" applyFont="1" applyFill="1" applyBorder="1" applyAlignment="1" applyProtection="1">
      <alignment horizontal="center" vertical="center"/>
      <protection locked="0"/>
    </xf>
    <xf numFmtId="44" fontId="2" fillId="0" borderId="1" xfId="1" applyFont="1" applyFill="1" applyBorder="1" applyAlignment="1" applyProtection="1">
      <alignment horizontal="center" vertical="center"/>
    </xf>
    <xf numFmtId="44" fontId="2" fillId="3" borderId="1" xfId="1" applyFont="1" applyFill="1" applyBorder="1" applyAlignment="1" applyProtection="1">
      <alignment horizontal="center" vertical="center"/>
      <protection locked="0"/>
    </xf>
    <xf numFmtId="2" fontId="2" fillId="3" borderId="1" xfId="1" applyNumberFormat="1" applyFont="1" applyFill="1" applyBorder="1" applyAlignment="1" applyProtection="1">
      <alignment horizontal="center" vertical="center"/>
      <protection locked="0"/>
    </xf>
    <xf numFmtId="44" fontId="2" fillId="0" borderId="1" xfId="1" applyFont="1" applyFill="1" applyBorder="1" applyAlignment="1">
      <alignment horizontal="center" vertical="center"/>
    </xf>
    <xf numFmtId="0" fontId="14" fillId="23" borderId="1" xfId="0" applyFont="1" applyFill="1" applyBorder="1" applyAlignment="1">
      <alignment horizontal="center" vertical="center"/>
    </xf>
    <xf numFmtId="0" fontId="0" fillId="0" borderId="3" xfId="0" applyBorder="1" applyAlignment="1">
      <alignment horizontal="left" vertical="center" indent="1"/>
    </xf>
    <xf numFmtId="0" fontId="0" fillId="0" borderId="4" xfId="0" applyBorder="1" applyAlignment="1">
      <alignment horizontal="left" vertical="center" indent="1"/>
    </xf>
    <xf numFmtId="170" fontId="0" fillId="3" borderId="1" xfId="0" applyNumberFormat="1" applyFill="1" applyBorder="1" applyAlignment="1" applyProtection="1">
      <alignment horizontal="center" vertical="center"/>
      <protection locked="0"/>
    </xf>
    <xf numFmtId="3" fontId="0" fillId="3" borderId="1" xfId="0" applyNumberFormat="1" applyFill="1" applyBorder="1" applyAlignment="1" applyProtection="1">
      <alignment horizontal="center" vertical="center"/>
      <protection locked="0"/>
    </xf>
    <xf numFmtId="0" fontId="0" fillId="0" borderId="2" xfId="0" applyBorder="1" applyAlignment="1">
      <alignment horizontal="left" vertical="center" indent="2"/>
    </xf>
    <xf numFmtId="0" fontId="0" fillId="0" borderId="3" xfId="0" applyBorder="1" applyAlignment="1">
      <alignment horizontal="left" vertical="center" indent="2"/>
    </xf>
    <xf numFmtId="0" fontId="0" fillId="0" borderId="4" xfId="0" applyBorder="1" applyAlignment="1">
      <alignment horizontal="left" vertical="center" indent="2"/>
    </xf>
    <xf numFmtId="0" fontId="0" fillId="3" borderId="1" xfId="0" applyFill="1" applyBorder="1" applyAlignment="1" applyProtection="1">
      <alignment horizontal="center" vertical="center"/>
      <protection locked="0"/>
    </xf>
    <xf numFmtId="0" fontId="0" fillId="0" borderId="1" xfId="0" applyBorder="1" applyAlignment="1">
      <alignment horizontal="center" vertical="center"/>
    </xf>
    <xf numFmtId="169" fontId="0" fillId="3" borderId="1" xfId="0" applyNumberFormat="1" applyFill="1" applyBorder="1" applyAlignment="1" applyProtection="1">
      <alignment horizontal="center" vertical="center"/>
      <protection locked="0"/>
    </xf>
    <xf numFmtId="0" fontId="0" fillId="15" borderId="2" xfId="0" applyFill="1" applyBorder="1" applyAlignment="1">
      <alignment horizontal="left" vertical="center" indent="1"/>
    </xf>
    <xf numFmtId="0" fontId="0" fillId="15" borderId="3" xfId="0" applyFill="1" applyBorder="1" applyAlignment="1">
      <alignment horizontal="left" vertical="center" indent="1"/>
    </xf>
    <xf numFmtId="0" fontId="0" fillId="15" borderId="4" xfId="0" applyFill="1" applyBorder="1" applyAlignment="1">
      <alignment horizontal="left" vertical="center" indent="1"/>
    </xf>
    <xf numFmtId="0" fontId="9" fillId="15" borderId="1" xfId="0" applyFont="1" applyFill="1" applyBorder="1" applyAlignment="1">
      <alignment horizontal="center" vertical="center"/>
    </xf>
    <xf numFmtId="0" fontId="0" fillId="3" borderId="1" xfId="3" applyNumberFormat="1" applyFont="1" applyFill="1" applyBorder="1" applyAlignment="1" applyProtection="1">
      <alignment horizontal="center" vertical="center"/>
      <protection locked="0"/>
    </xf>
    <xf numFmtId="9" fontId="0" fillId="3" borderId="1" xfId="3" applyFont="1" applyFill="1" applyBorder="1" applyAlignment="1" applyProtection="1">
      <alignment horizontal="center" vertical="center"/>
      <protection locked="0"/>
    </xf>
    <xf numFmtId="0" fontId="2" fillId="3" borderId="2" xfId="0" applyFont="1" applyFill="1" applyBorder="1" applyAlignment="1" applyProtection="1">
      <alignment horizontal="left" vertical="center" indent="1"/>
      <protection locked="0"/>
    </xf>
    <xf numFmtId="0" fontId="2" fillId="3" borderId="3" xfId="0" applyFont="1" applyFill="1" applyBorder="1" applyAlignment="1" applyProtection="1">
      <alignment horizontal="left" vertical="center" indent="1"/>
      <protection locked="0"/>
    </xf>
    <xf numFmtId="0" fontId="2" fillId="3" borderId="4" xfId="0" applyFont="1" applyFill="1" applyBorder="1" applyAlignment="1" applyProtection="1">
      <alignment horizontal="left" vertical="center" indent="1"/>
      <protection locked="0"/>
    </xf>
    <xf numFmtId="170" fontId="0" fillId="3" borderId="2" xfId="1" applyNumberFormat="1" applyFont="1" applyFill="1" applyBorder="1" applyAlignment="1" applyProtection="1">
      <alignment horizontal="center" vertical="center"/>
      <protection locked="0"/>
    </xf>
    <xf numFmtId="170" fontId="0" fillId="3" borderId="3" xfId="1" applyNumberFormat="1" applyFont="1" applyFill="1" applyBorder="1" applyAlignment="1" applyProtection="1">
      <alignment horizontal="center" vertical="center"/>
      <protection locked="0"/>
    </xf>
    <xf numFmtId="170" fontId="0" fillId="3" borderId="4" xfId="1" applyNumberFormat="1" applyFont="1" applyFill="1" applyBorder="1" applyAlignment="1" applyProtection="1">
      <alignment horizontal="center" vertical="center"/>
      <protection locked="0"/>
    </xf>
    <xf numFmtId="0" fontId="13" fillId="21" borderId="1" xfId="0" applyFont="1" applyFill="1" applyBorder="1" applyAlignment="1">
      <alignment horizontal="center" vertical="center"/>
    </xf>
    <xf numFmtId="0" fontId="13" fillId="21" borderId="2" xfId="0" applyFont="1" applyFill="1" applyBorder="1" applyAlignment="1">
      <alignment horizontal="center" vertical="center"/>
    </xf>
    <xf numFmtId="0" fontId="13" fillId="21" borderId="3" xfId="0" applyFont="1" applyFill="1" applyBorder="1" applyAlignment="1">
      <alignment horizontal="center" vertical="center"/>
    </xf>
    <xf numFmtId="0" fontId="2" fillId="3" borderId="1" xfId="0" applyFont="1" applyFill="1" applyBorder="1" applyAlignment="1" applyProtection="1">
      <alignment horizontal="left" vertical="center" indent="1"/>
      <protection locked="0"/>
    </xf>
  </cellXfs>
  <cellStyles count="8">
    <cellStyle name="Comma 2" xfId="6" xr:uid="{00000000-0005-0000-0000-000000000000}"/>
    <cellStyle name="Currency" xfId="1" builtinId="4"/>
    <cellStyle name="Currency 2" xfId="7" xr:uid="{00000000-0005-0000-0000-000002000000}"/>
    <cellStyle name="Hyperlink" xfId="2" builtinId="8"/>
    <cellStyle name="Normal" xfId="0" builtinId="0"/>
    <cellStyle name="Normal 2" xfId="4" xr:uid="{00000000-0005-0000-0000-000005000000}"/>
    <cellStyle name="Percent" xfId="3" builtinId="5"/>
    <cellStyle name="Percent 2" xfId="5" xr:uid="{00000000-0005-0000-0000-000007000000}"/>
  </cellStyles>
  <dxfs count="394">
    <dxf>
      <font>
        <b/>
        <i val="0"/>
        <color theme="0"/>
      </font>
      <fill>
        <patternFill>
          <bgColor theme="3" tint="-0.24994659260841701"/>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patternType="lightUp">
          <fgColor theme="0" tint="-0.24994659260841701"/>
          <bgColor theme="0" tint="-0.14996795556505021"/>
        </patternFill>
      </fill>
    </dxf>
    <dxf>
      <fill>
        <patternFill>
          <bgColor rgb="FFF0F5E7"/>
        </patternFill>
      </fill>
    </dxf>
    <dxf>
      <fill>
        <patternFill patternType="solid">
          <fgColor auto="1"/>
          <bgColor rgb="FFF7EAE9"/>
        </patternFill>
      </fill>
    </dxf>
    <dxf>
      <fill>
        <patternFill patternType="solid">
          <fgColor auto="1"/>
          <bgColor rgb="FFF7EAE9"/>
        </patternFill>
      </fill>
    </dxf>
    <dxf>
      <fill>
        <patternFill>
          <bgColor rgb="FFF0F5E7"/>
        </patternFill>
      </fill>
    </dxf>
    <dxf>
      <font>
        <b/>
        <i val="0"/>
        <color theme="0"/>
      </font>
      <fill>
        <patternFill>
          <bgColor theme="5" tint="-0.24994659260841701"/>
        </patternFill>
      </fill>
      <border>
        <left/>
        <right/>
        <top/>
        <bottom/>
      </border>
    </dxf>
    <dxf>
      <font>
        <b/>
        <i val="0"/>
      </font>
      <fill>
        <patternFill>
          <bgColor theme="9" tint="0.79998168889431442"/>
        </patternFill>
      </fill>
      <border>
        <left/>
        <right style="thin">
          <color theme="9" tint="0.39994506668294322"/>
        </right>
        <top style="thin">
          <color theme="9" tint="0.39994506668294322"/>
        </top>
        <bottom style="thin">
          <color theme="9" tint="0.39994506668294322"/>
        </bottom>
      </border>
    </dxf>
    <dxf>
      <fill>
        <patternFill patternType="lightUp">
          <fgColor theme="0" tint="-0.34998626667073579"/>
          <bgColor theme="0" tint="-0.14996795556505021"/>
        </patternFill>
      </fill>
    </dxf>
    <dxf>
      <font>
        <b/>
        <i val="0"/>
        <color theme="0"/>
      </font>
      <fill>
        <patternFill>
          <bgColor theme="5" tint="-0.24994659260841701"/>
        </patternFill>
      </fill>
      <border>
        <left/>
        <right/>
        <top/>
        <bottom/>
      </border>
    </dxf>
    <dxf>
      <fill>
        <patternFill>
          <bgColor theme="9" tint="0.79998168889431442"/>
        </patternFill>
      </fill>
      <border>
        <left style="thin">
          <color theme="9" tint="0.39994506668294322"/>
        </left>
        <right/>
        <top style="thin">
          <color theme="9" tint="0.39994506668294322"/>
        </top>
        <bottom style="thin">
          <color theme="9" tint="0.39994506668294322"/>
        </bottom>
        <vertical/>
        <horizontal/>
      </border>
    </dxf>
    <dxf>
      <fill>
        <patternFill>
          <bgColor rgb="FFF0F5E7"/>
        </patternFill>
      </fill>
    </dxf>
    <dxf>
      <fill>
        <patternFill patternType="solid">
          <fgColor auto="1"/>
          <bgColor rgb="FFF7EAE9"/>
        </patternFill>
      </fill>
    </dxf>
    <dxf>
      <fill>
        <patternFill>
          <bgColor theme="9" tint="0.79998168889431442"/>
        </patternFill>
      </fill>
    </dxf>
    <dxf>
      <fill>
        <patternFill patternType="lightUp">
          <fgColor theme="0" tint="-0.34998626667073579"/>
          <bgColor theme="0" tint="-0.14996795556505021"/>
        </patternFill>
      </fill>
    </dxf>
    <dxf>
      <fill>
        <patternFill>
          <bgColor theme="9" tint="0.79998168889431442"/>
        </patternFill>
      </fill>
    </dxf>
    <dxf>
      <font>
        <b/>
        <i val="0"/>
        <color theme="0"/>
      </font>
      <fill>
        <patternFill>
          <bgColor theme="5" tint="-0.24994659260841701"/>
        </patternFill>
      </fill>
      <border>
        <left/>
        <right/>
        <top/>
        <bottom/>
      </border>
    </dxf>
    <dxf>
      <fill>
        <patternFill patternType="solid">
          <fgColor auto="1"/>
          <bgColor rgb="FFF7EAE9"/>
        </patternFill>
      </fill>
    </dxf>
    <dxf>
      <fill>
        <patternFill>
          <bgColor rgb="FFF0F5E7"/>
        </patternFill>
      </fill>
    </dxf>
    <dxf>
      <font>
        <b/>
        <i val="0"/>
        <color theme="0"/>
      </font>
      <fill>
        <patternFill>
          <bgColor theme="5" tint="-0.24994659260841701"/>
        </patternFill>
      </fill>
      <border>
        <left/>
        <right/>
        <top/>
        <bottom/>
      </border>
    </dxf>
    <dxf>
      <font>
        <b/>
        <i val="0"/>
      </font>
      <fill>
        <patternFill>
          <bgColor theme="9" tint="0.79998168889431442"/>
        </patternFill>
      </fill>
      <border>
        <left/>
        <right style="thin">
          <color theme="9" tint="0.39994506668294322"/>
        </right>
        <top style="thin">
          <color theme="9" tint="0.39994506668294322"/>
        </top>
        <bottom style="thin">
          <color theme="9" tint="0.39994506668294322"/>
        </bottom>
      </border>
    </dxf>
    <dxf>
      <fill>
        <patternFill patternType="lightUp">
          <fgColor theme="0" tint="-0.34998626667073579"/>
          <bgColor theme="0" tint="-0.14996795556505021"/>
        </patternFill>
      </fill>
    </dxf>
    <dxf>
      <font>
        <b/>
        <i val="0"/>
      </font>
      <fill>
        <patternFill>
          <bgColor theme="9" tint="0.79998168889431442"/>
        </patternFill>
      </fill>
    </dxf>
    <dxf>
      <fill>
        <patternFill patternType="lightUp">
          <fgColor theme="0" tint="-0.34998626667073579"/>
          <bgColor theme="0" tint="-0.14996795556505021"/>
        </patternFill>
      </fill>
    </dxf>
    <dxf>
      <fill>
        <patternFill patternType="lightUp">
          <fgColor theme="0" tint="-0.34998626667073579"/>
          <bgColor theme="0" tint="-0.14996795556505021"/>
        </patternFill>
      </fill>
    </dxf>
    <dxf>
      <fill>
        <patternFill patternType="lightUp">
          <fgColor theme="0" tint="-0.34998626667073579"/>
          <bgColor theme="0" tint="-0.14996795556505021"/>
        </patternFill>
      </fill>
    </dxf>
    <dxf>
      <fill>
        <patternFill patternType="lightUp">
          <fgColor theme="0" tint="-0.34998626667073579"/>
          <bgColor theme="0" tint="-0.14996795556505021"/>
        </patternFill>
      </fill>
    </dxf>
    <dxf>
      <font>
        <b/>
        <i val="0"/>
        <color theme="0"/>
      </font>
      <fill>
        <patternFill>
          <bgColor theme="5" tint="-0.24994659260841701"/>
        </patternFill>
      </fill>
      <border>
        <left/>
        <right/>
        <top/>
        <bottom/>
      </border>
    </dxf>
    <dxf>
      <fill>
        <patternFill>
          <bgColor theme="9" tint="0.79998168889431442"/>
        </patternFill>
      </fill>
      <border>
        <left style="thin">
          <color theme="9" tint="0.39994506668294322"/>
        </left>
        <right/>
        <top style="thin">
          <color theme="9" tint="0.39994506668294322"/>
        </top>
        <bottom style="thin">
          <color theme="9" tint="0.39994506668294322"/>
        </bottom>
        <vertical/>
        <horizontal/>
      </border>
    </dxf>
    <dxf>
      <font>
        <b/>
        <i val="0"/>
      </font>
      <fill>
        <patternFill>
          <bgColor theme="9" tint="0.79998168889431442"/>
        </patternFill>
      </fill>
    </dxf>
    <dxf>
      <fill>
        <patternFill patternType="solid">
          <fgColor auto="1"/>
          <bgColor rgb="FFF7EAE9"/>
        </patternFill>
      </fill>
    </dxf>
    <dxf>
      <fill>
        <patternFill>
          <bgColor rgb="FFF0F5E7"/>
        </patternFill>
      </fill>
    </dxf>
    <dxf>
      <fill>
        <patternFill>
          <bgColor theme="9" tint="0.79998168889431442"/>
        </patternFill>
      </fill>
    </dxf>
    <dxf>
      <fill>
        <patternFill>
          <bgColor theme="9" tint="0.79998168889431442"/>
        </patternFill>
      </fill>
    </dxf>
    <dxf>
      <fill>
        <patternFill patternType="lightUp">
          <fgColor theme="0" tint="-0.24994659260841701"/>
          <bgColor theme="0" tint="-0.14996795556505021"/>
        </patternFill>
      </fill>
    </dxf>
    <dxf>
      <fill>
        <patternFill patternType="lightUp">
          <fgColor theme="0" tint="-0.24994659260841701"/>
          <bgColor theme="0" tint="-0.14996795556505021"/>
        </patternFill>
      </fill>
    </dxf>
    <dxf>
      <fill>
        <patternFill patternType="lightUp">
          <fgColor theme="0" tint="-0.24994659260841701"/>
          <bgColor theme="0" tint="-0.14996795556505021"/>
        </patternFill>
      </fill>
    </dxf>
    <dxf>
      <font>
        <b/>
        <i val="0"/>
        <color theme="0"/>
      </font>
      <fill>
        <patternFill>
          <bgColor theme="5" tint="-0.24994659260841701"/>
        </patternFill>
      </fill>
      <border>
        <left/>
        <right/>
        <top/>
        <bottom/>
      </border>
    </dxf>
    <dxf>
      <fill>
        <patternFill patternType="lightUp">
          <fgColor theme="0" tint="-0.24994659260841701"/>
          <bgColor theme="0" tint="-0.14996795556505021"/>
        </patternFill>
      </fill>
    </dxf>
    <dxf>
      <fill>
        <patternFill>
          <bgColor theme="9" tint="0.79998168889431442"/>
        </patternFill>
      </fill>
    </dxf>
    <dxf>
      <font>
        <b/>
        <i val="0"/>
        <color theme="0"/>
      </font>
      <fill>
        <patternFill>
          <bgColor theme="5" tint="-0.24994659260841701"/>
        </patternFill>
      </fill>
      <border>
        <left/>
        <right/>
        <top/>
        <bottom/>
      </border>
    </dxf>
    <dxf>
      <fill>
        <patternFill patternType="solid">
          <fgColor auto="1"/>
          <bgColor rgb="FFF7EAE9"/>
        </patternFill>
      </fill>
    </dxf>
    <dxf>
      <fill>
        <patternFill>
          <bgColor rgb="FFF0F5E7"/>
        </patternFill>
      </fill>
    </dxf>
    <dxf>
      <font>
        <b/>
        <i val="0"/>
        <color theme="0"/>
      </font>
      <fill>
        <patternFill>
          <bgColor theme="5" tint="-0.24994659260841701"/>
        </patternFill>
      </fill>
      <border>
        <left/>
        <right/>
        <top/>
        <bottom/>
      </border>
    </dxf>
    <dxf>
      <font>
        <b/>
        <i val="0"/>
      </font>
      <fill>
        <patternFill>
          <bgColor theme="9" tint="0.79998168889431442"/>
        </patternFill>
      </fill>
      <border>
        <left/>
        <right style="thin">
          <color theme="9" tint="0.39994506668294322"/>
        </right>
        <top style="thin">
          <color theme="9" tint="0.39994506668294322"/>
        </top>
        <bottom style="thin">
          <color theme="9" tint="0.39994506668294322"/>
        </bottom>
      </border>
    </dxf>
    <dxf>
      <font>
        <b/>
        <i val="0"/>
      </font>
      <fill>
        <patternFill>
          <bgColor theme="9" tint="0.79998168889431442"/>
        </patternFill>
      </fill>
    </dxf>
    <dxf>
      <font>
        <b/>
        <i val="0"/>
      </font>
      <fill>
        <patternFill>
          <bgColor theme="9" tint="0.79998168889431442"/>
        </patternFill>
      </fill>
    </dxf>
    <dxf>
      <font>
        <b/>
        <i val="0"/>
      </font>
      <fill>
        <patternFill>
          <bgColor theme="9" tint="0.79998168889431442"/>
        </patternFill>
      </fill>
    </dxf>
    <dxf>
      <font>
        <b/>
        <i val="0"/>
        <strike val="0"/>
      </font>
      <fill>
        <patternFill>
          <bgColor theme="9" tint="0.79998168889431442"/>
        </patternFill>
      </fill>
    </dxf>
    <dxf>
      <font>
        <b/>
        <i val="0"/>
      </font>
      <fill>
        <patternFill>
          <bgColor theme="9" tint="0.79998168889431442"/>
        </patternFill>
      </fill>
    </dxf>
    <dxf>
      <font>
        <b/>
        <i val="0"/>
      </font>
      <fill>
        <patternFill>
          <bgColor theme="9" tint="0.79998168889431442"/>
        </patternFill>
      </fill>
    </dxf>
    <dxf>
      <font>
        <b/>
        <i val="0"/>
      </font>
      <fill>
        <patternFill>
          <bgColor theme="9" tint="0.79998168889431442"/>
        </patternFill>
      </fill>
    </dxf>
    <dxf>
      <font>
        <b/>
        <i val="0"/>
      </font>
      <fill>
        <patternFill>
          <bgColor theme="9" tint="0.79998168889431442"/>
        </patternFill>
      </fill>
    </dxf>
    <dxf>
      <fill>
        <patternFill patternType="lightUp">
          <fgColor theme="0" tint="-0.24994659260841701"/>
          <bgColor theme="0" tint="-0.14996795556505021"/>
        </patternFill>
      </fill>
    </dxf>
    <dxf>
      <font>
        <b/>
        <i val="0"/>
        <color theme="0"/>
      </font>
      <fill>
        <patternFill>
          <bgColor theme="5" tint="-0.24994659260841701"/>
        </patternFill>
      </fill>
      <border>
        <left/>
        <right/>
        <top/>
        <bottom/>
      </border>
    </dxf>
    <dxf>
      <font>
        <b/>
        <i val="0"/>
        <color theme="0"/>
      </font>
      <fill>
        <patternFill>
          <bgColor theme="5" tint="-0.24994659260841701"/>
        </patternFill>
      </fill>
      <border>
        <left/>
        <right/>
        <top/>
        <bottom/>
      </border>
    </dxf>
    <dxf>
      <fill>
        <patternFill>
          <bgColor theme="9" tint="0.79998168889431442"/>
        </patternFill>
      </fill>
      <border>
        <left style="thin">
          <color theme="9" tint="0.39994506668294322"/>
        </left>
        <right/>
        <top style="thin">
          <color theme="9" tint="0.39994506668294322"/>
        </top>
        <bottom style="thin">
          <color theme="9" tint="0.39994506668294322"/>
        </bottom>
        <vertical/>
        <horizontal/>
      </border>
    </dxf>
    <dxf>
      <fill>
        <patternFill>
          <bgColor rgb="FFF0F5E7"/>
        </patternFill>
      </fill>
    </dxf>
    <dxf>
      <fill>
        <patternFill patternType="solid">
          <fgColor auto="1"/>
          <bgColor rgb="FFF7EAE9"/>
        </patternFill>
      </fill>
    </dxf>
    <dxf>
      <fill>
        <patternFill patternType="solid">
          <fgColor auto="1"/>
          <bgColor rgb="FFF7EAE9"/>
        </patternFill>
      </fill>
    </dxf>
    <dxf>
      <fill>
        <patternFill>
          <bgColor rgb="FFF0F5E7"/>
        </patternFill>
      </fill>
    </dxf>
    <dxf>
      <font>
        <b/>
        <i val="0"/>
        <color theme="0"/>
      </font>
      <fill>
        <patternFill>
          <bgColor theme="5" tint="-0.24994659260841701"/>
        </patternFill>
      </fill>
      <border>
        <left/>
        <right/>
        <top/>
        <bottom/>
      </border>
    </dxf>
    <dxf>
      <font>
        <b/>
        <i val="0"/>
      </font>
      <fill>
        <patternFill>
          <bgColor theme="9" tint="0.79998168889431442"/>
        </patternFill>
      </fill>
      <border>
        <left/>
        <right style="thin">
          <color theme="9" tint="0.39994506668294322"/>
        </right>
        <top style="thin">
          <color theme="9" tint="0.39994506668294322"/>
        </top>
        <bottom style="thin">
          <color theme="9" tint="0.39994506668294322"/>
        </bottom>
      </border>
    </dxf>
    <dxf>
      <fill>
        <patternFill patternType="lightUp">
          <fgColor theme="0" tint="-0.34998626667073579"/>
          <bgColor theme="0" tint="-0.14996795556505021"/>
        </patternFill>
      </fill>
    </dxf>
    <dxf>
      <font>
        <b/>
        <i val="0"/>
        <color theme="0"/>
      </font>
      <fill>
        <patternFill>
          <bgColor theme="5" tint="-0.24994659260841701"/>
        </patternFill>
      </fill>
      <border>
        <left/>
        <right/>
        <top/>
        <bottom/>
      </border>
    </dxf>
    <dxf>
      <fill>
        <patternFill>
          <bgColor theme="9" tint="0.79998168889431442"/>
        </patternFill>
      </fill>
      <border>
        <left style="thin">
          <color theme="9" tint="0.39994506668294322"/>
        </left>
        <right/>
        <top style="thin">
          <color theme="9" tint="0.39994506668294322"/>
        </top>
        <bottom style="thin">
          <color theme="9" tint="0.39994506668294322"/>
        </bottom>
        <vertical/>
        <horizontal/>
      </border>
    </dxf>
    <dxf>
      <fill>
        <patternFill>
          <bgColor rgb="FFF0F5E7"/>
        </patternFill>
      </fill>
    </dxf>
    <dxf>
      <fill>
        <patternFill patternType="solid">
          <fgColor auto="1"/>
          <bgColor rgb="FFF7EAE9"/>
        </patternFill>
      </fill>
    </dxf>
    <dxf>
      <fill>
        <patternFill>
          <bgColor theme="9" tint="0.79998168889431442"/>
        </patternFill>
      </fill>
    </dxf>
    <dxf>
      <fill>
        <patternFill patternType="lightUp">
          <fgColor theme="0" tint="-0.34998626667073579"/>
          <bgColor theme="0" tint="-0.14996795556505021"/>
        </patternFill>
      </fill>
    </dxf>
    <dxf>
      <fill>
        <patternFill>
          <bgColor theme="9" tint="0.79998168889431442"/>
        </patternFill>
      </fill>
    </dxf>
    <dxf>
      <font>
        <b/>
        <i val="0"/>
        <color theme="0"/>
      </font>
      <fill>
        <patternFill>
          <bgColor theme="5" tint="-0.24994659260841701"/>
        </patternFill>
      </fill>
      <border>
        <left/>
        <right/>
        <top/>
        <bottom/>
      </border>
    </dxf>
    <dxf>
      <fill>
        <patternFill patternType="solid">
          <fgColor auto="1"/>
          <bgColor rgb="FFF7EAE9"/>
        </patternFill>
      </fill>
    </dxf>
    <dxf>
      <fill>
        <patternFill>
          <bgColor rgb="FFF0F5E7"/>
        </patternFill>
      </fill>
    </dxf>
    <dxf>
      <font>
        <b/>
        <i val="0"/>
        <color theme="0"/>
      </font>
      <fill>
        <patternFill>
          <bgColor theme="5" tint="-0.24994659260841701"/>
        </patternFill>
      </fill>
      <border>
        <left/>
        <right/>
        <top/>
        <bottom/>
      </border>
    </dxf>
    <dxf>
      <font>
        <b/>
        <i val="0"/>
      </font>
      <fill>
        <patternFill>
          <bgColor theme="9" tint="0.79998168889431442"/>
        </patternFill>
      </fill>
      <border>
        <left/>
        <right style="thin">
          <color theme="9" tint="0.39994506668294322"/>
        </right>
        <top style="thin">
          <color theme="9" tint="0.39994506668294322"/>
        </top>
        <bottom style="thin">
          <color theme="9" tint="0.39994506668294322"/>
        </bottom>
      </border>
    </dxf>
    <dxf>
      <fill>
        <patternFill patternType="lightUp">
          <fgColor theme="0" tint="-0.34998626667073579"/>
          <bgColor theme="0" tint="-0.14996795556505021"/>
        </patternFill>
      </fill>
    </dxf>
    <dxf>
      <font>
        <b/>
        <i val="0"/>
      </font>
      <fill>
        <patternFill>
          <bgColor theme="9" tint="0.79998168889431442"/>
        </patternFill>
      </fill>
    </dxf>
    <dxf>
      <fill>
        <patternFill patternType="lightUp">
          <fgColor theme="0" tint="-0.34998626667073579"/>
          <bgColor theme="0" tint="-0.14996795556505021"/>
        </patternFill>
      </fill>
    </dxf>
    <dxf>
      <fill>
        <patternFill patternType="lightUp">
          <fgColor theme="0" tint="-0.34998626667073579"/>
          <bgColor theme="0" tint="-0.14996795556505021"/>
        </patternFill>
      </fill>
    </dxf>
    <dxf>
      <fill>
        <patternFill patternType="lightUp">
          <fgColor theme="0" tint="-0.34998626667073579"/>
          <bgColor theme="0" tint="-0.14996795556505021"/>
        </patternFill>
      </fill>
    </dxf>
    <dxf>
      <fill>
        <patternFill patternType="lightUp">
          <fgColor theme="0" tint="-0.34998626667073579"/>
          <bgColor theme="0" tint="-0.14996795556505021"/>
        </patternFill>
      </fill>
    </dxf>
    <dxf>
      <font>
        <b/>
        <i val="0"/>
        <color theme="0"/>
      </font>
      <fill>
        <patternFill>
          <bgColor theme="5" tint="-0.24994659260841701"/>
        </patternFill>
      </fill>
      <border>
        <left/>
        <right/>
        <top/>
        <bottom/>
      </border>
    </dxf>
    <dxf>
      <fill>
        <patternFill>
          <bgColor theme="9" tint="0.79998168889431442"/>
        </patternFill>
      </fill>
      <border>
        <left style="thin">
          <color theme="9" tint="0.39994506668294322"/>
        </left>
        <right/>
        <top style="thin">
          <color theme="9" tint="0.39994506668294322"/>
        </top>
        <bottom style="thin">
          <color theme="9" tint="0.39994506668294322"/>
        </bottom>
        <vertical/>
        <horizontal/>
      </border>
    </dxf>
    <dxf>
      <fill>
        <patternFill patternType="solid">
          <fgColor auto="1"/>
          <bgColor rgb="FFF7EAE9"/>
        </patternFill>
      </fill>
    </dxf>
    <dxf>
      <fill>
        <patternFill>
          <bgColor rgb="FFF0F5E7"/>
        </patternFill>
      </fill>
    </dxf>
    <dxf>
      <fill>
        <patternFill>
          <bgColor theme="9" tint="0.79998168889431442"/>
        </patternFill>
      </fill>
    </dxf>
    <dxf>
      <fill>
        <patternFill patternType="lightUp">
          <fgColor theme="0" tint="-0.24994659260841701"/>
          <bgColor theme="0" tint="-0.14996795556505021"/>
        </patternFill>
      </fill>
    </dxf>
    <dxf>
      <fill>
        <patternFill patternType="lightUp">
          <fgColor theme="0" tint="-0.24994659260841701"/>
          <bgColor theme="0" tint="-0.14996795556505021"/>
        </patternFill>
      </fill>
    </dxf>
    <dxf>
      <fill>
        <patternFill patternType="lightUp">
          <fgColor theme="0" tint="-0.24994659260841701"/>
          <bgColor theme="0" tint="-0.14996795556505021"/>
        </patternFill>
      </fill>
    </dxf>
    <dxf>
      <font>
        <b/>
        <i val="0"/>
        <color theme="0"/>
      </font>
      <fill>
        <patternFill>
          <bgColor theme="5" tint="-0.24994659260841701"/>
        </patternFill>
      </fill>
      <border>
        <left/>
        <right/>
        <top/>
        <bottom/>
      </border>
    </dxf>
    <dxf>
      <fill>
        <patternFill patternType="lightUp">
          <fgColor theme="0" tint="-0.24994659260841701"/>
          <bgColor theme="0" tint="-0.14996795556505021"/>
        </patternFill>
      </fill>
    </dxf>
    <dxf>
      <fill>
        <patternFill>
          <bgColor theme="9" tint="0.79998168889431442"/>
        </patternFill>
      </fill>
    </dxf>
    <dxf>
      <font>
        <b/>
        <i val="0"/>
        <color theme="0"/>
      </font>
      <fill>
        <patternFill>
          <bgColor theme="5" tint="-0.24994659260841701"/>
        </patternFill>
      </fill>
      <border>
        <left/>
        <right/>
        <top/>
        <bottom/>
      </border>
    </dxf>
    <dxf>
      <fill>
        <patternFill patternType="solid">
          <fgColor auto="1"/>
          <bgColor rgb="FFF7EAE9"/>
        </patternFill>
      </fill>
    </dxf>
    <dxf>
      <fill>
        <patternFill>
          <bgColor rgb="FFF0F5E7"/>
        </patternFill>
      </fill>
    </dxf>
    <dxf>
      <font>
        <b/>
        <i val="0"/>
        <color theme="0"/>
      </font>
      <fill>
        <patternFill>
          <bgColor theme="5" tint="-0.24994659260841701"/>
        </patternFill>
      </fill>
      <border>
        <left/>
        <right/>
        <top/>
        <bottom/>
      </border>
    </dxf>
    <dxf>
      <font>
        <b/>
        <i val="0"/>
      </font>
      <fill>
        <patternFill>
          <bgColor theme="9" tint="0.79998168889431442"/>
        </patternFill>
      </fill>
      <border>
        <left/>
        <right style="thin">
          <color theme="9" tint="0.39994506668294322"/>
        </right>
        <top style="thin">
          <color theme="9" tint="0.39994506668294322"/>
        </top>
        <bottom style="thin">
          <color theme="9" tint="0.39994506668294322"/>
        </bottom>
      </border>
    </dxf>
    <dxf>
      <font>
        <b/>
        <i val="0"/>
      </font>
      <fill>
        <patternFill>
          <bgColor theme="9" tint="0.79998168889431442"/>
        </patternFill>
      </fill>
    </dxf>
    <dxf>
      <font>
        <b/>
        <i val="0"/>
      </font>
      <fill>
        <patternFill>
          <bgColor theme="9" tint="0.79998168889431442"/>
        </patternFill>
      </fill>
    </dxf>
    <dxf>
      <font>
        <b/>
        <i val="0"/>
      </font>
      <fill>
        <patternFill>
          <bgColor theme="9" tint="0.79998168889431442"/>
        </patternFill>
      </fill>
    </dxf>
    <dxf>
      <font>
        <b/>
        <i val="0"/>
      </font>
      <fill>
        <patternFill>
          <bgColor theme="9" tint="0.79998168889431442"/>
        </patternFill>
      </fill>
    </dxf>
    <dxf>
      <font>
        <b/>
        <i val="0"/>
      </font>
      <fill>
        <patternFill>
          <bgColor theme="9" tint="0.79998168889431442"/>
        </patternFill>
      </fill>
    </dxf>
    <dxf>
      <font>
        <b/>
        <i val="0"/>
      </font>
      <fill>
        <patternFill>
          <bgColor theme="9" tint="0.79998168889431442"/>
        </patternFill>
      </fill>
    </dxf>
    <dxf>
      <fill>
        <patternFill patternType="lightUp">
          <fgColor theme="0" tint="-0.24994659260841701"/>
          <bgColor theme="0" tint="-0.14996795556505021"/>
        </patternFill>
      </fill>
    </dxf>
    <dxf>
      <font>
        <b/>
        <i val="0"/>
        <color theme="0"/>
      </font>
      <fill>
        <patternFill>
          <bgColor theme="5" tint="-0.24994659260841701"/>
        </patternFill>
      </fill>
      <border>
        <left/>
        <right/>
        <top/>
        <bottom/>
      </border>
    </dxf>
    <dxf>
      <font>
        <b/>
        <i val="0"/>
        <color theme="0"/>
      </font>
      <fill>
        <patternFill>
          <bgColor theme="5" tint="-0.24994659260841701"/>
        </patternFill>
      </fill>
      <border>
        <left/>
        <right/>
        <top/>
        <bottom/>
      </border>
    </dxf>
    <dxf>
      <fill>
        <patternFill>
          <bgColor theme="9" tint="0.79998168889431442"/>
        </patternFill>
      </fill>
      <border>
        <left style="thin">
          <color theme="9" tint="0.39994506668294322"/>
        </left>
        <right/>
        <top style="thin">
          <color theme="9" tint="0.39994506668294322"/>
        </top>
        <bottom style="thin">
          <color theme="9" tint="0.39994506668294322"/>
        </bottom>
        <vertical/>
        <horizontal/>
      </border>
    </dxf>
    <dxf>
      <fill>
        <patternFill>
          <bgColor rgb="FFF0F5E7"/>
        </patternFill>
      </fill>
    </dxf>
    <dxf>
      <fill>
        <patternFill patternType="solid">
          <fgColor auto="1"/>
          <bgColor rgb="FFF7EAE9"/>
        </patternFill>
      </fill>
    </dxf>
    <dxf>
      <fill>
        <patternFill patternType="solid">
          <fgColor auto="1"/>
          <bgColor rgb="FFF7EAE9"/>
        </patternFill>
      </fill>
    </dxf>
    <dxf>
      <fill>
        <patternFill>
          <bgColor rgb="FFF0F5E7"/>
        </patternFill>
      </fill>
    </dxf>
    <dxf>
      <font>
        <b/>
        <i val="0"/>
        <color theme="0"/>
      </font>
      <fill>
        <patternFill>
          <bgColor theme="5" tint="-0.24994659260841701"/>
        </patternFill>
      </fill>
      <border>
        <left/>
        <right/>
        <top/>
        <bottom/>
      </border>
    </dxf>
    <dxf>
      <font>
        <b/>
        <i val="0"/>
      </font>
      <fill>
        <patternFill>
          <bgColor theme="9" tint="0.79998168889431442"/>
        </patternFill>
      </fill>
      <border>
        <left/>
        <right style="thin">
          <color theme="9" tint="0.39994506668294322"/>
        </right>
        <top style="thin">
          <color theme="9" tint="0.39994506668294322"/>
        </top>
        <bottom style="thin">
          <color theme="9" tint="0.39994506668294322"/>
        </bottom>
      </border>
    </dxf>
    <dxf>
      <fill>
        <patternFill patternType="lightUp">
          <fgColor theme="0" tint="-0.34998626667073579"/>
          <bgColor theme="0" tint="-0.14996795556505021"/>
        </patternFill>
      </fill>
    </dxf>
    <dxf>
      <font>
        <b/>
        <i val="0"/>
        <color theme="0"/>
      </font>
      <fill>
        <patternFill>
          <bgColor theme="5" tint="-0.24994659260841701"/>
        </patternFill>
      </fill>
      <border>
        <left/>
        <right/>
        <top/>
        <bottom/>
      </border>
    </dxf>
    <dxf>
      <fill>
        <patternFill>
          <bgColor theme="9" tint="0.79998168889431442"/>
        </patternFill>
      </fill>
      <border>
        <left style="thin">
          <color theme="9" tint="0.39994506668294322"/>
        </left>
        <right/>
        <top style="thin">
          <color theme="9" tint="0.39994506668294322"/>
        </top>
        <bottom style="thin">
          <color theme="9" tint="0.39994506668294322"/>
        </bottom>
        <vertical/>
        <horizontal/>
      </border>
    </dxf>
    <dxf>
      <fill>
        <patternFill>
          <bgColor rgb="FFF0F5E7"/>
        </patternFill>
      </fill>
    </dxf>
    <dxf>
      <fill>
        <patternFill patternType="solid">
          <fgColor auto="1"/>
          <bgColor rgb="FFF7EAE9"/>
        </patternFill>
      </fill>
    </dxf>
    <dxf>
      <fill>
        <patternFill>
          <bgColor theme="9" tint="0.79998168889431442"/>
        </patternFill>
      </fill>
    </dxf>
    <dxf>
      <fill>
        <patternFill patternType="lightUp">
          <fgColor theme="0" tint="-0.34998626667073579"/>
          <bgColor theme="0" tint="-0.14996795556505021"/>
        </patternFill>
      </fill>
    </dxf>
    <dxf>
      <fill>
        <patternFill>
          <bgColor theme="9" tint="0.79998168889431442"/>
        </patternFill>
      </fill>
    </dxf>
    <dxf>
      <font>
        <b/>
        <i val="0"/>
        <color theme="0"/>
      </font>
      <fill>
        <patternFill>
          <bgColor theme="5" tint="-0.24994659260841701"/>
        </patternFill>
      </fill>
      <border>
        <left/>
        <right/>
        <top/>
        <bottom/>
      </border>
    </dxf>
    <dxf>
      <fill>
        <patternFill patternType="solid">
          <fgColor auto="1"/>
          <bgColor rgb="FFF7EAE9"/>
        </patternFill>
      </fill>
    </dxf>
    <dxf>
      <fill>
        <patternFill>
          <bgColor rgb="FFF0F5E7"/>
        </patternFill>
      </fill>
    </dxf>
    <dxf>
      <font>
        <b/>
        <i val="0"/>
        <color theme="0"/>
      </font>
      <fill>
        <patternFill>
          <bgColor theme="5" tint="-0.24994659260841701"/>
        </patternFill>
      </fill>
      <border>
        <left/>
        <right/>
        <top/>
        <bottom/>
      </border>
    </dxf>
    <dxf>
      <font>
        <b/>
        <i val="0"/>
      </font>
      <fill>
        <patternFill>
          <bgColor theme="9" tint="0.79998168889431442"/>
        </patternFill>
      </fill>
      <border>
        <left/>
        <right style="thin">
          <color theme="9" tint="0.39994506668294322"/>
        </right>
        <top style="thin">
          <color theme="9" tint="0.39994506668294322"/>
        </top>
        <bottom style="thin">
          <color theme="9" tint="0.39994506668294322"/>
        </bottom>
      </border>
    </dxf>
    <dxf>
      <fill>
        <patternFill patternType="lightUp">
          <fgColor theme="0" tint="-0.34998626667073579"/>
          <bgColor theme="0" tint="-0.14996795556505021"/>
        </patternFill>
      </fill>
    </dxf>
    <dxf>
      <font>
        <b/>
        <i val="0"/>
      </font>
      <fill>
        <patternFill>
          <bgColor theme="9" tint="0.79998168889431442"/>
        </patternFill>
      </fill>
    </dxf>
    <dxf>
      <fill>
        <patternFill patternType="lightUp">
          <fgColor theme="0" tint="-0.34998626667073579"/>
          <bgColor theme="0" tint="-0.14996795556505021"/>
        </patternFill>
      </fill>
    </dxf>
    <dxf>
      <fill>
        <patternFill patternType="lightUp">
          <fgColor theme="0" tint="-0.34998626667073579"/>
          <bgColor theme="0" tint="-0.14996795556505021"/>
        </patternFill>
      </fill>
    </dxf>
    <dxf>
      <fill>
        <patternFill patternType="lightUp">
          <fgColor theme="0" tint="-0.34998626667073579"/>
          <bgColor theme="0" tint="-0.14996795556505021"/>
        </patternFill>
      </fill>
    </dxf>
    <dxf>
      <fill>
        <patternFill patternType="lightUp">
          <fgColor theme="0" tint="-0.34998626667073579"/>
          <bgColor theme="0" tint="-0.14996795556505021"/>
        </patternFill>
      </fill>
    </dxf>
    <dxf>
      <font>
        <b/>
        <i val="0"/>
        <color theme="0"/>
      </font>
      <fill>
        <patternFill>
          <bgColor theme="5" tint="-0.24994659260841701"/>
        </patternFill>
      </fill>
      <border>
        <left/>
        <right/>
        <top/>
        <bottom/>
      </border>
    </dxf>
    <dxf>
      <fill>
        <patternFill>
          <bgColor theme="9" tint="0.79998168889431442"/>
        </patternFill>
      </fill>
      <border>
        <left style="thin">
          <color theme="9" tint="0.39994506668294322"/>
        </left>
        <right/>
        <top style="thin">
          <color theme="9" tint="0.39994506668294322"/>
        </top>
        <bottom style="thin">
          <color theme="9" tint="0.39994506668294322"/>
        </bottom>
        <vertical/>
        <horizontal/>
      </border>
    </dxf>
    <dxf>
      <fill>
        <patternFill patternType="solid">
          <fgColor auto="1"/>
          <bgColor rgb="FFF7EAE9"/>
        </patternFill>
      </fill>
    </dxf>
    <dxf>
      <fill>
        <patternFill>
          <bgColor rgb="FFF0F5E7"/>
        </patternFill>
      </fill>
    </dxf>
    <dxf>
      <fill>
        <patternFill>
          <bgColor theme="9" tint="0.79998168889431442"/>
        </patternFill>
      </fill>
    </dxf>
    <dxf>
      <fill>
        <patternFill patternType="lightUp">
          <fgColor theme="0" tint="-0.24994659260841701"/>
          <bgColor theme="0" tint="-0.14996795556505021"/>
        </patternFill>
      </fill>
    </dxf>
    <dxf>
      <fill>
        <patternFill patternType="lightUp">
          <fgColor theme="0" tint="-0.24994659260841701"/>
          <bgColor theme="0" tint="-0.14996795556505021"/>
        </patternFill>
      </fill>
    </dxf>
    <dxf>
      <fill>
        <patternFill patternType="lightUp">
          <fgColor theme="0" tint="-0.24994659260841701"/>
          <bgColor theme="0" tint="-0.14996795556505021"/>
        </patternFill>
      </fill>
    </dxf>
    <dxf>
      <font>
        <b/>
        <i val="0"/>
        <color theme="0"/>
      </font>
      <fill>
        <patternFill>
          <bgColor theme="5" tint="-0.24994659260841701"/>
        </patternFill>
      </fill>
      <border>
        <left/>
        <right/>
        <top/>
        <bottom/>
      </border>
    </dxf>
    <dxf>
      <fill>
        <patternFill patternType="lightUp">
          <fgColor theme="0" tint="-0.24994659260841701"/>
          <bgColor theme="0" tint="-0.14996795556505021"/>
        </patternFill>
      </fill>
    </dxf>
    <dxf>
      <fill>
        <patternFill patternType="lightUp">
          <fgColor theme="0" tint="-0.24994659260841701"/>
          <bgColor theme="0" tint="-0.14996795556505021"/>
        </patternFill>
      </fill>
    </dxf>
    <dxf>
      <fill>
        <patternFill>
          <bgColor theme="9" tint="0.79998168889431442"/>
        </patternFill>
      </fill>
    </dxf>
    <dxf>
      <font>
        <b/>
        <i val="0"/>
        <color theme="0"/>
      </font>
      <fill>
        <patternFill>
          <bgColor theme="5" tint="-0.24994659260841701"/>
        </patternFill>
      </fill>
      <border>
        <left/>
        <right/>
        <top/>
        <bottom/>
      </border>
    </dxf>
    <dxf>
      <fill>
        <patternFill patternType="solid">
          <fgColor auto="1"/>
          <bgColor rgb="FFF7EAE9"/>
        </patternFill>
      </fill>
    </dxf>
    <dxf>
      <fill>
        <patternFill>
          <bgColor rgb="FFF0F5E7"/>
        </patternFill>
      </fill>
    </dxf>
    <dxf>
      <font>
        <b/>
        <i val="0"/>
        <color theme="0"/>
      </font>
      <fill>
        <patternFill>
          <bgColor theme="5" tint="-0.24994659260841701"/>
        </patternFill>
      </fill>
      <border>
        <left/>
        <right/>
        <top/>
        <bottom/>
      </border>
    </dxf>
    <dxf>
      <font>
        <b/>
        <i val="0"/>
      </font>
      <fill>
        <patternFill>
          <bgColor theme="9" tint="0.79998168889431442"/>
        </patternFill>
      </fill>
      <border>
        <left/>
        <right style="thin">
          <color theme="9" tint="0.39994506668294322"/>
        </right>
        <top style="thin">
          <color theme="9" tint="0.39994506668294322"/>
        </top>
        <bottom style="thin">
          <color theme="9" tint="0.39994506668294322"/>
        </bottom>
      </border>
    </dxf>
    <dxf>
      <font>
        <b/>
        <i val="0"/>
      </font>
      <fill>
        <patternFill>
          <bgColor theme="9" tint="0.79998168889431442"/>
        </patternFill>
      </fill>
    </dxf>
    <dxf>
      <font>
        <b/>
        <i val="0"/>
      </font>
      <fill>
        <patternFill>
          <bgColor theme="9" tint="0.79998168889431442"/>
        </patternFill>
      </fill>
    </dxf>
    <dxf>
      <font>
        <b/>
        <i val="0"/>
      </font>
      <fill>
        <patternFill>
          <bgColor theme="9" tint="0.79998168889431442"/>
        </patternFill>
      </fill>
    </dxf>
    <dxf>
      <font>
        <b/>
        <i val="0"/>
      </font>
      <fill>
        <patternFill>
          <bgColor theme="9" tint="0.79998168889431442"/>
        </patternFill>
      </fill>
    </dxf>
    <dxf>
      <font>
        <b/>
        <i val="0"/>
      </font>
      <fill>
        <patternFill>
          <bgColor theme="9" tint="0.79998168889431442"/>
        </patternFill>
      </fill>
    </dxf>
    <dxf>
      <font>
        <b/>
        <i val="0"/>
      </font>
      <fill>
        <patternFill>
          <bgColor theme="9" tint="0.79998168889431442"/>
        </patternFill>
      </fill>
    </dxf>
    <dxf>
      <fill>
        <patternFill patternType="lightUp">
          <fgColor theme="0" tint="-0.24994659260841701"/>
          <bgColor theme="0" tint="-0.14996795556505021"/>
        </patternFill>
      </fill>
    </dxf>
    <dxf>
      <font>
        <b/>
        <i val="0"/>
        <color theme="0"/>
      </font>
      <fill>
        <patternFill>
          <bgColor theme="5" tint="-0.24994659260841701"/>
        </patternFill>
      </fill>
      <border>
        <left/>
        <right/>
        <top/>
        <bottom/>
      </border>
    </dxf>
    <dxf>
      <font>
        <b/>
        <i val="0"/>
        <color theme="0"/>
      </font>
      <fill>
        <patternFill>
          <bgColor theme="5" tint="-0.24994659260841701"/>
        </patternFill>
      </fill>
      <border>
        <left/>
        <right/>
        <top/>
        <bottom/>
      </border>
    </dxf>
    <dxf>
      <fill>
        <patternFill>
          <bgColor theme="9" tint="0.79998168889431442"/>
        </patternFill>
      </fill>
      <border>
        <left style="thin">
          <color theme="9" tint="0.39994506668294322"/>
        </left>
        <right/>
        <top style="thin">
          <color theme="9" tint="0.39994506668294322"/>
        </top>
        <bottom style="thin">
          <color theme="9" tint="0.39994506668294322"/>
        </bottom>
        <vertical/>
        <horizontal/>
      </border>
    </dxf>
    <dxf>
      <font>
        <b val="0"/>
        <i val="0"/>
        <strike val="0"/>
        <color theme="0"/>
      </font>
      <fill>
        <patternFill>
          <bgColor theme="0"/>
        </patternFill>
      </fill>
      <border>
        <left/>
        <right/>
        <top/>
        <bottom/>
        <vertical/>
        <horizontal/>
      </border>
    </dxf>
    <dxf>
      <font>
        <color theme="0"/>
      </font>
      <fill>
        <patternFill>
          <bgColor theme="0"/>
        </patternFill>
      </fill>
      <border>
        <left/>
        <right/>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style="thin">
          <color theme="0"/>
        </left>
        <right/>
        <top style="thin">
          <color theme="0"/>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right style="thin">
          <color theme="0"/>
        </right>
        <top style="thin">
          <color theme="0"/>
        </top>
        <bottom/>
        <vertical/>
        <horizontal/>
      </border>
    </dxf>
    <dxf>
      <border outline="0">
        <top style="thin">
          <color theme="0"/>
        </top>
      </border>
    </dxf>
    <dxf>
      <border outline="0">
        <left style="thin">
          <color theme="9" tint="0.39997558519241921"/>
        </left>
        <right style="thin">
          <color theme="0"/>
        </right>
        <top style="thin">
          <color theme="9" tint="0.39997558519241921"/>
        </top>
        <bottom style="thin">
          <color theme="9" tint="0.39997558519241921"/>
        </bottom>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border outline="0">
        <bottom style="thin">
          <color theme="9" tint="0.39997558519241921"/>
        </bottom>
      </border>
    </dxf>
    <dxf>
      <font>
        <b/>
        <i val="0"/>
        <strike val="0"/>
        <condense val="0"/>
        <extend val="0"/>
        <outline val="0"/>
        <shadow val="0"/>
        <u val="none"/>
        <vertAlign val="baseline"/>
        <sz val="11"/>
        <color theme="0"/>
        <name val="Calibri"/>
        <scheme val="minor"/>
      </font>
      <fill>
        <patternFill patternType="solid">
          <fgColor theme="9"/>
          <bgColor theme="9"/>
        </patternFill>
      </fill>
      <border diagonalUp="0" diagonalDown="0" outline="0">
        <left style="thin">
          <color theme="0"/>
        </left>
        <right style="thin">
          <color theme="0"/>
        </right>
        <top/>
        <bottom/>
      </border>
    </dxf>
    <dxf>
      <font>
        <b val="0"/>
        <i val="0"/>
        <strike val="0"/>
        <condense val="0"/>
        <extend val="0"/>
        <outline val="0"/>
        <shadow val="0"/>
        <u val="none"/>
        <vertAlign val="baseline"/>
        <sz val="11"/>
        <color rgb="FF000000"/>
        <name val="Calibri"/>
        <scheme val="none"/>
      </font>
      <fill>
        <patternFill patternType="solid">
          <fgColor rgb="FFFDE9D9"/>
          <bgColor rgb="FFFDE9D9"/>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rgb="FF000000"/>
        <name val="Calibri"/>
        <scheme val="none"/>
      </font>
      <fill>
        <patternFill patternType="solid">
          <fgColor rgb="FFFDE9D9"/>
          <bgColor rgb="FFFDE9D9"/>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rgb="FF000000"/>
        <name val="Calibri"/>
        <scheme val="none"/>
      </font>
      <fill>
        <patternFill patternType="solid">
          <fgColor rgb="FFFDE9D9"/>
          <bgColor rgb="FFFDE9D9"/>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rgb="FF000000"/>
        <name val="Calibri"/>
        <scheme val="none"/>
      </font>
      <fill>
        <patternFill patternType="solid">
          <fgColor rgb="FFFDE9D9"/>
          <bgColor rgb="FFFDE9D9"/>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rgb="FF000000"/>
        <name val="Calibri"/>
        <scheme val="none"/>
      </font>
      <fill>
        <patternFill patternType="solid">
          <fgColor rgb="FFFDE9D9"/>
          <bgColor rgb="FFFDE9D9"/>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rgb="FF000000"/>
        <name val="Calibri"/>
        <scheme val="none"/>
      </font>
      <fill>
        <patternFill patternType="solid">
          <fgColor rgb="FFFDE9D9"/>
          <bgColor rgb="FFFDE9D9"/>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rgb="FF000000"/>
        <name val="Calibri"/>
        <scheme val="none"/>
      </font>
      <fill>
        <patternFill patternType="solid">
          <fgColor rgb="FFFDE9D9"/>
          <bgColor rgb="FFFDE9D9"/>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rgb="FF000000"/>
        <name val="Calibri"/>
        <scheme val="none"/>
      </font>
      <fill>
        <patternFill patternType="solid">
          <fgColor rgb="FFFDE9D9"/>
          <bgColor rgb="FFFDE9D9"/>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rgb="FF000000"/>
        <name val="Calibri"/>
        <scheme val="none"/>
      </font>
      <fill>
        <patternFill patternType="solid">
          <fgColor rgb="FFFDE9D9"/>
          <bgColor rgb="FFFDE9D9"/>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rgb="FF000000"/>
        <name val="Calibri"/>
        <scheme val="none"/>
      </font>
      <fill>
        <patternFill patternType="solid">
          <fgColor rgb="FFFDE9D9"/>
          <bgColor rgb="FFFDE9D9"/>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rgb="FF000000"/>
        <name val="Calibri"/>
        <scheme val="none"/>
      </font>
      <fill>
        <patternFill patternType="solid">
          <fgColor rgb="FFFDE9D9"/>
          <bgColor rgb="FFFDE9D9"/>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rgb="FF000000"/>
        <name val="Calibri"/>
        <scheme val="none"/>
      </font>
      <fill>
        <patternFill patternType="solid">
          <fgColor rgb="FFFDE9D9"/>
          <bgColor rgb="FFFDE9D9"/>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rgb="FF000000"/>
        <name val="Calibri"/>
        <scheme val="none"/>
      </font>
      <fill>
        <patternFill patternType="solid">
          <fgColor rgb="FFFDE9D9"/>
          <bgColor rgb="FFFDE9D9"/>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rgb="FF000000"/>
        <name val="Calibri"/>
        <scheme val="none"/>
      </font>
      <fill>
        <patternFill patternType="solid">
          <fgColor rgb="FFFDE9D9"/>
          <bgColor rgb="FFFDE9D9"/>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rgb="FF000000"/>
        <name val="Calibri"/>
        <scheme val="none"/>
      </font>
      <fill>
        <patternFill patternType="solid">
          <fgColor rgb="FFFDE9D9"/>
          <bgColor rgb="FFFDE9D9"/>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rgb="FF000000"/>
        <name val="Calibri"/>
        <scheme val="none"/>
      </font>
      <fill>
        <patternFill patternType="solid">
          <fgColor rgb="FFFDE9D9"/>
          <bgColor rgb="FFFDE9D9"/>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rgb="FF000000"/>
        <name val="Calibri"/>
        <scheme val="none"/>
      </font>
      <fill>
        <patternFill patternType="solid">
          <fgColor rgb="FFFDE9D9"/>
          <bgColor rgb="FFFDE9D9"/>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rgb="FF000000"/>
        <name val="Calibri"/>
        <scheme val="none"/>
      </font>
      <fill>
        <patternFill patternType="solid">
          <fgColor rgb="FFFDE9D9"/>
          <bgColor rgb="FFFDE9D9"/>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rgb="FF000000"/>
        <name val="Calibri"/>
        <scheme val="none"/>
      </font>
      <fill>
        <patternFill patternType="solid">
          <fgColor rgb="FFFDE9D9"/>
          <bgColor rgb="FFFDE9D9"/>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rgb="FF000000"/>
        <name val="Calibri"/>
        <scheme val="none"/>
      </font>
      <fill>
        <patternFill patternType="solid">
          <fgColor rgb="FFFDE9D9"/>
          <bgColor rgb="FFFDE9D9"/>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rgb="FF000000"/>
        <name val="Calibri"/>
        <scheme val="none"/>
      </font>
      <fill>
        <patternFill patternType="solid">
          <fgColor rgb="FFFDE9D9"/>
          <bgColor rgb="FFFDE9D9"/>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rgb="FF000000"/>
        <name val="Calibri"/>
        <scheme val="none"/>
      </font>
      <fill>
        <patternFill patternType="solid">
          <fgColor rgb="FFFDE9D9"/>
          <bgColor rgb="FFFDE9D9"/>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rgb="FF000000"/>
        <name val="Calibri"/>
        <scheme val="none"/>
      </font>
      <fill>
        <patternFill patternType="solid">
          <fgColor rgb="FFFDE9D9"/>
          <bgColor rgb="FFFDE9D9"/>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rgb="FF000000"/>
        <name val="Calibri"/>
        <scheme val="none"/>
      </font>
      <fill>
        <patternFill patternType="solid">
          <fgColor rgb="FFFDE9D9"/>
          <bgColor rgb="FFFDE9D9"/>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rgb="FF000000"/>
        <name val="Calibri"/>
        <scheme val="none"/>
      </font>
      <fill>
        <patternFill patternType="solid">
          <fgColor rgb="FFFDE9D9"/>
          <bgColor rgb="FFFDE9D9"/>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rgb="FF000000"/>
        <name val="Calibri"/>
        <scheme val="none"/>
      </font>
      <fill>
        <patternFill patternType="solid">
          <fgColor rgb="FFFDE9D9"/>
          <bgColor rgb="FFFDE9D9"/>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rgb="FF000000"/>
        <name val="Calibri"/>
        <scheme val="none"/>
      </font>
      <fill>
        <patternFill patternType="solid">
          <fgColor rgb="FFFDE9D9"/>
          <bgColor rgb="FFFDE9D9"/>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rgb="FF000000"/>
        <name val="Calibri"/>
        <scheme val="none"/>
      </font>
      <fill>
        <patternFill patternType="solid">
          <fgColor rgb="FFFDE9D9"/>
          <bgColor rgb="FFFDE9D9"/>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rgb="FF000000"/>
        <name val="Calibri"/>
        <scheme val="none"/>
      </font>
      <fill>
        <patternFill patternType="solid">
          <fgColor rgb="FFFDE9D9"/>
          <bgColor rgb="FFFDE9D9"/>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rgb="FF000000"/>
        <name val="Calibri"/>
        <scheme val="none"/>
      </font>
      <fill>
        <patternFill patternType="solid">
          <fgColor rgb="FFFDE9D9"/>
          <bgColor rgb="FFFDE9D9"/>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style="thin">
          <color theme="0"/>
        </left>
        <right/>
        <top style="thin">
          <color theme="0"/>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style="thin">
          <color theme="0"/>
        </left>
        <right/>
        <top style="thin">
          <color theme="0"/>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style="thin">
          <color theme="0"/>
        </left>
        <right/>
        <top style="thin">
          <color theme="0"/>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right style="thin">
          <color theme="0"/>
        </right>
        <top style="thin">
          <color theme="0"/>
        </top>
        <bottom/>
        <vertical/>
        <horizontal/>
      </border>
    </dxf>
    <dxf>
      <border outline="0">
        <top style="thin">
          <color rgb="FFFFFFFF"/>
        </top>
      </border>
    </dxf>
    <dxf>
      <border outline="0">
        <left style="thin">
          <color rgb="FFFABF8F"/>
        </left>
        <right style="thin">
          <color rgb="FFFFFFFF"/>
        </right>
        <top style="thin">
          <color rgb="FFFABF8F"/>
        </top>
        <bottom style="thin">
          <color rgb="FFFABF8F"/>
        </bottom>
      </border>
    </dxf>
    <dxf>
      <font>
        <b val="0"/>
        <i val="0"/>
        <strike val="0"/>
        <condense val="0"/>
        <extend val="0"/>
        <outline val="0"/>
        <shadow val="0"/>
        <u val="none"/>
        <vertAlign val="baseline"/>
        <sz val="11"/>
        <color rgb="FF000000"/>
        <name val="Calibri"/>
        <scheme val="none"/>
      </font>
      <fill>
        <patternFill patternType="solid">
          <fgColor rgb="FFFDE9D9"/>
          <bgColor rgb="FFFDE9D9"/>
        </patternFill>
      </fill>
    </dxf>
    <dxf>
      <border outline="0">
        <bottom style="thin">
          <color rgb="FFFABF8F"/>
        </bottom>
      </border>
    </dxf>
    <dxf>
      <font>
        <b/>
        <i val="0"/>
        <strike val="0"/>
        <condense val="0"/>
        <extend val="0"/>
        <outline val="0"/>
        <shadow val="0"/>
        <u val="none"/>
        <vertAlign val="baseline"/>
        <sz val="11"/>
        <color theme="0"/>
        <name val="Calibri"/>
        <scheme val="minor"/>
      </font>
      <fill>
        <patternFill patternType="solid">
          <fgColor theme="9"/>
          <bgColor theme="9"/>
        </patternFill>
      </fill>
      <border diagonalUp="0" diagonalDown="0" outline="0">
        <left style="thin">
          <color theme="0"/>
        </left>
        <right style="thin">
          <color theme="0"/>
        </right>
        <top/>
        <bottom/>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border outline="0">
        <left style="thin">
          <color theme="9" tint="0.39997558519241921"/>
        </left>
        <right style="thin">
          <color theme="9" tint="0.39997558519241921"/>
        </right>
        <top style="thin">
          <color theme="9" tint="0.39997558519241921"/>
        </top>
        <bottom style="thin">
          <color theme="9" tint="0.39997558519241921"/>
        </bottom>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border outline="0">
        <bottom style="thin">
          <color theme="9" tint="0.39997558519241921"/>
        </bottom>
      </border>
    </dxf>
    <dxf>
      <font>
        <b/>
        <i val="0"/>
        <strike val="0"/>
        <condense val="0"/>
        <extend val="0"/>
        <outline val="0"/>
        <shadow val="0"/>
        <u val="none"/>
        <vertAlign val="baseline"/>
        <sz val="11"/>
        <color theme="0"/>
        <name val="Calibri"/>
        <scheme val="minor"/>
      </font>
      <fill>
        <patternFill patternType="solid">
          <fgColor theme="9"/>
          <bgColor theme="9"/>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right style="thin">
          <color theme="0"/>
        </right>
        <top style="thin">
          <color theme="0"/>
        </top>
        <bottom/>
        <vertical/>
        <horizontal/>
      </border>
    </dxf>
    <dxf>
      <border outline="0">
        <top style="thin">
          <color theme="0"/>
        </top>
      </border>
    </dxf>
    <dxf>
      <border outline="0">
        <left style="thin">
          <color theme="9" tint="0.39997558519241921"/>
        </left>
        <right style="thin">
          <color theme="0"/>
        </right>
        <top style="thin">
          <color theme="9" tint="0.39997558519241921"/>
        </top>
        <bottom style="thin">
          <color theme="9" tint="0.39997558519241921"/>
        </bottom>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border outline="0">
        <bottom style="thin">
          <color theme="9" tint="0.39997558519241921"/>
        </bottom>
      </border>
    </dxf>
    <dxf>
      <font>
        <b/>
        <i val="0"/>
        <strike val="0"/>
        <condense val="0"/>
        <extend val="0"/>
        <outline val="0"/>
        <shadow val="0"/>
        <u val="none"/>
        <vertAlign val="baseline"/>
        <sz val="11"/>
        <color theme="0"/>
        <name val="Calibri"/>
        <scheme val="minor"/>
      </font>
      <fill>
        <patternFill patternType="solid">
          <fgColor theme="9"/>
          <bgColor theme="9"/>
        </patternFill>
      </fill>
      <border diagonalUp="0" diagonalDown="0" outline="0">
        <left style="thin">
          <color theme="0"/>
        </left>
        <right style="thin">
          <color theme="0"/>
        </right>
        <top/>
        <bottom/>
      </border>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alignment horizontal="left" vertical="bottom" textRotation="0" wrapText="0" indent="0" justifyLastLine="0" shrinkToFit="0" readingOrder="0"/>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alignment horizontal="left" vertical="bottom" textRotation="0" wrapText="0" indent="0" justifyLastLine="0" shrinkToFit="0" readingOrder="0"/>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border outline="0">
        <bottom style="thick">
          <color theme="0"/>
        </bottom>
      </border>
    </dxf>
    <dxf>
      <font>
        <b/>
        <i val="0"/>
        <strike val="0"/>
        <condense val="0"/>
        <extend val="0"/>
        <outline val="0"/>
        <shadow val="0"/>
        <u val="none"/>
        <vertAlign val="baseline"/>
        <sz val="10"/>
        <color theme="0"/>
        <name val="Calibri"/>
        <family val="2"/>
        <scheme val="minor"/>
      </font>
      <fill>
        <patternFill patternType="solid">
          <fgColor theme="5"/>
          <bgColor theme="5"/>
        </patternFill>
      </fill>
      <border diagonalUp="0" diagonalDown="0" outline="0">
        <left style="thin">
          <color theme="0"/>
        </left>
        <right style="thin">
          <color theme="0"/>
        </right>
        <top/>
        <bottom/>
      </border>
    </dxf>
    <dxf>
      <font>
        <b val="0"/>
        <i val="0"/>
        <strike val="0"/>
        <condense val="0"/>
        <extend val="0"/>
        <outline val="0"/>
        <shadow val="0"/>
        <u val="none"/>
        <vertAlign val="baseline"/>
        <sz val="10"/>
        <color theme="1"/>
        <name val="Calibri"/>
        <family val="2"/>
        <scheme val="minor"/>
      </font>
      <numFmt numFmtId="30" formatCode="@"/>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strike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numFmt numFmtId="0" formatCode="General"/>
    </dxf>
    <dxf>
      <font>
        <b val="0"/>
        <i val="0"/>
        <strike val="0"/>
        <condense val="0"/>
        <extend val="0"/>
        <outline val="0"/>
        <shadow val="0"/>
        <u val="none"/>
        <vertAlign val="baseline"/>
        <sz val="10"/>
        <color theme="1"/>
        <name val="Calibri"/>
        <scheme val="minor"/>
      </font>
      <numFmt numFmtId="0" formatCode="General"/>
    </dxf>
    <dxf>
      <font>
        <b val="0"/>
        <i val="0"/>
        <strike val="0"/>
        <condense val="0"/>
        <extend val="0"/>
        <outline val="0"/>
        <shadow val="0"/>
        <u val="none"/>
        <vertAlign val="baseline"/>
        <sz val="10"/>
        <color theme="1"/>
        <name val="Calibri"/>
        <scheme val="minor"/>
      </font>
      <numFmt numFmtId="0" formatCode="General"/>
    </dxf>
    <dxf>
      <font>
        <b val="0"/>
        <i val="0"/>
        <strike val="0"/>
        <condense val="0"/>
        <extend val="0"/>
        <outline val="0"/>
        <shadow val="0"/>
        <u val="none"/>
        <vertAlign val="baseline"/>
        <sz val="10"/>
        <color theme="1"/>
        <name val="Calibri"/>
        <scheme val="minor"/>
      </font>
      <numFmt numFmtId="0" formatCode="General"/>
    </dxf>
    <dxf>
      <font>
        <strike val="0"/>
        <outline val="0"/>
        <shadow val="0"/>
        <u val="none"/>
        <vertAlign val="baseline"/>
        <sz val="10"/>
        <color theme="1"/>
        <name val="Calibri"/>
        <scheme val="minor"/>
      </font>
      <numFmt numFmtId="0" formatCode="General"/>
    </dxf>
    <dxf>
      <font>
        <strike val="0"/>
        <outline val="0"/>
        <shadow val="0"/>
        <u val="none"/>
        <vertAlign val="baseline"/>
        <sz val="10"/>
        <color theme="1"/>
        <name val="Calibri"/>
        <scheme val="minor"/>
      </font>
      <numFmt numFmtId="0" formatCode="General"/>
    </dxf>
    <dxf>
      <font>
        <strike val="0"/>
        <outline val="0"/>
        <shadow val="0"/>
        <u val="none"/>
        <vertAlign val="baseline"/>
        <sz val="10"/>
        <color theme="1"/>
        <name val="Calibri"/>
        <scheme val="minor"/>
      </font>
      <numFmt numFmtId="0" formatCode="General"/>
    </dxf>
    <dxf>
      <font>
        <b val="0"/>
        <i val="0"/>
        <strike val="0"/>
        <condense val="0"/>
        <extend val="0"/>
        <outline val="0"/>
        <shadow val="0"/>
        <u val="none"/>
        <vertAlign val="baseline"/>
        <sz val="10"/>
        <color theme="1"/>
        <name val="Calibri"/>
        <scheme val="minor"/>
      </font>
      <numFmt numFmtId="0" formatCode="General"/>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0" formatCode="General"/>
    </dxf>
    <dxf>
      <font>
        <b val="0"/>
        <i val="0"/>
        <strike val="0"/>
        <condense val="0"/>
        <extend val="0"/>
        <outline val="0"/>
        <shadow val="0"/>
        <u val="none"/>
        <vertAlign val="baseline"/>
        <sz val="10"/>
        <color theme="1"/>
        <name val="Calibri"/>
        <scheme val="minor"/>
      </font>
      <numFmt numFmtId="0" formatCode="General"/>
    </dxf>
    <dxf>
      <font>
        <b val="0"/>
        <i val="0"/>
        <strike val="0"/>
        <condense val="0"/>
        <extend val="0"/>
        <outline val="0"/>
        <shadow val="0"/>
        <u val="none"/>
        <vertAlign val="baseline"/>
        <sz val="10"/>
        <color theme="1"/>
        <name val="Calibri"/>
        <scheme val="minor"/>
      </font>
      <numFmt numFmtId="0" formatCode="General"/>
    </dxf>
    <dxf>
      <font>
        <strike val="0"/>
        <outline val="0"/>
        <shadow val="0"/>
        <u val="none"/>
        <vertAlign val="baseline"/>
        <sz val="10"/>
        <color theme="1"/>
        <name val="Calibri"/>
        <scheme val="minor"/>
      </font>
      <numFmt numFmtId="0" formatCode="General"/>
    </dxf>
    <dxf>
      <font>
        <b val="0"/>
        <i val="0"/>
        <strike val="0"/>
        <condense val="0"/>
        <extend val="0"/>
        <outline val="0"/>
        <shadow val="0"/>
        <u val="none"/>
        <vertAlign val="baseline"/>
        <sz val="10"/>
        <color theme="1"/>
        <name val="Calibri"/>
        <scheme val="minor"/>
      </font>
      <numFmt numFmtId="0" formatCode="General"/>
    </dxf>
    <dxf>
      <font>
        <strike val="0"/>
        <outline val="0"/>
        <shadow val="0"/>
        <u val="none"/>
        <vertAlign val="baseline"/>
        <sz val="10"/>
        <color theme="1"/>
        <name val="Calibri"/>
        <scheme val="minor"/>
      </font>
      <numFmt numFmtId="0" formatCode="General"/>
      <alignment horizontal="left" vertical="bottom" textRotation="0" wrapText="0" indent="0" justifyLastLine="0" shrinkToFit="0" readingOrder="0"/>
    </dxf>
    <dxf>
      <font>
        <b val="0"/>
        <i val="0"/>
        <strike val="0"/>
        <condense val="0"/>
        <extend val="0"/>
        <outline val="0"/>
        <shadow val="0"/>
        <u val="none"/>
        <vertAlign val="baseline"/>
        <sz val="10"/>
        <color theme="1"/>
        <name val="Calibri"/>
        <scheme val="minor"/>
      </font>
      <numFmt numFmtId="0" formatCode="General"/>
    </dxf>
    <dxf>
      <font>
        <b val="0"/>
        <i val="0"/>
        <strike val="0"/>
        <condense val="0"/>
        <extend val="0"/>
        <outline val="0"/>
        <shadow val="0"/>
        <u val="none"/>
        <vertAlign val="baseline"/>
        <sz val="10"/>
        <color theme="1"/>
        <name val="Calibri"/>
        <scheme val="minor"/>
      </font>
      <alignment horizontal="left" vertical="bottom" textRotation="0" wrapText="0" indent="0" justifyLastLine="0" shrinkToFit="0" readingOrder="0"/>
    </dxf>
    <dxf>
      <font>
        <b val="0"/>
        <i val="0"/>
        <strike val="0"/>
        <condense val="0"/>
        <extend val="0"/>
        <outline val="0"/>
        <shadow val="0"/>
        <u val="none"/>
        <vertAlign val="baseline"/>
        <sz val="10"/>
        <color theme="1"/>
        <name val="Calibri"/>
        <scheme val="minor"/>
      </font>
      <alignment horizontal="left" vertical="bottom" textRotation="0" wrapText="0" indent="0" justifyLastLine="0" shrinkToFit="0" readingOrder="0"/>
    </dxf>
    <dxf>
      <font>
        <b val="0"/>
        <i val="0"/>
        <strike val="0"/>
        <condense val="0"/>
        <extend val="0"/>
        <outline val="0"/>
        <shadow val="0"/>
        <u val="none"/>
        <vertAlign val="baseline"/>
        <sz val="10"/>
        <color theme="1"/>
        <name val="Calibri"/>
        <scheme val="minor"/>
      </font>
      <numFmt numFmtId="0" formatCode="General"/>
      <alignment horizontal="left" vertical="bottom" textRotation="0" wrapText="0" relativeIndent="0" justifyLastLine="0" shrinkToFit="0" readingOrder="0"/>
    </dxf>
    <dxf>
      <font>
        <strike val="0"/>
        <outline val="0"/>
        <shadow val="0"/>
        <u val="none"/>
        <vertAlign val="baseline"/>
        <sz val="10"/>
        <color theme="1"/>
        <name val="Calibri"/>
        <scheme val="minor"/>
      </font>
      <numFmt numFmtId="0" formatCode="General"/>
      <alignment horizontal="left" vertical="bottom" textRotation="0" wrapText="0" indent="0" justifyLastLine="0" shrinkToFit="0" readingOrder="0"/>
    </dxf>
    <dxf>
      <font>
        <strike val="0"/>
        <outline val="0"/>
        <shadow val="0"/>
        <u val="none"/>
        <vertAlign val="baseline"/>
        <sz val="10"/>
        <color theme="1"/>
        <name val="Calibri"/>
        <scheme val="minor"/>
      </font>
      <alignment horizontal="left" vertical="bottom" textRotation="0" wrapText="0" relativeIndent="0" justifyLastLine="0" shrinkToFit="0" readingOrder="0"/>
    </dxf>
    <dxf>
      <font>
        <b val="0"/>
        <i val="0"/>
        <strike val="0"/>
        <condense val="0"/>
        <extend val="0"/>
        <outline val="0"/>
        <shadow val="0"/>
        <u val="none"/>
        <vertAlign val="baseline"/>
        <sz val="10"/>
        <color theme="1"/>
        <name val="Calibri"/>
        <scheme val="minor"/>
      </font>
      <alignment horizontal="center" vertical="bottom" textRotation="0" wrapText="0" indent="0" justifyLastLine="0" shrinkToFit="0" readingOrder="0"/>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numFmt numFmtId="0" formatCode="General"/>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s>
  <tableStyles count="0" defaultTableStyle="TableStyleMedium9" defaultPivotStyle="PivotStyleLight16"/>
  <colors>
    <mruColors>
      <color rgb="FFFFFFCC"/>
      <color rgb="FF9CACB9"/>
      <color rgb="FF708B39"/>
      <color rgb="FF8EB149"/>
      <color rgb="FF00305E"/>
      <color rgb="FFF0F5E7"/>
      <color rgb="FFF7EAE9"/>
      <color rgb="FF4A7EBB"/>
      <color rgb="FFFFFFFF"/>
      <color rgb="FFE9EF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alcChain" Target="calcChain.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CheckBox" fmlaLink="$B$112" lockText="1" noThreeD="1"/>
</file>

<file path=xl/ctrlProps/ctrlProp10.xml><?xml version="1.0" encoding="utf-8"?>
<formControlPr xmlns="http://schemas.microsoft.com/office/spreadsheetml/2009/9/main" objectType="CheckBox" fmlaLink="$B$28" lockText="1" noThreeD="1"/>
</file>

<file path=xl/ctrlProps/ctrlProp11.xml><?xml version="1.0" encoding="utf-8"?>
<formControlPr xmlns="http://schemas.microsoft.com/office/spreadsheetml/2009/9/main" objectType="CheckBox" fmlaLink="$B$29" lockText="1" noThreeD="1"/>
</file>

<file path=xl/ctrlProps/ctrlProp2.xml><?xml version="1.0" encoding="utf-8"?>
<formControlPr xmlns="http://schemas.microsoft.com/office/spreadsheetml/2009/9/main" objectType="CheckBox" fmlaLink="$B$44" lockText="1" noThreeD="1"/>
</file>

<file path=xl/ctrlProps/ctrlProp3.xml><?xml version="1.0" encoding="utf-8"?>
<formControlPr xmlns="http://schemas.microsoft.com/office/spreadsheetml/2009/9/main" objectType="CheckBox" fmlaLink="$B$112" lockText="1" noThreeD="1"/>
</file>

<file path=xl/ctrlProps/ctrlProp4.xml><?xml version="1.0" encoding="utf-8"?>
<formControlPr xmlns="http://schemas.microsoft.com/office/spreadsheetml/2009/9/main" objectType="CheckBox" fmlaLink="$B$44" lockText="1" noThreeD="1"/>
</file>

<file path=xl/ctrlProps/ctrlProp5.xml><?xml version="1.0" encoding="utf-8"?>
<formControlPr xmlns="http://schemas.microsoft.com/office/spreadsheetml/2009/9/main" objectType="CheckBox" fmlaLink="$B$119" lockText="1" noThreeD="1"/>
</file>

<file path=xl/ctrlProps/ctrlProp6.xml><?xml version="1.0" encoding="utf-8"?>
<formControlPr xmlns="http://schemas.microsoft.com/office/spreadsheetml/2009/9/main" objectType="CheckBox" fmlaLink="$B$44" lockText="1" noThreeD="1"/>
</file>

<file path=xl/ctrlProps/ctrlProp7.xml><?xml version="1.0" encoding="utf-8"?>
<formControlPr xmlns="http://schemas.microsoft.com/office/spreadsheetml/2009/9/main" objectType="CheckBox" fmlaLink="$B$93" lockText="1" noThreeD="1"/>
</file>

<file path=xl/ctrlProps/ctrlProp8.xml><?xml version="1.0" encoding="utf-8"?>
<formControlPr xmlns="http://schemas.microsoft.com/office/spreadsheetml/2009/9/main" objectType="CheckBox" fmlaLink="$B$26" lockText="1" noThreeD="1"/>
</file>

<file path=xl/ctrlProps/ctrlProp9.xml><?xml version="1.0" encoding="utf-8"?>
<formControlPr xmlns="http://schemas.microsoft.com/office/spreadsheetml/2009/9/main" objectType="CheckBox" fmlaLink="$B$27"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hyperlink" Target="#TARGET_ADL_4_TOP"/><Relationship Id="rId2" Type="http://schemas.openxmlformats.org/officeDocument/2006/relationships/hyperlink" Target="#TARGET_ADL_4_3"/><Relationship Id="rId1" Type="http://schemas.openxmlformats.org/officeDocument/2006/relationships/hyperlink" Target="#TARGET_ADL_4_1"/><Relationship Id="rId6" Type="http://schemas.openxmlformats.org/officeDocument/2006/relationships/hyperlink" Target="#TARGET_ADL_4_2"/><Relationship Id="rId5" Type="http://schemas.openxmlformats.org/officeDocument/2006/relationships/hyperlink" Target="#TARGET_TOP_ICW"/><Relationship Id="rId4" Type="http://schemas.openxmlformats.org/officeDocument/2006/relationships/image" Target="../media/image2.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RGET_TOP_ICW"/></Relationships>
</file>

<file path=xl/drawings/_rels/drawing12.xml.rels><?xml version="1.0" encoding="UTF-8" standalone="yes"?>
<Relationships xmlns="http://schemas.openxmlformats.org/package/2006/relationships"><Relationship Id="rId3" Type="http://schemas.openxmlformats.org/officeDocument/2006/relationships/hyperlink" Target="#TARGET_TOP_MFI_NJ_REG"/><Relationship Id="rId2" Type="http://schemas.openxmlformats.org/officeDocument/2006/relationships/image" Target="../media/image1.png"/><Relationship Id="rId1" Type="http://schemas.openxmlformats.org/officeDocument/2006/relationships/hyperlink" Target="#TARGET_TOP_ICW"/></Relationships>
</file>

<file path=xl/drawings/_rels/drawing13.xml.rels><?xml version="1.0" encoding="UTF-8" standalone="yes"?>
<Relationships xmlns="http://schemas.openxmlformats.org/package/2006/relationships"><Relationship Id="rId3" Type="http://schemas.openxmlformats.org/officeDocument/2006/relationships/hyperlink" Target="#TARGET_TOP_MFI_NY_REG"/><Relationship Id="rId2" Type="http://schemas.openxmlformats.org/officeDocument/2006/relationships/image" Target="../media/image1.png"/><Relationship Id="rId1" Type="http://schemas.openxmlformats.org/officeDocument/2006/relationships/hyperlink" Target="#TARGET_TOP_ICW"/></Relationships>
</file>

<file path=xl/drawings/_rels/drawing14.xml.rels><?xml version="1.0" encoding="UTF-8" standalone="yes"?>
<Relationships xmlns="http://schemas.openxmlformats.org/package/2006/relationships"><Relationship Id="rId3" Type="http://schemas.openxmlformats.org/officeDocument/2006/relationships/hyperlink" Target="#TARGET_TOP_MFI_PR_REG"/><Relationship Id="rId2" Type="http://schemas.openxmlformats.org/officeDocument/2006/relationships/image" Target="../media/image1.png"/><Relationship Id="rId1" Type="http://schemas.openxmlformats.org/officeDocument/2006/relationships/hyperlink" Target="#TARGET_TOP_ICW"/></Relationships>
</file>

<file path=xl/drawings/_rels/drawing15.xml.rels><?xml version="1.0" encoding="UTF-8" standalone="yes"?>
<Relationships xmlns="http://schemas.openxmlformats.org/package/2006/relationships"><Relationship Id="rId3" Type="http://schemas.openxmlformats.org/officeDocument/2006/relationships/hyperlink" Target="#TARGET_TOP_MFI_VI_REG"/><Relationship Id="rId2" Type="http://schemas.openxmlformats.org/officeDocument/2006/relationships/image" Target="../media/image1.png"/><Relationship Id="rId1" Type="http://schemas.openxmlformats.org/officeDocument/2006/relationships/hyperlink" Target="#TARGET_TOP_ICW"/></Relationships>
</file>

<file path=xl/drawings/_rels/drawing16.xml.rels><?xml version="1.0" encoding="UTF-8" standalone="yes"?>
<Relationships xmlns="http://schemas.openxmlformats.org/package/2006/relationships"><Relationship Id="rId3" Type="http://schemas.openxmlformats.org/officeDocument/2006/relationships/hyperlink" Target="#TARGET_TOP_MFI_OTHER_REG"/><Relationship Id="rId2" Type="http://schemas.openxmlformats.org/officeDocument/2006/relationships/image" Target="../media/image1.png"/><Relationship Id="rId1" Type="http://schemas.openxmlformats.org/officeDocument/2006/relationships/hyperlink" Target="#TARGET_TOP_ICW"/></Relationships>
</file>

<file path=xl/drawings/_rels/drawing17.xml.rels><?xml version="1.0" encoding="UTF-8" standalone="yes"?>
<Relationships xmlns="http://schemas.openxmlformats.org/package/2006/relationships"><Relationship Id="rId3" Type="http://schemas.openxmlformats.org/officeDocument/2006/relationships/hyperlink" Target="#TARGET_TOP_MFI_NJ_VOL"/><Relationship Id="rId2" Type="http://schemas.openxmlformats.org/officeDocument/2006/relationships/image" Target="../media/image1.png"/><Relationship Id="rId1" Type="http://schemas.openxmlformats.org/officeDocument/2006/relationships/hyperlink" Target="#TARGET_TOP_ICW"/></Relationships>
</file>

<file path=xl/drawings/_rels/drawing18.xml.rels><?xml version="1.0" encoding="UTF-8" standalone="yes"?>
<Relationships xmlns="http://schemas.openxmlformats.org/package/2006/relationships"><Relationship Id="rId3" Type="http://schemas.openxmlformats.org/officeDocument/2006/relationships/hyperlink" Target="#TARGET_TOP_MFI_NY_VOL"/><Relationship Id="rId2" Type="http://schemas.openxmlformats.org/officeDocument/2006/relationships/image" Target="../media/image1.png"/><Relationship Id="rId1" Type="http://schemas.openxmlformats.org/officeDocument/2006/relationships/hyperlink" Target="#TARGET_TOP_ICW"/></Relationships>
</file>

<file path=xl/drawings/_rels/drawing19.xml.rels><?xml version="1.0" encoding="UTF-8" standalone="yes"?>
<Relationships xmlns="http://schemas.openxmlformats.org/package/2006/relationships"><Relationship Id="rId3" Type="http://schemas.openxmlformats.org/officeDocument/2006/relationships/hyperlink" Target="#TARGET_TOP_MFI_PR_VOL"/><Relationship Id="rId2" Type="http://schemas.openxmlformats.org/officeDocument/2006/relationships/image" Target="../media/image1.png"/><Relationship Id="rId1" Type="http://schemas.openxmlformats.org/officeDocument/2006/relationships/hyperlink" Target="#TARGET_TOP_ICW"/></Relationships>
</file>

<file path=xl/drawings/_rels/drawing2.xml.rels><?xml version="1.0" encoding="UTF-8" standalone="yes"?>
<Relationships xmlns="http://schemas.openxmlformats.org/package/2006/relationships"><Relationship Id="rId8" Type="http://schemas.openxmlformats.org/officeDocument/2006/relationships/hyperlink" Target="#TARGET_TOP_ICW"/><Relationship Id="rId13" Type="http://schemas.openxmlformats.org/officeDocument/2006/relationships/hyperlink" Target="#TARGET_TOP_MFI_VI_REG"/><Relationship Id="rId3" Type="http://schemas.openxmlformats.org/officeDocument/2006/relationships/hyperlink" Target="#TARGET_RES_2_2"/><Relationship Id="rId7" Type="http://schemas.openxmlformats.org/officeDocument/2006/relationships/image" Target="../media/image2.png"/><Relationship Id="rId12" Type="http://schemas.openxmlformats.org/officeDocument/2006/relationships/hyperlink" Target="#TARGET_TOP_MFI_PR_REG"/><Relationship Id="rId2" Type="http://schemas.openxmlformats.org/officeDocument/2006/relationships/hyperlink" Target="#TARGET_RES_2_1"/><Relationship Id="rId1" Type="http://schemas.openxmlformats.org/officeDocument/2006/relationships/hyperlink" Target="#TARGET_RES_2_5"/><Relationship Id="rId6" Type="http://schemas.openxmlformats.org/officeDocument/2006/relationships/hyperlink" Target="#TARGET_RESERVATION_2_TOP"/><Relationship Id="rId11" Type="http://schemas.openxmlformats.org/officeDocument/2006/relationships/hyperlink" Target="#TARGET_TOP_MFI_NY_REG"/><Relationship Id="rId5" Type="http://schemas.openxmlformats.org/officeDocument/2006/relationships/hyperlink" Target="#TARGET_RES_2_4"/><Relationship Id="rId10" Type="http://schemas.openxmlformats.org/officeDocument/2006/relationships/hyperlink" Target="#TARGET_TOP_MFI_NJ_REG"/><Relationship Id="rId4" Type="http://schemas.openxmlformats.org/officeDocument/2006/relationships/hyperlink" Target="#TARGET_RES_2_3"/><Relationship Id="rId9" Type="http://schemas.openxmlformats.org/officeDocument/2006/relationships/hyperlink" Target="#TARGET_RES_2_6"/><Relationship Id="rId14" Type="http://schemas.openxmlformats.org/officeDocument/2006/relationships/hyperlink" Target="#TARGET_TOP_MFI_OTHER_REG"/></Relationships>
</file>

<file path=xl/drawings/_rels/drawing20.xml.rels><?xml version="1.0" encoding="UTF-8" standalone="yes"?>
<Relationships xmlns="http://schemas.openxmlformats.org/package/2006/relationships"><Relationship Id="rId3" Type="http://schemas.openxmlformats.org/officeDocument/2006/relationships/hyperlink" Target="#TARGET_TOP_MFI_VI_VOL"/><Relationship Id="rId2" Type="http://schemas.openxmlformats.org/officeDocument/2006/relationships/image" Target="../media/image1.png"/><Relationship Id="rId1" Type="http://schemas.openxmlformats.org/officeDocument/2006/relationships/hyperlink" Target="#TARGET_TOP_ICW"/></Relationships>
</file>

<file path=xl/drawings/_rels/drawing21.xml.rels><?xml version="1.0" encoding="UTF-8" standalone="yes"?>
<Relationships xmlns="http://schemas.openxmlformats.org/package/2006/relationships"><Relationship Id="rId2" Type="http://schemas.openxmlformats.org/officeDocument/2006/relationships/hyperlink" Target="#TARGET_CONFIG_TOP"/><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8" Type="http://schemas.openxmlformats.org/officeDocument/2006/relationships/hyperlink" Target="#TARGET_DISB_2_6"/><Relationship Id="rId3" Type="http://schemas.openxmlformats.org/officeDocument/2006/relationships/hyperlink" Target="#TARGET_DSB_2_2"/><Relationship Id="rId7" Type="http://schemas.openxmlformats.org/officeDocument/2006/relationships/image" Target="../media/image2.png"/><Relationship Id="rId2" Type="http://schemas.openxmlformats.org/officeDocument/2006/relationships/hyperlink" Target="#TARGET_DSB_2_1"/><Relationship Id="rId1" Type="http://schemas.openxmlformats.org/officeDocument/2006/relationships/hyperlink" Target="#TARGET_DISB_2_5"/><Relationship Id="rId6" Type="http://schemas.openxmlformats.org/officeDocument/2006/relationships/hyperlink" Target="#TARGET_DSB_2_TOP"/><Relationship Id="rId5" Type="http://schemas.openxmlformats.org/officeDocument/2006/relationships/hyperlink" Target="#TARGET_DSB_2_4"/><Relationship Id="rId4" Type="http://schemas.openxmlformats.org/officeDocument/2006/relationships/hyperlink" Target="#TARGET_DSB_2_3"/></Relationships>
</file>

<file path=xl/drawings/_rels/drawing4.xml.rels><?xml version="1.0" encoding="UTF-8" standalone="yes"?>
<Relationships xmlns="http://schemas.openxmlformats.org/package/2006/relationships"><Relationship Id="rId3" Type="http://schemas.openxmlformats.org/officeDocument/2006/relationships/hyperlink" Target="#TARGET_ADL_2_TOP"/><Relationship Id="rId2" Type="http://schemas.openxmlformats.org/officeDocument/2006/relationships/hyperlink" Target="#TARGET_ADL_2_3"/><Relationship Id="rId1" Type="http://schemas.openxmlformats.org/officeDocument/2006/relationships/hyperlink" Target="#TARGET_ADL_2_1"/><Relationship Id="rId6" Type="http://schemas.openxmlformats.org/officeDocument/2006/relationships/hyperlink" Target="#TARGET_ADL_2_2"/><Relationship Id="rId5" Type="http://schemas.openxmlformats.org/officeDocument/2006/relationships/hyperlink" Target="#TARGET_TOP_ICW"/><Relationship Id="rId4" Type="http://schemas.openxmlformats.org/officeDocument/2006/relationships/image" Target="../media/image2.png"/></Relationships>
</file>

<file path=xl/drawings/_rels/drawing5.xml.rels><?xml version="1.0" encoding="UTF-8" standalone="yes"?>
<Relationships xmlns="http://schemas.openxmlformats.org/package/2006/relationships"><Relationship Id="rId8" Type="http://schemas.openxmlformats.org/officeDocument/2006/relationships/hyperlink" Target="#TARGET_TOP_ICW"/><Relationship Id="rId13" Type="http://schemas.openxmlformats.org/officeDocument/2006/relationships/hyperlink" Target="#TARGET_TOP_MFI_VI_VOL"/><Relationship Id="rId3" Type="http://schemas.openxmlformats.org/officeDocument/2006/relationships/hyperlink" Target="#TARGET_RES_3_2"/><Relationship Id="rId7" Type="http://schemas.openxmlformats.org/officeDocument/2006/relationships/image" Target="../media/image2.png"/><Relationship Id="rId12" Type="http://schemas.openxmlformats.org/officeDocument/2006/relationships/hyperlink" Target="#TARGET_TOP_MFI_PR_VOL"/><Relationship Id="rId2" Type="http://schemas.openxmlformats.org/officeDocument/2006/relationships/hyperlink" Target="#TARGET_RES_3_1"/><Relationship Id="rId1" Type="http://schemas.openxmlformats.org/officeDocument/2006/relationships/hyperlink" Target="#TARGET_RES_3_5"/><Relationship Id="rId6" Type="http://schemas.openxmlformats.org/officeDocument/2006/relationships/hyperlink" Target="#TARGET_RESERVATION_3_TOP"/><Relationship Id="rId11" Type="http://schemas.openxmlformats.org/officeDocument/2006/relationships/hyperlink" Target="#TARGET_TOP_MFI_NY_VOL"/><Relationship Id="rId5" Type="http://schemas.openxmlformats.org/officeDocument/2006/relationships/hyperlink" Target="#TARGET_RES_3_4"/><Relationship Id="rId10" Type="http://schemas.openxmlformats.org/officeDocument/2006/relationships/hyperlink" Target="#TARGET_TOP_MFI_NJ_VOL"/><Relationship Id="rId4" Type="http://schemas.openxmlformats.org/officeDocument/2006/relationships/hyperlink" Target="#TARGET_RES_3_3"/><Relationship Id="rId9" Type="http://schemas.openxmlformats.org/officeDocument/2006/relationships/hyperlink" Target="#TARGET_RES_3_6"/></Relationships>
</file>

<file path=xl/drawings/_rels/drawing6.xml.rels><?xml version="1.0" encoding="UTF-8" standalone="yes"?>
<Relationships xmlns="http://schemas.openxmlformats.org/package/2006/relationships"><Relationship Id="rId8" Type="http://schemas.openxmlformats.org/officeDocument/2006/relationships/hyperlink" Target="#TARGET_DISB_3_6"/><Relationship Id="rId3" Type="http://schemas.openxmlformats.org/officeDocument/2006/relationships/hyperlink" Target="#TARGET_DSB_3_2"/><Relationship Id="rId7" Type="http://schemas.openxmlformats.org/officeDocument/2006/relationships/image" Target="../media/image2.png"/><Relationship Id="rId2" Type="http://schemas.openxmlformats.org/officeDocument/2006/relationships/hyperlink" Target="#TARGET_DSB_3_1"/><Relationship Id="rId1" Type="http://schemas.openxmlformats.org/officeDocument/2006/relationships/hyperlink" Target="#TARGET_DISB_3_5"/><Relationship Id="rId6" Type="http://schemas.openxmlformats.org/officeDocument/2006/relationships/hyperlink" Target="#TARGET_DSB_3_TOP"/><Relationship Id="rId5" Type="http://schemas.openxmlformats.org/officeDocument/2006/relationships/hyperlink" Target="#TARGET_DSB_3_4"/><Relationship Id="rId4" Type="http://schemas.openxmlformats.org/officeDocument/2006/relationships/hyperlink" Target="#TARGET_DSB_3_3"/></Relationships>
</file>

<file path=xl/drawings/_rels/drawing7.xml.rels><?xml version="1.0" encoding="UTF-8" standalone="yes"?>
<Relationships xmlns="http://schemas.openxmlformats.org/package/2006/relationships"><Relationship Id="rId3" Type="http://schemas.openxmlformats.org/officeDocument/2006/relationships/hyperlink" Target="#TARGET_ADL_3_TOP"/><Relationship Id="rId2" Type="http://schemas.openxmlformats.org/officeDocument/2006/relationships/hyperlink" Target="#TARGET_ADL_3_3"/><Relationship Id="rId1" Type="http://schemas.openxmlformats.org/officeDocument/2006/relationships/hyperlink" Target="#TARGET_ADL_3_1"/><Relationship Id="rId6" Type="http://schemas.openxmlformats.org/officeDocument/2006/relationships/hyperlink" Target="#TARGET_ADL_3_2"/><Relationship Id="rId5" Type="http://schemas.openxmlformats.org/officeDocument/2006/relationships/hyperlink" Target="#TARGET_TOP_ICW"/><Relationship Id="rId4" Type="http://schemas.openxmlformats.org/officeDocument/2006/relationships/image" Target="../media/image2.png"/></Relationships>
</file>

<file path=xl/drawings/_rels/drawing8.xml.rels><?xml version="1.0" encoding="UTF-8" standalone="yes"?>
<Relationships xmlns="http://schemas.openxmlformats.org/package/2006/relationships"><Relationship Id="rId8" Type="http://schemas.openxmlformats.org/officeDocument/2006/relationships/hyperlink" Target="#TARGET_TOP_ICW"/><Relationship Id="rId13" Type="http://schemas.openxmlformats.org/officeDocument/2006/relationships/hyperlink" Target="#TARGET_TOP_MFI_VI_VOL"/><Relationship Id="rId3" Type="http://schemas.openxmlformats.org/officeDocument/2006/relationships/hyperlink" Target="#TARGET_RES_4_2"/><Relationship Id="rId7" Type="http://schemas.openxmlformats.org/officeDocument/2006/relationships/image" Target="../media/image2.png"/><Relationship Id="rId12" Type="http://schemas.openxmlformats.org/officeDocument/2006/relationships/hyperlink" Target="#TARGET_TOP_MFI_PR_VOL"/><Relationship Id="rId2" Type="http://schemas.openxmlformats.org/officeDocument/2006/relationships/hyperlink" Target="#TARGET_RES_4_1"/><Relationship Id="rId1" Type="http://schemas.openxmlformats.org/officeDocument/2006/relationships/hyperlink" Target="#TARGET_RES_4_5"/><Relationship Id="rId6" Type="http://schemas.openxmlformats.org/officeDocument/2006/relationships/hyperlink" Target="#TARGET_RESERVATION_4_TOP"/><Relationship Id="rId11" Type="http://schemas.openxmlformats.org/officeDocument/2006/relationships/hyperlink" Target="#TARGET_TOP_MFI_NY_VOL"/><Relationship Id="rId5" Type="http://schemas.openxmlformats.org/officeDocument/2006/relationships/hyperlink" Target="#TARGET_RES_4_4"/><Relationship Id="rId10" Type="http://schemas.openxmlformats.org/officeDocument/2006/relationships/hyperlink" Target="#TARGET_TOP_MFI_NJ_VOL"/><Relationship Id="rId4" Type="http://schemas.openxmlformats.org/officeDocument/2006/relationships/hyperlink" Target="#TARGET_RES_4_3"/><Relationship Id="rId9" Type="http://schemas.openxmlformats.org/officeDocument/2006/relationships/hyperlink" Target="#TARGET_RES_4_6"/></Relationships>
</file>

<file path=xl/drawings/_rels/drawing9.xml.rels><?xml version="1.0" encoding="UTF-8" standalone="yes"?>
<Relationships xmlns="http://schemas.openxmlformats.org/package/2006/relationships"><Relationship Id="rId8" Type="http://schemas.openxmlformats.org/officeDocument/2006/relationships/hyperlink" Target="#TARGET_DISB_4_6"/><Relationship Id="rId3" Type="http://schemas.openxmlformats.org/officeDocument/2006/relationships/hyperlink" Target="#TARGET_DSB_4_2"/><Relationship Id="rId7" Type="http://schemas.openxmlformats.org/officeDocument/2006/relationships/image" Target="../media/image2.png"/><Relationship Id="rId2" Type="http://schemas.openxmlformats.org/officeDocument/2006/relationships/hyperlink" Target="#TARGET_DSB_4_1"/><Relationship Id="rId1" Type="http://schemas.openxmlformats.org/officeDocument/2006/relationships/hyperlink" Target="#TARGET_DISB_4_5"/><Relationship Id="rId6" Type="http://schemas.openxmlformats.org/officeDocument/2006/relationships/hyperlink" Target="#TARGET_DSB_4_TOP"/><Relationship Id="rId5" Type="http://schemas.openxmlformats.org/officeDocument/2006/relationships/hyperlink" Target="#TARGET_DSB_4_4"/><Relationship Id="rId4" Type="http://schemas.openxmlformats.org/officeDocument/2006/relationships/hyperlink" Target="#TARGET_DSB_4_3"/></Relationships>
</file>

<file path=xl/drawings/drawing1.xml><?xml version="1.0" encoding="utf-8"?>
<xdr:wsDr xmlns:xdr="http://schemas.openxmlformats.org/drawingml/2006/spreadsheetDrawing" xmlns:a="http://schemas.openxmlformats.org/drawingml/2006/main">
  <xdr:oneCellAnchor>
    <xdr:from>
      <xdr:col>3</xdr:col>
      <xdr:colOff>1076325</xdr:colOff>
      <xdr:row>3</xdr:row>
      <xdr:rowOff>933450</xdr:rowOff>
    </xdr:from>
    <xdr:ext cx="184731" cy="264560"/>
    <xdr:sp macro="" textlink="">
      <xdr:nvSpPr>
        <xdr:cNvPr id="38" name="TextBox 37">
          <a:extLst>
            <a:ext uri="{FF2B5EF4-FFF2-40B4-BE49-F238E27FC236}">
              <a16:creationId xmlns:a16="http://schemas.microsoft.com/office/drawing/2014/main" id="{00000000-0008-0000-0000-000026000000}"/>
            </a:ext>
          </a:extLst>
        </xdr:cNvPr>
        <xdr:cNvSpPr txBox="1"/>
      </xdr:nvSpPr>
      <xdr:spPr>
        <a:xfrm>
          <a:off x="3943350" y="162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twoCellAnchor editAs="absolute">
    <xdr:from>
      <xdr:col>16384</xdr:col>
      <xdr:colOff>604857</xdr:colOff>
      <xdr:row>13</xdr:row>
      <xdr:rowOff>193675</xdr:rowOff>
    </xdr:from>
    <xdr:to>
      <xdr:col>16384</xdr:col>
      <xdr:colOff>604857</xdr:colOff>
      <xdr:row>15</xdr:row>
      <xdr:rowOff>152400</xdr:rowOff>
    </xdr:to>
    <xdr:sp macro="" textlink="">
      <xdr:nvSpPr>
        <xdr:cNvPr id="43" name="COVER_CELLS_01">
          <a:extLst>
            <a:ext uri="{FF2B5EF4-FFF2-40B4-BE49-F238E27FC236}">
              <a16:creationId xmlns:a16="http://schemas.microsoft.com/office/drawing/2014/main" id="{00000000-0008-0000-0000-00002B000000}"/>
            </a:ext>
          </a:extLst>
        </xdr:cNvPr>
        <xdr:cNvSpPr/>
      </xdr:nvSpPr>
      <xdr:spPr>
        <a:xfrm>
          <a:off x="11068049" y="3590925"/>
          <a:ext cx="142875" cy="600075"/>
        </a:xfrm>
        <a:prstGeom prst="rect">
          <a:avLst/>
        </a:prstGeom>
        <a:solidFill>
          <a:srgbClr val="FFFFFF">
            <a:alpha val="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fPrintsWithSheet="0"/>
  </xdr:twoCellAnchor>
  <xdr:twoCellAnchor editAs="oneCell">
    <xdr:from>
      <xdr:col>4</xdr:col>
      <xdr:colOff>1791391</xdr:colOff>
      <xdr:row>0</xdr:row>
      <xdr:rowOff>17693</xdr:rowOff>
    </xdr:from>
    <xdr:to>
      <xdr:col>4</xdr:col>
      <xdr:colOff>3391594</xdr:colOff>
      <xdr:row>2</xdr:row>
      <xdr:rowOff>46269</xdr:rowOff>
    </xdr:to>
    <xdr:pic>
      <xdr:nvPicPr>
        <xdr:cNvPr id="40" name="WELCOME_HEADER_IMG" descr="Medium.gif">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1" cstate="print"/>
        <a:stretch>
          <a:fillRect/>
        </a:stretch>
      </xdr:blipFill>
      <xdr:spPr>
        <a:xfrm>
          <a:off x="3334441" y="17693"/>
          <a:ext cx="1600203" cy="533401"/>
        </a:xfrm>
        <a:prstGeom prst="rect">
          <a:avLst/>
        </a:prstGeom>
      </xdr:spPr>
    </xdr:pic>
    <xdr:clientData/>
  </xdr:twoCellAnchor>
  <xdr:twoCellAnchor>
    <xdr:from>
      <xdr:col>2</xdr:col>
      <xdr:colOff>28575</xdr:colOff>
      <xdr:row>2</xdr:row>
      <xdr:rowOff>57150</xdr:rowOff>
    </xdr:from>
    <xdr:to>
      <xdr:col>6</xdr:col>
      <xdr:colOff>152400</xdr:colOff>
      <xdr:row>3</xdr:row>
      <xdr:rowOff>212328</xdr:rowOff>
    </xdr:to>
    <xdr:grpSp>
      <xdr:nvGrpSpPr>
        <xdr:cNvPr id="24" name="WELCOME_HEADER">
          <a:extLst>
            <a:ext uri="{FF2B5EF4-FFF2-40B4-BE49-F238E27FC236}">
              <a16:creationId xmlns:a16="http://schemas.microsoft.com/office/drawing/2014/main" id="{00000000-0008-0000-0000-000018000000}"/>
            </a:ext>
          </a:extLst>
        </xdr:cNvPr>
        <xdr:cNvGrpSpPr/>
      </xdr:nvGrpSpPr>
      <xdr:grpSpPr>
        <a:xfrm>
          <a:off x="28575" y="561975"/>
          <a:ext cx="8229600" cy="345678"/>
          <a:chOff x="28366" y="561181"/>
          <a:chExt cx="8470315" cy="345678"/>
        </a:xfrm>
      </xdr:grpSpPr>
      <xdr:sp macro="" textlink="">
        <xdr:nvSpPr>
          <xdr:cNvPr id="29" name="HEADER_RECT_01">
            <a:extLst>
              <a:ext uri="{FF2B5EF4-FFF2-40B4-BE49-F238E27FC236}">
                <a16:creationId xmlns:a16="http://schemas.microsoft.com/office/drawing/2014/main" id="{00000000-0008-0000-0000-00001D000000}"/>
              </a:ext>
            </a:extLst>
          </xdr:cNvPr>
          <xdr:cNvSpPr/>
        </xdr:nvSpPr>
        <xdr:spPr>
          <a:xfrm>
            <a:off x="38100" y="580231"/>
            <a:ext cx="8460581" cy="274320"/>
          </a:xfrm>
          <a:prstGeom prst="rect">
            <a:avLst/>
          </a:prstGeom>
          <a:solidFill>
            <a:srgbClr val="00305E"/>
          </a:solidFill>
          <a:ln>
            <a:noFill/>
          </a:ln>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en-US" sz="1100"/>
          </a:p>
        </xdr:txBody>
      </xdr:sp>
      <xdr:sp macro="" textlink="$B$2">
        <xdr:nvSpPr>
          <xdr:cNvPr id="45" name="HEADER_TEXT">
            <a:extLst>
              <a:ext uri="{FF2B5EF4-FFF2-40B4-BE49-F238E27FC236}">
                <a16:creationId xmlns:a16="http://schemas.microsoft.com/office/drawing/2014/main" id="{00000000-0008-0000-0000-00002D000000}"/>
              </a:ext>
            </a:extLst>
          </xdr:cNvPr>
          <xdr:cNvSpPr txBox="1"/>
        </xdr:nvSpPr>
        <xdr:spPr>
          <a:xfrm>
            <a:off x="28366" y="561181"/>
            <a:ext cx="8313457"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pPr algn="ctr"/>
            <a:fld id="{58B3646A-CA1D-49C2-AF4B-6EE4EC024D0A}" type="TxLink">
              <a:rPr lang="en-US" sz="1400" b="1" i="0" u="none" strike="noStrike">
                <a:solidFill>
                  <a:schemeClr val="bg1"/>
                </a:solidFill>
                <a:latin typeface="Calibri"/>
                <a:cs typeface="Calibri"/>
              </a:rPr>
              <a:pPr algn="ctr"/>
              <a:t>Homebuyer Dream Program® Request Form - 2026 Round</a:t>
            </a:fld>
            <a:endParaRPr lang="en-US" sz="4400" b="1" i="0" u="none" strike="noStrike">
              <a:solidFill>
                <a:schemeClr val="bg1"/>
              </a:solidFill>
              <a:latin typeface="Calibri"/>
            </a:endParaRPr>
          </a:p>
        </xdr:txBody>
      </xdr:sp>
      <xdr:cxnSp macro="">
        <xdr:nvCxnSpPr>
          <xdr:cNvPr id="22" name="HEADER_RECT_03">
            <a:extLst>
              <a:ext uri="{FF2B5EF4-FFF2-40B4-BE49-F238E27FC236}">
                <a16:creationId xmlns:a16="http://schemas.microsoft.com/office/drawing/2014/main" id="{00000000-0008-0000-0000-000016000000}"/>
              </a:ext>
            </a:extLst>
          </xdr:cNvPr>
          <xdr:cNvCxnSpPr/>
        </xdr:nvCxnSpPr>
        <xdr:spPr>
          <a:xfrm>
            <a:off x="35721" y="906859"/>
            <a:ext cx="8451437" cy="0"/>
          </a:xfrm>
          <a:prstGeom prst="line">
            <a:avLst/>
          </a:prstGeom>
          <a:ln w="22225">
            <a:solidFill>
              <a:srgbClr val="00305E"/>
            </a:solidFill>
          </a:ln>
        </xdr:spPr>
        <xdr:style>
          <a:lnRef idx="1">
            <a:schemeClr val="accent1"/>
          </a:lnRef>
          <a:fillRef idx="0">
            <a:schemeClr val="accent1"/>
          </a:fillRef>
          <a:effectRef idx="0">
            <a:schemeClr val="accent1"/>
          </a:effectRef>
          <a:fontRef idx="minor">
            <a:schemeClr val="tx1"/>
          </a:fontRef>
        </xdr:style>
      </xdr:cxnSp>
      <xdr:cxnSp macro="">
        <xdr:nvCxnSpPr>
          <xdr:cNvPr id="23" name="HEADER_RECT_02">
            <a:extLst>
              <a:ext uri="{FF2B5EF4-FFF2-40B4-BE49-F238E27FC236}">
                <a16:creationId xmlns:a16="http://schemas.microsoft.com/office/drawing/2014/main" id="{00000000-0008-0000-0000-000017000000}"/>
              </a:ext>
            </a:extLst>
          </xdr:cNvPr>
          <xdr:cNvCxnSpPr/>
        </xdr:nvCxnSpPr>
        <xdr:spPr>
          <a:xfrm>
            <a:off x="35721" y="875109"/>
            <a:ext cx="8451437" cy="0"/>
          </a:xfrm>
          <a:prstGeom prst="line">
            <a:avLst/>
          </a:prstGeom>
          <a:ln w="22225">
            <a:solidFill>
              <a:srgbClr val="00305E"/>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10.xml><?xml version="1.0" encoding="utf-8"?>
<xdr:wsDr xmlns:xdr="http://schemas.openxmlformats.org/drawingml/2006/spreadsheetDrawing" xmlns:a="http://schemas.openxmlformats.org/drawingml/2006/main">
  <xdr:oneCellAnchor>
    <xdr:from>
      <xdr:col>8</xdr:col>
      <xdr:colOff>200024</xdr:colOff>
      <xdr:row>16</xdr:row>
      <xdr:rowOff>9525</xdr:rowOff>
    </xdr:from>
    <xdr:ext cx="2295525" cy="264560"/>
    <xdr:sp macro="" textlink="$B$27">
      <xdr:nvSpPr>
        <xdr:cNvPr id="2" name="TOC_SECTION_1">
          <a:hlinkClick xmlns:r="http://schemas.openxmlformats.org/officeDocument/2006/relationships" r:id="rId1"/>
          <a:extLst>
            <a:ext uri="{FF2B5EF4-FFF2-40B4-BE49-F238E27FC236}">
              <a16:creationId xmlns:a16="http://schemas.microsoft.com/office/drawing/2014/main" id="{00000000-0008-0000-0900-000002000000}"/>
            </a:ext>
          </a:extLst>
        </xdr:cNvPr>
        <xdr:cNvSpPr txBox="1"/>
      </xdr:nvSpPr>
      <xdr:spPr>
        <a:xfrm>
          <a:off x="371474" y="4270375"/>
          <a:ext cx="2295525" cy="2645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lIns="0" rtlCol="0" anchor="t">
          <a:noAutofit/>
        </a:bodyPr>
        <a:lstStyle/>
        <a:p>
          <a:pPr marL="0" indent="0" algn="l"/>
          <a:fld id="{DA03C1FA-CA01-4B00-9243-F0FEF1FEBC7E}" type="TxLink">
            <a:rPr lang="en-US" sz="1000" b="1" i="0" u="sng" strike="noStrike">
              <a:solidFill>
                <a:schemeClr val="accent1">
                  <a:lumMod val="75000"/>
                </a:schemeClr>
              </a:solidFill>
              <a:latin typeface="Calibri"/>
              <a:ea typeface="+mn-ea"/>
              <a:cs typeface="Calibri"/>
            </a:rPr>
            <a:pPr marL="0" indent="0" algn="l"/>
            <a:t>FHLBNY Member</a:t>
          </a:fld>
          <a:endParaRPr lang="en-US" sz="1000" b="1" i="0" u="sng" strike="noStrike">
            <a:solidFill>
              <a:schemeClr val="accent1">
                <a:lumMod val="75000"/>
              </a:schemeClr>
            </a:solidFill>
            <a:latin typeface="Calibri"/>
            <a:ea typeface="+mn-ea"/>
            <a:cs typeface="Calibri"/>
          </a:endParaRPr>
        </a:p>
      </xdr:txBody>
    </xdr:sp>
    <xdr:clientData fPrintsWithSheet="0"/>
  </xdr:oneCellAnchor>
  <xdr:oneCellAnchor>
    <xdr:from>
      <xdr:col>16</xdr:col>
      <xdr:colOff>295275</xdr:colOff>
      <xdr:row>16</xdr:row>
      <xdr:rowOff>9525</xdr:rowOff>
    </xdr:from>
    <xdr:ext cx="2200275" cy="264560"/>
    <xdr:sp macro="" textlink="$B$69">
      <xdr:nvSpPr>
        <xdr:cNvPr id="3" name="TOC_SECTION_9">
          <a:hlinkClick xmlns:r="http://schemas.openxmlformats.org/officeDocument/2006/relationships" r:id="rId2"/>
          <a:extLst>
            <a:ext uri="{FF2B5EF4-FFF2-40B4-BE49-F238E27FC236}">
              <a16:creationId xmlns:a16="http://schemas.microsoft.com/office/drawing/2014/main" id="{00000000-0008-0000-0900-000003000000}"/>
            </a:ext>
          </a:extLst>
        </xdr:cNvPr>
        <xdr:cNvSpPr txBox="1"/>
      </xdr:nvSpPr>
      <xdr:spPr>
        <a:xfrm>
          <a:off x="4225925" y="4270375"/>
          <a:ext cx="2200275" cy="2645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lIns="0" rtlCol="0" anchor="t">
          <a:noAutofit/>
        </a:bodyPr>
        <a:lstStyle/>
        <a:p>
          <a:pPr marL="0" indent="0" algn="l"/>
          <a:fld id="{E9FE7D1D-73D2-4596-9122-036E6D096E77}" type="TxLink">
            <a:rPr lang="en-US" sz="1000" b="1" i="0" u="sng" strike="noStrike">
              <a:solidFill>
                <a:schemeClr val="accent1">
                  <a:lumMod val="75000"/>
                </a:schemeClr>
              </a:solidFill>
              <a:latin typeface="Calibri"/>
              <a:ea typeface="+mn-ea"/>
              <a:cs typeface="Calibri"/>
            </a:rPr>
            <a:pPr marL="0" indent="0" algn="l"/>
            <a:t>Member Certification</a:t>
          </a:fld>
          <a:endParaRPr lang="en-US" sz="1000" b="1" i="0" u="sng" strike="noStrike">
            <a:solidFill>
              <a:schemeClr val="accent1">
                <a:lumMod val="75000"/>
              </a:schemeClr>
            </a:solidFill>
            <a:latin typeface="Calibri"/>
            <a:ea typeface="+mn-ea"/>
            <a:cs typeface="Calibri"/>
          </a:endParaRPr>
        </a:p>
      </xdr:txBody>
    </xdr:sp>
    <xdr:clientData fPrintsWithSheet="0"/>
  </xdr:oneCellAnchor>
  <xdr:twoCellAnchor editAs="absolute">
    <xdr:from>
      <xdr:col>16384</xdr:col>
      <xdr:colOff>607578</xdr:colOff>
      <xdr:row>13</xdr:row>
      <xdr:rowOff>3175</xdr:rowOff>
    </xdr:from>
    <xdr:to>
      <xdr:col>16384</xdr:col>
      <xdr:colOff>607578</xdr:colOff>
      <xdr:row>15</xdr:row>
      <xdr:rowOff>50800</xdr:rowOff>
    </xdr:to>
    <xdr:sp macro="" textlink="">
      <xdr:nvSpPr>
        <xdr:cNvPr id="4" name="COVER_CELLS_01">
          <a:extLst>
            <a:ext uri="{FF2B5EF4-FFF2-40B4-BE49-F238E27FC236}">
              <a16:creationId xmlns:a16="http://schemas.microsoft.com/office/drawing/2014/main" id="{00000000-0008-0000-0900-000004000000}"/>
            </a:ext>
          </a:extLst>
        </xdr:cNvPr>
        <xdr:cNvSpPr/>
      </xdr:nvSpPr>
      <xdr:spPr>
        <a:xfrm>
          <a:off x="8468878" y="3603625"/>
          <a:ext cx="0" cy="606425"/>
        </a:xfrm>
        <a:prstGeom prst="rect">
          <a:avLst/>
        </a:prstGeom>
        <a:solidFill>
          <a:srgbClr val="FFFFFF">
            <a:alpha val="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fPrintsWithSheet="0"/>
  </xdr:twoCellAnchor>
  <xdr:twoCellAnchor>
    <xdr:from>
      <xdr:col>7</xdr:col>
      <xdr:colOff>24775</xdr:colOff>
      <xdr:row>88</xdr:row>
      <xdr:rowOff>228647</xdr:rowOff>
    </xdr:from>
    <xdr:to>
      <xdr:col>24</xdr:col>
      <xdr:colOff>152399</xdr:colOff>
      <xdr:row>89</xdr:row>
      <xdr:rowOff>263320</xdr:rowOff>
    </xdr:to>
    <xdr:grpSp>
      <xdr:nvGrpSpPr>
        <xdr:cNvPr id="5" name="Group 4">
          <a:extLst>
            <a:ext uri="{FF2B5EF4-FFF2-40B4-BE49-F238E27FC236}">
              <a16:creationId xmlns:a16="http://schemas.microsoft.com/office/drawing/2014/main" id="{00000000-0008-0000-0900-000005000000}"/>
            </a:ext>
          </a:extLst>
        </xdr:cNvPr>
        <xdr:cNvGrpSpPr/>
      </xdr:nvGrpSpPr>
      <xdr:grpSpPr>
        <a:xfrm>
          <a:off x="24775" y="24526922"/>
          <a:ext cx="7452349" cy="310898"/>
          <a:chOff x="9296399" y="16259174"/>
          <a:chExt cx="7452359" cy="269487"/>
        </a:xfrm>
      </xdr:grpSpPr>
      <xdr:sp macro="" textlink="CONFIG_EFORM_DOC_ID_NAME">
        <xdr:nvSpPr>
          <xdr:cNvPr id="6" name="FOOTER_BG">
            <a:extLst>
              <a:ext uri="{FF2B5EF4-FFF2-40B4-BE49-F238E27FC236}">
                <a16:creationId xmlns:a16="http://schemas.microsoft.com/office/drawing/2014/main" id="{00000000-0008-0000-0900-000006000000}"/>
              </a:ext>
            </a:extLst>
          </xdr:cNvPr>
          <xdr:cNvSpPr/>
        </xdr:nvSpPr>
        <xdr:spPr>
          <a:xfrm>
            <a:off x="9296399" y="16259174"/>
            <a:ext cx="7452359" cy="269486"/>
          </a:xfrm>
          <a:prstGeom prst="rect">
            <a:avLst/>
          </a:prstGeom>
          <a:solidFill>
            <a:srgbClr val="00305E"/>
          </a:solidFill>
          <a:ln>
            <a:noFill/>
          </a:ln>
          <a:effectLst/>
        </xdr:spPr>
        <xdr:style>
          <a:lnRef idx="1">
            <a:schemeClr val="accent1"/>
          </a:lnRef>
          <a:fillRef idx="3">
            <a:schemeClr val="accent1"/>
          </a:fillRef>
          <a:effectRef idx="2">
            <a:schemeClr val="accent1"/>
          </a:effectRef>
          <a:fontRef idx="minor">
            <a:schemeClr val="lt1"/>
          </a:fontRef>
        </xdr:style>
        <xdr:txBody>
          <a:bodyPr vertOverflow="clip" rtlCol="0" anchor="ctr"/>
          <a:lstStyle/>
          <a:p>
            <a:pPr marL="0" marR="0" indent="0" algn="r" defTabSz="914400" eaLnBrk="1" fontAlgn="auto" latinLnBrk="0" hangingPunct="1">
              <a:lnSpc>
                <a:spcPct val="100000"/>
              </a:lnSpc>
              <a:spcBef>
                <a:spcPts val="0"/>
              </a:spcBef>
              <a:spcAft>
                <a:spcPts val="0"/>
              </a:spcAft>
              <a:buClrTx/>
              <a:buSzTx/>
              <a:buFontTx/>
              <a:buNone/>
              <a:tabLst/>
              <a:defRPr/>
            </a:pPr>
            <a:fld id="{318D66D7-35C3-43A5-9A89-905D240885C5}" type="TxLink">
              <a:rPr lang="en-US" sz="1000" b="1" i="0" u="none" strike="noStrike">
                <a:solidFill>
                  <a:schemeClr val="bg1"/>
                </a:solidFill>
                <a:latin typeface="+mn-lt"/>
                <a:ea typeface="+mn-ea"/>
                <a:cs typeface="Calibri"/>
              </a:rPr>
              <a:pPr marL="0" marR="0" indent="0" algn="r" defTabSz="914400" eaLnBrk="1" fontAlgn="auto" latinLnBrk="0" hangingPunct="1">
                <a:lnSpc>
                  <a:spcPct val="100000"/>
                </a:lnSpc>
                <a:spcBef>
                  <a:spcPts val="0"/>
                </a:spcBef>
                <a:spcAft>
                  <a:spcPts val="0"/>
                </a:spcAft>
                <a:buClrTx/>
                <a:buSzTx/>
                <a:buFontTx/>
                <a:buNone/>
                <a:tabLst/>
                <a:defRPr/>
              </a:pPr>
              <a:t>HDP-005: Homebuyer Dream Program® Request Form</a:t>
            </a:fld>
            <a:endParaRPr lang="en-US" sz="1000" b="1">
              <a:solidFill>
                <a:schemeClr val="bg1"/>
              </a:solidFill>
              <a:latin typeface="+mn-lt"/>
            </a:endParaRPr>
          </a:p>
        </xdr:txBody>
      </xdr:sp>
      <xdr:sp macro="" textlink="">
        <xdr:nvSpPr>
          <xdr:cNvPr id="7" name="FOOTER_LINK_PAGETOP">
            <a:hlinkClick xmlns:r="http://schemas.openxmlformats.org/officeDocument/2006/relationships" r:id="rId3"/>
            <a:extLst>
              <a:ext uri="{FF2B5EF4-FFF2-40B4-BE49-F238E27FC236}">
                <a16:creationId xmlns:a16="http://schemas.microsoft.com/office/drawing/2014/main" id="{00000000-0008-0000-0900-000007000000}"/>
              </a:ext>
            </a:extLst>
          </xdr:cNvPr>
          <xdr:cNvSpPr/>
        </xdr:nvSpPr>
        <xdr:spPr>
          <a:xfrm>
            <a:off x="9296399" y="16259175"/>
            <a:ext cx="1126715" cy="269486"/>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u="none">
                <a:solidFill>
                  <a:schemeClr val="bg1"/>
                </a:solidFill>
                <a:latin typeface="+mn-lt"/>
              </a:rPr>
              <a:t>^ Back to Top</a:t>
            </a:r>
          </a:p>
        </xdr:txBody>
      </xdr:sp>
    </xdr:grpSp>
    <xdr:clientData fPrintsWithSheet="0"/>
  </xdr:twoCellAnchor>
  <xdr:oneCellAnchor>
    <xdr:from>
      <xdr:col>12</xdr:col>
      <xdr:colOff>1076325</xdr:colOff>
      <xdr:row>12</xdr:row>
      <xdr:rowOff>0</xdr:rowOff>
    </xdr:from>
    <xdr:ext cx="184731" cy="264560"/>
    <xdr:sp macro="" textlink="">
      <xdr:nvSpPr>
        <xdr:cNvPr id="8" name="TextBox 7">
          <a:extLst>
            <a:ext uri="{FF2B5EF4-FFF2-40B4-BE49-F238E27FC236}">
              <a16:creationId xmlns:a16="http://schemas.microsoft.com/office/drawing/2014/main" id="{00000000-0008-0000-0900-000008000000}"/>
            </a:ext>
          </a:extLst>
        </xdr:cNvPr>
        <xdr:cNvSpPr txBox="1"/>
      </xdr:nvSpPr>
      <xdr:spPr>
        <a:xfrm>
          <a:off x="27971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oneCellAnchor>
    <xdr:from>
      <xdr:col>16</xdr:col>
      <xdr:colOff>1076325</xdr:colOff>
      <xdr:row>12</xdr:row>
      <xdr:rowOff>0</xdr:rowOff>
    </xdr:from>
    <xdr:ext cx="184731" cy="264560"/>
    <xdr:sp macro="" textlink="">
      <xdr:nvSpPr>
        <xdr:cNvPr id="9" name="TextBox 8">
          <a:extLst>
            <a:ext uri="{FF2B5EF4-FFF2-40B4-BE49-F238E27FC236}">
              <a16:creationId xmlns:a16="http://schemas.microsoft.com/office/drawing/2014/main" id="{00000000-0008-0000-0900-000009000000}"/>
            </a:ext>
          </a:extLst>
        </xdr:cNvPr>
        <xdr:cNvSpPr txBox="1"/>
      </xdr:nvSpPr>
      <xdr:spPr>
        <a:xfrm>
          <a:off x="46767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oneCellAnchor>
    <xdr:from>
      <xdr:col>16</xdr:col>
      <xdr:colOff>1076325</xdr:colOff>
      <xdr:row>12</xdr:row>
      <xdr:rowOff>0</xdr:rowOff>
    </xdr:from>
    <xdr:ext cx="184731" cy="264560"/>
    <xdr:sp macro="" textlink="">
      <xdr:nvSpPr>
        <xdr:cNvPr id="10" name="TextBox 9">
          <a:extLst>
            <a:ext uri="{FF2B5EF4-FFF2-40B4-BE49-F238E27FC236}">
              <a16:creationId xmlns:a16="http://schemas.microsoft.com/office/drawing/2014/main" id="{00000000-0008-0000-0900-00000A000000}"/>
            </a:ext>
          </a:extLst>
        </xdr:cNvPr>
        <xdr:cNvSpPr txBox="1"/>
      </xdr:nvSpPr>
      <xdr:spPr>
        <a:xfrm>
          <a:off x="46767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oneCellAnchor>
    <xdr:from>
      <xdr:col>16</xdr:col>
      <xdr:colOff>1076325</xdr:colOff>
      <xdr:row>12</xdr:row>
      <xdr:rowOff>0</xdr:rowOff>
    </xdr:from>
    <xdr:ext cx="184731" cy="264560"/>
    <xdr:sp macro="" textlink="">
      <xdr:nvSpPr>
        <xdr:cNvPr id="11" name="TextBox 10">
          <a:extLst>
            <a:ext uri="{FF2B5EF4-FFF2-40B4-BE49-F238E27FC236}">
              <a16:creationId xmlns:a16="http://schemas.microsoft.com/office/drawing/2014/main" id="{00000000-0008-0000-0900-00000B000000}"/>
            </a:ext>
          </a:extLst>
        </xdr:cNvPr>
        <xdr:cNvSpPr txBox="1"/>
      </xdr:nvSpPr>
      <xdr:spPr>
        <a:xfrm>
          <a:off x="46767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twoCellAnchor editAs="oneCell">
    <xdr:from>
      <xdr:col>7</xdr:col>
      <xdr:colOff>66675</xdr:colOff>
      <xdr:row>18</xdr:row>
      <xdr:rowOff>180974</xdr:rowOff>
    </xdr:from>
    <xdr:to>
      <xdr:col>24</xdr:col>
      <xdr:colOff>104776</xdr:colOff>
      <xdr:row>23</xdr:row>
      <xdr:rowOff>95247</xdr:rowOff>
    </xdr:to>
    <xdr:grpSp>
      <xdr:nvGrpSpPr>
        <xdr:cNvPr id="12" name="Group 11">
          <a:extLst>
            <a:ext uri="{FF2B5EF4-FFF2-40B4-BE49-F238E27FC236}">
              <a16:creationId xmlns:a16="http://schemas.microsoft.com/office/drawing/2014/main" id="{00000000-0008-0000-0900-00000C000000}"/>
            </a:ext>
          </a:extLst>
        </xdr:cNvPr>
        <xdr:cNvGrpSpPr/>
      </xdr:nvGrpSpPr>
      <xdr:grpSpPr>
        <a:xfrm>
          <a:off x="66675" y="5143499"/>
          <a:ext cx="7362826" cy="1295398"/>
          <a:chOff x="8191500" y="5295900"/>
          <a:chExt cx="7362826" cy="1172027"/>
        </a:xfrm>
      </xdr:grpSpPr>
      <xdr:grpSp>
        <xdr:nvGrpSpPr>
          <xdr:cNvPr id="13" name="RENTAL_1">
            <a:extLst>
              <a:ext uri="{FF2B5EF4-FFF2-40B4-BE49-F238E27FC236}">
                <a16:creationId xmlns:a16="http://schemas.microsoft.com/office/drawing/2014/main" id="{00000000-0008-0000-0900-00000D000000}"/>
              </a:ext>
            </a:extLst>
          </xdr:cNvPr>
          <xdr:cNvGrpSpPr/>
        </xdr:nvGrpSpPr>
        <xdr:grpSpPr>
          <a:xfrm>
            <a:off x="8191500" y="5295901"/>
            <a:ext cx="7362825" cy="1172026"/>
            <a:chOff x="8191500" y="4057651"/>
            <a:chExt cx="7362825" cy="1172026"/>
          </a:xfrm>
        </xdr:grpSpPr>
        <xdr:sp macro="" textlink="">
          <xdr:nvSpPr>
            <xdr:cNvPr id="15" name="RENTAL_1_SECTION_FRAME">
              <a:extLst>
                <a:ext uri="{FF2B5EF4-FFF2-40B4-BE49-F238E27FC236}">
                  <a16:creationId xmlns:a16="http://schemas.microsoft.com/office/drawing/2014/main" id="{00000000-0008-0000-0900-00000F000000}"/>
                </a:ext>
              </a:extLst>
            </xdr:cNvPr>
            <xdr:cNvSpPr/>
          </xdr:nvSpPr>
          <xdr:spPr>
            <a:xfrm>
              <a:off x="8191500" y="4367099"/>
              <a:ext cx="7362825" cy="862578"/>
            </a:xfrm>
            <a:prstGeom prst="rect">
              <a:avLst/>
            </a:prstGeom>
            <a:no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endParaRPr lang="en-US" sz="1100"/>
            </a:p>
          </xdr:txBody>
        </xdr:sp>
        <xdr:sp macro="" textlink="B18">
          <xdr:nvSpPr>
            <xdr:cNvPr id="16" name="RENTAL_1_SECTION_TITLE">
              <a:extLst>
                <a:ext uri="{FF2B5EF4-FFF2-40B4-BE49-F238E27FC236}">
                  <a16:creationId xmlns:a16="http://schemas.microsoft.com/office/drawing/2014/main" id="{00000000-0008-0000-0900-000010000000}"/>
                </a:ext>
              </a:extLst>
            </xdr:cNvPr>
            <xdr:cNvSpPr/>
          </xdr:nvSpPr>
          <xdr:spPr>
            <a:xfrm>
              <a:off x="8191500" y="4057651"/>
              <a:ext cx="7360920" cy="311090"/>
            </a:xfrm>
            <a:prstGeom prst="rect">
              <a:avLst/>
            </a:prstGeom>
            <a:solidFill>
              <a:srgbClr val="9CACB9"/>
            </a:solid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l"/>
              <a:fld id="{41F85F06-3A35-4C2E-A513-A2CFAECED2A4}" type="TxLink">
                <a:rPr lang="en-US" sz="1100" b="1" i="0" u="none" strike="noStrike">
                  <a:solidFill>
                    <a:schemeClr val="bg1"/>
                  </a:solidFill>
                  <a:latin typeface="Calibri"/>
                </a:rPr>
                <a:pPr algn="l"/>
                <a:t>Federal Home Loan Bank of New York Member</a:t>
              </a:fld>
              <a:endParaRPr lang="en-US" sz="1100" b="1" i="0">
                <a:solidFill>
                  <a:schemeClr val="bg1"/>
                </a:solidFill>
              </a:endParaRPr>
            </a:p>
          </xdr:txBody>
        </xdr:sp>
        <xdr:sp macro="" textlink="$B$25">
          <xdr:nvSpPr>
            <xdr:cNvPr id="17" name="RENTAL_1_SECTION_SUBTITLE">
              <a:extLst>
                <a:ext uri="{FF2B5EF4-FFF2-40B4-BE49-F238E27FC236}">
                  <a16:creationId xmlns:a16="http://schemas.microsoft.com/office/drawing/2014/main" id="{00000000-0008-0000-0900-000011000000}"/>
                </a:ext>
              </a:extLst>
            </xdr:cNvPr>
            <xdr:cNvSpPr/>
          </xdr:nvSpPr>
          <xdr:spPr>
            <a:xfrm>
              <a:off x="8201025" y="4379110"/>
              <a:ext cx="7351776" cy="274320"/>
            </a:xfrm>
            <a:prstGeom prst="rect">
              <a:avLst/>
            </a:prstGeom>
            <a:solidFill>
              <a:schemeClr val="accent1">
                <a:lumMod val="20000"/>
                <a:lumOff val="80000"/>
              </a:schemeClr>
            </a:solidFill>
            <a:ln>
              <a:noFill/>
            </a:ln>
            <a:effectLst/>
          </xdr:spPr>
          <xdr:style>
            <a:lnRef idx="1">
              <a:schemeClr val="accent1"/>
            </a:lnRef>
            <a:fillRef idx="2">
              <a:schemeClr val="accent1"/>
            </a:fillRef>
            <a:effectRef idx="1">
              <a:schemeClr val="accent1"/>
            </a:effectRef>
            <a:fontRef idx="minor">
              <a:schemeClr val="dk1"/>
            </a:fontRef>
          </xdr:style>
          <xdr:txBody>
            <a:bodyPr vertOverflow="clip" lIns="457200" rtlCol="0" anchor="ctr"/>
            <a:lstStyle/>
            <a:p>
              <a:pPr algn="l"/>
              <a:fld id="{CCDC5A28-C611-4D0B-B4D7-393A7AD37E0E}" type="TxLink">
                <a:rPr lang="en-US" sz="900" b="0" i="0" u="none" strike="noStrike">
                  <a:solidFill>
                    <a:srgbClr val="000000"/>
                  </a:solidFill>
                  <a:latin typeface="Calibri"/>
                </a:rPr>
                <a:pPr algn="l"/>
                <a:t>Not Started</a:t>
              </a:fld>
              <a:endParaRPr lang="en-US" sz="1100" i="0"/>
            </a:p>
          </xdr:txBody>
        </xdr:sp>
        <xdr:sp macro="" textlink="">
          <xdr:nvSpPr>
            <xdr:cNvPr id="18" name="RENTAL_1_SECTION_SUBTITLE_LABEL">
              <a:extLst>
                <a:ext uri="{FF2B5EF4-FFF2-40B4-BE49-F238E27FC236}">
                  <a16:creationId xmlns:a16="http://schemas.microsoft.com/office/drawing/2014/main" id="{00000000-0008-0000-0900-000012000000}"/>
                </a:ext>
              </a:extLst>
            </xdr:cNvPr>
            <xdr:cNvSpPr txBox="1"/>
          </xdr:nvSpPr>
          <xdr:spPr>
            <a:xfrm>
              <a:off x="8296277" y="4379110"/>
              <a:ext cx="476249" cy="2743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tlCol="0" anchor="ctr">
              <a:noAutofit/>
            </a:bodyPr>
            <a:lstStyle/>
            <a:p>
              <a:r>
                <a:rPr lang="en-US" sz="900" b="1"/>
                <a:t>Status:</a:t>
              </a:r>
            </a:p>
          </xdr:txBody>
        </xdr:sp>
      </xdr:grpSp>
      <xdr:sp macro="" textlink="">
        <xdr:nvSpPr>
          <xdr:cNvPr id="14" name="LINK_RENTAL_TOC">
            <a:hlinkClick xmlns:r="http://schemas.openxmlformats.org/officeDocument/2006/relationships" r:id="rId3"/>
            <a:extLst>
              <a:ext uri="{FF2B5EF4-FFF2-40B4-BE49-F238E27FC236}">
                <a16:creationId xmlns:a16="http://schemas.microsoft.com/office/drawing/2014/main" id="{00000000-0008-0000-0900-00000E000000}"/>
              </a:ext>
            </a:extLst>
          </xdr:cNvPr>
          <xdr:cNvSpPr/>
        </xdr:nvSpPr>
        <xdr:spPr>
          <a:xfrm>
            <a:off x="14525626" y="5295900"/>
            <a:ext cx="1028700" cy="30480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r"/>
            <a:r>
              <a:rPr lang="en-US" sz="1000" b="1" u="none">
                <a:solidFill>
                  <a:schemeClr val="bg1"/>
                </a:solidFill>
              </a:rPr>
              <a:t>Back</a:t>
            </a:r>
            <a:r>
              <a:rPr lang="en-US" sz="1000" b="1" u="none" baseline="0">
                <a:solidFill>
                  <a:schemeClr val="bg1"/>
                </a:solidFill>
              </a:rPr>
              <a:t> to Top ^</a:t>
            </a:r>
            <a:endParaRPr lang="en-US" sz="1000" b="1" u="none">
              <a:solidFill>
                <a:schemeClr val="bg1"/>
              </a:solidFill>
            </a:endParaRPr>
          </a:p>
        </xdr:txBody>
      </xdr:sp>
    </xdr:grpSp>
    <xdr:clientData fPrintsWithSheet="0"/>
  </xdr:twoCellAnchor>
  <xdr:twoCellAnchor editAs="oneCell">
    <xdr:from>
      <xdr:col>14</xdr:col>
      <xdr:colOff>3398</xdr:colOff>
      <xdr:row>0</xdr:row>
      <xdr:rowOff>71440</xdr:rowOff>
    </xdr:from>
    <xdr:to>
      <xdr:col>24</xdr:col>
      <xdr:colOff>98648</xdr:colOff>
      <xdr:row>0</xdr:row>
      <xdr:rowOff>457200</xdr:rowOff>
    </xdr:to>
    <xdr:sp macro="" textlink="$B$6">
      <xdr:nvSpPr>
        <xdr:cNvPr id="19" name="HEADER_BANNER_TITLE">
          <a:extLst>
            <a:ext uri="{FF2B5EF4-FFF2-40B4-BE49-F238E27FC236}">
              <a16:creationId xmlns:a16="http://schemas.microsoft.com/office/drawing/2014/main" id="{00000000-0008-0000-0900-000013000000}"/>
            </a:ext>
          </a:extLst>
        </xdr:cNvPr>
        <xdr:cNvSpPr txBox="1"/>
      </xdr:nvSpPr>
      <xdr:spPr>
        <a:xfrm>
          <a:off x="2994248" y="71440"/>
          <a:ext cx="4794250" cy="3857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Ins="0" rtlCol="0" anchor="ctr">
          <a:noAutofit/>
        </a:bodyPr>
        <a:lstStyle/>
        <a:p>
          <a:pPr algn="r"/>
          <a:fld id="{EB7A598A-0828-4A2E-81B0-26C15BB3F65D}" type="TxLink">
            <a:rPr lang="en-US" sz="1200" b="1" i="0" u="none" strike="noStrike">
              <a:solidFill>
                <a:sysClr val="windowText" lastClr="000000"/>
              </a:solidFill>
              <a:latin typeface="Calibri"/>
              <a:ea typeface="Calibri"/>
              <a:cs typeface="Calibri"/>
            </a:rPr>
            <a:pPr algn="r"/>
            <a:t>Homebuyer Dream Program Wealth Builder - 2026 Round</a:t>
          </a:fld>
          <a:endParaRPr lang="en-US" sz="1200" b="1" i="0">
            <a:solidFill>
              <a:sysClr val="windowText" lastClr="000000"/>
            </a:solidFill>
          </a:endParaRPr>
        </a:p>
      </xdr:txBody>
    </xdr:sp>
    <xdr:clientData/>
  </xdr:twoCellAnchor>
  <xdr:twoCellAnchor editAs="oneCell">
    <xdr:from>
      <xdr:col>7</xdr:col>
      <xdr:colOff>66675</xdr:colOff>
      <xdr:row>23</xdr:row>
      <xdr:rowOff>238125</xdr:rowOff>
    </xdr:from>
    <xdr:to>
      <xdr:col>24</xdr:col>
      <xdr:colOff>104776</xdr:colOff>
      <xdr:row>57</xdr:row>
      <xdr:rowOff>114300</xdr:rowOff>
    </xdr:to>
    <xdr:grpSp>
      <xdr:nvGrpSpPr>
        <xdr:cNvPr id="20" name="Group 19">
          <a:extLst>
            <a:ext uri="{FF2B5EF4-FFF2-40B4-BE49-F238E27FC236}">
              <a16:creationId xmlns:a16="http://schemas.microsoft.com/office/drawing/2014/main" id="{00000000-0008-0000-0900-000014000000}"/>
            </a:ext>
          </a:extLst>
        </xdr:cNvPr>
        <xdr:cNvGrpSpPr/>
      </xdr:nvGrpSpPr>
      <xdr:grpSpPr>
        <a:xfrm>
          <a:off x="66675" y="6581775"/>
          <a:ext cx="7362826" cy="9267825"/>
          <a:chOff x="8191500" y="8343900"/>
          <a:chExt cx="7362826" cy="9010651"/>
        </a:xfrm>
      </xdr:grpSpPr>
      <xdr:grpSp>
        <xdr:nvGrpSpPr>
          <xdr:cNvPr id="21" name="RENTAL_2">
            <a:extLst>
              <a:ext uri="{FF2B5EF4-FFF2-40B4-BE49-F238E27FC236}">
                <a16:creationId xmlns:a16="http://schemas.microsoft.com/office/drawing/2014/main" id="{00000000-0008-0000-0900-000015000000}"/>
              </a:ext>
            </a:extLst>
          </xdr:cNvPr>
          <xdr:cNvGrpSpPr/>
        </xdr:nvGrpSpPr>
        <xdr:grpSpPr>
          <a:xfrm>
            <a:off x="8191500" y="8343902"/>
            <a:ext cx="7362825" cy="9010649"/>
            <a:chOff x="9353550" y="7334730"/>
            <a:chExt cx="7362825" cy="8558388"/>
          </a:xfrm>
        </xdr:grpSpPr>
        <xdr:sp macro="" textlink="">
          <xdr:nvSpPr>
            <xdr:cNvPr id="23" name="RENTAL_2_SECTION_FRAME">
              <a:extLst>
                <a:ext uri="{FF2B5EF4-FFF2-40B4-BE49-F238E27FC236}">
                  <a16:creationId xmlns:a16="http://schemas.microsoft.com/office/drawing/2014/main" id="{00000000-0008-0000-0900-000017000000}"/>
                </a:ext>
              </a:extLst>
            </xdr:cNvPr>
            <xdr:cNvSpPr/>
          </xdr:nvSpPr>
          <xdr:spPr>
            <a:xfrm>
              <a:off x="9353550" y="7632464"/>
              <a:ext cx="7362825" cy="8260654"/>
            </a:xfrm>
            <a:prstGeom prst="rect">
              <a:avLst/>
            </a:prstGeom>
            <a:no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endParaRPr lang="en-US" sz="1100"/>
            </a:p>
          </xdr:txBody>
        </xdr:sp>
        <xdr:sp macro="" textlink="B30">
          <xdr:nvSpPr>
            <xdr:cNvPr id="24" name="RENTAL_2_SECTION_TITLE">
              <a:extLst>
                <a:ext uri="{FF2B5EF4-FFF2-40B4-BE49-F238E27FC236}">
                  <a16:creationId xmlns:a16="http://schemas.microsoft.com/office/drawing/2014/main" id="{00000000-0008-0000-0900-000018000000}"/>
                </a:ext>
              </a:extLst>
            </xdr:cNvPr>
            <xdr:cNvSpPr/>
          </xdr:nvSpPr>
          <xdr:spPr>
            <a:xfrm>
              <a:off x="9353550" y="7334730"/>
              <a:ext cx="7360920" cy="291669"/>
            </a:xfrm>
            <a:prstGeom prst="rect">
              <a:avLst/>
            </a:prstGeom>
            <a:solidFill>
              <a:srgbClr val="9CACB9"/>
            </a:solid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l"/>
              <a:fld id="{F86A917A-A239-4A8F-B86B-B93056A9B8CA}" type="TxLink">
                <a:rPr lang="en-US" sz="1100" b="1" i="0" u="none" strike="noStrike">
                  <a:solidFill>
                    <a:srgbClr val="FFFFFF"/>
                  </a:solidFill>
                  <a:latin typeface="Calibri"/>
                  <a:cs typeface="Calibri"/>
                </a:rPr>
                <a:pPr algn="l"/>
                <a:t>Household &amp; Submission Details</a:t>
              </a:fld>
              <a:endParaRPr lang="en-US" sz="1100" b="1" i="0">
                <a:solidFill>
                  <a:schemeClr val="bg1"/>
                </a:solidFill>
              </a:endParaRPr>
            </a:p>
          </xdr:txBody>
        </xdr:sp>
        <xdr:sp macro="" textlink="$B$51">
          <xdr:nvSpPr>
            <xdr:cNvPr id="25" name="RENTAL_2_SECTION_SUBTITLE">
              <a:extLst>
                <a:ext uri="{FF2B5EF4-FFF2-40B4-BE49-F238E27FC236}">
                  <a16:creationId xmlns:a16="http://schemas.microsoft.com/office/drawing/2014/main" id="{00000000-0008-0000-0900-000019000000}"/>
                </a:ext>
              </a:extLst>
            </xdr:cNvPr>
            <xdr:cNvSpPr/>
          </xdr:nvSpPr>
          <xdr:spPr>
            <a:xfrm>
              <a:off x="9363075" y="7641569"/>
              <a:ext cx="7351776" cy="257355"/>
            </a:xfrm>
            <a:prstGeom prst="rect">
              <a:avLst/>
            </a:prstGeom>
            <a:solidFill>
              <a:schemeClr val="accent1">
                <a:lumMod val="20000"/>
                <a:lumOff val="80000"/>
              </a:schemeClr>
            </a:solidFill>
            <a:ln>
              <a:noFill/>
            </a:ln>
            <a:effectLst/>
          </xdr:spPr>
          <xdr:style>
            <a:lnRef idx="1">
              <a:schemeClr val="accent1"/>
            </a:lnRef>
            <a:fillRef idx="2">
              <a:schemeClr val="accent1"/>
            </a:fillRef>
            <a:effectRef idx="1">
              <a:schemeClr val="accent1"/>
            </a:effectRef>
            <a:fontRef idx="minor">
              <a:schemeClr val="dk1"/>
            </a:fontRef>
          </xdr:style>
          <xdr:txBody>
            <a:bodyPr vertOverflow="clip" lIns="457200" rtlCol="0" anchor="ctr"/>
            <a:lstStyle/>
            <a:p>
              <a:pPr algn="l"/>
              <a:fld id="{BEF70007-2BBB-4EA1-8334-9920191B3D48}" type="TxLink">
                <a:rPr lang="en-US" sz="900" b="0" i="0" u="none" strike="noStrike">
                  <a:solidFill>
                    <a:srgbClr val="000000"/>
                  </a:solidFill>
                  <a:latin typeface="Calibri"/>
                  <a:cs typeface="Calibri"/>
                </a:rPr>
                <a:pPr algn="l"/>
                <a:t>Not Started</a:t>
              </a:fld>
              <a:endParaRPr lang="en-US" sz="1100" i="0"/>
            </a:p>
          </xdr:txBody>
        </xdr:sp>
        <xdr:sp macro="" textlink="">
          <xdr:nvSpPr>
            <xdr:cNvPr id="26" name="RENTAL_2_SECTION_SUBTITLE_LABEL">
              <a:extLst>
                <a:ext uri="{FF2B5EF4-FFF2-40B4-BE49-F238E27FC236}">
                  <a16:creationId xmlns:a16="http://schemas.microsoft.com/office/drawing/2014/main" id="{00000000-0008-0000-0900-00001A000000}"/>
                </a:ext>
              </a:extLst>
            </xdr:cNvPr>
            <xdr:cNvSpPr txBox="1"/>
          </xdr:nvSpPr>
          <xdr:spPr>
            <a:xfrm>
              <a:off x="9458327" y="7641569"/>
              <a:ext cx="476249" cy="2573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tlCol="0" anchor="ctr">
              <a:noAutofit/>
            </a:bodyPr>
            <a:lstStyle/>
            <a:p>
              <a:r>
                <a:rPr lang="en-US" sz="900" b="1"/>
                <a:t>Status:</a:t>
              </a:r>
            </a:p>
          </xdr:txBody>
        </xdr:sp>
      </xdr:grpSp>
      <xdr:sp macro="" textlink="">
        <xdr:nvSpPr>
          <xdr:cNvPr id="22" name="LINK_RENTAL_TOC">
            <a:hlinkClick xmlns:r="http://schemas.openxmlformats.org/officeDocument/2006/relationships" r:id="rId3"/>
            <a:extLst>
              <a:ext uri="{FF2B5EF4-FFF2-40B4-BE49-F238E27FC236}">
                <a16:creationId xmlns:a16="http://schemas.microsoft.com/office/drawing/2014/main" id="{00000000-0008-0000-0900-000016000000}"/>
              </a:ext>
            </a:extLst>
          </xdr:cNvPr>
          <xdr:cNvSpPr/>
        </xdr:nvSpPr>
        <xdr:spPr>
          <a:xfrm>
            <a:off x="14525626" y="8343900"/>
            <a:ext cx="1028700" cy="30480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r"/>
            <a:r>
              <a:rPr lang="en-US" sz="1000" b="1" u="none">
                <a:solidFill>
                  <a:schemeClr val="bg1"/>
                </a:solidFill>
              </a:rPr>
              <a:t>Back</a:t>
            </a:r>
            <a:r>
              <a:rPr lang="en-US" sz="1000" b="1" u="none" baseline="0">
                <a:solidFill>
                  <a:schemeClr val="bg1"/>
                </a:solidFill>
              </a:rPr>
              <a:t> to Top ^</a:t>
            </a:r>
            <a:endParaRPr lang="en-US" sz="1000" b="1" u="none">
              <a:solidFill>
                <a:schemeClr val="bg1"/>
              </a:solidFill>
            </a:endParaRPr>
          </a:p>
        </xdr:txBody>
      </xdr:sp>
    </xdr:grpSp>
    <xdr:clientData fPrintsWithSheet="0"/>
  </xdr:twoCellAnchor>
  <xdr:twoCellAnchor editAs="oneCell">
    <xdr:from>
      <xdr:col>20</xdr:col>
      <xdr:colOff>66675</xdr:colOff>
      <xdr:row>2</xdr:row>
      <xdr:rowOff>9525</xdr:rowOff>
    </xdr:from>
    <xdr:to>
      <xdr:col>24</xdr:col>
      <xdr:colOff>109538</xdr:colOff>
      <xdr:row>3</xdr:row>
      <xdr:rowOff>1905</xdr:rowOff>
    </xdr:to>
    <xdr:sp macro="" textlink="$B$7">
      <xdr:nvSpPr>
        <xdr:cNvPr id="27" name="HEADER_BANNER_SUBTITLE">
          <a:extLst>
            <a:ext uri="{FF2B5EF4-FFF2-40B4-BE49-F238E27FC236}">
              <a16:creationId xmlns:a16="http://schemas.microsoft.com/office/drawing/2014/main" id="{00000000-0008-0000-0900-00001B000000}"/>
            </a:ext>
          </a:extLst>
        </xdr:cNvPr>
        <xdr:cNvSpPr txBox="1"/>
      </xdr:nvSpPr>
      <xdr:spPr>
        <a:xfrm>
          <a:off x="5876925" y="561975"/>
          <a:ext cx="1922463" cy="182880"/>
        </a:xfrm>
        <a:prstGeom prst="rect">
          <a:avLst/>
        </a:prstGeom>
        <a:solidFill>
          <a:srgbClr val="00305E"/>
        </a:solidFill>
      </xdr:spPr>
      <xdr:style>
        <a:lnRef idx="0">
          <a:scrgbClr r="0" g="0" b="0"/>
        </a:lnRef>
        <a:fillRef idx="0">
          <a:scrgbClr r="0" g="0" b="0"/>
        </a:fillRef>
        <a:effectRef idx="0">
          <a:scrgbClr r="0" g="0" b="0"/>
        </a:effectRef>
        <a:fontRef idx="minor">
          <a:schemeClr val="tx1"/>
        </a:fontRef>
      </xdr:style>
      <xdr:txBody>
        <a:bodyPr vertOverflow="clip" wrap="square" rtlCol="0" anchor="ctr">
          <a:noAutofit/>
        </a:bodyPr>
        <a:lstStyle/>
        <a:p>
          <a:pPr algn="ctr"/>
          <a:fld id="{4B39128B-4B37-4567-8AC7-02473171A03C}" type="TxLink">
            <a:rPr lang="en-US" sz="800" b="1" i="0" u="none" strike="noStrike">
              <a:solidFill>
                <a:schemeClr val="bg1"/>
              </a:solidFill>
              <a:latin typeface="Calibri"/>
              <a:ea typeface="Calibri"/>
              <a:cs typeface="Calibri"/>
            </a:rPr>
            <a:pPr algn="ctr"/>
            <a:t>Other Documentation Request </a:t>
          </a:fld>
          <a:endParaRPr lang="en-US" sz="800" b="1" i="0" u="none" strike="noStrike">
            <a:solidFill>
              <a:schemeClr val="bg1"/>
            </a:solidFill>
            <a:latin typeface="Calibri"/>
          </a:endParaRPr>
        </a:p>
      </xdr:txBody>
    </xdr:sp>
    <xdr:clientData/>
  </xdr:twoCellAnchor>
  <xdr:twoCellAnchor editAs="oneCell">
    <xdr:from>
      <xdr:col>7</xdr:col>
      <xdr:colOff>28574</xdr:colOff>
      <xdr:row>0</xdr:row>
      <xdr:rowOff>37735</xdr:rowOff>
    </xdr:from>
    <xdr:to>
      <xdr:col>10</xdr:col>
      <xdr:colOff>299467</xdr:colOff>
      <xdr:row>0</xdr:row>
      <xdr:rowOff>480458</xdr:rowOff>
    </xdr:to>
    <xdr:pic>
      <xdr:nvPicPr>
        <xdr:cNvPr id="28" name="FHLBNY_LOGO" descr="Medium.gif">
          <a:extLst>
            <a:ext uri="{FF2B5EF4-FFF2-40B4-BE49-F238E27FC236}">
              <a16:creationId xmlns:a16="http://schemas.microsoft.com/office/drawing/2014/main" id="{00000000-0008-0000-0900-00001C000000}"/>
            </a:ext>
          </a:extLst>
        </xdr:cNvPr>
        <xdr:cNvPicPr>
          <a:picLocks noChangeAspect="1"/>
        </xdr:cNvPicPr>
      </xdr:nvPicPr>
      <xdr:blipFill>
        <a:blip xmlns:r="http://schemas.openxmlformats.org/officeDocument/2006/relationships" r:embed="rId4" cstate="print"/>
        <a:stretch>
          <a:fillRect/>
        </a:stretch>
      </xdr:blipFill>
      <xdr:spPr>
        <a:xfrm>
          <a:off x="28574" y="37735"/>
          <a:ext cx="1382143" cy="442723"/>
        </a:xfrm>
        <a:prstGeom prst="rect">
          <a:avLst/>
        </a:prstGeom>
      </xdr:spPr>
    </xdr:pic>
    <xdr:clientData/>
  </xdr:twoCellAnchor>
  <xdr:twoCellAnchor editAs="oneCell">
    <xdr:from>
      <xdr:col>7</xdr:col>
      <xdr:colOff>9526</xdr:colOff>
      <xdr:row>0</xdr:row>
      <xdr:rowOff>5420</xdr:rowOff>
    </xdr:from>
    <xdr:to>
      <xdr:col>25</xdr:col>
      <xdr:colOff>0</xdr:colOff>
      <xdr:row>4</xdr:row>
      <xdr:rowOff>908</xdr:rowOff>
    </xdr:to>
    <xdr:sp macro="" textlink="">
      <xdr:nvSpPr>
        <xdr:cNvPr id="29" name="HEADER_SHORTCUT_TOP">
          <a:hlinkClick xmlns:r="http://schemas.openxmlformats.org/officeDocument/2006/relationships" r:id="rId3" tooltip="Jump to Top"/>
          <a:extLst>
            <a:ext uri="{FF2B5EF4-FFF2-40B4-BE49-F238E27FC236}">
              <a16:creationId xmlns:a16="http://schemas.microsoft.com/office/drawing/2014/main" id="{00000000-0008-0000-0900-00001D000000}"/>
            </a:ext>
          </a:extLst>
        </xdr:cNvPr>
        <xdr:cNvSpPr/>
      </xdr:nvSpPr>
      <xdr:spPr>
        <a:xfrm>
          <a:off x="9526" y="5420"/>
          <a:ext cx="7851774" cy="776538"/>
        </a:xfrm>
        <a:prstGeom prst="rect">
          <a:avLst/>
        </a:prstGeom>
        <a:solidFill>
          <a:schemeClr val="bg1">
            <a:alpha val="0"/>
          </a:schemeClr>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800"/>
        </a:p>
      </xdr:txBody>
    </xdr:sp>
    <xdr:clientData fPrintsWithSheet="0"/>
  </xdr:twoCellAnchor>
  <xdr:twoCellAnchor>
    <xdr:from>
      <xdr:col>19</xdr:col>
      <xdr:colOff>38100</xdr:colOff>
      <xdr:row>37</xdr:row>
      <xdr:rowOff>152400</xdr:rowOff>
    </xdr:from>
    <xdr:to>
      <xdr:col>21</xdr:col>
      <xdr:colOff>104775</xdr:colOff>
      <xdr:row>37</xdr:row>
      <xdr:rowOff>152400</xdr:rowOff>
    </xdr:to>
    <xdr:cxnSp macro="">
      <xdr:nvCxnSpPr>
        <xdr:cNvPr id="30" name="DOTTED_LINE">
          <a:extLst>
            <a:ext uri="{FF2B5EF4-FFF2-40B4-BE49-F238E27FC236}">
              <a16:creationId xmlns:a16="http://schemas.microsoft.com/office/drawing/2014/main" id="{00000000-0008-0000-0900-00001E000000}"/>
            </a:ext>
          </a:extLst>
        </xdr:cNvPr>
        <xdr:cNvCxnSpPr/>
      </xdr:nvCxnSpPr>
      <xdr:spPr>
        <a:xfrm>
          <a:off x="5657850" y="10280650"/>
          <a:ext cx="1006475"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161925</xdr:colOff>
      <xdr:row>42</xdr:row>
      <xdr:rowOff>152400</xdr:rowOff>
    </xdr:from>
    <xdr:to>
      <xdr:col>21</xdr:col>
      <xdr:colOff>104775</xdr:colOff>
      <xdr:row>42</xdr:row>
      <xdr:rowOff>152400</xdr:rowOff>
    </xdr:to>
    <xdr:cxnSp macro="">
      <xdr:nvCxnSpPr>
        <xdr:cNvPr id="31" name="DOTTED_LINE">
          <a:extLst>
            <a:ext uri="{FF2B5EF4-FFF2-40B4-BE49-F238E27FC236}">
              <a16:creationId xmlns:a16="http://schemas.microsoft.com/office/drawing/2014/main" id="{00000000-0008-0000-0900-00001F000000}"/>
            </a:ext>
          </a:extLst>
        </xdr:cNvPr>
        <xdr:cNvCxnSpPr/>
      </xdr:nvCxnSpPr>
      <xdr:spPr>
        <a:xfrm>
          <a:off x="5781675" y="11677650"/>
          <a:ext cx="882650"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12</xdr:col>
          <xdr:colOff>190500</xdr:colOff>
          <xdr:row>55</xdr:row>
          <xdr:rowOff>19050</xdr:rowOff>
        </xdr:from>
        <xdr:to>
          <xdr:col>18</xdr:col>
          <xdr:colOff>552450</xdr:colOff>
          <xdr:row>55</xdr:row>
          <xdr:rowOff>266700</xdr:rowOff>
        </xdr:to>
        <xdr:sp macro="" textlink="">
          <xdr:nvSpPr>
            <xdr:cNvPr id="57345" name="ICW_COMPLETE_FLAG" hidden="1">
              <a:extLst>
                <a:ext uri="{63B3BB69-23CF-44E3-9099-C40C66FF867C}">
                  <a14:compatExt spid="_x0000_s57345"/>
                </a:ext>
                <a:ext uri="{FF2B5EF4-FFF2-40B4-BE49-F238E27FC236}">
                  <a16:creationId xmlns:a16="http://schemas.microsoft.com/office/drawing/2014/main" id="{00000000-0008-0000-0900-000001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The Income Calculation Worksheet has been fully completed</a:t>
              </a:r>
            </a:p>
          </xdr:txBody>
        </xdr:sp>
        <xdr:clientData/>
      </xdr:twoCellAnchor>
    </mc:Choice>
    <mc:Fallback/>
  </mc:AlternateContent>
  <xdr:twoCellAnchor>
    <xdr:from>
      <xdr:col>12</xdr:col>
      <xdr:colOff>419100</xdr:colOff>
      <xdr:row>52</xdr:row>
      <xdr:rowOff>95250</xdr:rowOff>
    </xdr:from>
    <xdr:to>
      <xdr:col>18</xdr:col>
      <xdr:colOff>485775</xdr:colOff>
      <xdr:row>53</xdr:row>
      <xdr:rowOff>171450</xdr:rowOff>
    </xdr:to>
    <xdr:sp macro="" textlink="">
      <xdr:nvSpPr>
        <xdr:cNvPr id="32" name="Rounded Rectangle 44">
          <a:hlinkClick xmlns:r="http://schemas.openxmlformats.org/officeDocument/2006/relationships" r:id="rId5"/>
          <a:extLst>
            <a:ext uri="{FF2B5EF4-FFF2-40B4-BE49-F238E27FC236}">
              <a16:creationId xmlns:a16="http://schemas.microsoft.com/office/drawing/2014/main" id="{00000000-0008-0000-0900-000020000000}"/>
            </a:ext>
          </a:extLst>
        </xdr:cNvPr>
        <xdr:cNvSpPr/>
      </xdr:nvSpPr>
      <xdr:spPr>
        <a:xfrm>
          <a:off x="2470150" y="14414500"/>
          <a:ext cx="2886075" cy="355600"/>
        </a:xfrm>
        <a:prstGeom prst="roundRect">
          <a:avLst/>
        </a:prstGeom>
        <a:gradFill>
          <a:gsLst>
            <a:gs pos="0">
              <a:srgbClr val="8EB149"/>
            </a:gs>
            <a:gs pos="100000">
              <a:srgbClr val="708B39"/>
            </a:gs>
          </a:gsLst>
          <a:lin ang="5400000" scaled="1"/>
        </a:gra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baseline="0">
              <a:latin typeface="Arial" panose="020B0604020202020204" pitchFamily="34" charset="0"/>
              <a:cs typeface="Arial" panose="020B0604020202020204" pitchFamily="34" charset="0"/>
            </a:rPr>
            <a:t>Open Income Calculation Worksheet </a:t>
          </a:r>
        </a:p>
      </xdr:txBody>
    </xdr:sp>
    <xdr:clientData/>
  </xdr:twoCellAnchor>
  <xdr:twoCellAnchor editAs="oneCell">
    <xdr:from>
      <xdr:col>7</xdr:col>
      <xdr:colOff>66675</xdr:colOff>
      <xdr:row>57</xdr:row>
      <xdr:rowOff>247650</xdr:rowOff>
    </xdr:from>
    <xdr:to>
      <xdr:col>24</xdr:col>
      <xdr:colOff>104775</xdr:colOff>
      <xdr:row>88</xdr:row>
      <xdr:rowOff>114301</xdr:rowOff>
    </xdr:to>
    <xdr:grpSp>
      <xdr:nvGrpSpPr>
        <xdr:cNvPr id="33" name="Group 32">
          <a:extLst>
            <a:ext uri="{FF2B5EF4-FFF2-40B4-BE49-F238E27FC236}">
              <a16:creationId xmlns:a16="http://schemas.microsoft.com/office/drawing/2014/main" id="{00000000-0008-0000-0900-000021000000}"/>
            </a:ext>
          </a:extLst>
        </xdr:cNvPr>
        <xdr:cNvGrpSpPr/>
      </xdr:nvGrpSpPr>
      <xdr:grpSpPr>
        <a:xfrm>
          <a:off x="66675" y="15982950"/>
          <a:ext cx="7362825" cy="8429626"/>
          <a:chOff x="8191500" y="18297525"/>
          <a:chExt cx="7362825" cy="8429626"/>
        </a:xfrm>
      </xdr:grpSpPr>
      <xdr:grpSp>
        <xdr:nvGrpSpPr>
          <xdr:cNvPr id="34" name="RENTAL_5">
            <a:extLst>
              <a:ext uri="{FF2B5EF4-FFF2-40B4-BE49-F238E27FC236}">
                <a16:creationId xmlns:a16="http://schemas.microsoft.com/office/drawing/2014/main" id="{00000000-0008-0000-0900-000022000000}"/>
              </a:ext>
            </a:extLst>
          </xdr:cNvPr>
          <xdr:cNvGrpSpPr/>
        </xdr:nvGrpSpPr>
        <xdr:grpSpPr>
          <a:xfrm>
            <a:off x="8191500" y="18297527"/>
            <a:ext cx="7362825" cy="8429624"/>
            <a:chOff x="9363075" y="17297252"/>
            <a:chExt cx="7362825" cy="8639459"/>
          </a:xfrm>
        </xdr:grpSpPr>
        <xdr:sp macro="" textlink="">
          <xdr:nvSpPr>
            <xdr:cNvPr id="36" name="RENTAL_5_SECTION_FRAME">
              <a:extLst>
                <a:ext uri="{FF2B5EF4-FFF2-40B4-BE49-F238E27FC236}">
                  <a16:creationId xmlns:a16="http://schemas.microsoft.com/office/drawing/2014/main" id="{00000000-0008-0000-0900-000024000000}"/>
                </a:ext>
              </a:extLst>
            </xdr:cNvPr>
            <xdr:cNvSpPr/>
          </xdr:nvSpPr>
          <xdr:spPr>
            <a:xfrm>
              <a:off x="9363075" y="17617605"/>
              <a:ext cx="7362825" cy="8319106"/>
            </a:xfrm>
            <a:prstGeom prst="rect">
              <a:avLst/>
            </a:prstGeom>
            <a:no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endParaRPr lang="en-US" sz="1100"/>
            </a:p>
          </xdr:txBody>
        </xdr:sp>
        <xdr:sp macro="" textlink="$B$56">
          <xdr:nvSpPr>
            <xdr:cNvPr id="37" name="RENTAL_5_SECTION_TITLE">
              <a:extLst>
                <a:ext uri="{FF2B5EF4-FFF2-40B4-BE49-F238E27FC236}">
                  <a16:creationId xmlns:a16="http://schemas.microsoft.com/office/drawing/2014/main" id="{00000000-0008-0000-0900-000025000000}"/>
                </a:ext>
              </a:extLst>
            </xdr:cNvPr>
            <xdr:cNvSpPr/>
          </xdr:nvSpPr>
          <xdr:spPr>
            <a:xfrm>
              <a:off x="9363075" y="17297252"/>
              <a:ext cx="7360920" cy="312329"/>
            </a:xfrm>
            <a:prstGeom prst="rect">
              <a:avLst/>
            </a:prstGeom>
            <a:solidFill>
              <a:srgbClr val="9CACB9"/>
            </a:solid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l"/>
              <a:fld id="{9DF9BA25-05A3-4920-BA1B-8A0AAD6FE00E}" type="TxLink">
                <a:rPr lang="en-US" sz="1100" b="1" i="0" u="none" strike="noStrike">
                  <a:solidFill>
                    <a:srgbClr val="FFFFFF"/>
                  </a:solidFill>
                  <a:latin typeface="Calibri"/>
                  <a:cs typeface="Calibri"/>
                </a:rPr>
                <a:pPr algn="l"/>
                <a:t>Member Certification</a:t>
              </a:fld>
              <a:endParaRPr lang="en-US" sz="1100" b="1" i="0" u="none" strike="noStrike">
                <a:solidFill>
                  <a:schemeClr val="bg1"/>
                </a:solidFill>
                <a:latin typeface="Calibri"/>
              </a:endParaRPr>
            </a:p>
          </xdr:txBody>
        </xdr:sp>
        <xdr:sp macro="" textlink="$B$67">
          <xdr:nvSpPr>
            <xdr:cNvPr id="38" name="RENTAL_5_SECTION_SUBTITLE">
              <a:extLst>
                <a:ext uri="{FF2B5EF4-FFF2-40B4-BE49-F238E27FC236}">
                  <a16:creationId xmlns:a16="http://schemas.microsoft.com/office/drawing/2014/main" id="{00000000-0008-0000-0900-000026000000}"/>
                </a:ext>
              </a:extLst>
            </xdr:cNvPr>
            <xdr:cNvSpPr/>
          </xdr:nvSpPr>
          <xdr:spPr>
            <a:xfrm>
              <a:off x="9372598" y="17621098"/>
              <a:ext cx="7351776" cy="278553"/>
            </a:xfrm>
            <a:prstGeom prst="rect">
              <a:avLst/>
            </a:prstGeom>
            <a:solidFill>
              <a:schemeClr val="accent1">
                <a:lumMod val="20000"/>
                <a:lumOff val="80000"/>
              </a:schemeClr>
            </a:solidFill>
            <a:ln>
              <a:noFill/>
            </a:ln>
            <a:effectLst/>
          </xdr:spPr>
          <xdr:style>
            <a:lnRef idx="1">
              <a:schemeClr val="accent1"/>
            </a:lnRef>
            <a:fillRef idx="2">
              <a:schemeClr val="accent1"/>
            </a:fillRef>
            <a:effectRef idx="1">
              <a:schemeClr val="accent1"/>
            </a:effectRef>
            <a:fontRef idx="minor">
              <a:schemeClr val="dk1"/>
            </a:fontRef>
          </xdr:style>
          <xdr:txBody>
            <a:bodyPr vertOverflow="clip" lIns="457200" rtlCol="0" anchor="ctr"/>
            <a:lstStyle/>
            <a:p>
              <a:pPr algn="l"/>
              <a:fld id="{762594DE-3823-4529-9D07-42BEED13138B}" type="TxLink">
                <a:rPr lang="en-US" sz="900" b="0" i="0" u="none" strike="noStrike">
                  <a:solidFill>
                    <a:srgbClr val="000000"/>
                  </a:solidFill>
                  <a:latin typeface="Calibri"/>
                  <a:cs typeface="Calibri"/>
                </a:rPr>
                <a:pPr algn="l"/>
                <a:t>Not Started</a:t>
              </a:fld>
              <a:endParaRPr lang="en-US" sz="1100" i="0"/>
            </a:p>
          </xdr:txBody>
        </xdr:sp>
        <xdr:sp macro="" textlink="">
          <xdr:nvSpPr>
            <xdr:cNvPr id="39" name="RENTAL_5_SECTION_SUBTITLE_LABEL">
              <a:extLst>
                <a:ext uri="{FF2B5EF4-FFF2-40B4-BE49-F238E27FC236}">
                  <a16:creationId xmlns:a16="http://schemas.microsoft.com/office/drawing/2014/main" id="{00000000-0008-0000-0900-000027000000}"/>
                </a:ext>
              </a:extLst>
            </xdr:cNvPr>
            <xdr:cNvSpPr txBox="1"/>
          </xdr:nvSpPr>
          <xdr:spPr>
            <a:xfrm>
              <a:off x="9467850" y="17621098"/>
              <a:ext cx="476249" cy="2785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tlCol="0" anchor="ctr">
              <a:noAutofit/>
            </a:bodyPr>
            <a:lstStyle/>
            <a:p>
              <a:r>
                <a:rPr lang="en-US" sz="900" b="1"/>
                <a:t>Status:</a:t>
              </a:r>
            </a:p>
          </xdr:txBody>
        </xdr:sp>
      </xdr:grpSp>
      <xdr:sp macro="" textlink="">
        <xdr:nvSpPr>
          <xdr:cNvPr id="35" name="LINK_RENTAL_TOC">
            <a:hlinkClick xmlns:r="http://schemas.openxmlformats.org/officeDocument/2006/relationships" r:id="rId3"/>
            <a:extLst>
              <a:ext uri="{FF2B5EF4-FFF2-40B4-BE49-F238E27FC236}">
                <a16:creationId xmlns:a16="http://schemas.microsoft.com/office/drawing/2014/main" id="{00000000-0008-0000-0900-000023000000}"/>
              </a:ext>
            </a:extLst>
          </xdr:cNvPr>
          <xdr:cNvSpPr/>
        </xdr:nvSpPr>
        <xdr:spPr>
          <a:xfrm>
            <a:off x="14525625" y="18297525"/>
            <a:ext cx="1028700" cy="30480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r"/>
            <a:r>
              <a:rPr lang="en-US" sz="1000" b="1" u="none">
                <a:solidFill>
                  <a:schemeClr val="bg1"/>
                </a:solidFill>
              </a:rPr>
              <a:t>Back</a:t>
            </a:r>
            <a:r>
              <a:rPr lang="en-US" sz="1000" b="1" u="none" baseline="0">
                <a:solidFill>
                  <a:schemeClr val="bg1"/>
                </a:solidFill>
              </a:rPr>
              <a:t> to Top ^</a:t>
            </a:r>
            <a:endParaRPr lang="en-US" sz="1000" b="1" u="none">
              <a:solidFill>
                <a:schemeClr val="bg1"/>
              </a:solidFill>
            </a:endParaRPr>
          </a:p>
        </xdr:txBody>
      </xdr:sp>
    </xdr:grpSp>
    <xdr:clientData fPrintsWithSheet="0"/>
  </xdr:twoCellAnchor>
  <xdr:oneCellAnchor>
    <xdr:from>
      <xdr:col>8</xdr:col>
      <xdr:colOff>200024</xdr:colOff>
      <xdr:row>17</xdr:row>
      <xdr:rowOff>9525</xdr:rowOff>
    </xdr:from>
    <xdr:ext cx="2200275" cy="264560"/>
    <xdr:sp macro="" textlink="$B$53">
      <xdr:nvSpPr>
        <xdr:cNvPr id="40" name="TOC_SECTION_9">
          <a:hlinkClick xmlns:r="http://schemas.openxmlformats.org/officeDocument/2006/relationships" r:id="rId6"/>
          <a:extLst>
            <a:ext uri="{FF2B5EF4-FFF2-40B4-BE49-F238E27FC236}">
              <a16:creationId xmlns:a16="http://schemas.microsoft.com/office/drawing/2014/main" id="{00000000-0008-0000-0900-000028000000}"/>
            </a:ext>
          </a:extLst>
        </xdr:cNvPr>
        <xdr:cNvSpPr txBox="1"/>
      </xdr:nvSpPr>
      <xdr:spPr>
        <a:xfrm>
          <a:off x="371474" y="4549775"/>
          <a:ext cx="2200275" cy="2645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lIns="0" rtlCol="0" anchor="t">
          <a:noAutofit/>
        </a:bodyPr>
        <a:lstStyle/>
        <a:p>
          <a:pPr marL="0" indent="0" algn="l"/>
          <a:fld id="{9FA7E1F7-4F86-4A36-97C4-40980C6555E4}" type="TxLink">
            <a:rPr lang="en-US" sz="1000" b="1" i="0" u="sng" strike="noStrike">
              <a:solidFill>
                <a:schemeClr val="accent1">
                  <a:lumMod val="75000"/>
                </a:schemeClr>
              </a:solidFill>
              <a:latin typeface="Calibri"/>
              <a:ea typeface="+mn-ea"/>
              <a:cs typeface="Calibri"/>
            </a:rPr>
            <a:pPr marL="0" indent="0" algn="l"/>
            <a:t>Household &amp; Submission Details</a:t>
          </a:fld>
          <a:endParaRPr lang="en-US" sz="1000" b="1" i="0" u="sng" strike="noStrike">
            <a:solidFill>
              <a:schemeClr val="accent1">
                <a:lumMod val="75000"/>
              </a:schemeClr>
            </a:solidFill>
            <a:latin typeface="Calibri"/>
            <a:ea typeface="+mn-ea"/>
            <a:cs typeface="Calibri"/>
          </a:endParaRPr>
        </a:p>
      </xdr:txBody>
    </xdr:sp>
    <xdr:clientData fPrintsWithSheet="0"/>
  </xdr:oneCellAnchor>
  <xdr:twoCellAnchor>
    <xdr:from>
      <xdr:col>7</xdr:col>
      <xdr:colOff>66675</xdr:colOff>
      <xdr:row>13</xdr:row>
      <xdr:rowOff>228603</xdr:rowOff>
    </xdr:from>
    <xdr:to>
      <xdr:col>24</xdr:col>
      <xdr:colOff>104777</xdr:colOff>
      <xdr:row>18</xdr:row>
      <xdr:rowOff>0</xdr:rowOff>
    </xdr:to>
    <xdr:grpSp>
      <xdr:nvGrpSpPr>
        <xdr:cNvPr id="41" name="Group 40">
          <a:extLst>
            <a:ext uri="{FF2B5EF4-FFF2-40B4-BE49-F238E27FC236}">
              <a16:creationId xmlns:a16="http://schemas.microsoft.com/office/drawing/2014/main" id="{00000000-0008-0000-0900-000029000000}"/>
            </a:ext>
          </a:extLst>
        </xdr:cNvPr>
        <xdr:cNvGrpSpPr/>
      </xdr:nvGrpSpPr>
      <xdr:grpSpPr>
        <a:xfrm>
          <a:off x="66675" y="3810003"/>
          <a:ext cx="7362827" cy="1152522"/>
          <a:chOff x="8191500" y="3638553"/>
          <a:chExt cx="7362827" cy="1152522"/>
        </a:xfrm>
      </xdr:grpSpPr>
      <xdr:grpSp>
        <xdr:nvGrpSpPr>
          <xdr:cNvPr id="42" name="TABLE_OF_CONTENTS_RENTAL">
            <a:extLst>
              <a:ext uri="{FF2B5EF4-FFF2-40B4-BE49-F238E27FC236}">
                <a16:creationId xmlns:a16="http://schemas.microsoft.com/office/drawing/2014/main" id="{00000000-0008-0000-0900-00002A000000}"/>
              </a:ext>
            </a:extLst>
          </xdr:cNvPr>
          <xdr:cNvGrpSpPr/>
        </xdr:nvGrpSpPr>
        <xdr:grpSpPr>
          <a:xfrm>
            <a:off x="8191500" y="3638553"/>
            <a:ext cx="7362827" cy="1152522"/>
            <a:chOff x="8191498" y="1276170"/>
            <a:chExt cx="7362827" cy="1140799"/>
          </a:xfrm>
        </xdr:grpSpPr>
        <xdr:grpSp>
          <xdr:nvGrpSpPr>
            <xdr:cNvPr id="44" name="RENTAL_TABLE_OF_CONTENTS">
              <a:extLst>
                <a:ext uri="{FF2B5EF4-FFF2-40B4-BE49-F238E27FC236}">
                  <a16:creationId xmlns:a16="http://schemas.microsoft.com/office/drawing/2014/main" id="{00000000-0008-0000-0900-00002C000000}"/>
                </a:ext>
              </a:extLst>
            </xdr:cNvPr>
            <xdr:cNvGrpSpPr/>
          </xdr:nvGrpSpPr>
          <xdr:grpSpPr>
            <a:xfrm>
              <a:off x="8191498" y="1276170"/>
              <a:ext cx="7362827" cy="1140799"/>
              <a:chOff x="8191498" y="1276170"/>
              <a:chExt cx="7362827" cy="1140799"/>
            </a:xfrm>
          </xdr:grpSpPr>
          <xdr:sp macro="" textlink="">
            <xdr:nvSpPr>
              <xdr:cNvPr id="46" name="TOC_HEADER_BG">
                <a:extLst>
                  <a:ext uri="{FF2B5EF4-FFF2-40B4-BE49-F238E27FC236}">
                    <a16:creationId xmlns:a16="http://schemas.microsoft.com/office/drawing/2014/main" id="{00000000-0008-0000-0900-00002E000000}"/>
                  </a:ext>
                </a:extLst>
              </xdr:cNvPr>
              <xdr:cNvSpPr/>
            </xdr:nvSpPr>
            <xdr:spPr>
              <a:xfrm>
                <a:off x="8191498" y="1592257"/>
                <a:ext cx="7360921" cy="275969"/>
              </a:xfrm>
              <a:prstGeom prst="rect">
                <a:avLst/>
              </a:prstGeom>
              <a:solidFill>
                <a:schemeClr val="accent1">
                  <a:lumMod val="20000"/>
                  <a:lumOff val="80000"/>
                </a:schemeClr>
              </a:solidFill>
              <a:ln>
                <a:no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endParaRPr lang="en-US" sz="1100"/>
              </a:p>
            </xdr:txBody>
          </xdr:sp>
          <xdr:grpSp>
            <xdr:nvGrpSpPr>
              <xdr:cNvPr id="47" name="TOC">
                <a:extLst>
                  <a:ext uri="{FF2B5EF4-FFF2-40B4-BE49-F238E27FC236}">
                    <a16:creationId xmlns:a16="http://schemas.microsoft.com/office/drawing/2014/main" id="{00000000-0008-0000-0900-00002F000000}"/>
                  </a:ext>
                </a:extLst>
              </xdr:cNvPr>
              <xdr:cNvGrpSpPr/>
            </xdr:nvGrpSpPr>
            <xdr:grpSpPr>
              <a:xfrm>
                <a:off x="8191500" y="1276170"/>
                <a:ext cx="7362825" cy="1140799"/>
                <a:chOff x="9239250" y="1816952"/>
                <a:chExt cx="7362825" cy="879565"/>
              </a:xfrm>
              <a:effectLst/>
            </xdr:grpSpPr>
            <xdr:sp macro="" textlink="">
              <xdr:nvSpPr>
                <xdr:cNvPr id="52" name="Rectangle 51">
                  <a:extLst>
                    <a:ext uri="{FF2B5EF4-FFF2-40B4-BE49-F238E27FC236}">
                      <a16:creationId xmlns:a16="http://schemas.microsoft.com/office/drawing/2014/main" id="{00000000-0008-0000-0900-000034000000}"/>
                    </a:ext>
                  </a:extLst>
                </xdr:cNvPr>
                <xdr:cNvSpPr/>
              </xdr:nvSpPr>
              <xdr:spPr>
                <a:xfrm>
                  <a:off x="9239250" y="2052094"/>
                  <a:ext cx="7362825" cy="644423"/>
                </a:xfrm>
                <a:prstGeom prst="rect">
                  <a:avLst/>
                </a:prstGeom>
                <a:no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endParaRPr lang="en-US" sz="1100"/>
                </a:p>
              </xdr:txBody>
            </xdr:sp>
            <xdr:sp macro="" textlink="">
              <xdr:nvSpPr>
                <xdr:cNvPr id="53" name="Rectangle 52">
                  <a:extLst>
                    <a:ext uri="{FF2B5EF4-FFF2-40B4-BE49-F238E27FC236}">
                      <a16:creationId xmlns:a16="http://schemas.microsoft.com/office/drawing/2014/main" id="{00000000-0008-0000-0900-000035000000}"/>
                    </a:ext>
                  </a:extLst>
                </xdr:cNvPr>
                <xdr:cNvSpPr/>
              </xdr:nvSpPr>
              <xdr:spPr>
                <a:xfrm>
                  <a:off x="9239250" y="1816952"/>
                  <a:ext cx="7360920" cy="237265"/>
                </a:xfrm>
                <a:prstGeom prst="rect">
                  <a:avLst/>
                </a:prstGeom>
                <a:solidFill>
                  <a:srgbClr val="9CACB9"/>
                </a:solid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l"/>
                  <a:r>
                    <a:rPr lang="en-US" sz="1100" b="1">
                      <a:solidFill>
                        <a:schemeClr val="bg1"/>
                      </a:solidFill>
                    </a:rPr>
                    <a:t>Table of Contents</a:t>
                  </a:r>
                </a:p>
              </xdr:txBody>
            </xdr:sp>
          </xdr:grpSp>
          <xdr:sp macro="" textlink="">
            <xdr:nvSpPr>
              <xdr:cNvPr id="48" name="TOC_HEADER_LABEL_1">
                <a:extLst>
                  <a:ext uri="{FF2B5EF4-FFF2-40B4-BE49-F238E27FC236}">
                    <a16:creationId xmlns:a16="http://schemas.microsoft.com/office/drawing/2014/main" id="{00000000-0008-0000-0900-000030000000}"/>
                  </a:ext>
                </a:extLst>
              </xdr:cNvPr>
              <xdr:cNvSpPr txBox="1"/>
            </xdr:nvSpPr>
            <xdr:spPr>
              <a:xfrm>
                <a:off x="8302028" y="1630443"/>
                <a:ext cx="1226450" cy="2644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lIns="0" rtlCol="0" anchor="t">
                <a:noAutofit/>
              </a:bodyPr>
              <a:lstStyle/>
              <a:p>
                <a:r>
                  <a:rPr lang="en-US" sz="1000" b="1"/>
                  <a:t>Section</a:t>
                </a:r>
              </a:p>
            </xdr:txBody>
          </xdr:sp>
          <xdr:sp macro="" textlink="">
            <xdr:nvSpPr>
              <xdr:cNvPr id="49" name="TOC_HEADER_LABEL_1">
                <a:extLst>
                  <a:ext uri="{FF2B5EF4-FFF2-40B4-BE49-F238E27FC236}">
                    <a16:creationId xmlns:a16="http://schemas.microsoft.com/office/drawing/2014/main" id="{00000000-0008-0000-0900-000031000000}"/>
                  </a:ext>
                </a:extLst>
              </xdr:cNvPr>
              <xdr:cNvSpPr txBox="1"/>
            </xdr:nvSpPr>
            <xdr:spPr>
              <a:xfrm>
                <a:off x="10988755" y="1630443"/>
                <a:ext cx="876784" cy="2644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tlCol="0" anchor="t">
                <a:noAutofit/>
              </a:bodyPr>
              <a:lstStyle/>
              <a:p>
                <a:r>
                  <a:rPr lang="en-US" sz="1000" b="1"/>
                  <a:t>Progress</a:t>
                </a:r>
              </a:p>
            </xdr:txBody>
          </xdr:sp>
          <xdr:sp macro="" textlink="">
            <xdr:nvSpPr>
              <xdr:cNvPr id="50" name="TOC_HEADER_LABEL_3">
                <a:extLst>
                  <a:ext uri="{FF2B5EF4-FFF2-40B4-BE49-F238E27FC236}">
                    <a16:creationId xmlns:a16="http://schemas.microsoft.com/office/drawing/2014/main" id="{00000000-0008-0000-0900-000032000000}"/>
                  </a:ext>
                </a:extLst>
              </xdr:cNvPr>
              <xdr:cNvSpPr txBox="1"/>
            </xdr:nvSpPr>
            <xdr:spPr>
              <a:xfrm>
                <a:off x="11990098" y="1630443"/>
                <a:ext cx="1226450" cy="2644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lIns="0" rtlCol="0" anchor="t">
                <a:noAutofit/>
              </a:bodyPr>
              <a:lstStyle/>
              <a:p>
                <a:r>
                  <a:rPr lang="en-US" sz="1000" b="1"/>
                  <a:t>Section</a:t>
                </a:r>
              </a:p>
            </xdr:txBody>
          </xdr:sp>
          <xdr:sp macro="" textlink="">
            <xdr:nvSpPr>
              <xdr:cNvPr id="51" name="TOC_HEADER_LABEL_4">
                <a:extLst>
                  <a:ext uri="{FF2B5EF4-FFF2-40B4-BE49-F238E27FC236}">
                    <a16:creationId xmlns:a16="http://schemas.microsoft.com/office/drawing/2014/main" id="{00000000-0008-0000-0900-000033000000}"/>
                  </a:ext>
                </a:extLst>
              </xdr:cNvPr>
              <xdr:cNvSpPr txBox="1"/>
            </xdr:nvSpPr>
            <xdr:spPr>
              <a:xfrm>
                <a:off x="14554212" y="1630443"/>
                <a:ext cx="871248" cy="2644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tlCol="0" anchor="t">
                <a:noAutofit/>
              </a:bodyPr>
              <a:lstStyle/>
              <a:p>
                <a:r>
                  <a:rPr lang="en-US" sz="1000" b="1"/>
                  <a:t>Progress</a:t>
                </a:r>
              </a:p>
            </xdr:txBody>
          </xdr:sp>
        </xdr:grpSp>
        <xdr:cxnSp macro="">
          <xdr:nvCxnSpPr>
            <xdr:cNvPr id="45" name="TOC_HEADER_VLINE">
              <a:extLst>
                <a:ext uri="{FF2B5EF4-FFF2-40B4-BE49-F238E27FC236}">
                  <a16:creationId xmlns:a16="http://schemas.microsoft.com/office/drawing/2014/main" id="{00000000-0008-0000-0900-00002D000000}"/>
                </a:ext>
              </a:extLst>
            </xdr:cNvPr>
            <xdr:cNvCxnSpPr>
              <a:endCxn id="52" idx="2"/>
            </xdr:cNvCxnSpPr>
          </xdr:nvCxnSpPr>
          <xdr:spPr>
            <a:xfrm>
              <a:off x="11871960" y="1596774"/>
              <a:ext cx="953" cy="820195"/>
            </a:xfrm>
            <a:prstGeom prst="line">
              <a:avLst/>
            </a:prstGeom>
            <a:ln>
              <a:solidFill>
                <a:schemeClr val="bg1">
                  <a:lumMod val="85000"/>
                </a:schemeClr>
              </a:solidFill>
            </a:ln>
            <a:effectLst>
              <a:innerShdw blurRad="63500" dist="50800" dir="13500000">
                <a:prstClr val="black">
                  <a:alpha val="50000"/>
                </a:prstClr>
              </a:innerShdw>
            </a:effectLst>
          </xdr:spPr>
          <xdr:style>
            <a:lnRef idx="1">
              <a:schemeClr val="accent1"/>
            </a:lnRef>
            <a:fillRef idx="0">
              <a:schemeClr val="accent1"/>
            </a:fillRef>
            <a:effectRef idx="0">
              <a:schemeClr val="accent1"/>
            </a:effectRef>
            <a:fontRef idx="minor">
              <a:schemeClr val="tx1"/>
            </a:fontRef>
          </xdr:style>
        </xdr:cxnSp>
      </xdr:grpSp>
      <xdr:cxnSp macro="">
        <xdr:nvCxnSpPr>
          <xdr:cNvPr id="43" name="DOTTED_LINE">
            <a:extLst>
              <a:ext uri="{FF2B5EF4-FFF2-40B4-BE49-F238E27FC236}">
                <a16:creationId xmlns:a16="http://schemas.microsoft.com/office/drawing/2014/main" id="{00000000-0008-0000-0900-00002B000000}"/>
              </a:ext>
            </a:extLst>
          </xdr:cNvPr>
          <xdr:cNvCxnSpPr/>
        </xdr:nvCxnSpPr>
        <xdr:spPr>
          <a:xfrm flipH="1">
            <a:off x="8191500" y="4514853"/>
            <a:ext cx="7362825" cy="0"/>
          </a:xfrm>
          <a:prstGeom prst="line">
            <a:avLst/>
          </a:prstGeom>
          <a:ln w="9525" cap="rnd">
            <a:solidFill>
              <a:schemeClr val="bg1">
                <a:lumMod val="85000"/>
              </a:schemeClr>
            </a:solidFill>
            <a:prstDash val="solid"/>
            <a:round/>
          </a:ln>
        </xdr:spPr>
        <xdr:style>
          <a:lnRef idx="1">
            <a:schemeClr val="dk1"/>
          </a:lnRef>
          <a:fillRef idx="0">
            <a:schemeClr val="dk1"/>
          </a:fillRef>
          <a:effectRef idx="0">
            <a:schemeClr val="dk1"/>
          </a:effectRef>
          <a:fontRef idx="minor">
            <a:schemeClr val="tx1"/>
          </a:fontRef>
        </xdr:style>
      </xdr:cxnSp>
    </xdr:grpSp>
    <xdr:clientData/>
  </xdr:twoCellAnchor>
</xdr:wsDr>
</file>

<file path=xl/drawings/drawing11.xml><?xml version="1.0" encoding="utf-8"?>
<xdr:wsDr xmlns:xdr="http://schemas.openxmlformats.org/drawingml/2006/spreadsheetDrawing" xmlns:a="http://schemas.openxmlformats.org/drawingml/2006/main">
  <xdr:oneCellAnchor>
    <xdr:from>
      <xdr:col>12</xdr:col>
      <xdr:colOff>9525</xdr:colOff>
      <xdr:row>115</xdr:row>
      <xdr:rowOff>0</xdr:rowOff>
    </xdr:from>
    <xdr:ext cx="1028700" cy="210312"/>
    <xdr:sp macro="" textlink="">
      <xdr:nvSpPr>
        <xdr:cNvPr id="2" name="LINK_RENTAL_TOC">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a:xfrm>
          <a:off x="9667875" y="16002000"/>
          <a:ext cx="1028700" cy="210312"/>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r"/>
          <a:r>
            <a:rPr lang="en-US" sz="1000" b="1" u="none">
              <a:solidFill>
                <a:schemeClr val="bg1"/>
              </a:solidFill>
            </a:rPr>
            <a:t>Back</a:t>
          </a:r>
          <a:r>
            <a:rPr lang="en-US" sz="1000" b="1" u="none" baseline="0">
              <a:solidFill>
                <a:schemeClr val="bg1"/>
              </a:solidFill>
            </a:rPr>
            <a:t> to Top ^</a:t>
          </a:r>
          <a:endParaRPr lang="en-US" sz="1000" b="1" u="none">
            <a:solidFill>
              <a:schemeClr val="bg1"/>
            </a:solidFill>
          </a:endParaRPr>
        </a:p>
      </xdr:txBody>
    </xdr:sp>
    <xdr:clientData fPrintsWithSheet="0"/>
  </xdr:oneCellAnchor>
  <xdr:oneCellAnchor>
    <xdr:from>
      <xdr:col>12</xdr:col>
      <xdr:colOff>9525</xdr:colOff>
      <xdr:row>127</xdr:row>
      <xdr:rowOff>0</xdr:rowOff>
    </xdr:from>
    <xdr:ext cx="1028700" cy="210312"/>
    <xdr:sp macro="" textlink="">
      <xdr:nvSpPr>
        <xdr:cNvPr id="3" name="LINK_RENTAL_TOC">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9667875" y="18288000"/>
          <a:ext cx="1028700" cy="210312"/>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r"/>
          <a:r>
            <a:rPr lang="en-US" sz="1000" b="1" u="none">
              <a:solidFill>
                <a:schemeClr val="bg1"/>
              </a:solidFill>
            </a:rPr>
            <a:t>Back</a:t>
          </a:r>
          <a:r>
            <a:rPr lang="en-US" sz="1000" b="1" u="none" baseline="0">
              <a:solidFill>
                <a:schemeClr val="bg1"/>
              </a:solidFill>
            </a:rPr>
            <a:t> to Top ^</a:t>
          </a:r>
          <a:endParaRPr lang="en-US" sz="1000" b="1" u="none">
            <a:solidFill>
              <a:schemeClr val="bg1"/>
            </a:solidFill>
          </a:endParaRPr>
        </a:p>
      </xdr:txBody>
    </xdr:sp>
    <xdr:clientData fPrintsWithSheet="0"/>
  </xdr:oneCellAnchor>
  <xdr:oneCellAnchor>
    <xdr:from>
      <xdr:col>12</xdr:col>
      <xdr:colOff>9525</xdr:colOff>
      <xdr:row>139</xdr:row>
      <xdr:rowOff>0</xdr:rowOff>
    </xdr:from>
    <xdr:ext cx="1028700" cy="210312"/>
    <xdr:sp macro="" textlink="">
      <xdr:nvSpPr>
        <xdr:cNvPr id="4" name="LINK_RENTAL_TOC">
          <a:hlinkClick xmlns:r="http://schemas.openxmlformats.org/officeDocument/2006/relationships" r:id="rId1"/>
          <a:extLst>
            <a:ext uri="{FF2B5EF4-FFF2-40B4-BE49-F238E27FC236}">
              <a16:creationId xmlns:a16="http://schemas.microsoft.com/office/drawing/2014/main" id="{00000000-0008-0000-0A00-000004000000}"/>
            </a:ext>
          </a:extLst>
        </xdr:cNvPr>
        <xdr:cNvSpPr/>
      </xdr:nvSpPr>
      <xdr:spPr>
        <a:xfrm>
          <a:off x="9667875" y="20574000"/>
          <a:ext cx="1028700" cy="210312"/>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r"/>
          <a:r>
            <a:rPr lang="en-US" sz="1000" b="1" u="none">
              <a:solidFill>
                <a:schemeClr val="bg1"/>
              </a:solidFill>
            </a:rPr>
            <a:t>Back</a:t>
          </a:r>
          <a:r>
            <a:rPr lang="en-US" sz="1000" b="1" u="none" baseline="0">
              <a:solidFill>
                <a:schemeClr val="bg1"/>
              </a:solidFill>
            </a:rPr>
            <a:t> to Top ^</a:t>
          </a:r>
          <a:endParaRPr lang="en-US" sz="1000" b="1" u="none">
            <a:solidFill>
              <a:schemeClr val="bg1"/>
            </a:solidFill>
          </a:endParaRPr>
        </a:p>
      </xdr:txBody>
    </xdr:sp>
    <xdr:clientData fPrintsWithSheet="0"/>
  </xdr:oneCellAnchor>
  <xdr:oneCellAnchor>
    <xdr:from>
      <xdr:col>12</xdr:col>
      <xdr:colOff>9525</xdr:colOff>
      <xdr:row>102</xdr:row>
      <xdr:rowOff>0</xdr:rowOff>
    </xdr:from>
    <xdr:ext cx="1028700" cy="210312"/>
    <xdr:sp macro="" textlink="">
      <xdr:nvSpPr>
        <xdr:cNvPr id="5" name="LINK_RENTAL_TOC">
          <a:hlinkClick xmlns:r="http://schemas.openxmlformats.org/officeDocument/2006/relationships" r:id="rId1"/>
          <a:extLst>
            <a:ext uri="{FF2B5EF4-FFF2-40B4-BE49-F238E27FC236}">
              <a16:creationId xmlns:a16="http://schemas.microsoft.com/office/drawing/2014/main" id="{00000000-0008-0000-0A00-000005000000}"/>
            </a:ext>
          </a:extLst>
        </xdr:cNvPr>
        <xdr:cNvSpPr/>
      </xdr:nvSpPr>
      <xdr:spPr>
        <a:xfrm>
          <a:off x="9667875" y="13525500"/>
          <a:ext cx="1028700" cy="210312"/>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r"/>
          <a:r>
            <a:rPr lang="en-US" sz="1000" b="1" u="none">
              <a:solidFill>
                <a:schemeClr val="bg1"/>
              </a:solidFill>
            </a:rPr>
            <a:t>Back</a:t>
          </a:r>
          <a:r>
            <a:rPr lang="en-US" sz="1000" b="1" u="none" baseline="0">
              <a:solidFill>
                <a:schemeClr val="bg1"/>
              </a:solidFill>
            </a:rPr>
            <a:t> to Top ^</a:t>
          </a:r>
          <a:endParaRPr lang="en-US" sz="1000" b="1" u="none">
            <a:solidFill>
              <a:schemeClr val="bg1"/>
            </a:solidFill>
          </a:endParaRPr>
        </a:p>
      </xdr:txBody>
    </xdr:sp>
    <xdr:clientData fPrintsWithSheet="0"/>
  </xdr:oneCellAnchor>
  <xdr:oneCellAnchor>
    <xdr:from>
      <xdr:col>3</xdr:col>
      <xdr:colOff>9525</xdr:colOff>
      <xdr:row>0</xdr:row>
      <xdr:rowOff>28575</xdr:rowOff>
    </xdr:from>
    <xdr:ext cx="1600203" cy="533401"/>
    <xdr:pic>
      <xdr:nvPicPr>
        <xdr:cNvPr id="6" name="Picture 5" descr="2015FHLBNY_Logo_1.75in.png">
          <a:hlinkClick xmlns:r="http://schemas.openxmlformats.org/officeDocument/2006/relationships" r:id="rId1"/>
          <a:extLst>
            <a:ext uri="{FF2B5EF4-FFF2-40B4-BE49-F238E27FC236}">
              <a16:creationId xmlns:a16="http://schemas.microsoft.com/office/drawing/2014/main" id="{00000000-0008-0000-0A00-000006000000}"/>
            </a:ext>
          </a:extLst>
        </xdr:cNvPr>
        <xdr:cNvPicPr>
          <a:picLocks noChangeAspect="1"/>
        </xdr:cNvPicPr>
      </xdr:nvPicPr>
      <xdr:blipFill>
        <a:blip xmlns:r="http://schemas.openxmlformats.org/officeDocument/2006/relationships" r:embed="rId2" cstate="print"/>
        <a:stretch>
          <a:fillRect/>
        </a:stretch>
      </xdr:blipFill>
      <xdr:spPr>
        <a:xfrm>
          <a:off x="104775" y="28575"/>
          <a:ext cx="1600203" cy="533401"/>
        </a:xfrm>
        <a:prstGeom prst="rect">
          <a:avLst/>
        </a:prstGeom>
      </xdr:spPr>
    </xdr:pic>
    <xdr:clientData/>
  </xdr:oneCellAnchor>
  <xdr:oneCellAnchor>
    <xdr:from>
      <xdr:col>12</xdr:col>
      <xdr:colOff>9525</xdr:colOff>
      <xdr:row>163</xdr:row>
      <xdr:rowOff>0</xdr:rowOff>
    </xdr:from>
    <xdr:ext cx="1028700" cy="210312"/>
    <xdr:sp macro="" textlink="">
      <xdr:nvSpPr>
        <xdr:cNvPr id="7" name="LINK_RENTAL_TOC">
          <a:hlinkClick xmlns:r="http://schemas.openxmlformats.org/officeDocument/2006/relationships" r:id="rId1"/>
          <a:extLst>
            <a:ext uri="{FF2B5EF4-FFF2-40B4-BE49-F238E27FC236}">
              <a16:creationId xmlns:a16="http://schemas.microsoft.com/office/drawing/2014/main" id="{00000000-0008-0000-0A00-000007000000}"/>
            </a:ext>
          </a:extLst>
        </xdr:cNvPr>
        <xdr:cNvSpPr/>
      </xdr:nvSpPr>
      <xdr:spPr>
        <a:xfrm>
          <a:off x="9667875" y="25146000"/>
          <a:ext cx="1028700" cy="210312"/>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r"/>
          <a:r>
            <a:rPr lang="en-US" sz="1000" b="1" u="none">
              <a:solidFill>
                <a:schemeClr val="bg1"/>
              </a:solidFill>
            </a:rPr>
            <a:t>Back</a:t>
          </a:r>
          <a:r>
            <a:rPr lang="en-US" sz="1000" b="1" u="none" baseline="0">
              <a:solidFill>
                <a:schemeClr val="bg1"/>
              </a:solidFill>
            </a:rPr>
            <a:t> to Top ^</a:t>
          </a:r>
          <a:endParaRPr lang="en-US" sz="1000" b="1" u="none">
            <a:solidFill>
              <a:schemeClr val="bg1"/>
            </a:solidFill>
          </a:endParaRPr>
        </a:p>
      </xdr:txBody>
    </xdr:sp>
    <xdr:clientData fPrintsWithSheet="0"/>
  </xdr:oneCellAnchor>
  <xdr:oneCellAnchor>
    <xdr:from>
      <xdr:col>12</xdr:col>
      <xdr:colOff>9525</xdr:colOff>
      <xdr:row>152</xdr:row>
      <xdr:rowOff>0</xdr:rowOff>
    </xdr:from>
    <xdr:ext cx="1028700" cy="210312"/>
    <xdr:sp macro="" textlink="">
      <xdr:nvSpPr>
        <xdr:cNvPr id="8" name="LINK_RENTAL_TOC">
          <a:hlinkClick xmlns:r="http://schemas.openxmlformats.org/officeDocument/2006/relationships" r:id="rId1"/>
          <a:extLst>
            <a:ext uri="{FF2B5EF4-FFF2-40B4-BE49-F238E27FC236}">
              <a16:creationId xmlns:a16="http://schemas.microsoft.com/office/drawing/2014/main" id="{00000000-0008-0000-0A00-000008000000}"/>
            </a:ext>
          </a:extLst>
        </xdr:cNvPr>
        <xdr:cNvSpPr/>
      </xdr:nvSpPr>
      <xdr:spPr>
        <a:xfrm>
          <a:off x="9667875" y="23050500"/>
          <a:ext cx="1028700" cy="210312"/>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r"/>
          <a:r>
            <a:rPr lang="en-US" sz="1000" b="1" u="none">
              <a:solidFill>
                <a:schemeClr val="bg1"/>
              </a:solidFill>
            </a:rPr>
            <a:t>Back</a:t>
          </a:r>
          <a:r>
            <a:rPr lang="en-US" sz="1000" b="1" u="none" baseline="0">
              <a:solidFill>
                <a:schemeClr val="bg1"/>
              </a:solidFill>
            </a:rPr>
            <a:t> to Top ^</a:t>
          </a:r>
          <a:endParaRPr lang="en-US" sz="1000" b="1" u="none">
            <a:solidFill>
              <a:schemeClr val="bg1"/>
            </a:solidFill>
          </a:endParaRPr>
        </a:p>
      </xdr:txBody>
    </xdr:sp>
    <xdr:clientData fPrintsWithSheet="0"/>
  </xdr:oneCellAnchor>
  <xdr:twoCellAnchor>
    <xdr:from>
      <xdr:col>8</xdr:col>
      <xdr:colOff>433868</xdr:colOff>
      <xdr:row>24</xdr:row>
      <xdr:rowOff>201029</xdr:rowOff>
    </xdr:from>
    <xdr:to>
      <xdr:col>8</xdr:col>
      <xdr:colOff>488732</xdr:colOff>
      <xdr:row>25</xdr:row>
      <xdr:rowOff>29674</xdr:rowOff>
    </xdr:to>
    <xdr:sp macro="" textlink="">
      <xdr:nvSpPr>
        <xdr:cNvPr id="9" name="Right Triangle 8">
          <a:extLst>
            <a:ext uri="{FF2B5EF4-FFF2-40B4-BE49-F238E27FC236}">
              <a16:creationId xmlns:a16="http://schemas.microsoft.com/office/drawing/2014/main" id="{00000000-0008-0000-0A00-000009000000}"/>
            </a:ext>
          </a:extLst>
        </xdr:cNvPr>
        <xdr:cNvSpPr/>
      </xdr:nvSpPr>
      <xdr:spPr>
        <a:xfrm rot="8100000">
          <a:off x="6091718" y="3811004"/>
          <a:ext cx="54864" cy="28670"/>
        </a:xfrm>
        <a:prstGeom prst="rtTriangle">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433868</xdr:colOff>
      <xdr:row>29</xdr:row>
      <xdr:rowOff>201029</xdr:rowOff>
    </xdr:from>
    <xdr:to>
      <xdr:col>8</xdr:col>
      <xdr:colOff>488732</xdr:colOff>
      <xdr:row>30</xdr:row>
      <xdr:rowOff>29674</xdr:rowOff>
    </xdr:to>
    <xdr:sp macro="" textlink="">
      <xdr:nvSpPr>
        <xdr:cNvPr id="10" name="Right Triangle 9">
          <a:extLst>
            <a:ext uri="{FF2B5EF4-FFF2-40B4-BE49-F238E27FC236}">
              <a16:creationId xmlns:a16="http://schemas.microsoft.com/office/drawing/2014/main" id="{00000000-0008-0000-0A00-00000A000000}"/>
            </a:ext>
          </a:extLst>
        </xdr:cNvPr>
        <xdr:cNvSpPr/>
      </xdr:nvSpPr>
      <xdr:spPr>
        <a:xfrm rot="8100000">
          <a:off x="6091718" y="5658854"/>
          <a:ext cx="54864" cy="57245"/>
        </a:xfrm>
        <a:prstGeom prst="rtTriangle">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433868</xdr:colOff>
      <xdr:row>34</xdr:row>
      <xdr:rowOff>201029</xdr:rowOff>
    </xdr:from>
    <xdr:to>
      <xdr:col>8</xdr:col>
      <xdr:colOff>488732</xdr:colOff>
      <xdr:row>35</xdr:row>
      <xdr:rowOff>29674</xdr:rowOff>
    </xdr:to>
    <xdr:sp macro="" textlink="">
      <xdr:nvSpPr>
        <xdr:cNvPr id="11" name="Right Triangle 10">
          <a:extLst>
            <a:ext uri="{FF2B5EF4-FFF2-40B4-BE49-F238E27FC236}">
              <a16:creationId xmlns:a16="http://schemas.microsoft.com/office/drawing/2014/main" id="{00000000-0008-0000-0A00-00000B000000}"/>
            </a:ext>
          </a:extLst>
        </xdr:cNvPr>
        <xdr:cNvSpPr/>
      </xdr:nvSpPr>
      <xdr:spPr>
        <a:xfrm rot="8100000">
          <a:off x="6091718" y="5716004"/>
          <a:ext cx="54864" cy="28670"/>
        </a:xfrm>
        <a:prstGeom prst="rtTriangle">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433868</xdr:colOff>
      <xdr:row>39</xdr:row>
      <xdr:rowOff>201029</xdr:rowOff>
    </xdr:from>
    <xdr:to>
      <xdr:col>8</xdr:col>
      <xdr:colOff>488732</xdr:colOff>
      <xdr:row>40</xdr:row>
      <xdr:rowOff>29674</xdr:rowOff>
    </xdr:to>
    <xdr:sp macro="" textlink="">
      <xdr:nvSpPr>
        <xdr:cNvPr id="12" name="Right Triangle 11">
          <a:extLst>
            <a:ext uri="{FF2B5EF4-FFF2-40B4-BE49-F238E27FC236}">
              <a16:creationId xmlns:a16="http://schemas.microsoft.com/office/drawing/2014/main" id="{00000000-0008-0000-0A00-00000C000000}"/>
            </a:ext>
          </a:extLst>
        </xdr:cNvPr>
        <xdr:cNvSpPr/>
      </xdr:nvSpPr>
      <xdr:spPr>
        <a:xfrm rot="8100000">
          <a:off x="6091718" y="6668504"/>
          <a:ext cx="54864" cy="28670"/>
        </a:xfrm>
        <a:prstGeom prst="rtTriangle">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3</xdr:col>
          <xdr:colOff>28575</xdr:colOff>
          <xdr:row>92</xdr:row>
          <xdr:rowOff>28575</xdr:rowOff>
        </xdr:from>
        <xdr:to>
          <xdr:col>11</xdr:col>
          <xdr:colOff>904875</xdr:colOff>
          <xdr:row>92</xdr:row>
          <xdr:rowOff>238125</xdr:rowOff>
        </xdr:to>
        <xdr:sp macro="" textlink="">
          <xdr:nvSpPr>
            <xdr:cNvPr id="58369" name="Check Box 1" hidden="1">
              <a:extLst>
                <a:ext uri="{63B3BB69-23CF-44E3-9099-C40C66FF867C}">
                  <a14:compatExt spid="_x0000_s58369"/>
                </a:ext>
                <a:ext uri="{FF2B5EF4-FFF2-40B4-BE49-F238E27FC236}">
                  <a16:creationId xmlns:a16="http://schemas.microsoft.com/office/drawing/2014/main" id="{00000000-0008-0000-0A00-000001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The Member certifies that the household has confirmed the income itemized in this section is variable/bonus income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25</xdr:row>
          <xdr:rowOff>9525</xdr:rowOff>
        </xdr:from>
        <xdr:to>
          <xdr:col>4</xdr:col>
          <xdr:colOff>1343025</xdr:colOff>
          <xdr:row>26</xdr:row>
          <xdr:rowOff>9525</xdr:rowOff>
        </xdr:to>
        <xdr:sp macro="" textlink="">
          <xdr:nvSpPr>
            <xdr:cNvPr id="58371" name="PAYSTUB_1_PRIORYEAR_PAYPERIOD" hidden="1">
              <a:extLst>
                <a:ext uri="{63B3BB69-23CF-44E3-9099-C40C66FF867C}">
                  <a14:compatExt spid="_x0000_s58371"/>
                </a:ext>
                <a:ext uri="{FF2B5EF4-FFF2-40B4-BE49-F238E27FC236}">
                  <a16:creationId xmlns:a16="http://schemas.microsoft.com/office/drawing/2014/main" id="{00000000-0008-0000-0A00-000003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First Pay Period Fully within the Prior Year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30</xdr:row>
          <xdr:rowOff>9525</xdr:rowOff>
        </xdr:from>
        <xdr:to>
          <xdr:col>4</xdr:col>
          <xdr:colOff>1343025</xdr:colOff>
          <xdr:row>31</xdr:row>
          <xdr:rowOff>9525</xdr:rowOff>
        </xdr:to>
        <xdr:sp macro="" textlink="">
          <xdr:nvSpPr>
            <xdr:cNvPr id="58372" name="PAYSTUB_1_PRIORYEAR_PAYPERIOD" hidden="1">
              <a:extLst>
                <a:ext uri="{63B3BB69-23CF-44E3-9099-C40C66FF867C}">
                  <a14:compatExt spid="_x0000_s58372"/>
                </a:ext>
                <a:ext uri="{FF2B5EF4-FFF2-40B4-BE49-F238E27FC236}">
                  <a16:creationId xmlns:a16="http://schemas.microsoft.com/office/drawing/2014/main" id="{00000000-0008-0000-0A00-000004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First Pay Period Fully within the Prior Year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35</xdr:row>
          <xdr:rowOff>9525</xdr:rowOff>
        </xdr:from>
        <xdr:to>
          <xdr:col>4</xdr:col>
          <xdr:colOff>1343025</xdr:colOff>
          <xdr:row>36</xdr:row>
          <xdr:rowOff>9525</xdr:rowOff>
        </xdr:to>
        <xdr:sp macro="" textlink="">
          <xdr:nvSpPr>
            <xdr:cNvPr id="58373" name="PAYSTUB_1_PRIORYEAR_PAYPERIOD" hidden="1">
              <a:extLst>
                <a:ext uri="{63B3BB69-23CF-44E3-9099-C40C66FF867C}">
                  <a14:compatExt spid="_x0000_s58373"/>
                </a:ext>
                <a:ext uri="{FF2B5EF4-FFF2-40B4-BE49-F238E27FC236}">
                  <a16:creationId xmlns:a16="http://schemas.microsoft.com/office/drawing/2014/main" id="{00000000-0008-0000-0A00-000005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First Pay Period Fully within the Prior Year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40</xdr:row>
          <xdr:rowOff>9525</xdr:rowOff>
        </xdr:from>
        <xdr:to>
          <xdr:col>4</xdr:col>
          <xdr:colOff>1343025</xdr:colOff>
          <xdr:row>41</xdr:row>
          <xdr:rowOff>9525</xdr:rowOff>
        </xdr:to>
        <xdr:sp macro="" textlink="">
          <xdr:nvSpPr>
            <xdr:cNvPr id="58374" name="PAYSTUB_1_PRIORYEAR_PAYPERIOD" hidden="1">
              <a:extLst>
                <a:ext uri="{63B3BB69-23CF-44E3-9099-C40C66FF867C}">
                  <a14:compatExt spid="_x0000_s58374"/>
                </a:ext>
                <a:ext uri="{FF2B5EF4-FFF2-40B4-BE49-F238E27FC236}">
                  <a16:creationId xmlns:a16="http://schemas.microsoft.com/office/drawing/2014/main" id="{00000000-0008-0000-0A00-000006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First Pay Period Fully within the Prior Year</a:t>
              </a:r>
            </a:p>
          </xdr:txBody>
        </xdr:sp>
        <xdr:clientData/>
      </xdr:twoCellAnchor>
    </mc:Choice>
    <mc:Fallback/>
  </mc:AlternateContent>
</xdr:wsDr>
</file>

<file path=xl/drawings/drawing12.xml><?xml version="1.0" encoding="utf-8"?>
<xdr:wsDr xmlns:xdr="http://schemas.openxmlformats.org/drawingml/2006/spreadsheetDrawing" xmlns:a="http://schemas.openxmlformats.org/drawingml/2006/main">
  <xdr:oneCellAnchor>
    <xdr:from>
      <xdr:col>3</xdr:col>
      <xdr:colOff>9525</xdr:colOff>
      <xdr:row>0</xdr:row>
      <xdr:rowOff>28575</xdr:rowOff>
    </xdr:from>
    <xdr:ext cx="1600203" cy="533401"/>
    <xdr:pic>
      <xdr:nvPicPr>
        <xdr:cNvPr id="2" name="Picture 1" descr="2015FHLBNY_Logo_1.75in.png">
          <a:hlinkClick xmlns:r="http://schemas.openxmlformats.org/officeDocument/2006/relationships" r:id="rId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2" cstate="print"/>
        <a:stretch>
          <a:fillRect/>
        </a:stretch>
      </xdr:blipFill>
      <xdr:spPr>
        <a:xfrm>
          <a:off x="104775" y="28575"/>
          <a:ext cx="1600203" cy="533401"/>
        </a:xfrm>
        <a:prstGeom prst="rect">
          <a:avLst/>
        </a:prstGeom>
      </xdr:spPr>
    </xdr:pic>
    <xdr:clientData/>
  </xdr:oneCellAnchor>
  <xdr:oneCellAnchor>
    <xdr:from>
      <xdr:col>3</xdr:col>
      <xdr:colOff>9525</xdr:colOff>
      <xdr:row>0</xdr:row>
      <xdr:rowOff>28575</xdr:rowOff>
    </xdr:from>
    <xdr:ext cx="1600203" cy="533401"/>
    <xdr:pic>
      <xdr:nvPicPr>
        <xdr:cNvPr id="3" name="Picture 2" descr="2015FHLBNY_Logo_1.75in.png">
          <a:hlinkClick xmlns:r="http://schemas.openxmlformats.org/officeDocument/2006/relationships" r:id="rId3"/>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2" cstate="print"/>
        <a:stretch>
          <a:fillRect/>
        </a:stretch>
      </xdr:blipFill>
      <xdr:spPr>
        <a:xfrm>
          <a:off x="4838700" y="28575"/>
          <a:ext cx="1600203" cy="533401"/>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3</xdr:col>
      <xdr:colOff>9525</xdr:colOff>
      <xdr:row>0</xdr:row>
      <xdr:rowOff>28575</xdr:rowOff>
    </xdr:from>
    <xdr:ext cx="1600203" cy="533401"/>
    <xdr:pic>
      <xdr:nvPicPr>
        <xdr:cNvPr id="2" name="Picture 1" descr="2015FHLBNY_Logo_1.75in.png">
          <a:hlinkClick xmlns:r="http://schemas.openxmlformats.org/officeDocument/2006/relationships" r:id="rId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2" cstate="print"/>
        <a:stretch>
          <a:fillRect/>
        </a:stretch>
      </xdr:blipFill>
      <xdr:spPr>
        <a:xfrm>
          <a:off x="104775" y="28575"/>
          <a:ext cx="1600203" cy="533401"/>
        </a:xfrm>
        <a:prstGeom prst="rect">
          <a:avLst/>
        </a:prstGeom>
      </xdr:spPr>
    </xdr:pic>
    <xdr:clientData/>
  </xdr:oneCellAnchor>
  <xdr:oneCellAnchor>
    <xdr:from>
      <xdr:col>3</xdr:col>
      <xdr:colOff>9525</xdr:colOff>
      <xdr:row>0</xdr:row>
      <xdr:rowOff>28575</xdr:rowOff>
    </xdr:from>
    <xdr:ext cx="1600203" cy="533401"/>
    <xdr:pic>
      <xdr:nvPicPr>
        <xdr:cNvPr id="3" name="Picture 2" descr="2015FHLBNY_Logo_1.75in.png">
          <a:hlinkClick xmlns:r="http://schemas.openxmlformats.org/officeDocument/2006/relationships" r:id="rId3"/>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2" cstate="print"/>
        <a:stretch>
          <a:fillRect/>
        </a:stretch>
      </xdr:blipFill>
      <xdr:spPr>
        <a:xfrm>
          <a:off x="104775" y="28575"/>
          <a:ext cx="1600203" cy="533401"/>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3</xdr:col>
      <xdr:colOff>9525</xdr:colOff>
      <xdr:row>0</xdr:row>
      <xdr:rowOff>28575</xdr:rowOff>
    </xdr:from>
    <xdr:ext cx="1600203" cy="533401"/>
    <xdr:pic>
      <xdr:nvPicPr>
        <xdr:cNvPr id="2" name="Picture 1" descr="2015FHLBNY_Logo_1.75in.png">
          <a:hlinkClick xmlns:r="http://schemas.openxmlformats.org/officeDocument/2006/relationships" r:id="rId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2" cstate="print"/>
        <a:stretch>
          <a:fillRect/>
        </a:stretch>
      </xdr:blipFill>
      <xdr:spPr>
        <a:xfrm>
          <a:off x="104775" y="28575"/>
          <a:ext cx="1600203" cy="533401"/>
        </a:xfrm>
        <a:prstGeom prst="rect">
          <a:avLst/>
        </a:prstGeom>
      </xdr:spPr>
    </xdr:pic>
    <xdr:clientData/>
  </xdr:oneCellAnchor>
  <xdr:oneCellAnchor>
    <xdr:from>
      <xdr:col>3</xdr:col>
      <xdr:colOff>9525</xdr:colOff>
      <xdr:row>0</xdr:row>
      <xdr:rowOff>28575</xdr:rowOff>
    </xdr:from>
    <xdr:ext cx="1600203" cy="533401"/>
    <xdr:pic>
      <xdr:nvPicPr>
        <xdr:cNvPr id="3" name="Picture 2" descr="2015FHLBNY_Logo_1.75in.png">
          <a:hlinkClick xmlns:r="http://schemas.openxmlformats.org/officeDocument/2006/relationships" r:id="rId3"/>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2" cstate="print"/>
        <a:stretch>
          <a:fillRect/>
        </a:stretch>
      </xdr:blipFill>
      <xdr:spPr>
        <a:xfrm>
          <a:off x="104775" y="28575"/>
          <a:ext cx="1600203" cy="533401"/>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3</xdr:col>
      <xdr:colOff>9525</xdr:colOff>
      <xdr:row>0</xdr:row>
      <xdr:rowOff>28575</xdr:rowOff>
    </xdr:from>
    <xdr:ext cx="1600203" cy="533401"/>
    <xdr:pic>
      <xdr:nvPicPr>
        <xdr:cNvPr id="2" name="Picture 1" descr="2015FHLBNY_Logo_1.75in.png">
          <a:hlinkClick xmlns:r="http://schemas.openxmlformats.org/officeDocument/2006/relationships" r:id="rId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2" cstate="print"/>
        <a:stretch>
          <a:fillRect/>
        </a:stretch>
      </xdr:blipFill>
      <xdr:spPr>
        <a:xfrm>
          <a:off x="104775" y="28575"/>
          <a:ext cx="1600203" cy="533401"/>
        </a:xfrm>
        <a:prstGeom prst="rect">
          <a:avLst/>
        </a:prstGeom>
      </xdr:spPr>
    </xdr:pic>
    <xdr:clientData/>
  </xdr:oneCellAnchor>
  <xdr:oneCellAnchor>
    <xdr:from>
      <xdr:col>3</xdr:col>
      <xdr:colOff>9525</xdr:colOff>
      <xdr:row>0</xdr:row>
      <xdr:rowOff>28575</xdr:rowOff>
    </xdr:from>
    <xdr:ext cx="1600203" cy="533401"/>
    <xdr:pic>
      <xdr:nvPicPr>
        <xdr:cNvPr id="3" name="Picture 2" descr="2015FHLBNY_Logo_1.75in.png">
          <a:hlinkClick xmlns:r="http://schemas.openxmlformats.org/officeDocument/2006/relationships" r:id="rId3"/>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2" cstate="print"/>
        <a:stretch>
          <a:fillRect/>
        </a:stretch>
      </xdr:blipFill>
      <xdr:spPr>
        <a:xfrm>
          <a:off x="104775" y="28575"/>
          <a:ext cx="1600203" cy="533401"/>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3</xdr:col>
      <xdr:colOff>9525</xdr:colOff>
      <xdr:row>0</xdr:row>
      <xdr:rowOff>28575</xdr:rowOff>
    </xdr:from>
    <xdr:ext cx="1600203" cy="533401"/>
    <xdr:pic>
      <xdr:nvPicPr>
        <xdr:cNvPr id="2" name="Picture 1" descr="2015FHLBNY_Logo_1.75in.png">
          <a:hlinkClick xmlns:r="http://schemas.openxmlformats.org/officeDocument/2006/relationships" r:id="rId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2" cstate="print"/>
        <a:stretch>
          <a:fillRect/>
        </a:stretch>
      </xdr:blipFill>
      <xdr:spPr>
        <a:xfrm>
          <a:off x="104775" y="28575"/>
          <a:ext cx="1600203" cy="533401"/>
        </a:xfrm>
        <a:prstGeom prst="rect">
          <a:avLst/>
        </a:prstGeom>
      </xdr:spPr>
    </xdr:pic>
    <xdr:clientData/>
  </xdr:oneCellAnchor>
  <xdr:oneCellAnchor>
    <xdr:from>
      <xdr:col>3</xdr:col>
      <xdr:colOff>9525</xdr:colOff>
      <xdr:row>0</xdr:row>
      <xdr:rowOff>28575</xdr:rowOff>
    </xdr:from>
    <xdr:ext cx="1600203" cy="533401"/>
    <xdr:pic>
      <xdr:nvPicPr>
        <xdr:cNvPr id="3" name="Picture 2" descr="2015FHLBNY_Logo_1.75in.png">
          <a:hlinkClick xmlns:r="http://schemas.openxmlformats.org/officeDocument/2006/relationships" r:id="rId3"/>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2" cstate="print"/>
        <a:stretch>
          <a:fillRect/>
        </a:stretch>
      </xdr:blipFill>
      <xdr:spPr>
        <a:xfrm>
          <a:off x="104775" y="28575"/>
          <a:ext cx="1600203" cy="533401"/>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3</xdr:col>
      <xdr:colOff>9525</xdr:colOff>
      <xdr:row>0</xdr:row>
      <xdr:rowOff>28575</xdr:rowOff>
    </xdr:from>
    <xdr:ext cx="1600203" cy="533401"/>
    <xdr:pic>
      <xdr:nvPicPr>
        <xdr:cNvPr id="2" name="Picture 1" descr="2015FHLBNY_Logo_1.75in.png">
          <a:hlinkClick xmlns:r="http://schemas.openxmlformats.org/officeDocument/2006/relationships" r:id="rId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2" cstate="print"/>
        <a:stretch>
          <a:fillRect/>
        </a:stretch>
      </xdr:blipFill>
      <xdr:spPr>
        <a:xfrm>
          <a:off x="3863975" y="28575"/>
          <a:ext cx="1600203" cy="533401"/>
        </a:xfrm>
        <a:prstGeom prst="rect">
          <a:avLst/>
        </a:prstGeom>
      </xdr:spPr>
    </xdr:pic>
    <xdr:clientData/>
  </xdr:oneCellAnchor>
  <xdr:oneCellAnchor>
    <xdr:from>
      <xdr:col>3</xdr:col>
      <xdr:colOff>9525</xdr:colOff>
      <xdr:row>0</xdr:row>
      <xdr:rowOff>28575</xdr:rowOff>
    </xdr:from>
    <xdr:ext cx="1600203" cy="533401"/>
    <xdr:pic>
      <xdr:nvPicPr>
        <xdr:cNvPr id="3" name="Picture 2" descr="2015FHLBNY_Logo_1.75in.png">
          <a:hlinkClick xmlns:r="http://schemas.openxmlformats.org/officeDocument/2006/relationships" r:id="rId3"/>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2" cstate="print"/>
        <a:stretch>
          <a:fillRect/>
        </a:stretch>
      </xdr:blipFill>
      <xdr:spPr>
        <a:xfrm>
          <a:off x="3863975" y="28575"/>
          <a:ext cx="1600203" cy="533401"/>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3</xdr:col>
      <xdr:colOff>9525</xdr:colOff>
      <xdr:row>0</xdr:row>
      <xdr:rowOff>28575</xdr:rowOff>
    </xdr:from>
    <xdr:ext cx="1600203" cy="533401"/>
    <xdr:pic>
      <xdr:nvPicPr>
        <xdr:cNvPr id="2" name="Picture 1" descr="2015FHLBNY_Logo_1.75in.png">
          <a:hlinkClick xmlns:r="http://schemas.openxmlformats.org/officeDocument/2006/relationships" r:id="rId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2" cstate="print"/>
        <a:stretch>
          <a:fillRect/>
        </a:stretch>
      </xdr:blipFill>
      <xdr:spPr>
        <a:xfrm>
          <a:off x="111125" y="28575"/>
          <a:ext cx="1600203" cy="533401"/>
        </a:xfrm>
        <a:prstGeom prst="rect">
          <a:avLst/>
        </a:prstGeom>
      </xdr:spPr>
    </xdr:pic>
    <xdr:clientData/>
  </xdr:oneCellAnchor>
  <xdr:oneCellAnchor>
    <xdr:from>
      <xdr:col>3</xdr:col>
      <xdr:colOff>9525</xdr:colOff>
      <xdr:row>0</xdr:row>
      <xdr:rowOff>28575</xdr:rowOff>
    </xdr:from>
    <xdr:ext cx="1600203" cy="533401"/>
    <xdr:pic>
      <xdr:nvPicPr>
        <xdr:cNvPr id="3" name="Picture 2" descr="2015FHLBNY_Logo_1.75in.png">
          <a:hlinkClick xmlns:r="http://schemas.openxmlformats.org/officeDocument/2006/relationships" r:id="rId3"/>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2" cstate="print"/>
        <a:stretch>
          <a:fillRect/>
        </a:stretch>
      </xdr:blipFill>
      <xdr:spPr>
        <a:xfrm>
          <a:off x="111125" y="28575"/>
          <a:ext cx="1600203" cy="533401"/>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oneCellAnchor>
    <xdr:from>
      <xdr:col>3</xdr:col>
      <xdr:colOff>9525</xdr:colOff>
      <xdr:row>0</xdr:row>
      <xdr:rowOff>28575</xdr:rowOff>
    </xdr:from>
    <xdr:ext cx="1600203" cy="533401"/>
    <xdr:pic>
      <xdr:nvPicPr>
        <xdr:cNvPr id="2" name="Picture 1" descr="2015FHLBNY_Logo_1.75in.png">
          <a:hlinkClick xmlns:r="http://schemas.openxmlformats.org/officeDocument/2006/relationships" r:id="rId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2" cstate="print"/>
        <a:stretch>
          <a:fillRect/>
        </a:stretch>
      </xdr:blipFill>
      <xdr:spPr>
        <a:xfrm>
          <a:off x="111125" y="28575"/>
          <a:ext cx="1600203" cy="533401"/>
        </a:xfrm>
        <a:prstGeom prst="rect">
          <a:avLst/>
        </a:prstGeom>
      </xdr:spPr>
    </xdr:pic>
    <xdr:clientData/>
  </xdr:oneCellAnchor>
  <xdr:oneCellAnchor>
    <xdr:from>
      <xdr:col>3</xdr:col>
      <xdr:colOff>9525</xdr:colOff>
      <xdr:row>0</xdr:row>
      <xdr:rowOff>28575</xdr:rowOff>
    </xdr:from>
    <xdr:ext cx="1600203" cy="533401"/>
    <xdr:pic>
      <xdr:nvPicPr>
        <xdr:cNvPr id="3" name="Picture 2" descr="2015FHLBNY_Logo_1.75in.png">
          <a:hlinkClick xmlns:r="http://schemas.openxmlformats.org/officeDocument/2006/relationships" r:id="rId3"/>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2" cstate="print"/>
        <a:stretch>
          <a:fillRect/>
        </a:stretch>
      </xdr:blipFill>
      <xdr:spPr>
        <a:xfrm>
          <a:off x="111125" y="28575"/>
          <a:ext cx="1600203" cy="533401"/>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16</xdr:col>
      <xdr:colOff>295275</xdr:colOff>
      <xdr:row>17</xdr:row>
      <xdr:rowOff>9525</xdr:rowOff>
    </xdr:from>
    <xdr:ext cx="2200275" cy="264560"/>
    <xdr:sp macro="" textlink="$B$131">
      <xdr:nvSpPr>
        <xdr:cNvPr id="209" name="TOC_SECTION_10">
          <a:hlinkClick xmlns:r="http://schemas.openxmlformats.org/officeDocument/2006/relationships" r:id="rId1"/>
          <a:extLst>
            <a:ext uri="{FF2B5EF4-FFF2-40B4-BE49-F238E27FC236}">
              <a16:creationId xmlns:a16="http://schemas.microsoft.com/office/drawing/2014/main" id="{00000000-0008-0000-0100-0000D1000000}"/>
            </a:ext>
          </a:extLst>
        </xdr:cNvPr>
        <xdr:cNvSpPr txBox="1"/>
      </xdr:nvSpPr>
      <xdr:spPr>
        <a:xfrm>
          <a:off x="12163425" y="4524375"/>
          <a:ext cx="2200275" cy="2645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lIns="0" rtlCol="0" anchor="t">
          <a:noAutofit/>
        </a:bodyPr>
        <a:lstStyle/>
        <a:p>
          <a:pPr algn="l"/>
          <a:fld id="{BFAA168D-172E-4430-9045-F99273F30A4A}" type="TxLink">
            <a:rPr lang="en-US" sz="1000" b="1" i="0" u="sng" strike="noStrike">
              <a:solidFill>
                <a:schemeClr val="accent1">
                  <a:lumMod val="75000"/>
                </a:schemeClr>
              </a:solidFill>
              <a:latin typeface="Calibri"/>
              <a:cs typeface="Calibri"/>
            </a:rPr>
            <a:pPr algn="l"/>
            <a:t>Household Qualification</a:t>
          </a:fld>
          <a:endParaRPr lang="en-US" sz="1000" b="1" i="0" u="sng">
            <a:solidFill>
              <a:schemeClr val="accent1">
                <a:lumMod val="75000"/>
              </a:schemeClr>
            </a:solidFill>
          </a:endParaRPr>
        </a:p>
      </xdr:txBody>
    </xdr:sp>
    <xdr:clientData fPrintsWithSheet="0"/>
  </xdr:oneCellAnchor>
  <xdr:oneCellAnchor>
    <xdr:from>
      <xdr:col>8</xdr:col>
      <xdr:colOff>200024</xdr:colOff>
      <xdr:row>16</xdr:row>
      <xdr:rowOff>9525</xdr:rowOff>
    </xdr:from>
    <xdr:ext cx="2295525" cy="264560"/>
    <xdr:sp macro="" textlink="$B$27">
      <xdr:nvSpPr>
        <xdr:cNvPr id="49" name="TOC_SECTION_1">
          <a:hlinkClick xmlns:r="http://schemas.openxmlformats.org/officeDocument/2006/relationships" r:id="rId2"/>
          <a:extLst>
            <a:ext uri="{FF2B5EF4-FFF2-40B4-BE49-F238E27FC236}">
              <a16:creationId xmlns:a16="http://schemas.microsoft.com/office/drawing/2014/main" id="{00000000-0008-0000-0100-000031000000}"/>
            </a:ext>
          </a:extLst>
        </xdr:cNvPr>
        <xdr:cNvSpPr txBox="1"/>
      </xdr:nvSpPr>
      <xdr:spPr>
        <a:xfrm>
          <a:off x="8486774" y="2343150"/>
          <a:ext cx="2295525" cy="2645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lIns="0" rtlCol="0" anchor="t">
          <a:noAutofit/>
        </a:bodyPr>
        <a:lstStyle/>
        <a:p>
          <a:pPr marL="0" indent="0" algn="l"/>
          <a:fld id="{F6F54798-E607-4CA9-99FB-B3AB05C568D1}" type="TxLink">
            <a:rPr lang="en-US" sz="1000" b="1" i="0" u="sng" strike="noStrike">
              <a:solidFill>
                <a:schemeClr val="accent1">
                  <a:lumMod val="75000"/>
                </a:schemeClr>
              </a:solidFill>
              <a:latin typeface="Calibri"/>
              <a:ea typeface="+mn-ea"/>
              <a:cs typeface="+mn-cs"/>
            </a:rPr>
            <a:pPr marL="0" indent="0" algn="l"/>
            <a:t>FHLBNY Member</a:t>
          </a:fld>
          <a:endParaRPr lang="en-US" sz="1000" b="1" i="0" u="sng" strike="noStrike">
            <a:solidFill>
              <a:schemeClr val="accent1">
                <a:lumMod val="75000"/>
              </a:schemeClr>
            </a:solidFill>
            <a:latin typeface="Calibri"/>
            <a:ea typeface="+mn-ea"/>
            <a:cs typeface="+mn-cs"/>
          </a:endParaRPr>
        </a:p>
      </xdr:txBody>
    </xdr:sp>
    <xdr:clientData fPrintsWithSheet="0"/>
  </xdr:oneCellAnchor>
  <xdr:oneCellAnchor>
    <xdr:from>
      <xdr:col>8</xdr:col>
      <xdr:colOff>200024</xdr:colOff>
      <xdr:row>17</xdr:row>
      <xdr:rowOff>9525</xdr:rowOff>
    </xdr:from>
    <xdr:ext cx="2295525" cy="264560"/>
    <xdr:sp macro="" textlink="$B$60">
      <xdr:nvSpPr>
        <xdr:cNvPr id="60" name="TOC_SECTION_2">
          <a:hlinkClick xmlns:r="http://schemas.openxmlformats.org/officeDocument/2006/relationships" r:id="rId3"/>
          <a:extLst>
            <a:ext uri="{FF2B5EF4-FFF2-40B4-BE49-F238E27FC236}">
              <a16:creationId xmlns:a16="http://schemas.microsoft.com/office/drawing/2014/main" id="{00000000-0008-0000-0100-00003C000000}"/>
            </a:ext>
          </a:extLst>
        </xdr:cNvPr>
        <xdr:cNvSpPr txBox="1"/>
      </xdr:nvSpPr>
      <xdr:spPr>
        <a:xfrm>
          <a:off x="8486774" y="2619375"/>
          <a:ext cx="2295525" cy="2645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lIns="0" rtlCol="0" anchor="t">
          <a:noAutofit/>
        </a:bodyPr>
        <a:lstStyle/>
        <a:p>
          <a:pPr marL="0" indent="0" algn="l"/>
          <a:fld id="{60896E56-02AF-450F-83A0-DE79B7AE6E83}" type="TxLink">
            <a:rPr lang="en-US" sz="1000" b="1" i="0" u="sng" strike="noStrike">
              <a:solidFill>
                <a:schemeClr val="accent1">
                  <a:lumMod val="75000"/>
                </a:schemeClr>
              </a:solidFill>
              <a:latin typeface="Calibri"/>
              <a:ea typeface="+mn-ea"/>
              <a:cs typeface="+mn-cs"/>
            </a:rPr>
            <a:pPr marL="0" indent="0" algn="l"/>
            <a:t>Household Information</a:t>
          </a:fld>
          <a:endParaRPr lang="en-US" sz="1000" b="1" i="0" u="sng" strike="noStrike">
            <a:solidFill>
              <a:schemeClr val="accent1">
                <a:lumMod val="75000"/>
              </a:schemeClr>
            </a:solidFill>
            <a:latin typeface="Calibri"/>
            <a:ea typeface="+mn-ea"/>
            <a:cs typeface="+mn-cs"/>
          </a:endParaRPr>
        </a:p>
      </xdr:txBody>
    </xdr:sp>
    <xdr:clientData fPrintsWithSheet="0"/>
  </xdr:oneCellAnchor>
  <xdr:oneCellAnchor>
    <xdr:from>
      <xdr:col>8</xdr:col>
      <xdr:colOff>200024</xdr:colOff>
      <xdr:row>18</xdr:row>
      <xdr:rowOff>9525</xdr:rowOff>
    </xdr:from>
    <xdr:ext cx="2295525" cy="264560"/>
    <xdr:sp macro="" textlink="$B$83">
      <xdr:nvSpPr>
        <xdr:cNvPr id="61" name="TOC_SECTION_3">
          <a:hlinkClick xmlns:r="http://schemas.openxmlformats.org/officeDocument/2006/relationships" r:id="rId4"/>
          <a:extLst>
            <a:ext uri="{FF2B5EF4-FFF2-40B4-BE49-F238E27FC236}">
              <a16:creationId xmlns:a16="http://schemas.microsoft.com/office/drawing/2014/main" id="{00000000-0008-0000-0100-00003D000000}"/>
            </a:ext>
          </a:extLst>
        </xdr:cNvPr>
        <xdr:cNvSpPr txBox="1"/>
      </xdr:nvSpPr>
      <xdr:spPr>
        <a:xfrm>
          <a:off x="8486774" y="2447925"/>
          <a:ext cx="2295525" cy="2645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lIns="0" rtlCol="0" anchor="t">
          <a:noAutofit/>
        </a:bodyPr>
        <a:lstStyle/>
        <a:p>
          <a:pPr algn="l"/>
          <a:fld id="{F3897FBB-DF3B-4B73-902D-D31EFF95B025}" type="TxLink">
            <a:rPr lang="en-US" sz="1000" b="1" i="0" u="sng" strike="noStrike">
              <a:solidFill>
                <a:schemeClr val="accent1">
                  <a:lumMod val="75000"/>
                </a:schemeClr>
              </a:solidFill>
              <a:latin typeface="Calibri"/>
            </a:rPr>
            <a:pPr algn="l"/>
            <a:t>Grant Summary</a:t>
          </a:fld>
          <a:endParaRPr lang="en-US" sz="1000" b="1" i="0" u="sng">
            <a:solidFill>
              <a:schemeClr val="accent1">
                <a:lumMod val="75000"/>
              </a:schemeClr>
            </a:solidFill>
          </a:endParaRPr>
        </a:p>
      </xdr:txBody>
    </xdr:sp>
    <xdr:clientData fPrintsWithSheet="0"/>
  </xdr:oneCellAnchor>
  <xdr:oneCellAnchor>
    <xdr:from>
      <xdr:col>16</xdr:col>
      <xdr:colOff>295275</xdr:colOff>
      <xdr:row>16</xdr:row>
      <xdr:rowOff>9525</xdr:rowOff>
    </xdr:from>
    <xdr:ext cx="2200275" cy="264560"/>
    <xdr:sp macro="" textlink="$B$107">
      <xdr:nvSpPr>
        <xdr:cNvPr id="293" name="TOC_SECTION_9">
          <a:hlinkClick xmlns:r="http://schemas.openxmlformats.org/officeDocument/2006/relationships" r:id="rId5"/>
          <a:extLst>
            <a:ext uri="{FF2B5EF4-FFF2-40B4-BE49-F238E27FC236}">
              <a16:creationId xmlns:a16="http://schemas.microsoft.com/office/drawing/2014/main" id="{00000000-0008-0000-0100-000025010000}"/>
            </a:ext>
          </a:extLst>
        </xdr:cNvPr>
        <xdr:cNvSpPr txBox="1"/>
      </xdr:nvSpPr>
      <xdr:spPr>
        <a:xfrm>
          <a:off x="12163425" y="4248150"/>
          <a:ext cx="2200275" cy="2645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lIns="0" rtlCol="0" anchor="t">
          <a:noAutofit/>
        </a:bodyPr>
        <a:lstStyle/>
        <a:p>
          <a:pPr algn="l"/>
          <a:fld id="{177A4A5A-073A-414A-AACE-C550FFAA6913}" type="TxLink">
            <a:rPr lang="en-US" sz="1000" b="1" i="0" u="sng" strike="noStrike">
              <a:solidFill>
                <a:schemeClr val="accent1">
                  <a:lumMod val="75000"/>
                </a:schemeClr>
              </a:solidFill>
              <a:latin typeface="Calibri"/>
              <a:cs typeface="Calibri"/>
            </a:rPr>
            <a:pPr algn="l"/>
            <a:t>Purchase Property</a:t>
          </a:fld>
          <a:endParaRPr lang="en-US" sz="1000" b="1" i="0" u="sng">
            <a:solidFill>
              <a:schemeClr val="accent1">
                <a:lumMod val="75000"/>
              </a:schemeClr>
            </a:solidFill>
          </a:endParaRPr>
        </a:p>
      </xdr:txBody>
    </xdr:sp>
    <xdr:clientData fPrintsWithSheet="0"/>
  </xdr:oneCellAnchor>
  <xdr:twoCellAnchor editAs="absolute">
    <xdr:from>
      <xdr:col>16384</xdr:col>
      <xdr:colOff>607578</xdr:colOff>
      <xdr:row>13</xdr:row>
      <xdr:rowOff>180975</xdr:rowOff>
    </xdr:from>
    <xdr:to>
      <xdr:col>16384</xdr:col>
      <xdr:colOff>607578</xdr:colOff>
      <xdr:row>15</xdr:row>
      <xdr:rowOff>228600</xdr:rowOff>
    </xdr:to>
    <xdr:sp macro="" textlink="">
      <xdr:nvSpPr>
        <xdr:cNvPr id="17" name="COVER_CELLS_01">
          <a:extLst>
            <a:ext uri="{FF2B5EF4-FFF2-40B4-BE49-F238E27FC236}">
              <a16:creationId xmlns:a16="http://schemas.microsoft.com/office/drawing/2014/main" id="{00000000-0008-0000-0100-000011000000}"/>
            </a:ext>
          </a:extLst>
        </xdr:cNvPr>
        <xdr:cNvSpPr/>
      </xdr:nvSpPr>
      <xdr:spPr>
        <a:xfrm>
          <a:off x="9115424" y="3590925"/>
          <a:ext cx="0" cy="600075"/>
        </a:xfrm>
        <a:prstGeom prst="rect">
          <a:avLst/>
        </a:prstGeom>
        <a:solidFill>
          <a:srgbClr val="FFFFFF">
            <a:alpha val="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fPrintsWithSheet="0"/>
  </xdr:twoCellAnchor>
  <xdr:twoCellAnchor>
    <xdr:from>
      <xdr:col>7</xdr:col>
      <xdr:colOff>24775</xdr:colOff>
      <xdr:row>137</xdr:row>
      <xdr:rowOff>190501</xdr:rowOff>
    </xdr:from>
    <xdr:to>
      <xdr:col>24</xdr:col>
      <xdr:colOff>152399</xdr:colOff>
      <xdr:row>139</xdr:row>
      <xdr:rowOff>9525</xdr:rowOff>
    </xdr:to>
    <xdr:grpSp>
      <xdr:nvGrpSpPr>
        <xdr:cNvPr id="88" name="Group 87">
          <a:extLst>
            <a:ext uri="{FF2B5EF4-FFF2-40B4-BE49-F238E27FC236}">
              <a16:creationId xmlns:a16="http://schemas.microsoft.com/office/drawing/2014/main" id="{00000000-0008-0000-0100-000058000000}"/>
            </a:ext>
          </a:extLst>
        </xdr:cNvPr>
        <xdr:cNvGrpSpPr/>
      </xdr:nvGrpSpPr>
      <xdr:grpSpPr>
        <a:xfrm>
          <a:off x="24775" y="37852351"/>
          <a:ext cx="7452349" cy="361949"/>
          <a:chOff x="9296399" y="16259175"/>
          <a:chExt cx="7452359" cy="371473"/>
        </a:xfrm>
      </xdr:grpSpPr>
      <xdr:sp macro="" textlink="CONFIG_EFORM_DOC_ID_NAME">
        <xdr:nvSpPr>
          <xdr:cNvPr id="9" name="FOOTER_BG">
            <a:extLst>
              <a:ext uri="{FF2B5EF4-FFF2-40B4-BE49-F238E27FC236}">
                <a16:creationId xmlns:a16="http://schemas.microsoft.com/office/drawing/2014/main" id="{00000000-0008-0000-0100-000009000000}"/>
              </a:ext>
            </a:extLst>
          </xdr:cNvPr>
          <xdr:cNvSpPr/>
        </xdr:nvSpPr>
        <xdr:spPr>
          <a:xfrm>
            <a:off x="9296399" y="16259175"/>
            <a:ext cx="7452359" cy="371473"/>
          </a:xfrm>
          <a:prstGeom prst="rect">
            <a:avLst/>
          </a:prstGeom>
          <a:solidFill>
            <a:srgbClr val="00305E"/>
          </a:solidFill>
          <a:ln>
            <a:noFill/>
          </a:ln>
          <a:effectLst/>
        </xdr:spPr>
        <xdr:style>
          <a:lnRef idx="1">
            <a:schemeClr val="accent1"/>
          </a:lnRef>
          <a:fillRef idx="3">
            <a:schemeClr val="accent1"/>
          </a:fillRef>
          <a:effectRef idx="2">
            <a:schemeClr val="accent1"/>
          </a:effectRef>
          <a:fontRef idx="minor">
            <a:schemeClr val="lt1"/>
          </a:fontRef>
        </xdr:style>
        <xdr:txBody>
          <a:bodyPr vertOverflow="clip" rtlCol="0" anchor="ctr"/>
          <a:lstStyle/>
          <a:p>
            <a:pPr marL="0" marR="0" indent="0" algn="r" defTabSz="914400" eaLnBrk="1" fontAlgn="auto" latinLnBrk="0" hangingPunct="1">
              <a:lnSpc>
                <a:spcPct val="100000"/>
              </a:lnSpc>
              <a:spcBef>
                <a:spcPts val="0"/>
              </a:spcBef>
              <a:spcAft>
                <a:spcPts val="0"/>
              </a:spcAft>
              <a:buClrTx/>
              <a:buSzTx/>
              <a:buFontTx/>
              <a:buNone/>
              <a:tabLst/>
              <a:defRPr/>
            </a:pPr>
            <a:fld id="{318D66D7-35C3-43A5-9A89-905D240885C5}" type="TxLink">
              <a:rPr lang="en-US" sz="1000" b="1" i="0" u="none" strike="noStrike">
                <a:solidFill>
                  <a:schemeClr val="bg1"/>
                </a:solidFill>
                <a:latin typeface="+mn-lt"/>
                <a:ea typeface="+mn-ea"/>
                <a:cs typeface="Calibri"/>
              </a:rPr>
              <a:pPr marL="0" marR="0" indent="0" algn="r" defTabSz="914400" eaLnBrk="1" fontAlgn="auto" latinLnBrk="0" hangingPunct="1">
                <a:lnSpc>
                  <a:spcPct val="100000"/>
                </a:lnSpc>
                <a:spcBef>
                  <a:spcPts val="0"/>
                </a:spcBef>
                <a:spcAft>
                  <a:spcPts val="0"/>
                </a:spcAft>
                <a:buClrTx/>
                <a:buSzTx/>
                <a:buFontTx/>
                <a:buNone/>
                <a:tabLst/>
                <a:defRPr/>
              </a:pPr>
              <a:t>HDP-005: Homebuyer Dream Program® Request Form</a:t>
            </a:fld>
            <a:endParaRPr lang="en-US" sz="1000" b="1">
              <a:solidFill>
                <a:schemeClr val="bg1"/>
              </a:solidFill>
              <a:latin typeface="+mn-lt"/>
            </a:endParaRPr>
          </a:p>
        </xdr:txBody>
      </xdr:sp>
      <xdr:sp macro="" textlink="">
        <xdr:nvSpPr>
          <xdr:cNvPr id="25" name="FOOTER_LINK_PAGETOP">
            <a:hlinkClick xmlns:r="http://schemas.openxmlformats.org/officeDocument/2006/relationships" r:id="rId6"/>
            <a:extLst>
              <a:ext uri="{FF2B5EF4-FFF2-40B4-BE49-F238E27FC236}">
                <a16:creationId xmlns:a16="http://schemas.microsoft.com/office/drawing/2014/main" id="{00000000-0008-0000-0100-000019000000}"/>
              </a:ext>
            </a:extLst>
          </xdr:cNvPr>
          <xdr:cNvSpPr/>
        </xdr:nvSpPr>
        <xdr:spPr>
          <a:xfrm>
            <a:off x="9296399" y="16259175"/>
            <a:ext cx="1126715" cy="36195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u="none">
                <a:solidFill>
                  <a:schemeClr val="bg1"/>
                </a:solidFill>
                <a:latin typeface="+mn-lt"/>
              </a:rPr>
              <a:t>^ Back to Top</a:t>
            </a:r>
          </a:p>
        </xdr:txBody>
      </xdr:sp>
    </xdr:grpSp>
    <xdr:clientData fPrintsWithSheet="0"/>
  </xdr:twoCellAnchor>
  <xdr:oneCellAnchor>
    <xdr:from>
      <xdr:col>12</xdr:col>
      <xdr:colOff>1076325</xdr:colOff>
      <xdr:row>12</xdr:row>
      <xdr:rowOff>0</xdr:rowOff>
    </xdr:from>
    <xdr:ext cx="184731" cy="264560"/>
    <xdr:sp macro="" textlink="">
      <xdr:nvSpPr>
        <xdr:cNvPr id="32" name="TextBox 31">
          <a:extLst>
            <a:ext uri="{FF2B5EF4-FFF2-40B4-BE49-F238E27FC236}">
              <a16:creationId xmlns:a16="http://schemas.microsoft.com/office/drawing/2014/main" id="{00000000-0008-0000-0100-000020000000}"/>
            </a:ext>
          </a:extLst>
        </xdr:cNvPr>
        <xdr:cNvSpPr txBox="1"/>
      </xdr:nvSpPr>
      <xdr:spPr>
        <a:xfrm>
          <a:off x="13601700" y="71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oneCellAnchor>
    <xdr:from>
      <xdr:col>16</xdr:col>
      <xdr:colOff>1076325</xdr:colOff>
      <xdr:row>12</xdr:row>
      <xdr:rowOff>0</xdr:rowOff>
    </xdr:from>
    <xdr:ext cx="184731" cy="264560"/>
    <xdr:sp macro="" textlink="">
      <xdr:nvSpPr>
        <xdr:cNvPr id="33" name="TextBox 32">
          <a:extLst>
            <a:ext uri="{FF2B5EF4-FFF2-40B4-BE49-F238E27FC236}">
              <a16:creationId xmlns:a16="http://schemas.microsoft.com/office/drawing/2014/main" id="{00000000-0008-0000-0100-000021000000}"/>
            </a:ext>
          </a:extLst>
        </xdr:cNvPr>
        <xdr:cNvSpPr txBox="1"/>
      </xdr:nvSpPr>
      <xdr:spPr>
        <a:xfrm>
          <a:off x="14897100" y="71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oneCellAnchor>
    <xdr:from>
      <xdr:col>16</xdr:col>
      <xdr:colOff>1076325</xdr:colOff>
      <xdr:row>12</xdr:row>
      <xdr:rowOff>0</xdr:rowOff>
    </xdr:from>
    <xdr:ext cx="184731" cy="264560"/>
    <xdr:sp macro="" textlink="">
      <xdr:nvSpPr>
        <xdr:cNvPr id="38" name="TextBox 37">
          <a:extLst>
            <a:ext uri="{FF2B5EF4-FFF2-40B4-BE49-F238E27FC236}">
              <a16:creationId xmlns:a16="http://schemas.microsoft.com/office/drawing/2014/main" id="{00000000-0008-0000-0100-000026000000}"/>
            </a:ext>
          </a:extLst>
        </xdr:cNvPr>
        <xdr:cNvSpPr txBox="1"/>
      </xdr:nvSpPr>
      <xdr:spPr>
        <a:xfrm>
          <a:off x="16192500" y="71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oneCellAnchor>
    <xdr:from>
      <xdr:col>16</xdr:col>
      <xdr:colOff>1076325</xdr:colOff>
      <xdr:row>12</xdr:row>
      <xdr:rowOff>0</xdr:rowOff>
    </xdr:from>
    <xdr:ext cx="184731" cy="264560"/>
    <xdr:sp macro="" textlink="">
      <xdr:nvSpPr>
        <xdr:cNvPr id="39" name="TextBox 38">
          <a:extLst>
            <a:ext uri="{FF2B5EF4-FFF2-40B4-BE49-F238E27FC236}">
              <a16:creationId xmlns:a16="http://schemas.microsoft.com/office/drawing/2014/main" id="{00000000-0008-0000-0100-000027000000}"/>
            </a:ext>
          </a:extLst>
        </xdr:cNvPr>
        <xdr:cNvSpPr txBox="1"/>
      </xdr:nvSpPr>
      <xdr:spPr>
        <a:xfrm>
          <a:off x="6553200" y="695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twoCellAnchor editAs="oneCell">
    <xdr:from>
      <xdr:col>7</xdr:col>
      <xdr:colOff>66675</xdr:colOff>
      <xdr:row>19</xdr:row>
      <xdr:rowOff>180976</xdr:rowOff>
    </xdr:from>
    <xdr:to>
      <xdr:col>24</xdr:col>
      <xdr:colOff>104776</xdr:colOff>
      <xdr:row>24</xdr:row>
      <xdr:rowOff>123827</xdr:rowOff>
    </xdr:to>
    <xdr:grpSp>
      <xdr:nvGrpSpPr>
        <xdr:cNvPr id="3" name="Group 2">
          <a:extLst>
            <a:ext uri="{FF2B5EF4-FFF2-40B4-BE49-F238E27FC236}">
              <a16:creationId xmlns:a16="http://schemas.microsoft.com/office/drawing/2014/main" id="{00000000-0008-0000-0100-000003000000}"/>
            </a:ext>
          </a:extLst>
        </xdr:cNvPr>
        <xdr:cNvGrpSpPr/>
      </xdr:nvGrpSpPr>
      <xdr:grpSpPr>
        <a:xfrm>
          <a:off x="66675" y="5248276"/>
          <a:ext cx="7362826" cy="1323976"/>
          <a:chOff x="8191500" y="5295900"/>
          <a:chExt cx="7362826" cy="1197883"/>
        </a:xfrm>
      </xdr:grpSpPr>
      <xdr:grpSp>
        <xdr:nvGrpSpPr>
          <xdr:cNvPr id="320" name="RENTAL_1">
            <a:extLst>
              <a:ext uri="{FF2B5EF4-FFF2-40B4-BE49-F238E27FC236}">
                <a16:creationId xmlns:a16="http://schemas.microsoft.com/office/drawing/2014/main" id="{00000000-0008-0000-0100-000040010000}"/>
              </a:ext>
            </a:extLst>
          </xdr:cNvPr>
          <xdr:cNvGrpSpPr/>
        </xdr:nvGrpSpPr>
        <xdr:grpSpPr>
          <a:xfrm>
            <a:off x="8191500" y="5295901"/>
            <a:ext cx="7362825" cy="1197882"/>
            <a:chOff x="8191500" y="4057651"/>
            <a:chExt cx="7362825" cy="1197882"/>
          </a:xfrm>
        </xdr:grpSpPr>
        <xdr:sp macro="" textlink="">
          <xdr:nvSpPr>
            <xdr:cNvPr id="41" name="RENTAL_1_SECTION_FRAME">
              <a:extLst>
                <a:ext uri="{FF2B5EF4-FFF2-40B4-BE49-F238E27FC236}">
                  <a16:creationId xmlns:a16="http://schemas.microsoft.com/office/drawing/2014/main" id="{00000000-0008-0000-0100-000029000000}"/>
                </a:ext>
              </a:extLst>
            </xdr:cNvPr>
            <xdr:cNvSpPr/>
          </xdr:nvSpPr>
          <xdr:spPr>
            <a:xfrm>
              <a:off x="8191500" y="4367099"/>
              <a:ext cx="7362825" cy="888434"/>
            </a:xfrm>
            <a:prstGeom prst="rect">
              <a:avLst/>
            </a:prstGeom>
            <a:no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endParaRPr lang="en-US" sz="1100"/>
            </a:p>
          </xdr:txBody>
        </xdr:sp>
        <xdr:sp macro="" textlink="B18">
          <xdr:nvSpPr>
            <xdr:cNvPr id="42" name="RENTAL_1_SECTION_TITLE">
              <a:extLst>
                <a:ext uri="{FF2B5EF4-FFF2-40B4-BE49-F238E27FC236}">
                  <a16:creationId xmlns:a16="http://schemas.microsoft.com/office/drawing/2014/main" id="{00000000-0008-0000-0100-00002A000000}"/>
                </a:ext>
              </a:extLst>
            </xdr:cNvPr>
            <xdr:cNvSpPr/>
          </xdr:nvSpPr>
          <xdr:spPr>
            <a:xfrm>
              <a:off x="8191500" y="4057651"/>
              <a:ext cx="7360920" cy="311090"/>
            </a:xfrm>
            <a:prstGeom prst="rect">
              <a:avLst/>
            </a:prstGeom>
            <a:solidFill>
              <a:srgbClr val="9CACB9"/>
            </a:solid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l"/>
              <a:fld id="{41F85F06-3A35-4C2E-A513-A2CFAECED2A4}" type="TxLink">
                <a:rPr lang="en-US" sz="1100" b="1" i="0" u="none" strike="noStrike">
                  <a:solidFill>
                    <a:schemeClr val="bg1"/>
                  </a:solidFill>
                  <a:latin typeface="Calibri"/>
                </a:rPr>
                <a:pPr algn="l"/>
                <a:t>Federal Home Loan Bank of New York Member</a:t>
              </a:fld>
              <a:endParaRPr lang="en-US" sz="1100" b="1" i="0">
                <a:solidFill>
                  <a:schemeClr val="bg1"/>
                </a:solidFill>
              </a:endParaRPr>
            </a:p>
          </xdr:txBody>
        </xdr:sp>
        <xdr:sp macro="" textlink="$B$25">
          <xdr:nvSpPr>
            <xdr:cNvPr id="98" name="RENTAL_1_SECTION_SUBTITLE">
              <a:extLst>
                <a:ext uri="{FF2B5EF4-FFF2-40B4-BE49-F238E27FC236}">
                  <a16:creationId xmlns:a16="http://schemas.microsoft.com/office/drawing/2014/main" id="{00000000-0008-0000-0100-000062000000}"/>
                </a:ext>
              </a:extLst>
            </xdr:cNvPr>
            <xdr:cNvSpPr/>
          </xdr:nvSpPr>
          <xdr:spPr>
            <a:xfrm>
              <a:off x="8201025" y="4379110"/>
              <a:ext cx="7351776" cy="274320"/>
            </a:xfrm>
            <a:prstGeom prst="rect">
              <a:avLst/>
            </a:prstGeom>
            <a:solidFill>
              <a:schemeClr val="accent1">
                <a:lumMod val="20000"/>
                <a:lumOff val="80000"/>
              </a:schemeClr>
            </a:solidFill>
            <a:ln>
              <a:noFill/>
            </a:ln>
            <a:effectLst/>
          </xdr:spPr>
          <xdr:style>
            <a:lnRef idx="1">
              <a:schemeClr val="accent1"/>
            </a:lnRef>
            <a:fillRef idx="2">
              <a:schemeClr val="accent1"/>
            </a:fillRef>
            <a:effectRef idx="1">
              <a:schemeClr val="accent1"/>
            </a:effectRef>
            <a:fontRef idx="minor">
              <a:schemeClr val="dk1"/>
            </a:fontRef>
          </xdr:style>
          <xdr:txBody>
            <a:bodyPr vertOverflow="clip" lIns="457200" rtlCol="0" anchor="ctr"/>
            <a:lstStyle/>
            <a:p>
              <a:pPr algn="l"/>
              <a:fld id="{CCDC5A28-C611-4D0B-B4D7-393A7AD37E0E}" type="TxLink">
                <a:rPr lang="en-US" sz="900" b="0" i="0" u="none" strike="noStrike">
                  <a:solidFill>
                    <a:srgbClr val="000000"/>
                  </a:solidFill>
                  <a:latin typeface="Calibri"/>
                </a:rPr>
                <a:pPr algn="l"/>
                <a:t>Not Started</a:t>
              </a:fld>
              <a:endParaRPr lang="en-US" sz="1100" i="0"/>
            </a:p>
          </xdr:txBody>
        </xdr:sp>
        <xdr:sp macro="" textlink="">
          <xdr:nvSpPr>
            <xdr:cNvPr id="99" name="RENTAL_1_SECTION_SUBTITLE_LABEL">
              <a:extLst>
                <a:ext uri="{FF2B5EF4-FFF2-40B4-BE49-F238E27FC236}">
                  <a16:creationId xmlns:a16="http://schemas.microsoft.com/office/drawing/2014/main" id="{00000000-0008-0000-0100-000063000000}"/>
                </a:ext>
              </a:extLst>
            </xdr:cNvPr>
            <xdr:cNvSpPr txBox="1"/>
          </xdr:nvSpPr>
          <xdr:spPr>
            <a:xfrm>
              <a:off x="8296277" y="4379110"/>
              <a:ext cx="476249" cy="2743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tlCol="0" anchor="ctr">
              <a:noAutofit/>
            </a:bodyPr>
            <a:lstStyle/>
            <a:p>
              <a:r>
                <a:rPr lang="en-US" sz="900" b="1"/>
                <a:t>Status:</a:t>
              </a:r>
            </a:p>
          </xdr:txBody>
        </xdr:sp>
      </xdr:grpSp>
      <xdr:sp macro="" textlink="">
        <xdr:nvSpPr>
          <xdr:cNvPr id="44" name="LINK_RENTAL_TOC">
            <a:hlinkClick xmlns:r="http://schemas.openxmlformats.org/officeDocument/2006/relationships" r:id="rId6"/>
            <a:extLst>
              <a:ext uri="{FF2B5EF4-FFF2-40B4-BE49-F238E27FC236}">
                <a16:creationId xmlns:a16="http://schemas.microsoft.com/office/drawing/2014/main" id="{00000000-0008-0000-0100-00002C000000}"/>
              </a:ext>
            </a:extLst>
          </xdr:cNvPr>
          <xdr:cNvSpPr/>
        </xdr:nvSpPr>
        <xdr:spPr>
          <a:xfrm>
            <a:off x="14525626" y="5295900"/>
            <a:ext cx="1028700" cy="30480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r"/>
            <a:r>
              <a:rPr lang="en-US" sz="1000" b="1" u="none">
                <a:solidFill>
                  <a:schemeClr val="bg1"/>
                </a:solidFill>
              </a:rPr>
              <a:t>Back</a:t>
            </a:r>
            <a:r>
              <a:rPr lang="en-US" sz="1000" b="1" u="none" baseline="0">
                <a:solidFill>
                  <a:schemeClr val="bg1"/>
                </a:solidFill>
              </a:rPr>
              <a:t> to Top ^</a:t>
            </a:r>
            <a:endParaRPr lang="en-US" sz="1000" b="1" u="none">
              <a:solidFill>
                <a:schemeClr val="bg1"/>
              </a:solidFill>
            </a:endParaRPr>
          </a:p>
        </xdr:txBody>
      </xdr:sp>
    </xdr:grpSp>
    <xdr:clientData fPrintsWithSheet="0"/>
  </xdr:twoCellAnchor>
  <xdr:twoCellAnchor editAs="oneCell">
    <xdr:from>
      <xdr:col>14</xdr:col>
      <xdr:colOff>3398</xdr:colOff>
      <xdr:row>0</xdr:row>
      <xdr:rowOff>71440</xdr:rowOff>
    </xdr:from>
    <xdr:to>
      <xdr:col>24</xdr:col>
      <xdr:colOff>98648</xdr:colOff>
      <xdr:row>0</xdr:row>
      <xdr:rowOff>457200</xdr:rowOff>
    </xdr:to>
    <xdr:sp macro="" textlink="$B$6">
      <xdr:nvSpPr>
        <xdr:cNvPr id="35" name="HEADER_BANNER_TITLE">
          <a:extLst>
            <a:ext uri="{FF2B5EF4-FFF2-40B4-BE49-F238E27FC236}">
              <a16:creationId xmlns:a16="http://schemas.microsoft.com/office/drawing/2014/main" id="{00000000-0008-0000-0100-000023000000}"/>
            </a:ext>
          </a:extLst>
        </xdr:cNvPr>
        <xdr:cNvSpPr txBox="1"/>
      </xdr:nvSpPr>
      <xdr:spPr>
        <a:xfrm>
          <a:off x="11509598" y="71440"/>
          <a:ext cx="4794250" cy="3857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Ins="0" rtlCol="0" anchor="ctr">
          <a:noAutofit/>
        </a:bodyPr>
        <a:lstStyle/>
        <a:p>
          <a:pPr algn="r"/>
          <a:fld id="{EB7A598A-0828-4A2E-81B0-26C15BB3F65D}" type="TxLink">
            <a:rPr lang="en-US" sz="1200" b="1" i="0" u="none" strike="noStrike">
              <a:solidFill>
                <a:sysClr val="windowText" lastClr="000000"/>
              </a:solidFill>
              <a:latin typeface="Calibri"/>
            </a:rPr>
            <a:pPr algn="r"/>
            <a:t>Homebuyer Dream Program - 2026 Round</a:t>
          </a:fld>
          <a:endParaRPr lang="en-US" sz="1200" b="1" i="0">
            <a:solidFill>
              <a:sysClr val="windowText" lastClr="000000"/>
            </a:solidFill>
          </a:endParaRPr>
        </a:p>
      </xdr:txBody>
    </xdr:sp>
    <xdr:clientData/>
  </xdr:twoCellAnchor>
  <xdr:twoCellAnchor editAs="oneCell">
    <xdr:from>
      <xdr:col>7</xdr:col>
      <xdr:colOff>66675</xdr:colOff>
      <xdr:row>25</xdr:row>
      <xdr:rowOff>0</xdr:rowOff>
    </xdr:from>
    <xdr:to>
      <xdr:col>24</xdr:col>
      <xdr:colOff>104776</xdr:colOff>
      <xdr:row>43</xdr:row>
      <xdr:rowOff>95250</xdr:rowOff>
    </xdr:to>
    <xdr:grpSp>
      <xdr:nvGrpSpPr>
        <xdr:cNvPr id="4" name="Group 3">
          <a:extLst>
            <a:ext uri="{FF2B5EF4-FFF2-40B4-BE49-F238E27FC236}">
              <a16:creationId xmlns:a16="http://schemas.microsoft.com/office/drawing/2014/main" id="{00000000-0008-0000-0100-000004000000}"/>
            </a:ext>
          </a:extLst>
        </xdr:cNvPr>
        <xdr:cNvGrpSpPr/>
      </xdr:nvGrpSpPr>
      <xdr:grpSpPr>
        <a:xfrm>
          <a:off x="66675" y="6724650"/>
          <a:ext cx="7362826" cy="5067300"/>
          <a:chOff x="8191500" y="8343900"/>
          <a:chExt cx="7362826" cy="5067300"/>
        </a:xfrm>
      </xdr:grpSpPr>
      <xdr:grpSp>
        <xdr:nvGrpSpPr>
          <xdr:cNvPr id="110" name="RENTAL_2">
            <a:extLst>
              <a:ext uri="{FF2B5EF4-FFF2-40B4-BE49-F238E27FC236}">
                <a16:creationId xmlns:a16="http://schemas.microsoft.com/office/drawing/2014/main" id="{00000000-0008-0000-0100-00006E000000}"/>
              </a:ext>
            </a:extLst>
          </xdr:cNvPr>
          <xdr:cNvGrpSpPr/>
        </xdr:nvGrpSpPr>
        <xdr:grpSpPr>
          <a:xfrm>
            <a:off x="8191500" y="8343901"/>
            <a:ext cx="7362825" cy="5067299"/>
            <a:chOff x="9353550" y="7334730"/>
            <a:chExt cx="7362825" cy="4812963"/>
          </a:xfrm>
        </xdr:grpSpPr>
        <xdr:sp macro="" textlink="">
          <xdr:nvSpPr>
            <xdr:cNvPr id="75" name="RENTAL_2_SECTION_FRAME">
              <a:extLst>
                <a:ext uri="{FF2B5EF4-FFF2-40B4-BE49-F238E27FC236}">
                  <a16:creationId xmlns:a16="http://schemas.microsoft.com/office/drawing/2014/main" id="{00000000-0008-0000-0100-00004B000000}"/>
                </a:ext>
              </a:extLst>
            </xdr:cNvPr>
            <xdr:cNvSpPr/>
          </xdr:nvSpPr>
          <xdr:spPr>
            <a:xfrm>
              <a:off x="9353550" y="7632465"/>
              <a:ext cx="7362825" cy="4515228"/>
            </a:xfrm>
            <a:prstGeom prst="rect">
              <a:avLst/>
            </a:prstGeom>
            <a:no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endParaRPr lang="en-US" sz="1100"/>
            </a:p>
          </xdr:txBody>
        </xdr:sp>
        <xdr:sp macro="" textlink="B30">
          <xdr:nvSpPr>
            <xdr:cNvPr id="76" name="RENTAL_2_SECTION_TITLE">
              <a:extLst>
                <a:ext uri="{FF2B5EF4-FFF2-40B4-BE49-F238E27FC236}">
                  <a16:creationId xmlns:a16="http://schemas.microsoft.com/office/drawing/2014/main" id="{00000000-0008-0000-0100-00004C000000}"/>
                </a:ext>
              </a:extLst>
            </xdr:cNvPr>
            <xdr:cNvSpPr/>
          </xdr:nvSpPr>
          <xdr:spPr>
            <a:xfrm>
              <a:off x="9353550" y="7334730"/>
              <a:ext cx="7360920" cy="291669"/>
            </a:xfrm>
            <a:prstGeom prst="rect">
              <a:avLst/>
            </a:prstGeom>
            <a:solidFill>
              <a:srgbClr val="9CACB9"/>
            </a:solid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l"/>
              <a:fld id="{F7EBC575-AB48-40AE-B3DF-C45D66875040}" type="TxLink">
                <a:rPr lang="en-US" sz="1100" b="1" i="0" u="none" strike="noStrike">
                  <a:solidFill>
                    <a:schemeClr val="bg1"/>
                  </a:solidFill>
                  <a:latin typeface="Calibri"/>
                </a:rPr>
                <a:pPr algn="l"/>
                <a:t>Household Information</a:t>
              </a:fld>
              <a:endParaRPr lang="en-US" sz="1100" b="1" i="0">
                <a:solidFill>
                  <a:schemeClr val="bg1"/>
                </a:solidFill>
              </a:endParaRPr>
            </a:p>
          </xdr:txBody>
        </xdr:sp>
        <xdr:sp macro="" textlink="$B$58">
          <xdr:nvSpPr>
            <xdr:cNvPr id="95" name="RENTAL_2_SECTION_SUBTITLE">
              <a:extLst>
                <a:ext uri="{FF2B5EF4-FFF2-40B4-BE49-F238E27FC236}">
                  <a16:creationId xmlns:a16="http://schemas.microsoft.com/office/drawing/2014/main" id="{00000000-0008-0000-0100-00005F000000}"/>
                </a:ext>
              </a:extLst>
            </xdr:cNvPr>
            <xdr:cNvSpPr/>
          </xdr:nvSpPr>
          <xdr:spPr>
            <a:xfrm>
              <a:off x="9363075" y="7641569"/>
              <a:ext cx="7351776" cy="257355"/>
            </a:xfrm>
            <a:prstGeom prst="rect">
              <a:avLst/>
            </a:prstGeom>
            <a:solidFill>
              <a:schemeClr val="accent1">
                <a:lumMod val="20000"/>
                <a:lumOff val="80000"/>
              </a:schemeClr>
            </a:solidFill>
            <a:ln>
              <a:noFill/>
            </a:ln>
            <a:effectLst/>
          </xdr:spPr>
          <xdr:style>
            <a:lnRef idx="1">
              <a:schemeClr val="accent1"/>
            </a:lnRef>
            <a:fillRef idx="2">
              <a:schemeClr val="accent1"/>
            </a:fillRef>
            <a:effectRef idx="1">
              <a:schemeClr val="accent1"/>
            </a:effectRef>
            <a:fontRef idx="minor">
              <a:schemeClr val="dk1"/>
            </a:fontRef>
          </xdr:style>
          <xdr:txBody>
            <a:bodyPr vertOverflow="clip" lIns="457200" rtlCol="0" anchor="ctr"/>
            <a:lstStyle/>
            <a:p>
              <a:pPr algn="l"/>
              <a:fld id="{105E12F8-653C-4DF9-8753-A54BD8A3A967}" type="TxLink">
                <a:rPr lang="en-US" sz="900" b="0" i="0" u="none" strike="noStrike">
                  <a:solidFill>
                    <a:srgbClr val="000000"/>
                  </a:solidFill>
                  <a:latin typeface="Calibri"/>
                </a:rPr>
                <a:pPr algn="l"/>
                <a:t>Not Started</a:t>
              </a:fld>
              <a:endParaRPr lang="en-US" sz="1100" i="0"/>
            </a:p>
          </xdr:txBody>
        </xdr:sp>
        <xdr:sp macro="" textlink="">
          <xdr:nvSpPr>
            <xdr:cNvPr id="96" name="RENTAL_2_SECTION_SUBTITLE_LABEL">
              <a:extLst>
                <a:ext uri="{FF2B5EF4-FFF2-40B4-BE49-F238E27FC236}">
                  <a16:creationId xmlns:a16="http://schemas.microsoft.com/office/drawing/2014/main" id="{00000000-0008-0000-0100-000060000000}"/>
                </a:ext>
              </a:extLst>
            </xdr:cNvPr>
            <xdr:cNvSpPr txBox="1"/>
          </xdr:nvSpPr>
          <xdr:spPr>
            <a:xfrm>
              <a:off x="9458327" y="7641569"/>
              <a:ext cx="476249" cy="2573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tlCol="0" anchor="ctr">
              <a:noAutofit/>
            </a:bodyPr>
            <a:lstStyle/>
            <a:p>
              <a:r>
                <a:rPr lang="en-US" sz="900" b="1"/>
                <a:t>Status:</a:t>
              </a:r>
            </a:p>
          </xdr:txBody>
        </xdr:sp>
      </xdr:grpSp>
      <xdr:sp macro="" textlink="">
        <xdr:nvSpPr>
          <xdr:cNvPr id="77" name="LINK_RENTAL_TOC">
            <a:hlinkClick xmlns:r="http://schemas.openxmlformats.org/officeDocument/2006/relationships" r:id="rId6"/>
            <a:extLst>
              <a:ext uri="{FF2B5EF4-FFF2-40B4-BE49-F238E27FC236}">
                <a16:creationId xmlns:a16="http://schemas.microsoft.com/office/drawing/2014/main" id="{00000000-0008-0000-0100-00004D000000}"/>
              </a:ext>
            </a:extLst>
          </xdr:cNvPr>
          <xdr:cNvSpPr/>
        </xdr:nvSpPr>
        <xdr:spPr>
          <a:xfrm>
            <a:off x="14525626" y="8343900"/>
            <a:ext cx="1028700" cy="30480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r"/>
            <a:r>
              <a:rPr lang="en-US" sz="1000" b="1" u="none">
                <a:solidFill>
                  <a:schemeClr val="bg1"/>
                </a:solidFill>
              </a:rPr>
              <a:t>Back</a:t>
            </a:r>
            <a:r>
              <a:rPr lang="en-US" sz="1000" b="1" u="none" baseline="0">
                <a:solidFill>
                  <a:schemeClr val="bg1"/>
                </a:solidFill>
              </a:rPr>
              <a:t> to Top ^</a:t>
            </a:r>
            <a:endParaRPr lang="en-US" sz="1000" b="1" u="none">
              <a:solidFill>
                <a:schemeClr val="bg1"/>
              </a:solidFill>
            </a:endParaRPr>
          </a:p>
        </xdr:txBody>
      </xdr:sp>
    </xdr:grpSp>
    <xdr:clientData fPrintsWithSheet="0"/>
  </xdr:twoCellAnchor>
  <xdr:twoCellAnchor editAs="oneCell">
    <xdr:from>
      <xdr:col>7</xdr:col>
      <xdr:colOff>66675</xdr:colOff>
      <xdr:row>43</xdr:row>
      <xdr:rowOff>238126</xdr:rowOff>
    </xdr:from>
    <xdr:to>
      <xdr:col>24</xdr:col>
      <xdr:colOff>114300</xdr:colOff>
      <xdr:row>63</xdr:row>
      <xdr:rowOff>69850</xdr:rowOff>
    </xdr:to>
    <xdr:grpSp>
      <xdr:nvGrpSpPr>
        <xdr:cNvPr id="5" name="Group 4">
          <a:extLst>
            <a:ext uri="{FF2B5EF4-FFF2-40B4-BE49-F238E27FC236}">
              <a16:creationId xmlns:a16="http://schemas.microsoft.com/office/drawing/2014/main" id="{00000000-0008-0000-0100-000005000000}"/>
            </a:ext>
          </a:extLst>
        </xdr:cNvPr>
        <xdr:cNvGrpSpPr/>
      </xdr:nvGrpSpPr>
      <xdr:grpSpPr>
        <a:xfrm>
          <a:off x="66675" y="11934826"/>
          <a:ext cx="7372350" cy="5356224"/>
          <a:chOff x="8191500" y="11668124"/>
          <a:chExt cx="7372350" cy="5355133"/>
        </a:xfrm>
      </xdr:grpSpPr>
      <xdr:grpSp>
        <xdr:nvGrpSpPr>
          <xdr:cNvPr id="111" name="RENTAL_3">
            <a:extLst>
              <a:ext uri="{FF2B5EF4-FFF2-40B4-BE49-F238E27FC236}">
                <a16:creationId xmlns:a16="http://schemas.microsoft.com/office/drawing/2014/main" id="{00000000-0008-0000-0100-00006F000000}"/>
              </a:ext>
            </a:extLst>
          </xdr:cNvPr>
          <xdr:cNvGrpSpPr/>
        </xdr:nvGrpSpPr>
        <xdr:grpSpPr>
          <a:xfrm>
            <a:off x="8191500" y="11668124"/>
            <a:ext cx="7362825" cy="5355133"/>
            <a:chOff x="9353550" y="10677527"/>
            <a:chExt cx="7362825" cy="5039581"/>
          </a:xfrm>
        </xdr:grpSpPr>
        <xdr:sp macro="" textlink="">
          <xdr:nvSpPr>
            <xdr:cNvPr id="48" name="RENTAL_3_SECTION_FRAME">
              <a:extLst>
                <a:ext uri="{FF2B5EF4-FFF2-40B4-BE49-F238E27FC236}">
                  <a16:creationId xmlns:a16="http://schemas.microsoft.com/office/drawing/2014/main" id="{00000000-0008-0000-0100-000030000000}"/>
                </a:ext>
              </a:extLst>
            </xdr:cNvPr>
            <xdr:cNvSpPr/>
          </xdr:nvSpPr>
          <xdr:spPr>
            <a:xfrm>
              <a:off x="9353550" y="10971290"/>
              <a:ext cx="7362825" cy="4745818"/>
            </a:xfrm>
            <a:prstGeom prst="rect">
              <a:avLst/>
            </a:prstGeom>
            <a:no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endParaRPr lang="en-US" sz="1100"/>
            </a:p>
          </xdr:txBody>
        </xdr:sp>
        <xdr:sp macro="" textlink="$B$64">
          <xdr:nvSpPr>
            <xdr:cNvPr id="55" name="RENTAL_3_SECTION_TITLE">
              <a:extLst>
                <a:ext uri="{FF2B5EF4-FFF2-40B4-BE49-F238E27FC236}">
                  <a16:creationId xmlns:a16="http://schemas.microsoft.com/office/drawing/2014/main" id="{00000000-0008-0000-0100-000037000000}"/>
                </a:ext>
              </a:extLst>
            </xdr:cNvPr>
            <xdr:cNvSpPr/>
          </xdr:nvSpPr>
          <xdr:spPr>
            <a:xfrm>
              <a:off x="9353550" y="10677527"/>
              <a:ext cx="7360920" cy="289884"/>
            </a:xfrm>
            <a:prstGeom prst="rect">
              <a:avLst/>
            </a:prstGeom>
            <a:solidFill>
              <a:srgbClr val="9CACB9"/>
            </a:solid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l"/>
              <a:fld id="{E5F0481B-FAA3-4CC6-BC46-194342DDD317}" type="TxLink">
                <a:rPr lang="en-US" sz="1100" b="1" i="0" u="none" strike="noStrike">
                  <a:solidFill>
                    <a:schemeClr val="bg1"/>
                  </a:solidFill>
                  <a:latin typeface="Calibri"/>
                </a:rPr>
                <a:pPr algn="l"/>
                <a:t>Grant Summary</a:t>
              </a:fld>
              <a:endParaRPr lang="en-US" sz="1100" b="1" i="0" u="none" strike="noStrike">
                <a:solidFill>
                  <a:schemeClr val="bg1"/>
                </a:solidFill>
                <a:latin typeface="Calibri"/>
              </a:endParaRPr>
            </a:p>
          </xdr:txBody>
        </xdr:sp>
        <xdr:sp macro="" textlink="$B$81">
          <xdr:nvSpPr>
            <xdr:cNvPr id="92" name="RENTAL_3_SECTION_SUBTITLE">
              <a:extLst>
                <a:ext uri="{FF2B5EF4-FFF2-40B4-BE49-F238E27FC236}">
                  <a16:creationId xmlns:a16="http://schemas.microsoft.com/office/drawing/2014/main" id="{00000000-0008-0000-0100-00005C000000}"/>
                </a:ext>
              </a:extLst>
            </xdr:cNvPr>
            <xdr:cNvSpPr/>
          </xdr:nvSpPr>
          <xdr:spPr>
            <a:xfrm>
              <a:off x="9363075" y="10973444"/>
              <a:ext cx="7351776" cy="255780"/>
            </a:xfrm>
            <a:prstGeom prst="rect">
              <a:avLst/>
            </a:prstGeom>
            <a:solidFill>
              <a:schemeClr val="accent1">
                <a:lumMod val="20000"/>
                <a:lumOff val="80000"/>
              </a:schemeClr>
            </a:solidFill>
            <a:ln>
              <a:noFill/>
            </a:ln>
            <a:effectLst/>
          </xdr:spPr>
          <xdr:style>
            <a:lnRef idx="1">
              <a:schemeClr val="accent1"/>
            </a:lnRef>
            <a:fillRef idx="2">
              <a:schemeClr val="accent1"/>
            </a:fillRef>
            <a:effectRef idx="1">
              <a:schemeClr val="accent1"/>
            </a:effectRef>
            <a:fontRef idx="minor">
              <a:schemeClr val="dk1"/>
            </a:fontRef>
          </xdr:style>
          <xdr:txBody>
            <a:bodyPr vertOverflow="clip" lIns="457200" rtlCol="0" anchor="ctr"/>
            <a:lstStyle/>
            <a:p>
              <a:pPr algn="l"/>
              <a:fld id="{AC7DE13B-4CF9-4B53-B058-CF26A2B7D8EE}" type="TxLink">
                <a:rPr lang="en-US" sz="900" b="0" i="0" u="none" strike="noStrike">
                  <a:solidFill>
                    <a:srgbClr val="000000"/>
                  </a:solidFill>
                  <a:latin typeface="Calibri"/>
                </a:rPr>
                <a:pPr algn="l"/>
                <a:t>Not Started</a:t>
              </a:fld>
              <a:endParaRPr lang="en-US" sz="1100" i="0"/>
            </a:p>
          </xdr:txBody>
        </xdr:sp>
        <xdr:sp macro="" textlink="">
          <xdr:nvSpPr>
            <xdr:cNvPr id="93" name="RENTAL_3_SECTION_SUBTITLE_LABEL">
              <a:extLst>
                <a:ext uri="{FF2B5EF4-FFF2-40B4-BE49-F238E27FC236}">
                  <a16:creationId xmlns:a16="http://schemas.microsoft.com/office/drawing/2014/main" id="{00000000-0008-0000-0100-00005D000000}"/>
                </a:ext>
              </a:extLst>
            </xdr:cNvPr>
            <xdr:cNvSpPr txBox="1"/>
          </xdr:nvSpPr>
          <xdr:spPr>
            <a:xfrm>
              <a:off x="9458327" y="10973444"/>
              <a:ext cx="476249" cy="2557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tlCol="0" anchor="ctr">
              <a:noAutofit/>
            </a:bodyPr>
            <a:lstStyle/>
            <a:p>
              <a:r>
                <a:rPr lang="en-US" sz="900" b="1"/>
                <a:t>Status:</a:t>
              </a:r>
            </a:p>
          </xdr:txBody>
        </xdr:sp>
      </xdr:grpSp>
      <xdr:sp macro="" textlink="">
        <xdr:nvSpPr>
          <xdr:cNvPr id="57" name="LINK_RENTAL_TOC">
            <a:hlinkClick xmlns:r="http://schemas.openxmlformats.org/officeDocument/2006/relationships" r:id="rId6"/>
            <a:extLst>
              <a:ext uri="{FF2B5EF4-FFF2-40B4-BE49-F238E27FC236}">
                <a16:creationId xmlns:a16="http://schemas.microsoft.com/office/drawing/2014/main" id="{00000000-0008-0000-0100-000039000000}"/>
              </a:ext>
            </a:extLst>
          </xdr:cNvPr>
          <xdr:cNvSpPr/>
        </xdr:nvSpPr>
        <xdr:spPr>
          <a:xfrm>
            <a:off x="14535150" y="11677650"/>
            <a:ext cx="1028700" cy="30480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r"/>
            <a:r>
              <a:rPr lang="en-US" sz="1000" b="1" u="none">
                <a:solidFill>
                  <a:schemeClr val="bg1"/>
                </a:solidFill>
              </a:rPr>
              <a:t>Back</a:t>
            </a:r>
            <a:r>
              <a:rPr lang="en-US" sz="1000" b="1" u="none" baseline="0">
                <a:solidFill>
                  <a:schemeClr val="bg1"/>
                </a:solidFill>
              </a:rPr>
              <a:t> to Top ^</a:t>
            </a:r>
            <a:endParaRPr lang="en-US" sz="1000" b="1" u="none">
              <a:solidFill>
                <a:schemeClr val="bg1"/>
              </a:solidFill>
            </a:endParaRPr>
          </a:p>
        </xdr:txBody>
      </xdr:sp>
    </xdr:grpSp>
    <xdr:clientData fPrintsWithSheet="0"/>
  </xdr:twoCellAnchor>
  <xdr:twoCellAnchor editAs="oneCell">
    <xdr:from>
      <xdr:col>7</xdr:col>
      <xdr:colOff>66675</xdr:colOff>
      <xdr:row>63</xdr:row>
      <xdr:rowOff>228598</xdr:rowOff>
    </xdr:from>
    <xdr:to>
      <xdr:col>24</xdr:col>
      <xdr:colOff>104775</xdr:colOff>
      <xdr:row>74</xdr:row>
      <xdr:rowOff>85728</xdr:rowOff>
    </xdr:to>
    <xdr:grpSp>
      <xdr:nvGrpSpPr>
        <xdr:cNvPr id="6" name="Group 5">
          <a:extLst>
            <a:ext uri="{FF2B5EF4-FFF2-40B4-BE49-F238E27FC236}">
              <a16:creationId xmlns:a16="http://schemas.microsoft.com/office/drawing/2014/main" id="{00000000-0008-0000-0100-000006000000}"/>
            </a:ext>
          </a:extLst>
        </xdr:cNvPr>
        <xdr:cNvGrpSpPr/>
      </xdr:nvGrpSpPr>
      <xdr:grpSpPr>
        <a:xfrm>
          <a:off x="66675" y="17449798"/>
          <a:ext cx="7362825" cy="2895605"/>
          <a:chOff x="8191500" y="14963771"/>
          <a:chExt cx="7362825" cy="2895605"/>
        </a:xfrm>
      </xdr:grpSpPr>
      <xdr:grpSp>
        <xdr:nvGrpSpPr>
          <xdr:cNvPr id="112" name="RENTAL_4">
            <a:extLst>
              <a:ext uri="{FF2B5EF4-FFF2-40B4-BE49-F238E27FC236}">
                <a16:creationId xmlns:a16="http://schemas.microsoft.com/office/drawing/2014/main" id="{00000000-0008-0000-0100-000070000000}"/>
              </a:ext>
            </a:extLst>
          </xdr:cNvPr>
          <xdr:cNvGrpSpPr/>
        </xdr:nvGrpSpPr>
        <xdr:grpSpPr>
          <a:xfrm>
            <a:off x="8191500" y="14963771"/>
            <a:ext cx="7362825" cy="2895605"/>
            <a:chOff x="9363075" y="13992996"/>
            <a:chExt cx="7362825" cy="2660388"/>
          </a:xfrm>
        </xdr:grpSpPr>
        <xdr:sp macro="" textlink="">
          <xdr:nvSpPr>
            <xdr:cNvPr id="86" name="RENTAL_4_SECTION_FRAME">
              <a:extLst>
                <a:ext uri="{FF2B5EF4-FFF2-40B4-BE49-F238E27FC236}">
                  <a16:creationId xmlns:a16="http://schemas.microsoft.com/office/drawing/2014/main" id="{00000000-0008-0000-0100-000056000000}"/>
                </a:ext>
              </a:extLst>
            </xdr:cNvPr>
            <xdr:cNvSpPr/>
          </xdr:nvSpPr>
          <xdr:spPr>
            <a:xfrm>
              <a:off x="9363075" y="14291730"/>
              <a:ext cx="7362825" cy="2361654"/>
            </a:xfrm>
            <a:prstGeom prst="rect">
              <a:avLst/>
            </a:prstGeom>
            <a:no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endParaRPr lang="en-US" sz="1100"/>
            </a:p>
          </xdr:txBody>
        </xdr:sp>
        <xdr:sp macro="" textlink="$B$87">
          <xdr:nvSpPr>
            <xdr:cNvPr id="87" name="RENTAL_4_SECTION_TITLE">
              <a:extLst>
                <a:ext uri="{FF2B5EF4-FFF2-40B4-BE49-F238E27FC236}">
                  <a16:creationId xmlns:a16="http://schemas.microsoft.com/office/drawing/2014/main" id="{00000000-0008-0000-0100-000057000000}"/>
                </a:ext>
              </a:extLst>
            </xdr:cNvPr>
            <xdr:cNvSpPr/>
          </xdr:nvSpPr>
          <xdr:spPr>
            <a:xfrm>
              <a:off x="9363075" y="13992996"/>
              <a:ext cx="7360920" cy="285641"/>
            </a:xfrm>
            <a:prstGeom prst="rect">
              <a:avLst/>
            </a:prstGeom>
            <a:solidFill>
              <a:srgbClr val="9CACB9"/>
            </a:solid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l"/>
              <a:fld id="{1C87D710-882F-4EA8-810D-76AA4F2BFC65}" type="TxLink">
                <a:rPr lang="en-US" sz="1100" b="1" i="0" u="none" strike="noStrike">
                  <a:solidFill>
                    <a:schemeClr val="bg1"/>
                  </a:solidFill>
                  <a:latin typeface="Calibri"/>
                </a:rPr>
                <a:pPr algn="l"/>
                <a:t>Purchase Property</a:t>
              </a:fld>
              <a:endParaRPr lang="en-US" sz="1100" b="1" i="0" u="none" strike="noStrike">
                <a:solidFill>
                  <a:schemeClr val="bg1"/>
                </a:solidFill>
                <a:latin typeface="Calibri"/>
              </a:endParaRPr>
            </a:p>
          </xdr:txBody>
        </xdr:sp>
        <xdr:sp macro="" textlink="$B$105">
          <xdr:nvSpPr>
            <xdr:cNvPr id="83" name="RENTAL_4_SECTION_SUBTITLE">
              <a:extLst>
                <a:ext uri="{FF2B5EF4-FFF2-40B4-BE49-F238E27FC236}">
                  <a16:creationId xmlns:a16="http://schemas.microsoft.com/office/drawing/2014/main" id="{00000000-0008-0000-0100-000053000000}"/>
                </a:ext>
              </a:extLst>
            </xdr:cNvPr>
            <xdr:cNvSpPr/>
          </xdr:nvSpPr>
          <xdr:spPr>
            <a:xfrm>
              <a:off x="9372600" y="14297025"/>
              <a:ext cx="7351776" cy="252036"/>
            </a:xfrm>
            <a:prstGeom prst="rect">
              <a:avLst/>
            </a:prstGeom>
            <a:solidFill>
              <a:schemeClr val="accent1">
                <a:lumMod val="20000"/>
                <a:lumOff val="80000"/>
              </a:schemeClr>
            </a:solidFill>
            <a:ln>
              <a:noFill/>
            </a:ln>
            <a:effectLst/>
          </xdr:spPr>
          <xdr:style>
            <a:lnRef idx="1">
              <a:schemeClr val="accent1"/>
            </a:lnRef>
            <a:fillRef idx="2">
              <a:schemeClr val="accent1"/>
            </a:fillRef>
            <a:effectRef idx="1">
              <a:schemeClr val="accent1"/>
            </a:effectRef>
            <a:fontRef idx="minor">
              <a:schemeClr val="dk1"/>
            </a:fontRef>
          </xdr:style>
          <xdr:txBody>
            <a:bodyPr vertOverflow="clip" lIns="457200" rtlCol="0" anchor="ctr"/>
            <a:lstStyle/>
            <a:p>
              <a:pPr algn="l"/>
              <a:fld id="{4224E38E-FD2B-4D43-9985-507D8E54C645}" type="TxLink">
                <a:rPr lang="en-US" sz="900" b="0" i="0" u="none" strike="noStrike">
                  <a:solidFill>
                    <a:srgbClr val="000000"/>
                  </a:solidFill>
                  <a:latin typeface="Calibri"/>
                </a:rPr>
                <a:pPr algn="l"/>
                <a:t>Not Started</a:t>
              </a:fld>
              <a:endParaRPr lang="en-US" sz="1100" i="0"/>
            </a:p>
          </xdr:txBody>
        </xdr:sp>
        <xdr:sp macro="" textlink="">
          <xdr:nvSpPr>
            <xdr:cNvPr id="84" name="RENTAL_4_SECTION_SUBTITLE_LABEL">
              <a:extLst>
                <a:ext uri="{FF2B5EF4-FFF2-40B4-BE49-F238E27FC236}">
                  <a16:creationId xmlns:a16="http://schemas.microsoft.com/office/drawing/2014/main" id="{00000000-0008-0000-0100-000054000000}"/>
                </a:ext>
              </a:extLst>
            </xdr:cNvPr>
            <xdr:cNvSpPr txBox="1"/>
          </xdr:nvSpPr>
          <xdr:spPr>
            <a:xfrm>
              <a:off x="9467852" y="14297025"/>
              <a:ext cx="476249" cy="252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tlCol="0" anchor="ctr">
              <a:noAutofit/>
            </a:bodyPr>
            <a:lstStyle/>
            <a:p>
              <a:r>
                <a:rPr lang="en-US" sz="900" b="1"/>
                <a:t>Status:</a:t>
              </a:r>
            </a:p>
          </xdr:txBody>
        </xdr:sp>
      </xdr:grpSp>
      <xdr:sp macro="" textlink="">
        <xdr:nvSpPr>
          <xdr:cNvPr id="89" name="LINK_RENTAL_TOC">
            <a:hlinkClick xmlns:r="http://schemas.openxmlformats.org/officeDocument/2006/relationships" r:id="rId6"/>
            <a:extLst>
              <a:ext uri="{FF2B5EF4-FFF2-40B4-BE49-F238E27FC236}">
                <a16:creationId xmlns:a16="http://schemas.microsoft.com/office/drawing/2014/main" id="{00000000-0008-0000-0100-000059000000}"/>
              </a:ext>
            </a:extLst>
          </xdr:cNvPr>
          <xdr:cNvSpPr/>
        </xdr:nvSpPr>
        <xdr:spPr>
          <a:xfrm>
            <a:off x="14525625" y="14973300"/>
            <a:ext cx="1028700" cy="30480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r"/>
            <a:r>
              <a:rPr lang="en-US" sz="1000" b="1" u="none">
                <a:solidFill>
                  <a:schemeClr val="bg1"/>
                </a:solidFill>
              </a:rPr>
              <a:t>Back</a:t>
            </a:r>
            <a:r>
              <a:rPr lang="en-US" sz="1000" b="1" u="none" baseline="0">
                <a:solidFill>
                  <a:schemeClr val="bg1"/>
                </a:solidFill>
              </a:rPr>
              <a:t> to Top ^</a:t>
            </a:r>
            <a:endParaRPr lang="en-US" sz="1000" b="1" u="none">
              <a:solidFill>
                <a:schemeClr val="bg1"/>
              </a:solidFill>
            </a:endParaRPr>
          </a:p>
        </xdr:txBody>
      </xdr:sp>
    </xdr:grpSp>
    <xdr:clientData fPrintsWithSheet="0"/>
  </xdr:twoCellAnchor>
  <xdr:twoCellAnchor editAs="oneCell">
    <xdr:from>
      <xdr:col>7</xdr:col>
      <xdr:colOff>66675</xdr:colOff>
      <xdr:row>74</xdr:row>
      <xdr:rowOff>247650</xdr:rowOff>
    </xdr:from>
    <xdr:to>
      <xdr:col>24</xdr:col>
      <xdr:colOff>104775</xdr:colOff>
      <xdr:row>100</xdr:row>
      <xdr:rowOff>85725</xdr:rowOff>
    </xdr:to>
    <xdr:grpSp>
      <xdr:nvGrpSpPr>
        <xdr:cNvPr id="7" name="Group 6">
          <a:extLst>
            <a:ext uri="{FF2B5EF4-FFF2-40B4-BE49-F238E27FC236}">
              <a16:creationId xmlns:a16="http://schemas.microsoft.com/office/drawing/2014/main" id="{00000000-0008-0000-0100-000007000000}"/>
            </a:ext>
          </a:extLst>
        </xdr:cNvPr>
        <xdr:cNvGrpSpPr/>
      </xdr:nvGrpSpPr>
      <xdr:grpSpPr>
        <a:xfrm>
          <a:off x="66675" y="20507325"/>
          <a:ext cx="7362825" cy="7019925"/>
          <a:chOff x="8191500" y="18297525"/>
          <a:chExt cx="7362825" cy="7019925"/>
        </a:xfrm>
      </xdr:grpSpPr>
      <xdr:grpSp>
        <xdr:nvGrpSpPr>
          <xdr:cNvPr id="113" name="RENTAL_5">
            <a:extLst>
              <a:ext uri="{FF2B5EF4-FFF2-40B4-BE49-F238E27FC236}">
                <a16:creationId xmlns:a16="http://schemas.microsoft.com/office/drawing/2014/main" id="{00000000-0008-0000-0100-000071000000}"/>
              </a:ext>
            </a:extLst>
          </xdr:cNvPr>
          <xdr:cNvGrpSpPr/>
        </xdr:nvGrpSpPr>
        <xdr:grpSpPr>
          <a:xfrm>
            <a:off x="8191500" y="18297527"/>
            <a:ext cx="7362825" cy="7019923"/>
            <a:chOff x="9363075" y="17297252"/>
            <a:chExt cx="7362825" cy="7194667"/>
          </a:xfrm>
        </xdr:grpSpPr>
        <xdr:sp macro="" textlink="">
          <xdr:nvSpPr>
            <xdr:cNvPr id="59" name="RENTAL_5_SECTION_FRAME">
              <a:extLst>
                <a:ext uri="{FF2B5EF4-FFF2-40B4-BE49-F238E27FC236}">
                  <a16:creationId xmlns:a16="http://schemas.microsoft.com/office/drawing/2014/main" id="{00000000-0008-0000-0100-00003B000000}"/>
                </a:ext>
              </a:extLst>
            </xdr:cNvPr>
            <xdr:cNvSpPr/>
          </xdr:nvSpPr>
          <xdr:spPr>
            <a:xfrm>
              <a:off x="9363075" y="17617605"/>
              <a:ext cx="7362825" cy="6874314"/>
            </a:xfrm>
            <a:prstGeom prst="rect">
              <a:avLst/>
            </a:prstGeom>
            <a:no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endParaRPr lang="en-US" sz="1100"/>
            </a:p>
          </xdr:txBody>
        </xdr:sp>
        <xdr:sp macro="" textlink="$B$111">
          <xdr:nvSpPr>
            <xdr:cNvPr id="71" name="RENTAL_5_SECTION_TITLE">
              <a:extLst>
                <a:ext uri="{FF2B5EF4-FFF2-40B4-BE49-F238E27FC236}">
                  <a16:creationId xmlns:a16="http://schemas.microsoft.com/office/drawing/2014/main" id="{00000000-0008-0000-0100-000047000000}"/>
                </a:ext>
              </a:extLst>
            </xdr:cNvPr>
            <xdr:cNvSpPr/>
          </xdr:nvSpPr>
          <xdr:spPr>
            <a:xfrm>
              <a:off x="9363075" y="17297252"/>
              <a:ext cx="7360920" cy="312329"/>
            </a:xfrm>
            <a:prstGeom prst="rect">
              <a:avLst/>
            </a:prstGeom>
            <a:solidFill>
              <a:srgbClr val="9CACB9"/>
            </a:solid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l"/>
              <a:fld id="{EFEBC25B-7A00-49A1-B18C-0C8499BCDCC4}" type="TxLink">
                <a:rPr lang="en-US" sz="1100" b="1" i="0" u="none" strike="noStrike">
                  <a:solidFill>
                    <a:schemeClr val="bg1"/>
                  </a:solidFill>
                  <a:latin typeface="Calibri"/>
                </a:rPr>
                <a:pPr algn="l"/>
                <a:t>Household Qualification</a:t>
              </a:fld>
              <a:endParaRPr lang="en-US" sz="1100" b="1" i="0" u="none" strike="noStrike">
                <a:solidFill>
                  <a:schemeClr val="bg1"/>
                </a:solidFill>
                <a:latin typeface="Calibri"/>
              </a:endParaRPr>
            </a:p>
          </xdr:txBody>
        </xdr:sp>
        <xdr:sp macro="" textlink="$B$129">
          <xdr:nvSpPr>
            <xdr:cNvPr id="78" name="RENTAL_5_SECTION_SUBTITLE">
              <a:extLst>
                <a:ext uri="{FF2B5EF4-FFF2-40B4-BE49-F238E27FC236}">
                  <a16:creationId xmlns:a16="http://schemas.microsoft.com/office/drawing/2014/main" id="{00000000-0008-0000-0100-00004E000000}"/>
                </a:ext>
              </a:extLst>
            </xdr:cNvPr>
            <xdr:cNvSpPr/>
          </xdr:nvSpPr>
          <xdr:spPr>
            <a:xfrm>
              <a:off x="9372598" y="17621098"/>
              <a:ext cx="7351776" cy="278553"/>
            </a:xfrm>
            <a:prstGeom prst="rect">
              <a:avLst/>
            </a:prstGeom>
            <a:solidFill>
              <a:schemeClr val="accent1">
                <a:lumMod val="20000"/>
                <a:lumOff val="80000"/>
              </a:schemeClr>
            </a:solidFill>
            <a:ln>
              <a:noFill/>
            </a:ln>
            <a:effectLst/>
          </xdr:spPr>
          <xdr:style>
            <a:lnRef idx="1">
              <a:schemeClr val="accent1"/>
            </a:lnRef>
            <a:fillRef idx="2">
              <a:schemeClr val="accent1"/>
            </a:fillRef>
            <a:effectRef idx="1">
              <a:schemeClr val="accent1"/>
            </a:effectRef>
            <a:fontRef idx="minor">
              <a:schemeClr val="dk1"/>
            </a:fontRef>
          </xdr:style>
          <xdr:txBody>
            <a:bodyPr vertOverflow="clip" lIns="457200" rtlCol="0" anchor="ctr"/>
            <a:lstStyle/>
            <a:p>
              <a:pPr algn="l"/>
              <a:fld id="{ADBC2A39-60A8-4CFF-858A-1F847464B22E}" type="TxLink">
                <a:rPr lang="en-US" sz="900" b="0" i="0" u="none" strike="noStrike">
                  <a:solidFill>
                    <a:srgbClr val="000000"/>
                  </a:solidFill>
                  <a:latin typeface="Calibri"/>
                </a:rPr>
                <a:pPr algn="l"/>
                <a:t>Not Started</a:t>
              </a:fld>
              <a:endParaRPr lang="en-US" sz="1100" i="0"/>
            </a:p>
          </xdr:txBody>
        </xdr:sp>
        <xdr:sp macro="" textlink="">
          <xdr:nvSpPr>
            <xdr:cNvPr id="80" name="RENTAL_5_SECTION_SUBTITLE_LABEL">
              <a:extLst>
                <a:ext uri="{FF2B5EF4-FFF2-40B4-BE49-F238E27FC236}">
                  <a16:creationId xmlns:a16="http://schemas.microsoft.com/office/drawing/2014/main" id="{00000000-0008-0000-0100-000050000000}"/>
                </a:ext>
              </a:extLst>
            </xdr:cNvPr>
            <xdr:cNvSpPr txBox="1"/>
          </xdr:nvSpPr>
          <xdr:spPr>
            <a:xfrm>
              <a:off x="9467850" y="17621098"/>
              <a:ext cx="476249" cy="2785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tlCol="0" anchor="ctr">
              <a:noAutofit/>
            </a:bodyPr>
            <a:lstStyle/>
            <a:p>
              <a:r>
                <a:rPr lang="en-US" sz="900" b="1"/>
                <a:t>Status:</a:t>
              </a:r>
            </a:p>
          </xdr:txBody>
        </xdr:sp>
      </xdr:grpSp>
      <xdr:sp macro="" textlink="">
        <xdr:nvSpPr>
          <xdr:cNvPr id="72" name="LINK_RENTAL_TOC">
            <a:hlinkClick xmlns:r="http://schemas.openxmlformats.org/officeDocument/2006/relationships" r:id="rId6"/>
            <a:extLst>
              <a:ext uri="{FF2B5EF4-FFF2-40B4-BE49-F238E27FC236}">
                <a16:creationId xmlns:a16="http://schemas.microsoft.com/office/drawing/2014/main" id="{00000000-0008-0000-0100-000048000000}"/>
              </a:ext>
            </a:extLst>
          </xdr:cNvPr>
          <xdr:cNvSpPr/>
        </xdr:nvSpPr>
        <xdr:spPr>
          <a:xfrm>
            <a:off x="14525625" y="18297525"/>
            <a:ext cx="1028700" cy="30480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r"/>
            <a:r>
              <a:rPr lang="en-US" sz="1000" b="1" u="none">
                <a:solidFill>
                  <a:schemeClr val="bg1"/>
                </a:solidFill>
              </a:rPr>
              <a:t>Back</a:t>
            </a:r>
            <a:r>
              <a:rPr lang="en-US" sz="1000" b="1" u="none" baseline="0">
                <a:solidFill>
                  <a:schemeClr val="bg1"/>
                </a:solidFill>
              </a:rPr>
              <a:t> to Top ^</a:t>
            </a:r>
            <a:endParaRPr lang="en-US" sz="1000" b="1" u="none">
              <a:solidFill>
                <a:schemeClr val="bg1"/>
              </a:solidFill>
            </a:endParaRPr>
          </a:p>
        </xdr:txBody>
      </xdr:sp>
    </xdr:grpSp>
    <xdr:clientData fPrintsWithSheet="0"/>
  </xdr:twoCellAnchor>
  <xdr:twoCellAnchor editAs="oneCell">
    <xdr:from>
      <xdr:col>20</xdr:col>
      <xdr:colOff>66675</xdr:colOff>
      <xdr:row>2</xdr:row>
      <xdr:rowOff>9525</xdr:rowOff>
    </xdr:from>
    <xdr:to>
      <xdr:col>24</xdr:col>
      <xdr:colOff>109538</xdr:colOff>
      <xdr:row>3</xdr:row>
      <xdr:rowOff>1905</xdr:rowOff>
    </xdr:to>
    <xdr:sp macro="" textlink="$B$7">
      <xdr:nvSpPr>
        <xdr:cNvPr id="217" name="HEADER_BANNER_SUBTITLE">
          <a:extLst>
            <a:ext uri="{FF2B5EF4-FFF2-40B4-BE49-F238E27FC236}">
              <a16:creationId xmlns:a16="http://schemas.microsoft.com/office/drawing/2014/main" id="{00000000-0008-0000-0100-0000D9000000}"/>
            </a:ext>
          </a:extLst>
        </xdr:cNvPr>
        <xdr:cNvSpPr txBox="1"/>
      </xdr:nvSpPr>
      <xdr:spPr>
        <a:xfrm>
          <a:off x="5600700" y="561975"/>
          <a:ext cx="1833563" cy="182880"/>
        </a:xfrm>
        <a:prstGeom prst="rect">
          <a:avLst/>
        </a:prstGeom>
        <a:solidFill>
          <a:srgbClr val="00305E"/>
        </a:solidFill>
      </xdr:spPr>
      <xdr:style>
        <a:lnRef idx="0">
          <a:scrgbClr r="0" g="0" b="0"/>
        </a:lnRef>
        <a:fillRef idx="0">
          <a:scrgbClr r="0" g="0" b="0"/>
        </a:fillRef>
        <a:effectRef idx="0">
          <a:scrgbClr r="0" g="0" b="0"/>
        </a:effectRef>
        <a:fontRef idx="minor">
          <a:schemeClr val="tx1"/>
        </a:fontRef>
      </xdr:style>
      <xdr:txBody>
        <a:bodyPr vertOverflow="clip" wrap="square" rtlCol="0" anchor="ctr">
          <a:noAutofit/>
        </a:bodyPr>
        <a:lstStyle/>
        <a:p>
          <a:pPr algn="ctr"/>
          <a:fld id="{4B39128B-4B37-4567-8AC7-02473171A03C}" type="TxLink">
            <a:rPr lang="en-US" sz="800" b="1" i="0" u="none" strike="noStrike">
              <a:solidFill>
                <a:schemeClr val="bg1"/>
              </a:solidFill>
              <a:latin typeface="Calibri"/>
            </a:rPr>
            <a:pPr algn="ctr"/>
            <a:t>New Household Reservation Request</a:t>
          </a:fld>
          <a:endParaRPr lang="en-US" sz="800" b="1" i="0" u="none" strike="noStrike">
            <a:solidFill>
              <a:schemeClr val="bg1"/>
            </a:solidFill>
            <a:latin typeface="Calibri"/>
          </a:endParaRPr>
        </a:p>
      </xdr:txBody>
    </xdr:sp>
    <xdr:clientData/>
  </xdr:twoCellAnchor>
  <xdr:twoCellAnchor editAs="oneCell">
    <xdr:from>
      <xdr:col>7</xdr:col>
      <xdr:colOff>28574</xdr:colOff>
      <xdr:row>0</xdr:row>
      <xdr:rowOff>37735</xdr:rowOff>
    </xdr:from>
    <xdr:to>
      <xdr:col>10</xdr:col>
      <xdr:colOff>299467</xdr:colOff>
      <xdr:row>0</xdr:row>
      <xdr:rowOff>480458</xdr:rowOff>
    </xdr:to>
    <xdr:pic>
      <xdr:nvPicPr>
        <xdr:cNvPr id="218" name="FHLBNY_LOGO" descr="Medium.gif">
          <a:extLst>
            <a:ext uri="{FF2B5EF4-FFF2-40B4-BE49-F238E27FC236}">
              <a16:creationId xmlns:a16="http://schemas.microsoft.com/office/drawing/2014/main" id="{00000000-0008-0000-0100-0000DA000000}"/>
            </a:ext>
          </a:extLst>
        </xdr:cNvPr>
        <xdr:cNvPicPr>
          <a:picLocks noChangeAspect="1"/>
        </xdr:cNvPicPr>
      </xdr:nvPicPr>
      <xdr:blipFill>
        <a:blip xmlns:r="http://schemas.openxmlformats.org/officeDocument/2006/relationships" r:embed="rId7" cstate="print"/>
        <a:stretch>
          <a:fillRect/>
        </a:stretch>
      </xdr:blipFill>
      <xdr:spPr>
        <a:xfrm>
          <a:off x="28574" y="37735"/>
          <a:ext cx="1328168" cy="442723"/>
        </a:xfrm>
        <a:prstGeom prst="rect">
          <a:avLst/>
        </a:prstGeom>
      </xdr:spPr>
    </xdr:pic>
    <xdr:clientData/>
  </xdr:twoCellAnchor>
  <xdr:twoCellAnchor editAs="oneCell">
    <xdr:from>
      <xdr:col>7</xdr:col>
      <xdr:colOff>66675</xdr:colOff>
      <xdr:row>13</xdr:row>
      <xdr:rowOff>228603</xdr:rowOff>
    </xdr:from>
    <xdr:to>
      <xdr:col>24</xdr:col>
      <xdr:colOff>104777</xdr:colOff>
      <xdr:row>19</xdr:row>
      <xdr:rowOff>0</xdr:rowOff>
    </xdr:to>
    <xdr:grpSp>
      <xdr:nvGrpSpPr>
        <xdr:cNvPr id="330" name="TABLE_OF_CONTENTS_RENTAL">
          <a:extLst>
            <a:ext uri="{FF2B5EF4-FFF2-40B4-BE49-F238E27FC236}">
              <a16:creationId xmlns:a16="http://schemas.microsoft.com/office/drawing/2014/main" id="{00000000-0008-0000-0100-00004A010000}"/>
            </a:ext>
          </a:extLst>
        </xdr:cNvPr>
        <xdr:cNvGrpSpPr/>
      </xdr:nvGrpSpPr>
      <xdr:grpSpPr>
        <a:xfrm>
          <a:off x="66675" y="3638553"/>
          <a:ext cx="7362827" cy="1428747"/>
          <a:chOff x="8191498" y="1276170"/>
          <a:chExt cx="7362827" cy="1414214"/>
        </a:xfrm>
      </xdr:grpSpPr>
      <xdr:grpSp>
        <xdr:nvGrpSpPr>
          <xdr:cNvPr id="323" name="RENTAL_TABLE_OF_CONTENTS">
            <a:extLst>
              <a:ext uri="{FF2B5EF4-FFF2-40B4-BE49-F238E27FC236}">
                <a16:creationId xmlns:a16="http://schemas.microsoft.com/office/drawing/2014/main" id="{00000000-0008-0000-0100-000043010000}"/>
              </a:ext>
            </a:extLst>
          </xdr:cNvPr>
          <xdr:cNvGrpSpPr/>
        </xdr:nvGrpSpPr>
        <xdr:grpSpPr>
          <a:xfrm>
            <a:off x="8191498" y="1276170"/>
            <a:ext cx="7362827" cy="1414214"/>
            <a:chOff x="8191498" y="1276170"/>
            <a:chExt cx="7362827" cy="1414214"/>
          </a:xfrm>
        </xdr:grpSpPr>
        <xdr:sp macro="" textlink="">
          <xdr:nvSpPr>
            <xdr:cNvPr id="50" name="TOC_HEADER_BG">
              <a:extLst>
                <a:ext uri="{FF2B5EF4-FFF2-40B4-BE49-F238E27FC236}">
                  <a16:creationId xmlns:a16="http://schemas.microsoft.com/office/drawing/2014/main" id="{00000000-0008-0000-0100-000032000000}"/>
                </a:ext>
              </a:extLst>
            </xdr:cNvPr>
            <xdr:cNvSpPr/>
          </xdr:nvSpPr>
          <xdr:spPr>
            <a:xfrm>
              <a:off x="8191498" y="1592257"/>
              <a:ext cx="7360921" cy="275969"/>
            </a:xfrm>
            <a:prstGeom prst="rect">
              <a:avLst/>
            </a:prstGeom>
            <a:solidFill>
              <a:schemeClr val="accent1">
                <a:lumMod val="20000"/>
                <a:lumOff val="80000"/>
              </a:schemeClr>
            </a:solidFill>
            <a:ln>
              <a:no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endParaRPr lang="en-US" sz="1100"/>
            </a:p>
          </xdr:txBody>
        </xdr:sp>
        <xdr:grpSp>
          <xdr:nvGrpSpPr>
            <xdr:cNvPr id="28" name="TOC">
              <a:extLst>
                <a:ext uri="{FF2B5EF4-FFF2-40B4-BE49-F238E27FC236}">
                  <a16:creationId xmlns:a16="http://schemas.microsoft.com/office/drawing/2014/main" id="{00000000-0008-0000-0100-00001C000000}"/>
                </a:ext>
              </a:extLst>
            </xdr:cNvPr>
            <xdr:cNvGrpSpPr/>
          </xdr:nvGrpSpPr>
          <xdr:grpSpPr>
            <a:xfrm>
              <a:off x="8191500" y="1276170"/>
              <a:ext cx="7362825" cy="1414214"/>
              <a:chOff x="9239250" y="1816952"/>
              <a:chExt cx="7362825" cy="1090370"/>
            </a:xfrm>
            <a:effectLst/>
          </xdr:grpSpPr>
          <xdr:sp macro="" textlink="">
            <xdr:nvSpPr>
              <xdr:cNvPr id="31" name="Rectangle 30">
                <a:extLst>
                  <a:ext uri="{FF2B5EF4-FFF2-40B4-BE49-F238E27FC236}">
                    <a16:creationId xmlns:a16="http://schemas.microsoft.com/office/drawing/2014/main" id="{00000000-0008-0000-0100-00001F000000}"/>
                  </a:ext>
                </a:extLst>
              </xdr:cNvPr>
              <xdr:cNvSpPr/>
            </xdr:nvSpPr>
            <xdr:spPr>
              <a:xfrm>
                <a:off x="9239250" y="2052093"/>
                <a:ext cx="7362825" cy="855229"/>
              </a:xfrm>
              <a:prstGeom prst="rect">
                <a:avLst/>
              </a:prstGeom>
              <a:no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endParaRPr lang="en-US" sz="1100"/>
              </a:p>
            </xdr:txBody>
          </xdr:sp>
          <xdr:sp macro="" textlink="">
            <xdr:nvSpPr>
              <xdr:cNvPr id="45" name="Rectangle 44">
                <a:extLst>
                  <a:ext uri="{FF2B5EF4-FFF2-40B4-BE49-F238E27FC236}">
                    <a16:creationId xmlns:a16="http://schemas.microsoft.com/office/drawing/2014/main" id="{00000000-0008-0000-0100-00002D000000}"/>
                  </a:ext>
                </a:extLst>
              </xdr:cNvPr>
              <xdr:cNvSpPr/>
            </xdr:nvSpPr>
            <xdr:spPr>
              <a:xfrm>
                <a:off x="9239250" y="1816952"/>
                <a:ext cx="7360920" cy="237265"/>
              </a:xfrm>
              <a:prstGeom prst="rect">
                <a:avLst/>
              </a:prstGeom>
              <a:solidFill>
                <a:srgbClr val="9CACB9"/>
              </a:solid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l"/>
                <a:r>
                  <a:rPr lang="en-US" sz="1100" b="1">
                    <a:solidFill>
                      <a:schemeClr val="bg1"/>
                    </a:solidFill>
                  </a:rPr>
                  <a:t>Table of Contents</a:t>
                </a:r>
              </a:p>
            </xdr:txBody>
          </xdr:sp>
        </xdr:grpSp>
        <xdr:sp macro="" textlink="">
          <xdr:nvSpPr>
            <xdr:cNvPr id="51" name="TOC_HEADER_LABEL_1">
              <a:extLst>
                <a:ext uri="{FF2B5EF4-FFF2-40B4-BE49-F238E27FC236}">
                  <a16:creationId xmlns:a16="http://schemas.microsoft.com/office/drawing/2014/main" id="{00000000-0008-0000-0100-000033000000}"/>
                </a:ext>
              </a:extLst>
            </xdr:cNvPr>
            <xdr:cNvSpPr txBox="1"/>
          </xdr:nvSpPr>
          <xdr:spPr>
            <a:xfrm>
              <a:off x="8302028" y="1630443"/>
              <a:ext cx="1226450" cy="2644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lIns="0" rtlCol="0" anchor="t">
              <a:noAutofit/>
            </a:bodyPr>
            <a:lstStyle/>
            <a:p>
              <a:r>
                <a:rPr lang="en-US" sz="1000" b="1"/>
                <a:t>Section</a:t>
              </a:r>
            </a:p>
          </xdr:txBody>
        </xdr:sp>
        <xdr:sp macro="" textlink="">
          <xdr:nvSpPr>
            <xdr:cNvPr id="52" name="TOC_HEADER_LABEL_1">
              <a:extLst>
                <a:ext uri="{FF2B5EF4-FFF2-40B4-BE49-F238E27FC236}">
                  <a16:creationId xmlns:a16="http://schemas.microsoft.com/office/drawing/2014/main" id="{00000000-0008-0000-0100-000034000000}"/>
                </a:ext>
              </a:extLst>
            </xdr:cNvPr>
            <xdr:cNvSpPr txBox="1"/>
          </xdr:nvSpPr>
          <xdr:spPr>
            <a:xfrm>
              <a:off x="10988755" y="1630443"/>
              <a:ext cx="876784" cy="2644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tlCol="0" anchor="t">
              <a:noAutofit/>
            </a:bodyPr>
            <a:lstStyle/>
            <a:p>
              <a:r>
                <a:rPr lang="en-US" sz="1000" b="1"/>
                <a:t>Progress</a:t>
              </a:r>
            </a:p>
          </xdr:txBody>
        </xdr:sp>
        <xdr:sp macro="" textlink="">
          <xdr:nvSpPr>
            <xdr:cNvPr id="53" name="TOC_HEADER_LABEL_3">
              <a:extLst>
                <a:ext uri="{FF2B5EF4-FFF2-40B4-BE49-F238E27FC236}">
                  <a16:creationId xmlns:a16="http://schemas.microsoft.com/office/drawing/2014/main" id="{00000000-0008-0000-0100-000035000000}"/>
                </a:ext>
              </a:extLst>
            </xdr:cNvPr>
            <xdr:cNvSpPr txBox="1"/>
          </xdr:nvSpPr>
          <xdr:spPr>
            <a:xfrm>
              <a:off x="11990098" y="1630443"/>
              <a:ext cx="1226450" cy="2644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lIns="0" rtlCol="0" anchor="t">
              <a:noAutofit/>
            </a:bodyPr>
            <a:lstStyle/>
            <a:p>
              <a:r>
                <a:rPr lang="en-US" sz="1000" b="1"/>
                <a:t>Section</a:t>
              </a:r>
            </a:p>
          </xdr:txBody>
        </xdr:sp>
        <xdr:sp macro="" textlink="">
          <xdr:nvSpPr>
            <xdr:cNvPr id="54" name="TOC_HEADER_LABEL_4">
              <a:extLst>
                <a:ext uri="{FF2B5EF4-FFF2-40B4-BE49-F238E27FC236}">
                  <a16:creationId xmlns:a16="http://schemas.microsoft.com/office/drawing/2014/main" id="{00000000-0008-0000-0100-000036000000}"/>
                </a:ext>
              </a:extLst>
            </xdr:cNvPr>
            <xdr:cNvSpPr txBox="1"/>
          </xdr:nvSpPr>
          <xdr:spPr>
            <a:xfrm>
              <a:off x="14554212" y="1630443"/>
              <a:ext cx="871248" cy="2644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tlCol="0" anchor="t">
              <a:noAutofit/>
            </a:bodyPr>
            <a:lstStyle/>
            <a:p>
              <a:r>
                <a:rPr lang="en-US" sz="1000" b="1"/>
                <a:t>Progress</a:t>
              </a:r>
            </a:p>
          </xdr:txBody>
        </xdr:sp>
      </xdr:grpSp>
      <xdr:cxnSp macro="">
        <xdr:nvCxnSpPr>
          <xdr:cNvPr id="56" name="TOC_HEADER_VLINE">
            <a:extLst>
              <a:ext uri="{FF2B5EF4-FFF2-40B4-BE49-F238E27FC236}">
                <a16:creationId xmlns:a16="http://schemas.microsoft.com/office/drawing/2014/main" id="{00000000-0008-0000-0100-000038000000}"/>
              </a:ext>
            </a:extLst>
          </xdr:cNvPr>
          <xdr:cNvCxnSpPr>
            <a:endCxn id="31" idx="2"/>
          </xdr:cNvCxnSpPr>
        </xdr:nvCxnSpPr>
        <xdr:spPr>
          <a:xfrm>
            <a:off x="11871960" y="1596774"/>
            <a:ext cx="953" cy="1093609"/>
          </a:xfrm>
          <a:prstGeom prst="line">
            <a:avLst/>
          </a:prstGeom>
          <a:ln>
            <a:solidFill>
              <a:schemeClr val="bg1">
                <a:lumMod val="85000"/>
              </a:schemeClr>
            </a:solidFill>
          </a:ln>
          <a:effectLst>
            <a:innerShdw blurRad="63500" dist="50800" dir="13500000">
              <a:prstClr val="black">
                <a:alpha val="50000"/>
              </a:prstClr>
            </a:innerShdw>
          </a:effectLst>
        </xdr:spPr>
        <xdr:style>
          <a:lnRef idx="1">
            <a:schemeClr val="accent1"/>
          </a:lnRef>
          <a:fillRef idx="0">
            <a:schemeClr val="accent1"/>
          </a:fillRef>
          <a:effectRef idx="0">
            <a:schemeClr val="accent1"/>
          </a:effectRef>
          <a:fontRef idx="minor">
            <a:schemeClr val="tx1"/>
          </a:fontRef>
        </xdr:style>
      </xdr:cxnSp>
      <xdr:grpSp>
        <xdr:nvGrpSpPr>
          <xdr:cNvPr id="273" name="TOC_HORIZONTAL_DIVIDERS">
            <a:extLst>
              <a:ext uri="{FF2B5EF4-FFF2-40B4-BE49-F238E27FC236}">
                <a16:creationId xmlns:a16="http://schemas.microsoft.com/office/drawing/2014/main" id="{00000000-0008-0000-0100-000011010000}"/>
              </a:ext>
            </a:extLst>
          </xdr:cNvPr>
          <xdr:cNvGrpSpPr/>
        </xdr:nvGrpSpPr>
        <xdr:grpSpPr>
          <a:xfrm>
            <a:off x="8191498" y="2143319"/>
            <a:ext cx="7362825" cy="276504"/>
            <a:chOff x="8191498" y="2143319"/>
            <a:chExt cx="7362825" cy="276504"/>
          </a:xfrm>
        </xdr:grpSpPr>
        <xdr:cxnSp macro="">
          <xdr:nvCxnSpPr>
            <xdr:cNvPr id="207" name="DOTTED_LINE">
              <a:extLst>
                <a:ext uri="{FF2B5EF4-FFF2-40B4-BE49-F238E27FC236}">
                  <a16:creationId xmlns:a16="http://schemas.microsoft.com/office/drawing/2014/main" id="{00000000-0008-0000-0100-0000CF000000}"/>
                </a:ext>
              </a:extLst>
            </xdr:cNvPr>
            <xdr:cNvCxnSpPr/>
          </xdr:nvCxnSpPr>
          <xdr:spPr>
            <a:xfrm flipH="1">
              <a:off x="8191498" y="2143319"/>
              <a:ext cx="7362825" cy="0"/>
            </a:xfrm>
            <a:prstGeom prst="line">
              <a:avLst/>
            </a:prstGeom>
            <a:ln w="9525" cap="rnd">
              <a:solidFill>
                <a:schemeClr val="bg1">
                  <a:lumMod val="85000"/>
                </a:schemeClr>
              </a:solidFill>
              <a:prstDash val="solid"/>
              <a:round/>
            </a:ln>
          </xdr:spPr>
          <xdr:style>
            <a:lnRef idx="1">
              <a:schemeClr val="dk1"/>
            </a:lnRef>
            <a:fillRef idx="0">
              <a:schemeClr val="dk1"/>
            </a:fillRef>
            <a:effectRef idx="0">
              <a:schemeClr val="dk1"/>
            </a:effectRef>
            <a:fontRef idx="minor">
              <a:schemeClr val="tx1"/>
            </a:fontRef>
          </xdr:style>
        </xdr:cxnSp>
        <xdr:cxnSp macro="">
          <xdr:nvCxnSpPr>
            <xdr:cNvPr id="239" name="DOTTED_LINE">
              <a:extLst>
                <a:ext uri="{FF2B5EF4-FFF2-40B4-BE49-F238E27FC236}">
                  <a16:creationId xmlns:a16="http://schemas.microsoft.com/office/drawing/2014/main" id="{00000000-0008-0000-0100-0000EF000000}"/>
                </a:ext>
              </a:extLst>
            </xdr:cNvPr>
            <xdr:cNvCxnSpPr/>
          </xdr:nvCxnSpPr>
          <xdr:spPr>
            <a:xfrm flipH="1">
              <a:off x="8191498" y="2419823"/>
              <a:ext cx="7360920" cy="0"/>
            </a:xfrm>
            <a:prstGeom prst="line">
              <a:avLst/>
            </a:prstGeom>
            <a:ln w="9525" cap="rnd">
              <a:solidFill>
                <a:schemeClr val="bg1">
                  <a:lumMod val="85000"/>
                </a:schemeClr>
              </a:solidFill>
              <a:prstDash val="solid"/>
              <a:round/>
            </a:ln>
          </xdr:spPr>
          <xdr:style>
            <a:lnRef idx="1">
              <a:schemeClr val="dk1"/>
            </a:lnRef>
            <a:fillRef idx="0">
              <a:schemeClr val="dk1"/>
            </a:fillRef>
            <a:effectRef idx="0">
              <a:schemeClr val="dk1"/>
            </a:effectRef>
            <a:fontRef idx="minor">
              <a:schemeClr val="tx1"/>
            </a:fontRef>
          </xdr:style>
        </xdr:cxnSp>
      </xdr:grpSp>
    </xdr:grpSp>
    <xdr:clientData/>
  </xdr:twoCellAnchor>
  <xdr:twoCellAnchor>
    <xdr:from>
      <xdr:col>14</xdr:col>
      <xdr:colOff>695325</xdr:colOff>
      <xdr:row>28</xdr:row>
      <xdr:rowOff>152400</xdr:rowOff>
    </xdr:from>
    <xdr:to>
      <xdr:col>21</xdr:col>
      <xdr:colOff>104775</xdr:colOff>
      <xdr:row>28</xdr:row>
      <xdr:rowOff>152400</xdr:rowOff>
    </xdr:to>
    <xdr:cxnSp macro="">
      <xdr:nvCxnSpPr>
        <xdr:cNvPr id="145" name="DOTTED_LINE">
          <a:extLst>
            <a:ext uri="{FF2B5EF4-FFF2-40B4-BE49-F238E27FC236}">
              <a16:creationId xmlns:a16="http://schemas.microsoft.com/office/drawing/2014/main" id="{00000000-0008-0000-0100-000091000000}"/>
            </a:ext>
          </a:extLst>
        </xdr:cNvPr>
        <xdr:cNvCxnSpPr/>
      </xdr:nvCxnSpPr>
      <xdr:spPr>
        <a:xfrm>
          <a:off x="11668125" y="10467975"/>
          <a:ext cx="2809875"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342900</xdr:colOff>
      <xdr:row>47</xdr:row>
      <xdr:rowOff>142875</xdr:rowOff>
    </xdr:from>
    <xdr:to>
      <xdr:col>19</xdr:col>
      <xdr:colOff>104775</xdr:colOff>
      <xdr:row>47</xdr:row>
      <xdr:rowOff>142875</xdr:rowOff>
    </xdr:to>
    <xdr:cxnSp macro="">
      <xdr:nvCxnSpPr>
        <xdr:cNvPr id="148" name="DOTTED_LINE">
          <a:extLst>
            <a:ext uri="{FF2B5EF4-FFF2-40B4-BE49-F238E27FC236}">
              <a16:creationId xmlns:a16="http://schemas.microsoft.com/office/drawing/2014/main" id="{00000000-0008-0000-0100-000094000000}"/>
            </a:ext>
          </a:extLst>
        </xdr:cNvPr>
        <xdr:cNvCxnSpPr/>
      </xdr:nvCxnSpPr>
      <xdr:spPr>
        <a:xfrm>
          <a:off x="11849100" y="13065125"/>
          <a:ext cx="2390775"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38100</xdr:colOff>
      <xdr:row>61</xdr:row>
      <xdr:rowOff>152400</xdr:rowOff>
    </xdr:from>
    <xdr:to>
      <xdr:col>21</xdr:col>
      <xdr:colOff>104775</xdr:colOff>
      <xdr:row>61</xdr:row>
      <xdr:rowOff>152400</xdr:rowOff>
    </xdr:to>
    <xdr:cxnSp macro="">
      <xdr:nvCxnSpPr>
        <xdr:cNvPr id="164" name="DOTTED_LINE">
          <a:extLst>
            <a:ext uri="{FF2B5EF4-FFF2-40B4-BE49-F238E27FC236}">
              <a16:creationId xmlns:a16="http://schemas.microsoft.com/office/drawing/2014/main" id="{00000000-0008-0000-0100-0000A4000000}"/>
            </a:ext>
          </a:extLst>
        </xdr:cNvPr>
        <xdr:cNvCxnSpPr/>
      </xdr:nvCxnSpPr>
      <xdr:spPr>
        <a:xfrm>
          <a:off x="13515975" y="17926050"/>
          <a:ext cx="962025"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419100</xdr:colOff>
      <xdr:row>87</xdr:row>
      <xdr:rowOff>95250</xdr:rowOff>
    </xdr:from>
    <xdr:to>
      <xdr:col>18</xdr:col>
      <xdr:colOff>485775</xdr:colOff>
      <xdr:row>88</xdr:row>
      <xdr:rowOff>171450</xdr:rowOff>
    </xdr:to>
    <xdr:sp macro="" textlink="">
      <xdr:nvSpPr>
        <xdr:cNvPr id="85" name="Rounded Rectangle 84">
          <a:hlinkClick xmlns:r="http://schemas.openxmlformats.org/officeDocument/2006/relationships" r:id="rId8"/>
          <a:extLst>
            <a:ext uri="{FF2B5EF4-FFF2-40B4-BE49-F238E27FC236}">
              <a16:creationId xmlns:a16="http://schemas.microsoft.com/office/drawing/2014/main" id="{00000000-0008-0000-0100-000055000000}"/>
            </a:ext>
          </a:extLst>
        </xdr:cNvPr>
        <xdr:cNvSpPr/>
      </xdr:nvSpPr>
      <xdr:spPr>
        <a:xfrm>
          <a:off x="2371725" y="23945850"/>
          <a:ext cx="2752725" cy="352425"/>
        </a:xfrm>
        <a:prstGeom prst="roundRect">
          <a:avLst/>
        </a:prstGeom>
        <a:gradFill>
          <a:gsLst>
            <a:gs pos="0">
              <a:srgbClr val="8EB149"/>
            </a:gs>
            <a:gs pos="100000">
              <a:srgbClr val="708B39"/>
            </a:gs>
          </a:gsLst>
          <a:lin ang="5400000" scaled="1"/>
        </a:gra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baseline="0">
              <a:latin typeface="Arial" panose="020B0604020202020204" pitchFamily="34" charset="0"/>
              <a:cs typeface="Arial" panose="020B0604020202020204" pitchFamily="34" charset="0"/>
            </a:rPr>
            <a:t>Open Income Calculation Worksheet </a:t>
          </a:r>
        </a:p>
      </xdr:txBody>
    </xdr:sp>
    <xdr:clientData/>
  </xdr:twoCellAnchor>
  <xdr:twoCellAnchor editAs="oneCell">
    <xdr:from>
      <xdr:col>7</xdr:col>
      <xdr:colOff>66675</xdr:colOff>
      <xdr:row>100</xdr:row>
      <xdr:rowOff>238125</xdr:rowOff>
    </xdr:from>
    <xdr:to>
      <xdr:col>24</xdr:col>
      <xdr:colOff>104775</xdr:colOff>
      <xdr:row>137</xdr:row>
      <xdr:rowOff>66673</xdr:rowOff>
    </xdr:to>
    <xdr:grpSp>
      <xdr:nvGrpSpPr>
        <xdr:cNvPr id="79" name="Group 78">
          <a:extLst>
            <a:ext uri="{FF2B5EF4-FFF2-40B4-BE49-F238E27FC236}">
              <a16:creationId xmlns:a16="http://schemas.microsoft.com/office/drawing/2014/main" id="{00000000-0008-0000-0100-00004F000000}"/>
            </a:ext>
          </a:extLst>
        </xdr:cNvPr>
        <xdr:cNvGrpSpPr/>
      </xdr:nvGrpSpPr>
      <xdr:grpSpPr>
        <a:xfrm>
          <a:off x="66675" y="27679650"/>
          <a:ext cx="7362825" cy="10048873"/>
          <a:chOff x="8191500" y="18297525"/>
          <a:chExt cx="7362825" cy="10048872"/>
        </a:xfrm>
      </xdr:grpSpPr>
      <xdr:grpSp>
        <xdr:nvGrpSpPr>
          <xdr:cNvPr id="81" name="RENTAL_5">
            <a:extLst>
              <a:ext uri="{FF2B5EF4-FFF2-40B4-BE49-F238E27FC236}">
                <a16:creationId xmlns:a16="http://schemas.microsoft.com/office/drawing/2014/main" id="{00000000-0008-0000-0100-000051000000}"/>
              </a:ext>
            </a:extLst>
          </xdr:cNvPr>
          <xdr:cNvGrpSpPr/>
        </xdr:nvGrpSpPr>
        <xdr:grpSpPr>
          <a:xfrm>
            <a:off x="8191500" y="18297525"/>
            <a:ext cx="7362825" cy="10048872"/>
            <a:chOff x="9363075" y="17297253"/>
            <a:chExt cx="7362825" cy="10299015"/>
          </a:xfrm>
        </xdr:grpSpPr>
        <xdr:sp macro="" textlink="">
          <xdr:nvSpPr>
            <xdr:cNvPr id="90" name="RENTAL_5_SECTION_FRAME">
              <a:extLst>
                <a:ext uri="{FF2B5EF4-FFF2-40B4-BE49-F238E27FC236}">
                  <a16:creationId xmlns:a16="http://schemas.microsoft.com/office/drawing/2014/main" id="{00000000-0008-0000-0100-00005A000000}"/>
                </a:ext>
              </a:extLst>
            </xdr:cNvPr>
            <xdr:cNvSpPr/>
          </xdr:nvSpPr>
          <xdr:spPr>
            <a:xfrm>
              <a:off x="9363075" y="17617604"/>
              <a:ext cx="7362825" cy="9978664"/>
            </a:xfrm>
            <a:prstGeom prst="rect">
              <a:avLst/>
            </a:prstGeom>
            <a:no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endParaRPr lang="en-US" sz="1100"/>
            </a:p>
          </xdr:txBody>
        </xdr:sp>
        <xdr:sp macro="" textlink="$B$135">
          <xdr:nvSpPr>
            <xdr:cNvPr id="91" name="RENTAL_5_SECTION_TITLE">
              <a:extLst>
                <a:ext uri="{FF2B5EF4-FFF2-40B4-BE49-F238E27FC236}">
                  <a16:creationId xmlns:a16="http://schemas.microsoft.com/office/drawing/2014/main" id="{00000000-0008-0000-0100-00005B000000}"/>
                </a:ext>
              </a:extLst>
            </xdr:cNvPr>
            <xdr:cNvSpPr/>
          </xdr:nvSpPr>
          <xdr:spPr>
            <a:xfrm>
              <a:off x="9363075" y="17297253"/>
              <a:ext cx="7360920" cy="312329"/>
            </a:xfrm>
            <a:prstGeom prst="rect">
              <a:avLst/>
            </a:prstGeom>
            <a:solidFill>
              <a:srgbClr val="9CACB9"/>
            </a:solid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l"/>
              <a:fld id="{D88E3CCE-11D7-4A89-B55B-0F85F8F00C5D}" type="TxLink">
                <a:rPr lang="en-US" sz="1100" b="1" i="0" u="none" strike="noStrike">
                  <a:solidFill>
                    <a:srgbClr val="FFFFFF"/>
                  </a:solidFill>
                  <a:latin typeface="Calibri"/>
                  <a:cs typeface="Calibri"/>
                </a:rPr>
                <a:pPr algn="l"/>
                <a:t>Member Certification</a:t>
              </a:fld>
              <a:endParaRPr lang="en-US" sz="1100" b="1" i="0" u="none" strike="noStrike">
                <a:solidFill>
                  <a:schemeClr val="bg1"/>
                </a:solidFill>
                <a:latin typeface="Calibri"/>
              </a:endParaRPr>
            </a:p>
          </xdr:txBody>
        </xdr:sp>
        <xdr:sp macro="" textlink="$B$146">
          <xdr:nvSpPr>
            <xdr:cNvPr id="94" name="RENTAL_5_SECTION_SUBTITLE">
              <a:extLst>
                <a:ext uri="{FF2B5EF4-FFF2-40B4-BE49-F238E27FC236}">
                  <a16:creationId xmlns:a16="http://schemas.microsoft.com/office/drawing/2014/main" id="{00000000-0008-0000-0100-00005E000000}"/>
                </a:ext>
              </a:extLst>
            </xdr:cNvPr>
            <xdr:cNvSpPr/>
          </xdr:nvSpPr>
          <xdr:spPr>
            <a:xfrm>
              <a:off x="9372598" y="17621099"/>
              <a:ext cx="7351776" cy="278552"/>
            </a:xfrm>
            <a:prstGeom prst="rect">
              <a:avLst/>
            </a:prstGeom>
            <a:solidFill>
              <a:schemeClr val="accent1">
                <a:lumMod val="20000"/>
                <a:lumOff val="80000"/>
              </a:schemeClr>
            </a:solidFill>
            <a:ln>
              <a:noFill/>
            </a:ln>
            <a:effectLst/>
          </xdr:spPr>
          <xdr:style>
            <a:lnRef idx="1">
              <a:schemeClr val="accent1"/>
            </a:lnRef>
            <a:fillRef idx="2">
              <a:schemeClr val="accent1"/>
            </a:fillRef>
            <a:effectRef idx="1">
              <a:schemeClr val="accent1"/>
            </a:effectRef>
            <a:fontRef idx="minor">
              <a:schemeClr val="dk1"/>
            </a:fontRef>
          </xdr:style>
          <xdr:txBody>
            <a:bodyPr vertOverflow="clip" lIns="457200" rtlCol="0" anchor="ctr"/>
            <a:lstStyle/>
            <a:p>
              <a:pPr algn="l"/>
              <a:fld id="{FB26CD53-0FF5-4F12-AFE7-DB5492936A6A}" type="TxLink">
                <a:rPr lang="en-US" sz="900" b="0" i="0" u="none" strike="noStrike">
                  <a:solidFill>
                    <a:srgbClr val="000000"/>
                  </a:solidFill>
                  <a:latin typeface="Calibri"/>
                  <a:cs typeface="Calibri"/>
                </a:rPr>
                <a:pPr algn="l"/>
                <a:t>Not Started</a:t>
              </a:fld>
              <a:endParaRPr lang="en-US" sz="1100" i="0"/>
            </a:p>
          </xdr:txBody>
        </xdr:sp>
        <xdr:sp macro="" textlink="">
          <xdr:nvSpPr>
            <xdr:cNvPr id="97" name="RENTAL_5_SECTION_SUBTITLE_LABEL">
              <a:extLst>
                <a:ext uri="{FF2B5EF4-FFF2-40B4-BE49-F238E27FC236}">
                  <a16:creationId xmlns:a16="http://schemas.microsoft.com/office/drawing/2014/main" id="{00000000-0008-0000-0100-000061000000}"/>
                </a:ext>
              </a:extLst>
            </xdr:cNvPr>
            <xdr:cNvSpPr txBox="1"/>
          </xdr:nvSpPr>
          <xdr:spPr>
            <a:xfrm>
              <a:off x="9467850" y="17621098"/>
              <a:ext cx="476249" cy="2785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tlCol="0" anchor="ctr">
              <a:noAutofit/>
            </a:bodyPr>
            <a:lstStyle/>
            <a:p>
              <a:r>
                <a:rPr lang="en-US" sz="900" b="1"/>
                <a:t>Status:</a:t>
              </a:r>
            </a:p>
          </xdr:txBody>
        </xdr:sp>
      </xdr:grpSp>
      <xdr:sp macro="" textlink="">
        <xdr:nvSpPr>
          <xdr:cNvPr id="82" name="LINK_RENTAL_TOC">
            <a:hlinkClick xmlns:r="http://schemas.openxmlformats.org/officeDocument/2006/relationships" r:id="rId6"/>
            <a:extLst>
              <a:ext uri="{FF2B5EF4-FFF2-40B4-BE49-F238E27FC236}">
                <a16:creationId xmlns:a16="http://schemas.microsoft.com/office/drawing/2014/main" id="{00000000-0008-0000-0100-000052000000}"/>
              </a:ext>
            </a:extLst>
          </xdr:cNvPr>
          <xdr:cNvSpPr/>
        </xdr:nvSpPr>
        <xdr:spPr>
          <a:xfrm>
            <a:off x="14525625" y="18297525"/>
            <a:ext cx="1028700" cy="30480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r"/>
            <a:r>
              <a:rPr lang="en-US" sz="1000" b="1" u="none">
                <a:solidFill>
                  <a:schemeClr val="bg1"/>
                </a:solidFill>
              </a:rPr>
              <a:t>Back</a:t>
            </a:r>
            <a:r>
              <a:rPr lang="en-US" sz="1000" b="1" u="none" baseline="0">
                <a:solidFill>
                  <a:schemeClr val="bg1"/>
                </a:solidFill>
              </a:rPr>
              <a:t> to Top ^</a:t>
            </a:r>
            <a:endParaRPr lang="en-US" sz="1000" b="1" u="none">
              <a:solidFill>
                <a:schemeClr val="bg1"/>
              </a:solidFill>
            </a:endParaRPr>
          </a:p>
        </xdr:txBody>
      </xdr:sp>
    </xdr:grpSp>
    <xdr:clientData fPrintsWithSheet="0"/>
  </xdr:twoCellAnchor>
  <xdr:oneCellAnchor>
    <xdr:from>
      <xdr:col>16</xdr:col>
      <xdr:colOff>295275</xdr:colOff>
      <xdr:row>18</xdr:row>
      <xdr:rowOff>9525</xdr:rowOff>
    </xdr:from>
    <xdr:ext cx="2200275" cy="264560"/>
    <xdr:sp macro="" textlink="$B$148">
      <xdr:nvSpPr>
        <xdr:cNvPr id="100" name="TOC_SECTION_10">
          <a:hlinkClick xmlns:r="http://schemas.openxmlformats.org/officeDocument/2006/relationships" r:id="rId9"/>
          <a:extLst>
            <a:ext uri="{FF2B5EF4-FFF2-40B4-BE49-F238E27FC236}">
              <a16:creationId xmlns:a16="http://schemas.microsoft.com/office/drawing/2014/main" id="{00000000-0008-0000-0100-000064000000}"/>
            </a:ext>
          </a:extLst>
        </xdr:cNvPr>
        <xdr:cNvSpPr txBox="1"/>
      </xdr:nvSpPr>
      <xdr:spPr>
        <a:xfrm>
          <a:off x="12163425" y="4524375"/>
          <a:ext cx="2200275" cy="2645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lIns="0" rtlCol="0" anchor="t">
          <a:noAutofit/>
        </a:bodyPr>
        <a:lstStyle/>
        <a:p>
          <a:pPr marL="0" indent="0" algn="l"/>
          <a:fld id="{6135BE1B-C9D2-4812-82E5-8EBB27621EE9}" type="TxLink">
            <a:rPr lang="en-US" sz="1000" b="1" i="0" u="sng" strike="noStrike">
              <a:solidFill>
                <a:schemeClr val="accent1">
                  <a:lumMod val="75000"/>
                </a:schemeClr>
              </a:solidFill>
              <a:latin typeface="Calibri"/>
              <a:ea typeface="+mn-ea"/>
              <a:cs typeface="Calibri"/>
            </a:rPr>
            <a:pPr marL="0" indent="0" algn="l"/>
            <a:t>Member Certification</a:t>
          </a:fld>
          <a:endParaRPr lang="en-US" sz="1000" b="1" i="0" u="sng" strike="noStrike">
            <a:solidFill>
              <a:schemeClr val="accent1">
                <a:lumMod val="75000"/>
              </a:schemeClr>
            </a:solidFill>
            <a:latin typeface="Calibri"/>
            <a:ea typeface="+mn-ea"/>
            <a:cs typeface="Calibri"/>
          </a:endParaRPr>
        </a:p>
      </xdr:txBody>
    </xdr:sp>
    <xdr:clientData fPrintsWithSheet="0"/>
  </xdr:oneCellAnchor>
  <xdr:twoCellAnchor>
    <xdr:from>
      <xdr:col>8</xdr:col>
      <xdr:colOff>19051</xdr:colOff>
      <xdr:row>98</xdr:row>
      <xdr:rowOff>123825</xdr:rowOff>
    </xdr:from>
    <xdr:to>
      <xdr:col>10</xdr:col>
      <xdr:colOff>403861</xdr:colOff>
      <xdr:row>99</xdr:row>
      <xdr:rowOff>200025</xdr:rowOff>
    </xdr:to>
    <xdr:sp macro="" textlink="">
      <xdr:nvSpPr>
        <xdr:cNvPr id="2" name="Rounded Rectangle 84">
          <a:hlinkClick xmlns:r="http://schemas.openxmlformats.org/officeDocument/2006/relationships" r:id="rId10"/>
          <a:extLst>
            <a:ext uri="{FF2B5EF4-FFF2-40B4-BE49-F238E27FC236}">
              <a16:creationId xmlns:a16="http://schemas.microsoft.com/office/drawing/2014/main" id="{00000000-0008-0000-0100-000002000000}"/>
            </a:ext>
          </a:extLst>
        </xdr:cNvPr>
        <xdr:cNvSpPr/>
      </xdr:nvSpPr>
      <xdr:spPr>
        <a:xfrm>
          <a:off x="180976" y="23974425"/>
          <a:ext cx="1280160" cy="352425"/>
        </a:xfrm>
        <a:prstGeom prst="roundRect">
          <a:avLst/>
        </a:prstGeom>
        <a:gradFill>
          <a:gsLst>
            <a:gs pos="0">
              <a:srgbClr val="8EB149"/>
            </a:gs>
            <a:gs pos="100000">
              <a:srgbClr val="708B39"/>
            </a:gs>
          </a:gsLst>
          <a:lin ang="5400000" scaled="1"/>
        </a:gra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baseline="0">
              <a:latin typeface="Arial" panose="020B0604020202020204" pitchFamily="34" charset="0"/>
              <a:cs typeface="Arial" panose="020B0604020202020204" pitchFamily="34" charset="0"/>
            </a:rPr>
            <a:t>New Jersey</a:t>
          </a:r>
        </a:p>
      </xdr:txBody>
    </xdr:sp>
    <xdr:clientData/>
  </xdr:twoCellAnchor>
  <xdr:twoCellAnchor>
    <xdr:from>
      <xdr:col>10</xdr:col>
      <xdr:colOff>447675</xdr:colOff>
      <xdr:row>98</xdr:row>
      <xdr:rowOff>123825</xdr:rowOff>
    </xdr:from>
    <xdr:to>
      <xdr:col>13</xdr:col>
      <xdr:colOff>118110</xdr:colOff>
      <xdr:row>99</xdr:row>
      <xdr:rowOff>200025</xdr:rowOff>
    </xdr:to>
    <xdr:sp macro="" textlink="">
      <xdr:nvSpPr>
        <xdr:cNvPr id="8" name="Rounded Rectangle 84">
          <a:hlinkClick xmlns:r="http://schemas.openxmlformats.org/officeDocument/2006/relationships" r:id="rId11"/>
          <a:extLst>
            <a:ext uri="{FF2B5EF4-FFF2-40B4-BE49-F238E27FC236}">
              <a16:creationId xmlns:a16="http://schemas.microsoft.com/office/drawing/2014/main" id="{00000000-0008-0000-0100-000008000000}"/>
            </a:ext>
          </a:extLst>
        </xdr:cNvPr>
        <xdr:cNvSpPr/>
      </xdr:nvSpPr>
      <xdr:spPr>
        <a:xfrm>
          <a:off x="1504950" y="23974425"/>
          <a:ext cx="1280160" cy="352425"/>
        </a:xfrm>
        <a:prstGeom prst="roundRect">
          <a:avLst/>
        </a:prstGeom>
        <a:gradFill>
          <a:gsLst>
            <a:gs pos="0">
              <a:srgbClr val="8EB149"/>
            </a:gs>
            <a:gs pos="100000">
              <a:srgbClr val="708B39"/>
            </a:gs>
          </a:gsLst>
          <a:lin ang="5400000" scaled="1"/>
        </a:gra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baseline="0">
              <a:latin typeface="Arial" panose="020B0604020202020204" pitchFamily="34" charset="0"/>
              <a:cs typeface="Arial" panose="020B0604020202020204" pitchFamily="34" charset="0"/>
            </a:rPr>
            <a:t>New York</a:t>
          </a:r>
        </a:p>
      </xdr:txBody>
    </xdr:sp>
    <xdr:clientData/>
  </xdr:twoCellAnchor>
  <xdr:twoCellAnchor>
    <xdr:from>
      <xdr:col>13</xdr:col>
      <xdr:colOff>161924</xdr:colOff>
      <xdr:row>98</xdr:row>
      <xdr:rowOff>123825</xdr:rowOff>
    </xdr:from>
    <xdr:to>
      <xdr:col>16</xdr:col>
      <xdr:colOff>365759</xdr:colOff>
      <xdr:row>99</xdr:row>
      <xdr:rowOff>200025</xdr:rowOff>
    </xdr:to>
    <xdr:sp macro="" textlink="">
      <xdr:nvSpPr>
        <xdr:cNvPr id="10" name="Rounded Rectangle 84">
          <a:hlinkClick xmlns:r="http://schemas.openxmlformats.org/officeDocument/2006/relationships" r:id="rId12"/>
          <a:extLst>
            <a:ext uri="{FF2B5EF4-FFF2-40B4-BE49-F238E27FC236}">
              <a16:creationId xmlns:a16="http://schemas.microsoft.com/office/drawing/2014/main" id="{00000000-0008-0000-0100-00000A000000}"/>
            </a:ext>
          </a:extLst>
        </xdr:cNvPr>
        <xdr:cNvSpPr/>
      </xdr:nvSpPr>
      <xdr:spPr>
        <a:xfrm>
          <a:off x="2828924" y="23974425"/>
          <a:ext cx="1280160" cy="352425"/>
        </a:xfrm>
        <a:prstGeom prst="roundRect">
          <a:avLst/>
        </a:prstGeom>
        <a:gradFill>
          <a:gsLst>
            <a:gs pos="0">
              <a:srgbClr val="8EB149"/>
            </a:gs>
            <a:gs pos="100000">
              <a:srgbClr val="708B39"/>
            </a:gs>
          </a:gsLst>
          <a:lin ang="5400000" scaled="1"/>
        </a:gra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baseline="0">
              <a:latin typeface="Arial" panose="020B0604020202020204" pitchFamily="34" charset="0"/>
              <a:cs typeface="Arial" panose="020B0604020202020204" pitchFamily="34" charset="0"/>
            </a:rPr>
            <a:t>Puerto Rico</a:t>
          </a:r>
        </a:p>
      </xdr:txBody>
    </xdr:sp>
    <xdr:clientData/>
  </xdr:twoCellAnchor>
  <xdr:twoCellAnchor>
    <xdr:from>
      <xdr:col>16</xdr:col>
      <xdr:colOff>409574</xdr:colOff>
      <xdr:row>98</xdr:row>
      <xdr:rowOff>123825</xdr:rowOff>
    </xdr:from>
    <xdr:to>
      <xdr:col>19</xdr:col>
      <xdr:colOff>80009</xdr:colOff>
      <xdr:row>99</xdr:row>
      <xdr:rowOff>200025</xdr:rowOff>
    </xdr:to>
    <xdr:sp macro="" textlink="">
      <xdr:nvSpPr>
        <xdr:cNvPr id="11" name="Rounded Rectangle 84">
          <a:hlinkClick xmlns:r="http://schemas.openxmlformats.org/officeDocument/2006/relationships" r:id="rId13"/>
          <a:extLst>
            <a:ext uri="{FF2B5EF4-FFF2-40B4-BE49-F238E27FC236}">
              <a16:creationId xmlns:a16="http://schemas.microsoft.com/office/drawing/2014/main" id="{00000000-0008-0000-0100-00000B000000}"/>
            </a:ext>
          </a:extLst>
        </xdr:cNvPr>
        <xdr:cNvSpPr/>
      </xdr:nvSpPr>
      <xdr:spPr>
        <a:xfrm>
          <a:off x="4152899" y="23974425"/>
          <a:ext cx="1280160" cy="352425"/>
        </a:xfrm>
        <a:prstGeom prst="roundRect">
          <a:avLst/>
        </a:prstGeom>
        <a:gradFill>
          <a:gsLst>
            <a:gs pos="0">
              <a:srgbClr val="8EB149"/>
            </a:gs>
            <a:gs pos="100000">
              <a:srgbClr val="708B39"/>
            </a:gs>
          </a:gsLst>
          <a:lin ang="5400000" scaled="1"/>
        </a:gra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baseline="0">
              <a:latin typeface="Arial" panose="020B0604020202020204" pitchFamily="34" charset="0"/>
              <a:cs typeface="Arial" panose="020B0604020202020204" pitchFamily="34" charset="0"/>
            </a:rPr>
            <a:t>US Virgin Islands</a:t>
          </a:r>
        </a:p>
      </xdr:txBody>
    </xdr:sp>
    <xdr:clientData/>
  </xdr:twoCellAnchor>
  <mc:AlternateContent xmlns:mc="http://schemas.openxmlformats.org/markup-compatibility/2006">
    <mc:Choice xmlns:a14="http://schemas.microsoft.com/office/drawing/2010/main" Requires="a14">
      <xdr:twoCellAnchor editAs="oneCell">
        <xdr:from>
          <xdr:col>12</xdr:col>
          <xdr:colOff>190500</xdr:colOff>
          <xdr:row>90</xdr:row>
          <xdr:rowOff>19050</xdr:rowOff>
        </xdr:from>
        <xdr:to>
          <xdr:col>18</xdr:col>
          <xdr:colOff>552450</xdr:colOff>
          <xdr:row>90</xdr:row>
          <xdr:rowOff>266700</xdr:rowOff>
        </xdr:to>
        <xdr:sp macro="" textlink="">
          <xdr:nvSpPr>
            <xdr:cNvPr id="10252" name="ICW_COMPLETE_FLAG" hidden="1">
              <a:extLst>
                <a:ext uri="{63B3BB69-23CF-44E3-9099-C40C66FF867C}">
                  <a14:compatExt spid="_x0000_s10252"/>
                </a:ext>
                <a:ext uri="{FF2B5EF4-FFF2-40B4-BE49-F238E27FC236}">
                  <a16:creationId xmlns:a16="http://schemas.microsoft.com/office/drawing/2014/main" id="{00000000-0008-0000-01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The Income Calculation Worksheet has been fully completed</a:t>
              </a:r>
            </a:p>
          </xdr:txBody>
        </xdr:sp>
        <xdr:clientData/>
      </xdr:twoCellAnchor>
    </mc:Choice>
    <mc:Fallback/>
  </mc:AlternateContent>
  <xdr:twoCellAnchor>
    <xdr:from>
      <xdr:col>19</xdr:col>
      <xdr:colOff>142875</xdr:colOff>
      <xdr:row>98</xdr:row>
      <xdr:rowOff>123825</xdr:rowOff>
    </xdr:from>
    <xdr:to>
      <xdr:col>23</xdr:col>
      <xdr:colOff>161925</xdr:colOff>
      <xdr:row>99</xdr:row>
      <xdr:rowOff>200025</xdr:rowOff>
    </xdr:to>
    <xdr:sp macro="" textlink="">
      <xdr:nvSpPr>
        <xdr:cNvPr id="12" name="Rounded Rectangle 84">
          <a:hlinkClick xmlns:r="http://schemas.openxmlformats.org/officeDocument/2006/relationships" r:id="rId14"/>
          <a:extLst>
            <a:ext uri="{FF2B5EF4-FFF2-40B4-BE49-F238E27FC236}">
              <a16:creationId xmlns:a16="http://schemas.microsoft.com/office/drawing/2014/main" id="{00000000-0008-0000-0100-00000C000000}"/>
            </a:ext>
          </a:extLst>
        </xdr:cNvPr>
        <xdr:cNvSpPr/>
      </xdr:nvSpPr>
      <xdr:spPr>
        <a:xfrm>
          <a:off x="5495925" y="23974425"/>
          <a:ext cx="1809750" cy="352425"/>
        </a:xfrm>
        <a:prstGeom prst="roundRect">
          <a:avLst/>
        </a:prstGeom>
        <a:gradFill>
          <a:gsLst>
            <a:gs pos="0">
              <a:srgbClr val="8EB149"/>
            </a:gs>
            <a:gs pos="100000">
              <a:srgbClr val="708B39"/>
            </a:gs>
          </a:gsLst>
          <a:lin ang="5400000" scaled="1"/>
        </a:gra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baseline="0">
              <a:latin typeface="Arial" panose="020B0604020202020204" pitchFamily="34" charset="0"/>
              <a:cs typeface="Arial" panose="020B0604020202020204" pitchFamily="34" charset="0"/>
            </a:rPr>
            <a:t>Other States/Territories</a:t>
          </a:r>
        </a:p>
      </xdr:txBody>
    </xdr:sp>
    <xdr:clientData/>
  </xdr:twoCellAnchor>
  <xdr:twoCellAnchor editAs="oneCell">
    <xdr:from>
      <xdr:col>7</xdr:col>
      <xdr:colOff>9526</xdr:colOff>
      <xdr:row>0</xdr:row>
      <xdr:rowOff>5420</xdr:rowOff>
    </xdr:from>
    <xdr:to>
      <xdr:col>25</xdr:col>
      <xdr:colOff>0</xdr:colOff>
      <xdr:row>4</xdr:row>
      <xdr:rowOff>908</xdr:rowOff>
    </xdr:to>
    <xdr:sp macro="" textlink="">
      <xdr:nvSpPr>
        <xdr:cNvPr id="309" name="HEADER_SHORTCUT_TOP">
          <a:hlinkClick xmlns:r="http://schemas.openxmlformats.org/officeDocument/2006/relationships" r:id="rId6" tooltip="Jump to Top"/>
          <a:extLst>
            <a:ext uri="{FF2B5EF4-FFF2-40B4-BE49-F238E27FC236}">
              <a16:creationId xmlns:a16="http://schemas.microsoft.com/office/drawing/2014/main" id="{00000000-0008-0000-0100-000035010000}"/>
            </a:ext>
          </a:extLst>
        </xdr:cNvPr>
        <xdr:cNvSpPr/>
      </xdr:nvSpPr>
      <xdr:spPr>
        <a:xfrm>
          <a:off x="8524876" y="5420"/>
          <a:ext cx="7851774" cy="776538"/>
        </a:xfrm>
        <a:prstGeom prst="rect">
          <a:avLst/>
        </a:prstGeom>
        <a:solidFill>
          <a:schemeClr val="bg1">
            <a:alpha val="0"/>
          </a:schemeClr>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800"/>
        </a:p>
      </xdr:txBody>
    </xdr:sp>
    <xdr:clientData fPrintsWithSheet="0"/>
  </xdr:twoCellAnchor>
  <xdr:twoCellAnchor>
    <xdr:from>
      <xdr:col>16</xdr:col>
      <xdr:colOff>590550</xdr:colOff>
      <xdr:row>49</xdr:row>
      <xdr:rowOff>152400</xdr:rowOff>
    </xdr:from>
    <xdr:to>
      <xdr:col>21</xdr:col>
      <xdr:colOff>82550</xdr:colOff>
      <xdr:row>49</xdr:row>
      <xdr:rowOff>152400</xdr:rowOff>
    </xdr:to>
    <xdr:cxnSp macro="">
      <xdr:nvCxnSpPr>
        <xdr:cNvPr id="13" name="DOTTED_LINE">
          <a:extLst>
            <a:ext uri="{FF2B5EF4-FFF2-40B4-BE49-F238E27FC236}">
              <a16:creationId xmlns:a16="http://schemas.microsoft.com/office/drawing/2014/main" id="{00000000-0008-0000-0100-00000D000000}"/>
            </a:ext>
          </a:extLst>
        </xdr:cNvPr>
        <xdr:cNvCxnSpPr/>
      </xdr:nvCxnSpPr>
      <xdr:spPr>
        <a:xfrm>
          <a:off x="13036550" y="14192250"/>
          <a:ext cx="2120900"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wsDr>
</file>

<file path=xl/drawings/drawing20.xml><?xml version="1.0" encoding="utf-8"?>
<xdr:wsDr xmlns:xdr="http://schemas.openxmlformats.org/drawingml/2006/spreadsheetDrawing" xmlns:a="http://schemas.openxmlformats.org/drawingml/2006/main">
  <xdr:oneCellAnchor>
    <xdr:from>
      <xdr:col>3</xdr:col>
      <xdr:colOff>9525</xdr:colOff>
      <xdr:row>0</xdr:row>
      <xdr:rowOff>28575</xdr:rowOff>
    </xdr:from>
    <xdr:ext cx="1600203" cy="533401"/>
    <xdr:pic>
      <xdr:nvPicPr>
        <xdr:cNvPr id="2" name="Picture 1" descr="2015FHLBNY_Logo_1.75in.png">
          <a:hlinkClick xmlns:r="http://schemas.openxmlformats.org/officeDocument/2006/relationships" r:id="rId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2" cstate="print"/>
        <a:stretch>
          <a:fillRect/>
        </a:stretch>
      </xdr:blipFill>
      <xdr:spPr>
        <a:xfrm>
          <a:off x="111125" y="28575"/>
          <a:ext cx="1600203" cy="533401"/>
        </a:xfrm>
        <a:prstGeom prst="rect">
          <a:avLst/>
        </a:prstGeom>
      </xdr:spPr>
    </xdr:pic>
    <xdr:clientData/>
  </xdr:oneCellAnchor>
  <xdr:oneCellAnchor>
    <xdr:from>
      <xdr:col>3</xdr:col>
      <xdr:colOff>9525</xdr:colOff>
      <xdr:row>0</xdr:row>
      <xdr:rowOff>28575</xdr:rowOff>
    </xdr:from>
    <xdr:ext cx="1600203" cy="533401"/>
    <xdr:pic>
      <xdr:nvPicPr>
        <xdr:cNvPr id="3" name="Picture 2" descr="2015FHLBNY_Logo_1.75in.png">
          <a:hlinkClick xmlns:r="http://schemas.openxmlformats.org/officeDocument/2006/relationships" r:id="rId3"/>
          <a:extLst>
            <a:ext uri="{FF2B5EF4-FFF2-40B4-BE49-F238E27FC236}">
              <a16:creationId xmlns:a16="http://schemas.microsoft.com/office/drawing/2014/main" id="{00000000-0008-0000-1300-000003000000}"/>
            </a:ext>
          </a:extLst>
        </xdr:cNvPr>
        <xdr:cNvPicPr>
          <a:picLocks noChangeAspect="1"/>
        </xdr:cNvPicPr>
      </xdr:nvPicPr>
      <xdr:blipFill>
        <a:blip xmlns:r="http://schemas.openxmlformats.org/officeDocument/2006/relationships" r:embed="rId2" cstate="print"/>
        <a:stretch>
          <a:fillRect/>
        </a:stretch>
      </xdr:blipFill>
      <xdr:spPr>
        <a:xfrm>
          <a:off x="111125" y="28575"/>
          <a:ext cx="1600203" cy="533401"/>
        </a:xfrm>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twoCellAnchor editAs="oneCell">
    <xdr:from>
      <xdr:col>11</xdr:col>
      <xdr:colOff>352425</xdr:colOff>
      <xdr:row>0</xdr:row>
      <xdr:rowOff>0</xdr:rowOff>
    </xdr:from>
    <xdr:to>
      <xdr:col>16384</xdr:col>
      <xdr:colOff>528638</xdr:colOff>
      <xdr:row>0</xdr:row>
      <xdr:rowOff>476250</xdr:rowOff>
    </xdr:to>
    <xdr:sp macro="" textlink="">
      <xdr:nvSpPr>
        <xdr:cNvPr id="4" name="HEADER_BANNER_TITLE">
          <a:extLst>
            <a:ext uri="{FF2B5EF4-FFF2-40B4-BE49-F238E27FC236}">
              <a16:creationId xmlns:a16="http://schemas.microsoft.com/office/drawing/2014/main" id="{00000000-0008-0000-1400-000004000000}"/>
            </a:ext>
          </a:extLst>
        </xdr:cNvPr>
        <xdr:cNvSpPr txBox="1"/>
      </xdr:nvSpPr>
      <xdr:spPr>
        <a:xfrm>
          <a:off x="4991100" y="0"/>
          <a:ext cx="2481263"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ctr">
          <a:noAutofit/>
        </a:bodyPr>
        <a:lstStyle/>
        <a:p>
          <a:pPr algn="ctr"/>
          <a:r>
            <a:rPr lang="en-US" sz="1100" b="0" i="0" u="none" strike="noStrike">
              <a:solidFill>
                <a:schemeClr val="tx1"/>
              </a:solidFill>
              <a:latin typeface="Verdana" pitchFamily="34" charset="0"/>
            </a:rPr>
            <a:t> </a:t>
          </a:r>
        </a:p>
      </xdr:txBody>
    </xdr:sp>
    <xdr:clientData/>
  </xdr:twoCellAnchor>
  <xdr:twoCellAnchor editAs="oneCell">
    <xdr:from>
      <xdr:col>2</xdr:col>
      <xdr:colOff>28574</xdr:colOff>
      <xdr:row>0</xdr:row>
      <xdr:rowOff>37735</xdr:rowOff>
    </xdr:from>
    <xdr:to>
      <xdr:col>4</xdr:col>
      <xdr:colOff>445390</xdr:colOff>
      <xdr:row>0</xdr:row>
      <xdr:rowOff>475124</xdr:rowOff>
    </xdr:to>
    <xdr:pic>
      <xdr:nvPicPr>
        <xdr:cNvPr id="3" name="FHLBNY_LOGO" descr="Medium.gif">
          <a:extLst>
            <a:ext uri="{FF2B5EF4-FFF2-40B4-BE49-F238E27FC236}">
              <a16:creationId xmlns:a16="http://schemas.microsoft.com/office/drawing/2014/main" id="{00000000-0008-0000-1400-000003000000}"/>
            </a:ext>
          </a:extLst>
        </xdr:cNvPr>
        <xdr:cNvPicPr>
          <a:picLocks noChangeAspect="1"/>
        </xdr:cNvPicPr>
      </xdr:nvPicPr>
      <xdr:blipFill>
        <a:blip xmlns:r="http://schemas.openxmlformats.org/officeDocument/2006/relationships" r:embed="rId1" cstate="print"/>
        <a:stretch>
          <a:fillRect/>
        </a:stretch>
      </xdr:blipFill>
      <xdr:spPr>
        <a:xfrm>
          <a:off x="28574" y="37735"/>
          <a:ext cx="1312166" cy="437389"/>
        </a:xfrm>
        <a:prstGeom prst="rect">
          <a:avLst/>
        </a:prstGeom>
      </xdr:spPr>
    </xdr:pic>
    <xdr:clientData/>
  </xdr:twoCellAnchor>
  <xdr:twoCellAnchor editAs="oneCell">
    <xdr:from>
      <xdr:col>6</xdr:col>
      <xdr:colOff>481012</xdr:colOff>
      <xdr:row>0</xdr:row>
      <xdr:rowOff>19050</xdr:rowOff>
    </xdr:from>
    <xdr:to>
      <xdr:col>14</xdr:col>
      <xdr:colOff>142875</xdr:colOff>
      <xdr:row>0</xdr:row>
      <xdr:rowOff>495300</xdr:rowOff>
    </xdr:to>
    <xdr:sp macro="" textlink="CONFIG_EFORM_DOC_ID_NAME">
      <xdr:nvSpPr>
        <xdr:cNvPr id="5" name="HEADER_BANNER_TITLE">
          <a:extLst>
            <a:ext uri="{FF2B5EF4-FFF2-40B4-BE49-F238E27FC236}">
              <a16:creationId xmlns:a16="http://schemas.microsoft.com/office/drawing/2014/main" id="{00000000-0008-0000-1400-000005000000}"/>
            </a:ext>
          </a:extLst>
        </xdr:cNvPr>
        <xdr:cNvSpPr txBox="1"/>
      </xdr:nvSpPr>
      <xdr:spPr>
        <a:xfrm>
          <a:off x="4576762" y="19050"/>
          <a:ext cx="5376863"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ctr">
          <a:noAutofit/>
        </a:bodyPr>
        <a:lstStyle/>
        <a:p>
          <a:pPr algn="r"/>
          <a:fld id="{0939344C-BEBE-4136-87AE-DAB3E098B6BB}" type="TxLink">
            <a:rPr lang="en-US" sz="1400" b="0" i="0" u="none" strike="noStrike">
              <a:solidFill>
                <a:srgbClr val="000000"/>
              </a:solidFill>
              <a:latin typeface="Calibri"/>
              <a:cs typeface="Calibri"/>
            </a:rPr>
            <a:pPr algn="r"/>
            <a:t>HDP-005: Homebuyer Dream Program® Request Form</a:t>
          </a:fld>
          <a:endParaRPr lang="en-US" sz="2400" b="0" i="0" u="none" strike="noStrike">
            <a:solidFill>
              <a:schemeClr val="tx1"/>
            </a:solidFill>
            <a:latin typeface="+mn-lt"/>
          </a:endParaRPr>
        </a:p>
      </xdr:txBody>
    </xdr:sp>
    <xdr:clientData/>
  </xdr:twoCellAnchor>
  <xdr:twoCellAnchor editAs="oneCell">
    <xdr:from>
      <xdr:col>11</xdr:col>
      <xdr:colOff>438150</xdr:colOff>
      <xdr:row>1</xdr:row>
      <xdr:rowOff>47625</xdr:rowOff>
    </xdr:from>
    <xdr:to>
      <xdr:col>14</xdr:col>
      <xdr:colOff>128588</xdr:colOff>
      <xdr:row>1</xdr:row>
      <xdr:rowOff>230505</xdr:rowOff>
    </xdr:to>
    <xdr:sp macro="" textlink="$B$3">
      <xdr:nvSpPr>
        <xdr:cNvPr id="6" name="HEADER_BANNER_SUBTITLE">
          <a:extLst>
            <a:ext uri="{FF2B5EF4-FFF2-40B4-BE49-F238E27FC236}">
              <a16:creationId xmlns:a16="http://schemas.microsoft.com/office/drawing/2014/main" id="{00000000-0008-0000-1400-000006000000}"/>
            </a:ext>
          </a:extLst>
        </xdr:cNvPr>
        <xdr:cNvSpPr txBox="1"/>
      </xdr:nvSpPr>
      <xdr:spPr>
        <a:xfrm>
          <a:off x="7896225" y="561975"/>
          <a:ext cx="1833563" cy="182880"/>
        </a:xfrm>
        <a:prstGeom prst="rect">
          <a:avLst/>
        </a:prstGeom>
        <a:solidFill>
          <a:srgbClr val="00305E"/>
        </a:solidFill>
      </xdr:spPr>
      <xdr:style>
        <a:lnRef idx="0">
          <a:scrgbClr r="0" g="0" b="0"/>
        </a:lnRef>
        <a:fillRef idx="0">
          <a:scrgbClr r="0" g="0" b="0"/>
        </a:fillRef>
        <a:effectRef idx="0">
          <a:scrgbClr r="0" g="0" b="0"/>
        </a:effectRef>
        <a:fontRef idx="minor">
          <a:schemeClr val="tx1"/>
        </a:fontRef>
      </xdr:style>
      <xdr:txBody>
        <a:bodyPr vertOverflow="clip" wrap="square" rtlCol="0" anchor="ctr">
          <a:noAutofit/>
        </a:bodyPr>
        <a:lstStyle/>
        <a:p>
          <a:pPr algn="ctr"/>
          <a:fld id="{840D96E5-ABC2-48B3-A0CB-E605811ED4E5}" type="TxLink">
            <a:rPr lang="en-US" sz="800" b="1" i="0" u="none" strike="noStrike">
              <a:solidFill>
                <a:schemeClr val="bg1"/>
              </a:solidFill>
              <a:latin typeface="Calibri"/>
            </a:rPr>
            <a:pPr algn="ctr"/>
            <a:t>eForm Version 2.2.0</a:t>
          </a:fld>
          <a:endParaRPr lang="en-US" sz="1000" b="1" i="0" u="none" strike="noStrike">
            <a:solidFill>
              <a:schemeClr val="bg1"/>
            </a:solidFill>
            <a:latin typeface="Calibri"/>
          </a:endParaRPr>
        </a:p>
      </xdr:txBody>
    </xdr:sp>
    <xdr:clientData/>
  </xdr:twoCellAnchor>
  <xdr:twoCellAnchor editAs="oneCell">
    <xdr:from>
      <xdr:col>2</xdr:col>
      <xdr:colOff>9525</xdr:colOff>
      <xdr:row>0</xdr:row>
      <xdr:rowOff>0</xdr:rowOff>
    </xdr:from>
    <xdr:to>
      <xdr:col>8</xdr:col>
      <xdr:colOff>47625</xdr:colOff>
      <xdr:row>2</xdr:row>
      <xdr:rowOff>9524</xdr:rowOff>
    </xdr:to>
    <xdr:sp macro="" textlink="">
      <xdr:nvSpPr>
        <xdr:cNvPr id="43" name="HEADER_SHORTCUT_TOP">
          <a:hlinkClick xmlns:r="http://schemas.openxmlformats.org/officeDocument/2006/relationships" r:id="rId2" tooltip="Jump to Top"/>
          <a:extLst>
            <a:ext uri="{FF2B5EF4-FFF2-40B4-BE49-F238E27FC236}">
              <a16:creationId xmlns:a16="http://schemas.microsoft.com/office/drawing/2014/main" id="{00000000-0008-0000-1400-00002B000000}"/>
            </a:ext>
          </a:extLst>
        </xdr:cNvPr>
        <xdr:cNvSpPr/>
      </xdr:nvSpPr>
      <xdr:spPr>
        <a:xfrm>
          <a:off x="2143125" y="0"/>
          <a:ext cx="7477125" cy="790574"/>
        </a:xfrm>
        <a:prstGeom prst="rect">
          <a:avLst/>
        </a:prstGeom>
        <a:solidFill>
          <a:schemeClr val="bg1">
            <a:alpha val="0"/>
          </a:schemeClr>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800"/>
        </a:p>
      </xdr:txBody>
    </xdr:sp>
    <xdr:clientData fPrintsWithSheet="0"/>
  </xdr:twoCellAnchor>
  <xdr:twoCellAnchor>
    <xdr:from>
      <xdr:col>4</xdr:col>
      <xdr:colOff>504825</xdr:colOff>
      <xdr:row>52</xdr:row>
      <xdr:rowOff>142875</xdr:rowOff>
    </xdr:from>
    <xdr:to>
      <xdr:col>11</xdr:col>
      <xdr:colOff>525780</xdr:colOff>
      <xdr:row>52</xdr:row>
      <xdr:rowOff>142875</xdr:rowOff>
    </xdr:to>
    <xdr:cxnSp macro="">
      <xdr:nvCxnSpPr>
        <xdr:cNvPr id="28" name="DOTTED_LINE">
          <a:extLst>
            <a:ext uri="{FF2B5EF4-FFF2-40B4-BE49-F238E27FC236}">
              <a16:creationId xmlns:a16="http://schemas.microsoft.com/office/drawing/2014/main" id="{00000000-0008-0000-1400-00001C000000}"/>
            </a:ext>
          </a:extLst>
        </xdr:cNvPr>
        <xdr:cNvCxnSpPr/>
      </xdr:nvCxnSpPr>
      <xdr:spPr>
        <a:xfrm>
          <a:off x="1400175" y="12525375"/>
          <a:ext cx="6793230"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304800</xdr:colOff>
      <xdr:row>53</xdr:row>
      <xdr:rowOff>142875</xdr:rowOff>
    </xdr:from>
    <xdr:to>
      <xdr:col>11</xdr:col>
      <xdr:colOff>525780</xdr:colOff>
      <xdr:row>53</xdr:row>
      <xdr:rowOff>142875</xdr:rowOff>
    </xdr:to>
    <xdr:cxnSp macro="">
      <xdr:nvCxnSpPr>
        <xdr:cNvPr id="30" name="DOTTED_LINE">
          <a:extLst>
            <a:ext uri="{FF2B5EF4-FFF2-40B4-BE49-F238E27FC236}">
              <a16:creationId xmlns:a16="http://schemas.microsoft.com/office/drawing/2014/main" id="{00000000-0008-0000-1400-00001E000000}"/>
            </a:ext>
          </a:extLst>
        </xdr:cNvPr>
        <xdr:cNvCxnSpPr/>
      </xdr:nvCxnSpPr>
      <xdr:spPr>
        <a:xfrm>
          <a:off x="1200150" y="12801600"/>
          <a:ext cx="6993255"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428625</xdr:colOff>
      <xdr:row>54</xdr:row>
      <xdr:rowOff>142875</xdr:rowOff>
    </xdr:from>
    <xdr:to>
      <xdr:col>11</xdr:col>
      <xdr:colOff>525780</xdr:colOff>
      <xdr:row>54</xdr:row>
      <xdr:rowOff>142875</xdr:rowOff>
    </xdr:to>
    <xdr:cxnSp macro="">
      <xdr:nvCxnSpPr>
        <xdr:cNvPr id="32" name="DOTTED_LINE">
          <a:extLst>
            <a:ext uri="{FF2B5EF4-FFF2-40B4-BE49-F238E27FC236}">
              <a16:creationId xmlns:a16="http://schemas.microsoft.com/office/drawing/2014/main" id="{00000000-0008-0000-1400-000020000000}"/>
            </a:ext>
          </a:extLst>
        </xdr:cNvPr>
        <xdr:cNvCxnSpPr/>
      </xdr:nvCxnSpPr>
      <xdr:spPr>
        <a:xfrm>
          <a:off x="1323975" y="13077825"/>
          <a:ext cx="6869430"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581025</xdr:colOff>
      <xdr:row>55</xdr:row>
      <xdr:rowOff>142875</xdr:rowOff>
    </xdr:from>
    <xdr:to>
      <xdr:col>11</xdr:col>
      <xdr:colOff>525780</xdr:colOff>
      <xdr:row>55</xdr:row>
      <xdr:rowOff>142875</xdr:rowOff>
    </xdr:to>
    <xdr:cxnSp macro="">
      <xdr:nvCxnSpPr>
        <xdr:cNvPr id="34" name="DOTTED_LINE">
          <a:extLst>
            <a:ext uri="{FF2B5EF4-FFF2-40B4-BE49-F238E27FC236}">
              <a16:creationId xmlns:a16="http://schemas.microsoft.com/office/drawing/2014/main" id="{00000000-0008-0000-1400-000022000000}"/>
            </a:ext>
          </a:extLst>
        </xdr:cNvPr>
        <xdr:cNvCxnSpPr/>
      </xdr:nvCxnSpPr>
      <xdr:spPr>
        <a:xfrm>
          <a:off x="1476375" y="13354050"/>
          <a:ext cx="6717030"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790575</xdr:colOff>
      <xdr:row>10</xdr:row>
      <xdr:rowOff>142875</xdr:rowOff>
    </xdr:from>
    <xdr:to>
      <xdr:col>9</xdr:col>
      <xdr:colOff>679450</xdr:colOff>
      <xdr:row>10</xdr:row>
      <xdr:rowOff>142875</xdr:rowOff>
    </xdr:to>
    <xdr:cxnSp macro="">
      <xdr:nvCxnSpPr>
        <xdr:cNvPr id="52" name="DOTTED_LINE">
          <a:extLst>
            <a:ext uri="{FF2B5EF4-FFF2-40B4-BE49-F238E27FC236}">
              <a16:creationId xmlns:a16="http://schemas.microsoft.com/office/drawing/2014/main" id="{00000000-0008-0000-1400-000034000000}"/>
            </a:ext>
          </a:extLst>
        </xdr:cNvPr>
        <xdr:cNvCxnSpPr/>
      </xdr:nvCxnSpPr>
      <xdr:spPr>
        <a:xfrm>
          <a:off x="1730375" y="2600325"/>
          <a:ext cx="7496175"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895350</xdr:colOff>
      <xdr:row>11</xdr:row>
      <xdr:rowOff>152400</xdr:rowOff>
    </xdr:from>
    <xdr:to>
      <xdr:col>9</xdr:col>
      <xdr:colOff>692150</xdr:colOff>
      <xdr:row>11</xdr:row>
      <xdr:rowOff>152400</xdr:rowOff>
    </xdr:to>
    <xdr:cxnSp macro="">
      <xdr:nvCxnSpPr>
        <xdr:cNvPr id="53" name="DOTTED_LINE">
          <a:extLst>
            <a:ext uri="{FF2B5EF4-FFF2-40B4-BE49-F238E27FC236}">
              <a16:creationId xmlns:a16="http://schemas.microsoft.com/office/drawing/2014/main" id="{00000000-0008-0000-1400-000035000000}"/>
            </a:ext>
          </a:extLst>
        </xdr:cNvPr>
        <xdr:cNvCxnSpPr/>
      </xdr:nvCxnSpPr>
      <xdr:spPr>
        <a:xfrm>
          <a:off x="1835150" y="2889250"/>
          <a:ext cx="7404100"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219075</xdr:colOff>
      <xdr:row>6</xdr:row>
      <xdr:rowOff>142875</xdr:rowOff>
    </xdr:from>
    <xdr:to>
      <xdr:col>9</xdr:col>
      <xdr:colOff>685800</xdr:colOff>
      <xdr:row>6</xdr:row>
      <xdr:rowOff>142875</xdr:rowOff>
    </xdr:to>
    <xdr:cxnSp macro="">
      <xdr:nvCxnSpPr>
        <xdr:cNvPr id="54" name="DOTTED_LINE">
          <a:extLst>
            <a:ext uri="{FF2B5EF4-FFF2-40B4-BE49-F238E27FC236}">
              <a16:creationId xmlns:a16="http://schemas.microsoft.com/office/drawing/2014/main" id="{00000000-0008-0000-1400-000036000000}"/>
            </a:ext>
          </a:extLst>
        </xdr:cNvPr>
        <xdr:cNvCxnSpPr/>
      </xdr:nvCxnSpPr>
      <xdr:spPr>
        <a:xfrm>
          <a:off x="1158875" y="2041525"/>
          <a:ext cx="8074025"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381000</xdr:colOff>
      <xdr:row>7</xdr:row>
      <xdr:rowOff>142875</xdr:rowOff>
    </xdr:from>
    <xdr:to>
      <xdr:col>9</xdr:col>
      <xdr:colOff>698500</xdr:colOff>
      <xdr:row>7</xdr:row>
      <xdr:rowOff>142875</xdr:rowOff>
    </xdr:to>
    <xdr:cxnSp macro="">
      <xdr:nvCxnSpPr>
        <xdr:cNvPr id="55" name="DOTTED_LINE">
          <a:extLst>
            <a:ext uri="{FF2B5EF4-FFF2-40B4-BE49-F238E27FC236}">
              <a16:creationId xmlns:a16="http://schemas.microsoft.com/office/drawing/2014/main" id="{00000000-0008-0000-1400-000037000000}"/>
            </a:ext>
          </a:extLst>
        </xdr:cNvPr>
        <xdr:cNvCxnSpPr/>
      </xdr:nvCxnSpPr>
      <xdr:spPr>
        <a:xfrm>
          <a:off x="1320800" y="2320925"/>
          <a:ext cx="7924800"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2457450</xdr:colOff>
      <xdr:row>12</xdr:row>
      <xdr:rowOff>142875</xdr:rowOff>
    </xdr:from>
    <xdr:to>
      <xdr:col>9</xdr:col>
      <xdr:colOff>685800</xdr:colOff>
      <xdr:row>12</xdr:row>
      <xdr:rowOff>142875</xdr:rowOff>
    </xdr:to>
    <xdr:cxnSp macro="">
      <xdr:nvCxnSpPr>
        <xdr:cNvPr id="63" name="DOTTED_LINE">
          <a:extLst>
            <a:ext uri="{FF2B5EF4-FFF2-40B4-BE49-F238E27FC236}">
              <a16:creationId xmlns:a16="http://schemas.microsoft.com/office/drawing/2014/main" id="{00000000-0008-0000-1400-00003F000000}"/>
            </a:ext>
          </a:extLst>
        </xdr:cNvPr>
        <xdr:cNvCxnSpPr/>
      </xdr:nvCxnSpPr>
      <xdr:spPr>
        <a:xfrm>
          <a:off x="3397250" y="3159125"/>
          <a:ext cx="5835650"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1152525</xdr:colOff>
      <xdr:row>56</xdr:row>
      <xdr:rowOff>142875</xdr:rowOff>
    </xdr:from>
    <xdr:to>
      <xdr:col>11</xdr:col>
      <xdr:colOff>525780</xdr:colOff>
      <xdr:row>56</xdr:row>
      <xdr:rowOff>142875</xdr:rowOff>
    </xdr:to>
    <xdr:cxnSp macro="">
      <xdr:nvCxnSpPr>
        <xdr:cNvPr id="2" name="DOTTED_LINE">
          <a:extLst>
            <a:ext uri="{FF2B5EF4-FFF2-40B4-BE49-F238E27FC236}">
              <a16:creationId xmlns:a16="http://schemas.microsoft.com/office/drawing/2014/main" id="{00000000-0008-0000-1400-000002000000}"/>
            </a:ext>
          </a:extLst>
        </xdr:cNvPr>
        <xdr:cNvCxnSpPr/>
      </xdr:nvCxnSpPr>
      <xdr:spPr>
        <a:xfrm>
          <a:off x="2047875" y="13630275"/>
          <a:ext cx="6145530"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412750</xdr:colOff>
      <xdr:row>8</xdr:row>
      <xdr:rowOff>142875</xdr:rowOff>
    </xdr:from>
    <xdr:to>
      <xdr:col>9</xdr:col>
      <xdr:colOff>698500</xdr:colOff>
      <xdr:row>8</xdr:row>
      <xdr:rowOff>142875</xdr:rowOff>
    </xdr:to>
    <xdr:cxnSp macro="">
      <xdr:nvCxnSpPr>
        <xdr:cNvPr id="14" name="DOTTED_LINE">
          <a:extLst>
            <a:ext uri="{FF2B5EF4-FFF2-40B4-BE49-F238E27FC236}">
              <a16:creationId xmlns:a16="http://schemas.microsoft.com/office/drawing/2014/main" id="{00000000-0008-0000-1400-00000E000000}"/>
            </a:ext>
          </a:extLst>
        </xdr:cNvPr>
        <xdr:cNvCxnSpPr/>
      </xdr:nvCxnSpPr>
      <xdr:spPr>
        <a:xfrm>
          <a:off x="1352550" y="3438525"/>
          <a:ext cx="7893050"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1631950</xdr:colOff>
      <xdr:row>9</xdr:row>
      <xdr:rowOff>155575</xdr:rowOff>
    </xdr:from>
    <xdr:to>
      <xdr:col>9</xdr:col>
      <xdr:colOff>685800</xdr:colOff>
      <xdr:row>9</xdr:row>
      <xdr:rowOff>155575</xdr:rowOff>
    </xdr:to>
    <xdr:cxnSp macro="">
      <xdr:nvCxnSpPr>
        <xdr:cNvPr id="7" name="DOTTED_LINE">
          <a:extLst>
            <a:ext uri="{FF2B5EF4-FFF2-40B4-BE49-F238E27FC236}">
              <a16:creationId xmlns:a16="http://schemas.microsoft.com/office/drawing/2014/main" id="{00000000-0008-0000-1400-000007000000}"/>
            </a:ext>
          </a:extLst>
        </xdr:cNvPr>
        <xdr:cNvCxnSpPr/>
      </xdr:nvCxnSpPr>
      <xdr:spPr>
        <a:xfrm>
          <a:off x="2571750" y="2892425"/>
          <a:ext cx="6661150"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oneCellAnchor>
    <xdr:from>
      <xdr:col>16</xdr:col>
      <xdr:colOff>295275</xdr:colOff>
      <xdr:row>17</xdr:row>
      <xdr:rowOff>9525</xdr:rowOff>
    </xdr:from>
    <xdr:ext cx="2200275" cy="264560"/>
    <xdr:sp macro="" textlink="$B$112">
      <xdr:nvSpPr>
        <xdr:cNvPr id="2" name="TOC_SECTION_10">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4038600" y="4524375"/>
          <a:ext cx="2200275" cy="2645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lIns="0" rtlCol="0" anchor="t">
          <a:noAutofit/>
        </a:bodyPr>
        <a:lstStyle/>
        <a:p>
          <a:pPr algn="l"/>
          <a:fld id="{BFAA168D-172E-4430-9045-F99273F30A4A}" type="TxLink">
            <a:rPr lang="en-US" sz="1000" b="1" i="0" u="sng" strike="noStrike">
              <a:solidFill>
                <a:schemeClr val="accent1">
                  <a:lumMod val="75000"/>
                </a:schemeClr>
              </a:solidFill>
              <a:latin typeface="Calibri"/>
              <a:cs typeface="Calibri"/>
            </a:rPr>
            <a:pPr algn="l"/>
            <a:t>Other Grants</a:t>
          </a:fld>
          <a:endParaRPr lang="en-US" sz="1000" b="1" i="0" u="sng">
            <a:solidFill>
              <a:schemeClr val="accent1">
                <a:lumMod val="75000"/>
              </a:schemeClr>
            </a:solidFill>
          </a:endParaRPr>
        </a:p>
      </xdr:txBody>
    </xdr:sp>
    <xdr:clientData fPrintsWithSheet="0"/>
  </xdr:oneCellAnchor>
  <xdr:oneCellAnchor>
    <xdr:from>
      <xdr:col>8</xdr:col>
      <xdr:colOff>200024</xdr:colOff>
      <xdr:row>16</xdr:row>
      <xdr:rowOff>9525</xdr:rowOff>
    </xdr:from>
    <xdr:ext cx="2295525" cy="264560"/>
    <xdr:sp macro="" textlink="$B$28">
      <xdr:nvSpPr>
        <xdr:cNvPr id="3" name="TOC_SECTION_1">
          <a:hlinkClick xmlns:r="http://schemas.openxmlformats.org/officeDocument/2006/relationships" r:id="rId2"/>
          <a:extLst>
            <a:ext uri="{FF2B5EF4-FFF2-40B4-BE49-F238E27FC236}">
              <a16:creationId xmlns:a16="http://schemas.microsoft.com/office/drawing/2014/main" id="{00000000-0008-0000-0200-000003000000}"/>
            </a:ext>
          </a:extLst>
        </xdr:cNvPr>
        <xdr:cNvSpPr txBox="1"/>
      </xdr:nvSpPr>
      <xdr:spPr>
        <a:xfrm>
          <a:off x="361949" y="4248150"/>
          <a:ext cx="2295525" cy="2645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lIns="0" rtlCol="0" anchor="t">
          <a:noAutofit/>
        </a:bodyPr>
        <a:lstStyle/>
        <a:p>
          <a:pPr marL="0" indent="0" algn="l"/>
          <a:fld id="{B912DCB3-33D0-4DE5-9CF9-E2B978CDACDE}" type="TxLink">
            <a:rPr lang="en-US" sz="1000" b="1" i="0" u="sng" strike="noStrike">
              <a:solidFill>
                <a:schemeClr val="accent1">
                  <a:lumMod val="75000"/>
                </a:schemeClr>
              </a:solidFill>
              <a:latin typeface="Calibri"/>
              <a:ea typeface="+mn-ea"/>
              <a:cs typeface="Calibri"/>
            </a:rPr>
            <a:pPr marL="0" indent="0" algn="l"/>
            <a:t>FHLBNY Member</a:t>
          </a:fld>
          <a:endParaRPr lang="en-US" sz="1000" b="1" i="0" u="sng" strike="noStrike">
            <a:solidFill>
              <a:schemeClr val="accent1">
                <a:lumMod val="75000"/>
              </a:schemeClr>
            </a:solidFill>
            <a:latin typeface="Calibri"/>
            <a:ea typeface="+mn-ea"/>
            <a:cs typeface="Calibri"/>
          </a:endParaRPr>
        </a:p>
      </xdr:txBody>
    </xdr:sp>
    <xdr:clientData fPrintsWithSheet="0"/>
  </xdr:oneCellAnchor>
  <xdr:oneCellAnchor>
    <xdr:from>
      <xdr:col>8</xdr:col>
      <xdr:colOff>200024</xdr:colOff>
      <xdr:row>17</xdr:row>
      <xdr:rowOff>9525</xdr:rowOff>
    </xdr:from>
    <xdr:ext cx="2295525" cy="264560"/>
    <xdr:sp macro="" textlink="$B$42">
      <xdr:nvSpPr>
        <xdr:cNvPr id="4" name="TOC_SECTION_2">
          <a:hlinkClick xmlns:r="http://schemas.openxmlformats.org/officeDocument/2006/relationships" r:id="rId3"/>
          <a:extLst>
            <a:ext uri="{FF2B5EF4-FFF2-40B4-BE49-F238E27FC236}">
              <a16:creationId xmlns:a16="http://schemas.microsoft.com/office/drawing/2014/main" id="{00000000-0008-0000-0200-000004000000}"/>
            </a:ext>
          </a:extLst>
        </xdr:cNvPr>
        <xdr:cNvSpPr txBox="1"/>
      </xdr:nvSpPr>
      <xdr:spPr>
        <a:xfrm>
          <a:off x="361949" y="4524375"/>
          <a:ext cx="2295525" cy="2645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lIns="0" rtlCol="0" anchor="t">
          <a:noAutofit/>
        </a:bodyPr>
        <a:lstStyle/>
        <a:p>
          <a:pPr marL="0" indent="0" algn="l"/>
          <a:fld id="{60896E56-02AF-450F-83A0-DE79B7AE6E83}" type="TxLink">
            <a:rPr lang="en-US" sz="1000" b="1" i="0" u="sng" strike="noStrike">
              <a:solidFill>
                <a:schemeClr val="accent1">
                  <a:lumMod val="75000"/>
                </a:schemeClr>
              </a:solidFill>
              <a:latin typeface="Calibri"/>
              <a:ea typeface="+mn-ea"/>
              <a:cs typeface="Calibri"/>
            </a:rPr>
            <a:pPr marL="0" indent="0" algn="l"/>
            <a:t>Household Information</a:t>
          </a:fld>
          <a:endParaRPr lang="en-US" sz="1000" b="1" i="0" u="sng" strike="noStrike">
            <a:solidFill>
              <a:schemeClr val="accent1">
                <a:lumMod val="75000"/>
              </a:schemeClr>
            </a:solidFill>
            <a:latin typeface="Calibri"/>
            <a:ea typeface="+mn-ea"/>
            <a:cs typeface="Calibri"/>
          </a:endParaRPr>
        </a:p>
      </xdr:txBody>
    </xdr:sp>
    <xdr:clientData fPrintsWithSheet="0"/>
  </xdr:oneCellAnchor>
  <xdr:oneCellAnchor>
    <xdr:from>
      <xdr:col>8</xdr:col>
      <xdr:colOff>200024</xdr:colOff>
      <xdr:row>18</xdr:row>
      <xdr:rowOff>9525</xdr:rowOff>
    </xdr:from>
    <xdr:ext cx="2295525" cy="264560"/>
    <xdr:sp macro="" textlink="$B$57">
      <xdr:nvSpPr>
        <xdr:cNvPr id="5" name="TOC_SECTION_3">
          <a:hlinkClick xmlns:r="http://schemas.openxmlformats.org/officeDocument/2006/relationships" r:id="rId4"/>
          <a:extLst>
            <a:ext uri="{FF2B5EF4-FFF2-40B4-BE49-F238E27FC236}">
              <a16:creationId xmlns:a16="http://schemas.microsoft.com/office/drawing/2014/main" id="{00000000-0008-0000-0200-000005000000}"/>
            </a:ext>
          </a:extLst>
        </xdr:cNvPr>
        <xdr:cNvSpPr txBox="1"/>
      </xdr:nvSpPr>
      <xdr:spPr>
        <a:xfrm>
          <a:off x="361949" y="4800600"/>
          <a:ext cx="2295525" cy="2645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lIns="0" rtlCol="0" anchor="t">
          <a:noAutofit/>
        </a:bodyPr>
        <a:lstStyle/>
        <a:p>
          <a:pPr algn="l"/>
          <a:fld id="{F3897FBB-DF3B-4B73-902D-D31EFF95B025}" type="TxLink">
            <a:rPr lang="en-US" sz="1000" b="1" i="0" u="sng" strike="noStrike">
              <a:solidFill>
                <a:schemeClr val="accent1">
                  <a:lumMod val="75000"/>
                </a:schemeClr>
              </a:solidFill>
              <a:latin typeface="Calibri"/>
              <a:cs typeface="Calibri"/>
            </a:rPr>
            <a:pPr algn="l"/>
            <a:t>Grant Summary</a:t>
          </a:fld>
          <a:endParaRPr lang="en-US" sz="1000" b="1" i="0" u="sng">
            <a:solidFill>
              <a:schemeClr val="accent1">
                <a:lumMod val="75000"/>
              </a:schemeClr>
            </a:solidFill>
          </a:endParaRPr>
        </a:p>
      </xdr:txBody>
    </xdr:sp>
    <xdr:clientData fPrintsWithSheet="0"/>
  </xdr:oneCellAnchor>
  <xdr:oneCellAnchor>
    <xdr:from>
      <xdr:col>16</xdr:col>
      <xdr:colOff>295275</xdr:colOff>
      <xdr:row>16</xdr:row>
      <xdr:rowOff>9525</xdr:rowOff>
    </xdr:from>
    <xdr:ext cx="2200275" cy="264560"/>
    <xdr:sp macro="" textlink="$B$85">
      <xdr:nvSpPr>
        <xdr:cNvPr id="6" name="TOC_SECTION_9">
          <a:hlinkClick xmlns:r="http://schemas.openxmlformats.org/officeDocument/2006/relationships" r:id="rId5"/>
          <a:extLst>
            <a:ext uri="{FF2B5EF4-FFF2-40B4-BE49-F238E27FC236}">
              <a16:creationId xmlns:a16="http://schemas.microsoft.com/office/drawing/2014/main" id="{00000000-0008-0000-0200-000006000000}"/>
            </a:ext>
          </a:extLst>
        </xdr:cNvPr>
        <xdr:cNvSpPr txBox="1"/>
      </xdr:nvSpPr>
      <xdr:spPr>
        <a:xfrm>
          <a:off x="4038600" y="4248150"/>
          <a:ext cx="2200275" cy="2645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lIns="0" rtlCol="0" anchor="t">
          <a:noAutofit/>
        </a:bodyPr>
        <a:lstStyle/>
        <a:p>
          <a:pPr algn="l"/>
          <a:fld id="{177A4A5A-073A-414A-AACE-C550FFAA6913}" type="TxLink">
            <a:rPr lang="en-US" sz="1000" b="1" i="0" u="sng" strike="noStrike">
              <a:solidFill>
                <a:schemeClr val="accent1">
                  <a:lumMod val="75000"/>
                </a:schemeClr>
              </a:solidFill>
              <a:latin typeface="Calibri"/>
              <a:cs typeface="Calibri"/>
            </a:rPr>
            <a:pPr algn="l"/>
            <a:t>Mortgage Information</a:t>
          </a:fld>
          <a:endParaRPr lang="en-US" sz="1000" b="1" i="0" u="sng">
            <a:solidFill>
              <a:schemeClr val="accent1">
                <a:lumMod val="75000"/>
              </a:schemeClr>
            </a:solidFill>
          </a:endParaRPr>
        </a:p>
      </xdr:txBody>
    </xdr:sp>
    <xdr:clientData fPrintsWithSheet="0"/>
  </xdr:oneCellAnchor>
  <xdr:twoCellAnchor editAs="absolute">
    <xdr:from>
      <xdr:col>16384</xdr:col>
      <xdr:colOff>607578</xdr:colOff>
      <xdr:row>13</xdr:row>
      <xdr:rowOff>180975</xdr:rowOff>
    </xdr:from>
    <xdr:to>
      <xdr:col>16384</xdr:col>
      <xdr:colOff>607578</xdr:colOff>
      <xdr:row>15</xdr:row>
      <xdr:rowOff>228600</xdr:rowOff>
    </xdr:to>
    <xdr:sp macro="" textlink="">
      <xdr:nvSpPr>
        <xdr:cNvPr id="7" name="COVER_CELLS_01">
          <a:extLst>
            <a:ext uri="{FF2B5EF4-FFF2-40B4-BE49-F238E27FC236}">
              <a16:creationId xmlns:a16="http://schemas.microsoft.com/office/drawing/2014/main" id="{00000000-0008-0000-0200-000007000000}"/>
            </a:ext>
          </a:extLst>
        </xdr:cNvPr>
        <xdr:cNvSpPr/>
      </xdr:nvSpPr>
      <xdr:spPr>
        <a:xfrm>
          <a:off x="8100578" y="3590925"/>
          <a:ext cx="0" cy="600075"/>
        </a:xfrm>
        <a:prstGeom prst="rect">
          <a:avLst/>
        </a:prstGeom>
        <a:solidFill>
          <a:srgbClr val="FFFFFF">
            <a:alpha val="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fPrintsWithSheet="0"/>
  </xdr:twoCellAnchor>
  <xdr:twoCellAnchor>
    <xdr:from>
      <xdr:col>7</xdr:col>
      <xdr:colOff>24775</xdr:colOff>
      <xdr:row>120</xdr:row>
      <xdr:rowOff>161926</xdr:rowOff>
    </xdr:from>
    <xdr:to>
      <xdr:col>24</xdr:col>
      <xdr:colOff>152399</xdr:colOff>
      <xdr:row>121</xdr:row>
      <xdr:rowOff>247650</xdr:rowOff>
    </xdr:to>
    <xdr:grpSp>
      <xdr:nvGrpSpPr>
        <xdr:cNvPr id="8" name="Group 7">
          <a:extLst>
            <a:ext uri="{FF2B5EF4-FFF2-40B4-BE49-F238E27FC236}">
              <a16:creationId xmlns:a16="http://schemas.microsoft.com/office/drawing/2014/main" id="{00000000-0008-0000-0200-000008000000}"/>
            </a:ext>
          </a:extLst>
        </xdr:cNvPr>
        <xdr:cNvGrpSpPr/>
      </xdr:nvGrpSpPr>
      <xdr:grpSpPr>
        <a:xfrm>
          <a:off x="24775" y="33127951"/>
          <a:ext cx="7452349" cy="361949"/>
          <a:chOff x="9296399" y="16259175"/>
          <a:chExt cx="7452359" cy="371473"/>
        </a:xfrm>
      </xdr:grpSpPr>
      <xdr:sp macro="" textlink="CONFIG_EFORM_DOC_ID_NAME">
        <xdr:nvSpPr>
          <xdr:cNvPr id="9" name="FOOTER_BG">
            <a:extLst>
              <a:ext uri="{FF2B5EF4-FFF2-40B4-BE49-F238E27FC236}">
                <a16:creationId xmlns:a16="http://schemas.microsoft.com/office/drawing/2014/main" id="{00000000-0008-0000-0200-000009000000}"/>
              </a:ext>
            </a:extLst>
          </xdr:cNvPr>
          <xdr:cNvSpPr/>
        </xdr:nvSpPr>
        <xdr:spPr>
          <a:xfrm>
            <a:off x="9296399" y="16259175"/>
            <a:ext cx="7452359" cy="371473"/>
          </a:xfrm>
          <a:prstGeom prst="rect">
            <a:avLst/>
          </a:prstGeom>
          <a:solidFill>
            <a:srgbClr val="00305E"/>
          </a:solidFill>
          <a:ln>
            <a:noFill/>
          </a:ln>
          <a:effectLst/>
        </xdr:spPr>
        <xdr:style>
          <a:lnRef idx="1">
            <a:schemeClr val="accent1"/>
          </a:lnRef>
          <a:fillRef idx="3">
            <a:schemeClr val="accent1"/>
          </a:fillRef>
          <a:effectRef idx="2">
            <a:schemeClr val="accent1"/>
          </a:effectRef>
          <a:fontRef idx="minor">
            <a:schemeClr val="lt1"/>
          </a:fontRef>
        </xdr:style>
        <xdr:txBody>
          <a:bodyPr vertOverflow="clip" rtlCol="0" anchor="ctr"/>
          <a:lstStyle/>
          <a:p>
            <a:pPr marL="0" marR="0" indent="0" algn="r" defTabSz="914400" eaLnBrk="1" fontAlgn="auto" latinLnBrk="0" hangingPunct="1">
              <a:lnSpc>
                <a:spcPct val="100000"/>
              </a:lnSpc>
              <a:spcBef>
                <a:spcPts val="0"/>
              </a:spcBef>
              <a:spcAft>
                <a:spcPts val="0"/>
              </a:spcAft>
              <a:buClrTx/>
              <a:buSzTx/>
              <a:buFontTx/>
              <a:buNone/>
              <a:tabLst/>
              <a:defRPr/>
            </a:pPr>
            <a:fld id="{318D66D7-35C3-43A5-9A89-905D240885C5}" type="TxLink">
              <a:rPr lang="en-US" sz="1000" b="1" i="0" u="none" strike="noStrike">
                <a:solidFill>
                  <a:schemeClr val="bg1"/>
                </a:solidFill>
                <a:latin typeface="+mn-lt"/>
                <a:ea typeface="+mn-ea"/>
                <a:cs typeface="Calibri"/>
              </a:rPr>
              <a:pPr marL="0" marR="0" indent="0" algn="r" defTabSz="914400" eaLnBrk="1" fontAlgn="auto" latinLnBrk="0" hangingPunct="1">
                <a:lnSpc>
                  <a:spcPct val="100000"/>
                </a:lnSpc>
                <a:spcBef>
                  <a:spcPts val="0"/>
                </a:spcBef>
                <a:spcAft>
                  <a:spcPts val="0"/>
                </a:spcAft>
                <a:buClrTx/>
                <a:buSzTx/>
                <a:buFontTx/>
                <a:buNone/>
                <a:tabLst/>
                <a:defRPr/>
              </a:pPr>
              <a:t>HDP-005: Homebuyer Dream Program® Request Form</a:t>
            </a:fld>
            <a:endParaRPr lang="en-US" sz="1000" b="1">
              <a:solidFill>
                <a:schemeClr val="bg1"/>
              </a:solidFill>
              <a:latin typeface="+mn-lt"/>
            </a:endParaRPr>
          </a:p>
        </xdr:txBody>
      </xdr:sp>
      <xdr:sp macro="" textlink="">
        <xdr:nvSpPr>
          <xdr:cNvPr id="10" name="FOOTER_LINK_PAGETOP">
            <a:hlinkClick xmlns:r="http://schemas.openxmlformats.org/officeDocument/2006/relationships" r:id="rId6"/>
            <a:extLst>
              <a:ext uri="{FF2B5EF4-FFF2-40B4-BE49-F238E27FC236}">
                <a16:creationId xmlns:a16="http://schemas.microsoft.com/office/drawing/2014/main" id="{00000000-0008-0000-0200-00000A000000}"/>
              </a:ext>
            </a:extLst>
          </xdr:cNvPr>
          <xdr:cNvSpPr/>
        </xdr:nvSpPr>
        <xdr:spPr>
          <a:xfrm>
            <a:off x="9296399" y="16259175"/>
            <a:ext cx="1126715" cy="36195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u="none">
                <a:solidFill>
                  <a:schemeClr val="bg1"/>
                </a:solidFill>
                <a:latin typeface="+mn-lt"/>
              </a:rPr>
              <a:t>^ Back to Top</a:t>
            </a:r>
          </a:p>
        </xdr:txBody>
      </xdr:sp>
    </xdr:grpSp>
    <xdr:clientData fPrintsWithSheet="0"/>
  </xdr:twoCellAnchor>
  <xdr:oneCellAnchor>
    <xdr:from>
      <xdr:col>12</xdr:col>
      <xdr:colOff>1076325</xdr:colOff>
      <xdr:row>12</xdr:row>
      <xdr:rowOff>0</xdr:rowOff>
    </xdr:from>
    <xdr:ext cx="184731" cy="264560"/>
    <xdr:sp macro="" textlink="">
      <xdr:nvSpPr>
        <xdr:cNvPr id="11" name="TextBox 10">
          <a:extLst>
            <a:ext uri="{FF2B5EF4-FFF2-40B4-BE49-F238E27FC236}">
              <a16:creationId xmlns:a16="http://schemas.microsoft.com/office/drawing/2014/main" id="{00000000-0008-0000-0200-00000B000000}"/>
            </a:ext>
          </a:extLst>
        </xdr:cNvPr>
        <xdr:cNvSpPr txBox="1"/>
      </xdr:nvSpPr>
      <xdr:spPr>
        <a:xfrm>
          <a:off x="2667000" y="31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oneCellAnchor>
    <xdr:from>
      <xdr:col>16</xdr:col>
      <xdr:colOff>1076325</xdr:colOff>
      <xdr:row>12</xdr:row>
      <xdr:rowOff>0</xdr:rowOff>
    </xdr:from>
    <xdr:ext cx="184731" cy="264560"/>
    <xdr:sp macro="" textlink="">
      <xdr:nvSpPr>
        <xdr:cNvPr id="12" name="TextBox 11">
          <a:extLst>
            <a:ext uri="{FF2B5EF4-FFF2-40B4-BE49-F238E27FC236}">
              <a16:creationId xmlns:a16="http://schemas.microsoft.com/office/drawing/2014/main" id="{00000000-0008-0000-0200-00000C000000}"/>
            </a:ext>
          </a:extLst>
        </xdr:cNvPr>
        <xdr:cNvSpPr txBox="1"/>
      </xdr:nvSpPr>
      <xdr:spPr>
        <a:xfrm>
          <a:off x="4457700" y="31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oneCellAnchor>
    <xdr:from>
      <xdr:col>16</xdr:col>
      <xdr:colOff>1076325</xdr:colOff>
      <xdr:row>12</xdr:row>
      <xdr:rowOff>0</xdr:rowOff>
    </xdr:from>
    <xdr:ext cx="184731" cy="264560"/>
    <xdr:sp macro="" textlink="">
      <xdr:nvSpPr>
        <xdr:cNvPr id="13" name="TextBox 12">
          <a:extLst>
            <a:ext uri="{FF2B5EF4-FFF2-40B4-BE49-F238E27FC236}">
              <a16:creationId xmlns:a16="http://schemas.microsoft.com/office/drawing/2014/main" id="{00000000-0008-0000-0200-00000D000000}"/>
            </a:ext>
          </a:extLst>
        </xdr:cNvPr>
        <xdr:cNvSpPr txBox="1"/>
      </xdr:nvSpPr>
      <xdr:spPr>
        <a:xfrm>
          <a:off x="4457700" y="31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oneCellAnchor>
    <xdr:from>
      <xdr:col>16</xdr:col>
      <xdr:colOff>1076325</xdr:colOff>
      <xdr:row>12</xdr:row>
      <xdr:rowOff>0</xdr:rowOff>
    </xdr:from>
    <xdr:ext cx="184731" cy="264560"/>
    <xdr:sp macro="" textlink="">
      <xdr:nvSpPr>
        <xdr:cNvPr id="14" name="TextBox 13">
          <a:extLst>
            <a:ext uri="{FF2B5EF4-FFF2-40B4-BE49-F238E27FC236}">
              <a16:creationId xmlns:a16="http://schemas.microsoft.com/office/drawing/2014/main" id="{00000000-0008-0000-0200-00000E000000}"/>
            </a:ext>
          </a:extLst>
        </xdr:cNvPr>
        <xdr:cNvSpPr txBox="1"/>
      </xdr:nvSpPr>
      <xdr:spPr>
        <a:xfrm>
          <a:off x="4457700" y="31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twoCellAnchor editAs="oneCell">
    <xdr:from>
      <xdr:col>7</xdr:col>
      <xdr:colOff>66675</xdr:colOff>
      <xdr:row>19</xdr:row>
      <xdr:rowOff>180974</xdr:rowOff>
    </xdr:from>
    <xdr:to>
      <xdr:col>24</xdr:col>
      <xdr:colOff>104776</xdr:colOff>
      <xdr:row>24</xdr:row>
      <xdr:rowOff>95248</xdr:rowOff>
    </xdr:to>
    <xdr:grpSp>
      <xdr:nvGrpSpPr>
        <xdr:cNvPr id="15" name="Group 14">
          <a:extLst>
            <a:ext uri="{FF2B5EF4-FFF2-40B4-BE49-F238E27FC236}">
              <a16:creationId xmlns:a16="http://schemas.microsoft.com/office/drawing/2014/main" id="{00000000-0008-0000-0200-00000F000000}"/>
            </a:ext>
          </a:extLst>
        </xdr:cNvPr>
        <xdr:cNvGrpSpPr/>
      </xdr:nvGrpSpPr>
      <xdr:grpSpPr>
        <a:xfrm>
          <a:off x="66675" y="5248274"/>
          <a:ext cx="7362826" cy="1295399"/>
          <a:chOff x="8191500" y="5295900"/>
          <a:chExt cx="7362826" cy="1172028"/>
        </a:xfrm>
      </xdr:grpSpPr>
      <xdr:grpSp>
        <xdr:nvGrpSpPr>
          <xdr:cNvPr id="16" name="RENTAL_1">
            <a:extLst>
              <a:ext uri="{FF2B5EF4-FFF2-40B4-BE49-F238E27FC236}">
                <a16:creationId xmlns:a16="http://schemas.microsoft.com/office/drawing/2014/main" id="{00000000-0008-0000-0200-000010000000}"/>
              </a:ext>
            </a:extLst>
          </xdr:cNvPr>
          <xdr:cNvGrpSpPr/>
        </xdr:nvGrpSpPr>
        <xdr:grpSpPr>
          <a:xfrm>
            <a:off x="8191500" y="5295901"/>
            <a:ext cx="7362825" cy="1172027"/>
            <a:chOff x="8191500" y="4057651"/>
            <a:chExt cx="7362825" cy="1172027"/>
          </a:xfrm>
        </xdr:grpSpPr>
        <xdr:sp macro="" textlink="">
          <xdr:nvSpPr>
            <xdr:cNvPr id="18" name="RENTAL_1_SECTION_FRAME">
              <a:extLst>
                <a:ext uri="{FF2B5EF4-FFF2-40B4-BE49-F238E27FC236}">
                  <a16:creationId xmlns:a16="http://schemas.microsoft.com/office/drawing/2014/main" id="{00000000-0008-0000-0200-000012000000}"/>
                </a:ext>
              </a:extLst>
            </xdr:cNvPr>
            <xdr:cNvSpPr/>
          </xdr:nvSpPr>
          <xdr:spPr>
            <a:xfrm>
              <a:off x="8191500" y="4367099"/>
              <a:ext cx="7362825" cy="862579"/>
            </a:xfrm>
            <a:prstGeom prst="rect">
              <a:avLst/>
            </a:prstGeom>
            <a:no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endParaRPr lang="en-US" sz="1100"/>
            </a:p>
          </xdr:txBody>
        </xdr:sp>
        <xdr:sp macro="" textlink="B18">
          <xdr:nvSpPr>
            <xdr:cNvPr id="19" name="RENTAL_1_SECTION_TITLE">
              <a:extLst>
                <a:ext uri="{FF2B5EF4-FFF2-40B4-BE49-F238E27FC236}">
                  <a16:creationId xmlns:a16="http://schemas.microsoft.com/office/drawing/2014/main" id="{00000000-0008-0000-0200-000013000000}"/>
                </a:ext>
              </a:extLst>
            </xdr:cNvPr>
            <xdr:cNvSpPr/>
          </xdr:nvSpPr>
          <xdr:spPr>
            <a:xfrm>
              <a:off x="8191500" y="4057651"/>
              <a:ext cx="7360920" cy="311090"/>
            </a:xfrm>
            <a:prstGeom prst="rect">
              <a:avLst/>
            </a:prstGeom>
            <a:solidFill>
              <a:srgbClr val="9CACB9"/>
            </a:solid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l"/>
              <a:fld id="{41F85F06-3A35-4C2E-A513-A2CFAECED2A4}" type="TxLink">
                <a:rPr lang="en-US" sz="1100" b="1" i="0" u="none" strike="noStrike">
                  <a:solidFill>
                    <a:schemeClr val="bg1"/>
                  </a:solidFill>
                  <a:latin typeface="Calibri"/>
                </a:rPr>
                <a:pPr algn="l"/>
                <a:t>Federal Home Loan Bank of New York Member</a:t>
              </a:fld>
              <a:endParaRPr lang="en-US" sz="1100" b="1" i="0">
                <a:solidFill>
                  <a:schemeClr val="bg1"/>
                </a:solidFill>
              </a:endParaRPr>
            </a:p>
          </xdr:txBody>
        </xdr:sp>
        <xdr:sp macro="" textlink="$B$26">
          <xdr:nvSpPr>
            <xdr:cNvPr id="20" name="RENTAL_1_SECTION_SUBTITLE">
              <a:extLst>
                <a:ext uri="{FF2B5EF4-FFF2-40B4-BE49-F238E27FC236}">
                  <a16:creationId xmlns:a16="http://schemas.microsoft.com/office/drawing/2014/main" id="{00000000-0008-0000-0200-000014000000}"/>
                </a:ext>
              </a:extLst>
            </xdr:cNvPr>
            <xdr:cNvSpPr/>
          </xdr:nvSpPr>
          <xdr:spPr>
            <a:xfrm>
              <a:off x="8201025" y="4379110"/>
              <a:ext cx="7351776" cy="274320"/>
            </a:xfrm>
            <a:prstGeom prst="rect">
              <a:avLst/>
            </a:prstGeom>
            <a:solidFill>
              <a:schemeClr val="accent1">
                <a:lumMod val="20000"/>
                <a:lumOff val="80000"/>
              </a:schemeClr>
            </a:solidFill>
            <a:ln>
              <a:noFill/>
            </a:ln>
            <a:effectLst/>
          </xdr:spPr>
          <xdr:style>
            <a:lnRef idx="1">
              <a:schemeClr val="accent1"/>
            </a:lnRef>
            <a:fillRef idx="2">
              <a:schemeClr val="accent1"/>
            </a:fillRef>
            <a:effectRef idx="1">
              <a:schemeClr val="accent1"/>
            </a:effectRef>
            <a:fontRef idx="minor">
              <a:schemeClr val="dk1"/>
            </a:fontRef>
          </xdr:style>
          <xdr:txBody>
            <a:bodyPr vertOverflow="clip" lIns="457200" rtlCol="0" anchor="ctr"/>
            <a:lstStyle/>
            <a:p>
              <a:pPr algn="l"/>
              <a:fld id="{CCDC5A28-C611-4D0B-B4D7-393A7AD37E0E}" type="TxLink">
                <a:rPr lang="en-US" sz="900" b="0" i="0" u="none" strike="noStrike">
                  <a:solidFill>
                    <a:srgbClr val="000000"/>
                  </a:solidFill>
                  <a:latin typeface="Calibri"/>
                </a:rPr>
                <a:pPr algn="l"/>
                <a:t>Not Started</a:t>
              </a:fld>
              <a:endParaRPr lang="en-US" sz="1100" i="0"/>
            </a:p>
          </xdr:txBody>
        </xdr:sp>
        <xdr:sp macro="" textlink="">
          <xdr:nvSpPr>
            <xdr:cNvPr id="21" name="RENTAL_1_SECTION_SUBTITLE_LABEL">
              <a:extLst>
                <a:ext uri="{FF2B5EF4-FFF2-40B4-BE49-F238E27FC236}">
                  <a16:creationId xmlns:a16="http://schemas.microsoft.com/office/drawing/2014/main" id="{00000000-0008-0000-0200-000015000000}"/>
                </a:ext>
              </a:extLst>
            </xdr:cNvPr>
            <xdr:cNvSpPr txBox="1"/>
          </xdr:nvSpPr>
          <xdr:spPr>
            <a:xfrm>
              <a:off x="8296277" y="4379110"/>
              <a:ext cx="476249" cy="2743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tlCol="0" anchor="ctr">
              <a:noAutofit/>
            </a:bodyPr>
            <a:lstStyle/>
            <a:p>
              <a:r>
                <a:rPr lang="en-US" sz="900" b="1"/>
                <a:t>Status:</a:t>
              </a:r>
            </a:p>
          </xdr:txBody>
        </xdr:sp>
      </xdr:grpSp>
      <xdr:sp macro="" textlink="">
        <xdr:nvSpPr>
          <xdr:cNvPr id="17" name="LINK_RENTAL_TOC">
            <a:hlinkClick xmlns:r="http://schemas.openxmlformats.org/officeDocument/2006/relationships" r:id="rId6"/>
            <a:extLst>
              <a:ext uri="{FF2B5EF4-FFF2-40B4-BE49-F238E27FC236}">
                <a16:creationId xmlns:a16="http://schemas.microsoft.com/office/drawing/2014/main" id="{00000000-0008-0000-0200-000011000000}"/>
              </a:ext>
            </a:extLst>
          </xdr:cNvPr>
          <xdr:cNvSpPr/>
        </xdr:nvSpPr>
        <xdr:spPr>
          <a:xfrm>
            <a:off x="14525626" y="5295900"/>
            <a:ext cx="1028700" cy="30480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r"/>
            <a:r>
              <a:rPr lang="en-US" sz="1000" b="1" u="none">
                <a:solidFill>
                  <a:schemeClr val="bg1"/>
                </a:solidFill>
              </a:rPr>
              <a:t>Back</a:t>
            </a:r>
            <a:r>
              <a:rPr lang="en-US" sz="1000" b="1" u="none" baseline="0">
                <a:solidFill>
                  <a:schemeClr val="bg1"/>
                </a:solidFill>
              </a:rPr>
              <a:t> to Top ^</a:t>
            </a:r>
            <a:endParaRPr lang="en-US" sz="1000" b="1" u="none">
              <a:solidFill>
                <a:schemeClr val="bg1"/>
              </a:solidFill>
            </a:endParaRPr>
          </a:p>
        </xdr:txBody>
      </xdr:sp>
    </xdr:grpSp>
    <xdr:clientData fPrintsWithSheet="0"/>
  </xdr:twoCellAnchor>
  <xdr:twoCellAnchor editAs="oneCell">
    <xdr:from>
      <xdr:col>14</xdr:col>
      <xdr:colOff>3398</xdr:colOff>
      <xdr:row>0</xdr:row>
      <xdr:rowOff>71440</xdr:rowOff>
    </xdr:from>
    <xdr:to>
      <xdr:col>24</xdr:col>
      <xdr:colOff>98648</xdr:colOff>
      <xdr:row>0</xdr:row>
      <xdr:rowOff>476250</xdr:rowOff>
    </xdr:to>
    <xdr:sp macro="" textlink="$B$6">
      <xdr:nvSpPr>
        <xdr:cNvPr id="22" name="HEADER_BANNER_TITLE">
          <a:extLst>
            <a:ext uri="{FF2B5EF4-FFF2-40B4-BE49-F238E27FC236}">
              <a16:creationId xmlns:a16="http://schemas.microsoft.com/office/drawing/2014/main" id="{00000000-0008-0000-0200-000016000000}"/>
            </a:ext>
          </a:extLst>
        </xdr:cNvPr>
        <xdr:cNvSpPr txBox="1"/>
      </xdr:nvSpPr>
      <xdr:spPr>
        <a:xfrm>
          <a:off x="11509598" y="71440"/>
          <a:ext cx="4794250" cy="4048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Ins="0" rtlCol="0" anchor="ctr">
          <a:noAutofit/>
        </a:bodyPr>
        <a:lstStyle/>
        <a:p>
          <a:pPr algn="r"/>
          <a:fld id="{EB7A598A-0828-4A2E-81B0-26C15BB3F65D}" type="TxLink">
            <a:rPr lang="en-US" sz="1200" b="1" i="0" u="none" strike="noStrike">
              <a:solidFill>
                <a:sysClr val="windowText" lastClr="000000"/>
              </a:solidFill>
              <a:latin typeface="Calibri"/>
              <a:cs typeface="Calibri"/>
            </a:rPr>
            <a:pPr algn="r"/>
            <a:t>Homebuyer Dream Program - 2026 Round</a:t>
          </a:fld>
          <a:endParaRPr lang="en-US" sz="1200" b="1" i="0">
            <a:solidFill>
              <a:sysClr val="windowText" lastClr="000000"/>
            </a:solidFill>
          </a:endParaRPr>
        </a:p>
      </xdr:txBody>
    </xdr:sp>
    <xdr:clientData/>
  </xdr:twoCellAnchor>
  <xdr:twoCellAnchor editAs="oneCell">
    <xdr:from>
      <xdr:col>7</xdr:col>
      <xdr:colOff>66675</xdr:colOff>
      <xdr:row>24</xdr:row>
      <xdr:rowOff>244475</xdr:rowOff>
    </xdr:from>
    <xdr:to>
      <xdr:col>24</xdr:col>
      <xdr:colOff>104776</xdr:colOff>
      <xdr:row>29</xdr:row>
      <xdr:rowOff>101602</xdr:rowOff>
    </xdr:to>
    <xdr:grpSp>
      <xdr:nvGrpSpPr>
        <xdr:cNvPr id="23" name="Group 22">
          <a:extLst>
            <a:ext uri="{FF2B5EF4-FFF2-40B4-BE49-F238E27FC236}">
              <a16:creationId xmlns:a16="http://schemas.microsoft.com/office/drawing/2014/main" id="{00000000-0008-0000-0200-000017000000}"/>
            </a:ext>
          </a:extLst>
        </xdr:cNvPr>
        <xdr:cNvGrpSpPr/>
      </xdr:nvGrpSpPr>
      <xdr:grpSpPr>
        <a:xfrm>
          <a:off x="66675" y="6692900"/>
          <a:ext cx="7362826" cy="1238252"/>
          <a:chOff x="8191500" y="8343900"/>
          <a:chExt cx="7362826" cy="1238252"/>
        </a:xfrm>
      </xdr:grpSpPr>
      <xdr:grpSp>
        <xdr:nvGrpSpPr>
          <xdr:cNvPr id="24" name="RENTAL_2">
            <a:extLst>
              <a:ext uri="{FF2B5EF4-FFF2-40B4-BE49-F238E27FC236}">
                <a16:creationId xmlns:a16="http://schemas.microsoft.com/office/drawing/2014/main" id="{00000000-0008-0000-0200-000018000000}"/>
              </a:ext>
            </a:extLst>
          </xdr:cNvPr>
          <xdr:cNvGrpSpPr/>
        </xdr:nvGrpSpPr>
        <xdr:grpSpPr>
          <a:xfrm>
            <a:off x="8191500" y="8343902"/>
            <a:ext cx="7362825" cy="1238250"/>
            <a:chOff x="9353550" y="7334730"/>
            <a:chExt cx="7362825" cy="1176100"/>
          </a:xfrm>
        </xdr:grpSpPr>
        <xdr:sp macro="" textlink="">
          <xdr:nvSpPr>
            <xdr:cNvPr id="26" name="RENTAL_2_SECTION_FRAME">
              <a:extLst>
                <a:ext uri="{FF2B5EF4-FFF2-40B4-BE49-F238E27FC236}">
                  <a16:creationId xmlns:a16="http://schemas.microsoft.com/office/drawing/2014/main" id="{00000000-0008-0000-0200-00001A000000}"/>
                </a:ext>
              </a:extLst>
            </xdr:cNvPr>
            <xdr:cNvSpPr/>
          </xdr:nvSpPr>
          <xdr:spPr>
            <a:xfrm>
              <a:off x="9353550" y="7632465"/>
              <a:ext cx="7362825" cy="878365"/>
            </a:xfrm>
            <a:prstGeom prst="rect">
              <a:avLst/>
            </a:prstGeom>
            <a:no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endParaRPr lang="en-US" sz="1100"/>
            </a:p>
          </xdr:txBody>
        </xdr:sp>
        <xdr:sp macro="" textlink="B31">
          <xdr:nvSpPr>
            <xdr:cNvPr id="27" name="RENTAL_2_SECTION_TITLE">
              <a:extLst>
                <a:ext uri="{FF2B5EF4-FFF2-40B4-BE49-F238E27FC236}">
                  <a16:creationId xmlns:a16="http://schemas.microsoft.com/office/drawing/2014/main" id="{00000000-0008-0000-0200-00001B000000}"/>
                </a:ext>
              </a:extLst>
            </xdr:cNvPr>
            <xdr:cNvSpPr/>
          </xdr:nvSpPr>
          <xdr:spPr>
            <a:xfrm>
              <a:off x="9353550" y="7334730"/>
              <a:ext cx="7360920" cy="291669"/>
            </a:xfrm>
            <a:prstGeom prst="rect">
              <a:avLst/>
            </a:prstGeom>
            <a:solidFill>
              <a:srgbClr val="9CACB9"/>
            </a:solid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l"/>
              <a:fld id="{F7EBC575-AB48-40AE-B3DF-C45D66875040}" type="TxLink">
                <a:rPr lang="en-US" sz="1100" b="1" i="0" u="none" strike="noStrike">
                  <a:solidFill>
                    <a:schemeClr val="bg1"/>
                  </a:solidFill>
                  <a:latin typeface="Calibri"/>
                </a:rPr>
                <a:pPr algn="l"/>
                <a:t>Household Information</a:t>
              </a:fld>
              <a:endParaRPr lang="en-US" sz="1100" b="1" i="0">
                <a:solidFill>
                  <a:schemeClr val="bg1"/>
                </a:solidFill>
              </a:endParaRPr>
            </a:p>
          </xdr:txBody>
        </xdr:sp>
        <xdr:sp macro="" textlink="$B$40">
          <xdr:nvSpPr>
            <xdr:cNvPr id="28" name="RENTAL_2_SECTION_SUBTITLE">
              <a:extLst>
                <a:ext uri="{FF2B5EF4-FFF2-40B4-BE49-F238E27FC236}">
                  <a16:creationId xmlns:a16="http://schemas.microsoft.com/office/drawing/2014/main" id="{00000000-0008-0000-0200-00001C000000}"/>
                </a:ext>
              </a:extLst>
            </xdr:cNvPr>
            <xdr:cNvSpPr/>
          </xdr:nvSpPr>
          <xdr:spPr>
            <a:xfrm>
              <a:off x="9363075" y="7641569"/>
              <a:ext cx="7351776" cy="257355"/>
            </a:xfrm>
            <a:prstGeom prst="rect">
              <a:avLst/>
            </a:prstGeom>
            <a:solidFill>
              <a:schemeClr val="accent1">
                <a:lumMod val="20000"/>
                <a:lumOff val="80000"/>
              </a:schemeClr>
            </a:solidFill>
            <a:ln>
              <a:noFill/>
            </a:ln>
            <a:effectLst/>
          </xdr:spPr>
          <xdr:style>
            <a:lnRef idx="1">
              <a:schemeClr val="accent1"/>
            </a:lnRef>
            <a:fillRef idx="2">
              <a:schemeClr val="accent1"/>
            </a:fillRef>
            <a:effectRef idx="1">
              <a:schemeClr val="accent1"/>
            </a:effectRef>
            <a:fontRef idx="minor">
              <a:schemeClr val="dk1"/>
            </a:fontRef>
          </xdr:style>
          <xdr:txBody>
            <a:bodyPr vertOverflow="clip" lIns="457200" rtlCol="0" anchor="ctr"/>
            <a:lstStyle/>
            <a:p>
              <a:pPr algn="l"/>
              <a:fld id="{105E12F8-653C-4DF9-8753-A54BD8A3A967}" type="TxLink">
                <a:rPr lang="en-US" sz="900" b="0" i="0" u="none" strike="noStrike">
                  <a:solidFill>
                    <a:srgbClr val="000000"/>
                  </a:solidFill>
                  <a:latin typeface="Calibri"/>
                </a:rPr>
                <a:pPr algn="l"/>
                <a:t>Not Started</a:t>
              </a:fld>
              <a:endParaRPr lang="en-US" sz="1100" i="0"/>
            </a:p>
          </xdr:txBody>
        </xdr:sp>
        <xdr:sp macro="" textlink="">
          <xdr:nvSpPr>
            <xdr:cNvPr id="29" name="RENTAL_2_SECTION_SUBTITLE_LABEL">
              <a:extLst>
                <a:ext uri="{FF2B5EF4-FFF2-40B4-BE49-F238E27FC236}">
                  <a16:creationId xmlns:a16="http://schemas.microsoft.com/office/drawing/2014/main" id="{00000000-0008-0000-0200-00001D000000}"/>
                </a:ext>
              </a:extLst>
            </xdr:cNvPr>
            <xdr:cNvSpPr txBox="1"/>
          </xdr:nvSpPr>
          <xdr:spPr>
            <a:xfrm>
              <a:off x="9458327" y="7641569"/>
              <a:ext cx="476249" cy="2573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tlCol="0" anchor="ctr">
              <a:noAutofit/>
            </a:bodyPr>
            <a:lstStyle/>
            <a:p>
              <a:r>
                <a:rPr lang="en-US" sz="900" b="1"/>
                <a:t>Status:</a:t>
              </a:r>
            </a:p>
          </xdr:txBody>
        </xdr:sp>
      </xdr:grpSp>
      <xdr:sp macro="" textlink="">
        <xdr:nvSpPr>
          <xdr:cNvPr id="25" name="LINK_RENTAL_TOC">
            <a:hlinkClick xmlns:r="http://schemas.openxmlformats.org/officeDocument/2006/relationships" r:id="rId6"/>
            <a:extLst>
              <a:ext uri="{FF2B5EF4-FFF2-40B4-BE49-F238E27FC236}">
                <a16:creationId xmlns:a16="http://schemas.microsoft.com/office/drawing/2014/main" id="{00000000-0008-0000-0200-000019000000}"/>
              </a:ext>
            </a:extLst>
          </xdr:cNvPr>
          <xdr:cNvSpPr/>
        </xdr:nvSpPr>
        <xdr:spPr>
          <a:xfrm>
            <a:off x="14525626" y="8343900"/>
            <a:ext cx="1028700" cy="30480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r"/>
            <a:r>
              <a:rPr lang="en-US" sz="1000" b="1" u="none">
                <a:solidFill>
                  <a:schemeClr val="bg1"/>
                </a:solidFill>
              </a:rPr>
              <a:t>Back</a:t>
            </a:r>
            <a:r>
              <a:rPr lang="en-US" sz="1000" b="1" u="none" baseline="0">
                <a:solidFill>
                  <a:schemeClr val="bg1"/>
                </a:solidFill>
              </a:rPr>
              <a:t> to Top ^</a:t>
            </a:r>
            <a:endParaRPr lang="en-US" sz="1000" b="1" u="none">
              <a:solidFill>
                <a:schemeClr val="bg1"/>
              </a:solidFill>
            </a:endParaRPr>
          </a:p>
        </xdr:txBody>
      </xdr:sp>
    </xdr:grpSp>
    <xdr:clientData fPrintsWithSheet="0"/>
  </xdr:twoCellAnchor>
  <xdr:twoCellAnchor editAs="oneCell">
    <xdr:from>
      <xdr:col>7</xdr:col>
      <xdr:colOff>66675</xdr:colOff>
      <xdr:row>29</xdr:row>
      <xdr:rowOff>276226</xdr:rowOff>
    </xdr:from>
    <xdr:to>
      <xdr:col>24</xdr:col>
      <xdr:colOff>114300</xdr:colOff>
      <xdr:row>37</xdr:row>
      <xdr:rowOff>76202</xdr:rowOff>
    </xdr:to>
    <xdr:grpSp>
      <xdr:nvGrpSpPr>
        <xdr:cNvPr id="30" name="Group 29">
          <a:extLst>
            <a:ext uri="{FF2B5EF4-FFF2-40B4-BE49-F238E27FC236}">
              <a16:creationId xmlns:a16="http://schemas.microsoft.com/office/drawing/2014/main" id="{00000000-0008-0000-0200-00001E000000}"/>
            </a:ext>
          </a:extLst>
        </xdr:cNvPr>
        <xdr:cNvGrpSpPr/>
      </xdr:nvGrpSpPr>
      <xdr:grpSpPr>
        <a:xfrm>
          <a:off x="66675" y="8105776"/>
          <a:ext cx="7372350" cy="2009776"/>
          <a:chOff x="8191500" y="11668126"/>
          <a:chExt cx="7372350" cy="2010274"/>
        </a:xfrm>
      </xdr:grpSpPr>
      <xdr:grpSp>
        <xdr:nvGrpSpPr>
          <xdr:cNvPr id="31" name="RENTAL_3">
            <a:extLst>
              <a:ext uri="{FF2B5EF4-FFF2-40B4-BE49-F238E27FC236}">
                <a16:creationId xmlns:a16="http://schemas.microsoft.com/office/drawing/2014/main" id="{00000000-0008-0000-0200-00001F000000}"/>
              </a:ext>
            </a:extLst>
          </xdr:cNvPr>
          <xdr:cNvGrpSpPr/>
        </xdr:nvGrpSpPr>
        <xdr:grpSpPr>
          <a:xfrm>
            <a:off x="8191500" y="11668126"/>
            <a:ext cx="7362825" cy="2010274"/>
            <a:chOff x="9353550" y="10677527"/>
            <a:chExt cx="7362825" cy="1891818"/>
          </a:xfrm>
        </xdr:grpSpPr>
        <xdr:sp macro="" textlink="">
          <xdr:nvSpPr>
            <xdr:cNvPr id="33" name="RENTAL_3_SECTION_FRAME">
              <a:extLst>
                <a:ext uri="{FF2B5EF4-FFF2-40B4-BE49-F238E27FC236}">
                  <a16:creationId xmlns:a16="http://schemas.microsoft.com/office/drawing/2014/main" id="{00000000-0008-0000-0200-000021000000}"/>
                </a:ext>
              </a:extLst>
            </xdr:cNvPr>
            <xdr:cNvSpPr/>
          </xdr:nvSpPr>
          <xdr:spPr>
            <a:xfrm>
              <a:off x="9353550" y="10971290"/>
              <a:ext cx="7362825" cy="1598055"/>
            </a:xfrm>
            <a:prstGeom prst="rect">
              <a:avLst/>
            </a:prstGeom>
            <a:no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endParaRPr lang="en-US" sz="1100"/>
            </a:p>
          </xdr:txBody>
        </xdr:sp>
        <xdr:sp macro="" textlink="$B$45">
          <xdr:nvSpPr>
            <xdr:cNvPr id="34" name="RENTAL_3_SECTION_TITLE">
              <a:extLst>
                <a:ext uri="{FF2B5EF4-FFF2-40B4-BE49-F238E27FC236}">
                  <a16:creationId xmlns:a16="http://schemas.microsoft.com/office/drawing/2014/main" id="{00000000-0008-0000-0200-000022000000}"/>
                </a:ext>
              </a:extLst>
            </xdr:cNvPr>
            <xdr:cNvSpPr/>
          </xdr:nvSpPr>
          <xdr:spPr>
            <a:xfrm>
              <a:off x="9353550" y="10677527"/>
              <a:ext cx="7360920" cy="289884"/>
            </a:xfrm>
            <a:prstGeom prst="rect">
              <a:avLst/>
            </a:prstGeom>
            <a:solidFill>
              <a:srgbClr val="9CACB9"/>
            </a:solid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l"/>
              <a:fld id="{E5F0481B-FAA3-4CC6-BC46-194342DDD317}" type="TxLink">
                <a:rPr lang="en-US" sz="1100" b="1" i="0" u="none" strike="noStrike">
                  <a:solidFill>
                    <a:schemeClr val="bg1"/>
                  </a:solidFill>
                  <a:latin typeface="Calibri"/>
                </a:rPr>
                <a:pPr algn="l"/>
                <a:t>Grant Summary</a:t>
              </a:fld>
              <a:endParaRPr lang="en-US" sz="1100" b="1" i="0" u="none" strike="noStrike">
                <a:solidFill>
                  <a:schemeClr val="bg1"/>
                </a:solidFill>
                <a:latin typeface="Calibri"/>
              </a:endParaRPr>
            </a:p>
          </xdr:txBody>
        </xdr:sp>
        <xdr:sp macro="" textlink="$B$55">
          <xdr:nvSpPr>
            <xdr:cNvPr id="35" name="RENTAL_3_SECTION_SUBTITLE">
              <a:extLst>
                <a:ext uri="{FF2B5EF4-FFF2-40B4-BE49-F238E27FC236}">
                  <a16:creationId xmlns:a16="http://schemas.microsoft.com/office/drawing/2014/main" id="{00000000-0008-0000-0200-000023000000}"/>
                </a:ext>
              </a:extLst>
            </xdr:cNvPr>
            <xdr:cNvSpPr/>
          </xdr:nvSpPr>
          <xdr:spPr>
            <a:xfrm>
              <a:off x="9363075" y="10973444"/>
              <a:ext cx="7351776" cy="255780"/>
            </a:xfrm>
            <a:prstGeom prst="rect">
              <a:avLst/>
            </a:prstGeom>
            <a:solidFill>
              <a:schemeClr val="accent1">
                <a:lumMod val="20000"/>
                <a:lumOff val="80000"/>
              </a:schemeClr>
            </a:solidFill>
            <a:ln>
              <a:noFill/>
            </a:ln>
            <a:effectLst/>
          </xdr:spPr>
          <xdr:style>
            <a:lnRef idx="1">
              <a:schemeClr val="accent1"/>
            </a:lnRef>
            <a:fillRef idx="2">
              <a:schemeClr val="accent1"/>
            </a:fillRef>
            <a:effectRef idx="1">
              <a:schemeClr val="accent1"/>
            </a:effectRef>
            <a:fontRef idx="minor">
              <a:schemeClr val="dk1"/>
            </a:fontRef>
          </xdr:style>
          <xdr:txBody>
            <a:bodyPr vertOverflow="clip" lIns="457200" rtlCol="0" anchor="ctr"/>
            <a:lstStyle/>
            <a:p>
              <a:pPr algn="l"/>
              <a:fld id="{AC7DE13B-4CF9-4B53-B058-CF26A2B7D8EE}" type="TxLink">
                <a:rPr lang="en-US" sz="900" b="0" i="0" u="none" strike="noStrike">
                  <a:solidFill>
                    <a:srgbClr val="000000"/>
                  </a:solidFill>
                  <a:latin typeface="Calibri"/>
                </a:rPr>
                <a:pPr algn="l"/>
                <a:t>Not Started</a:t>
              </a:fld>
              <a:endParaRPr lang="en-US" sz="1100" i="0"/>
            </a:p>
          </xdr:txBody>
        </xdr:sp>
        <xdr:sp macro="" textlink="">
          <xdr:nvSpPr>
            <xdr:cNvPr id="36" name="RENTAL_3_SECTION_SUBTITLE_LABEL">
              <a:extLst>
                <a:ext uri="{FF2B5EF4-FFF2-40B4-BE49-F238E27FC236}">
                  <a16:creationId xmlns:a16="http://schemas.microsoft.com/office/drawing/2014/main" id="{00000000-0008-0000-0200-000024000000}"/>
                </a:ext>
              </a:extLst>
            </xdr:cNvPr>
            <xdr:cNvSpPr txBox="1"/>
          </xdr:nvSpPr>
          <xdr:spPr>
            <a:xfrm>
              <a:off x="9458327" y="10973444"/>
              <a:ext cx="476249" cy="2557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tlCol="0" anchor="ctr">
              <a:noAutofit/>
            </a:bodyPr>
            <a:lstStyle/>
            <a:p>
              <a:r>
                <a:rPr lang="en-US" sz="900" b="1"/>
                <a:t>Status:</a:t>
              </a:r>
            </a:p>
          </xdr:txBody>
        </xdr:sp>
      </xdr:grpSp>
      <xdr:sp macro="" textlink="">
        <xdr:nvSpPr>
          <xdr:cNvPr id="32" name="LINK_RENTAL_TOC">
            <a:hlinkClick xmlns:r="http://schemas.openxmlformats.org/officeDocument/2006/relationships" r:id="rId6"/>
            <a:extLst>
              <a:ext uri="{FF2B5EF4-FFF2-40B4-BE49-F238E27FC236}">
                <a16:creationId xmlns:a16="http://schemas.microsoft.com/office/drawing/2014/main" id="{00000000-0008-0000-0200-000020000000}"/>
              </a:ext>
            </a:extLst>
          </xdr:cNvPr>
          <xdr:cNvSpPr/>
        </xdr:nvSpPr>
        <xdr:spPr>
          <a:xfrm>
            <a:off x="14535150" y="11677650"/>
            <a:ext cx="1028700" cy="30480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r"/>
            <a:r>
              <a:rPr lang="en-US" sz="1000" b="1" u="none">
                <a:solidFill>
                  <a:schemeClr val="bg1"/>
                </a:solidFill>
              </a:rPr>
              <a:t>Back</a:t>
            </a:r>
            <a:r>
              <a:rPr lang="en-US" sz="1000" b="1" u="none" baseline="0">
                <a:solidFill>
                  <a:schemeClr val="bg1"/>
                </a:solidFill>
              </a:rPr>
              <a:t> to Top ^</a:t>
            </a:r>
            <a:endParaRPr lang="en-US" sz="1000" b="1" u="none">
              <a:solidFill>
                <a:schemeClr val="bg1"/>
              </a:solidFill>
            </a:endParaRPr>
          </a:p>
        </xdr:txBody>
      </xdr:sp>
    </xdr:grpSp>
    <xdr:clientData fPrintsWithSheet="0"/>
  </xdr:twoCellAnchor>
  <xdr:twoCellAnchor editAs="oneCell">
    <xdr:from>
      <xdr:col>7</xdr:col>
      <xdr:colOff>66675</xdr:colOff>
      <xdr:row>37</xdr:row>
      <xdr:rowOff>228599</xdr:rowOff>
    </xdr:from>
    <xdr:to>
      <xdr:col>24</xdr:col>
      <xdr:colOff>104775</xdr:colOff>
      <xdr:row>69</xdr:row>
      <xdr:rowOff>120651</xdr:rowOff>
    </xdr:to>
    <xdr:grpSp>
      <xdr:nvGrpSpPr>
        <xdr:cNvPr id="37" name="Group 36">
          <a:extLst>
            <a:ext uri="{FF2B5EF4-FFF2-40B4-BE49-F238E27FC236}">
              <a16:creationId xmlns:a16="http://schemas.microsoft.com/office/drawing/2014/main" id="{00000000-0008-0000-0200-000025000000}"/>
            </a:ext>
          </a:extLst>
        </xdr:cNvPr>
        <xdr:cNvGrpSpPr/>
      </xdr:nvGrpSpPr>
      <xdr:grpSpPr>
        <a:xfrm>
          <a:off x="66675" y="10267949"/>
          <a:ext cx="7362825" cy="8731252"/>
          <a:chOff x="8191500" y="14963771"/>
          <a:chExt cx="7362825" cy="8730554"/>
        </a:xfrm>
      </xdr:grpSpPr>
      <xdr:grpSp>
        <xdr:nvGrpSpPr>
          <xdr:cNvPr id="38" name="RENTAL_4">
            <a:extLst>
              <a:ext uri="{FF2B5EF4-FFF2-40B4-BE49-F238E27FC236}">
                <a16:creationId xmlns:a16="http://schemas.microsoft.com/office/drawing/2014/main" id="{00000000-0008-0000-0200-000026000000}"/>
              </a:ext>
            </a:extLst>
          </xdr:cNvPr>
          <xdr:cNvGrpSpPr/>
        </xdr:nvGrpSpPr>
        <xdr:grpSpPr>
          <a:xfrm>
            <a:off x="8191500" y="14963771"/>
            <a:ext cx="7362825" cy="8730554"/>
            <a:chOff x="9363075" y="13992996"/>
            <a:chExt cx="7362825" cy="8021350"/>
          </a:xfrm>
        </xdr:grpSpPr>
        <xdr:sp macro="" textlink="">
          <xdr:nvSpPr>
            <xdr:cNvPr id="40" name="RENTAL_4_SECTION_FRAME">
              <a:extLst>
                <a:ext uri="{FF2B5EF4-FFF2-40B4-BE49-F238E27FC236}">
                  <a16:creationId xmlns:a16="http://schemas.microsoft.com/office/drawing/2014/main" id="{00000000-0008-0000-0200-000028000000}"/>
                </a:ext>
              </a:extLst>
            </xdr:cNvPr>
            <xdr:cNvSpPr/>
          </xdr:nvSpPr>
          <xdr:spPr>
            <a:xfrm>
              <a:off x="9363075" y="14291730"/>
              <a:ext cx="7362825" cy="7722616"/>
            </a:xfrm>
            <a:prstGeom prst="rect">
              <a:avLst/>
            </a:prstGeom>
            <a:no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endParaRPr lang="en-US" sz="1100"/>
            </a:p>
          </xdr:txBody>
        </xdr:sp>
        <xdr:sp macro="" textlink="$B$60">
          <xdr:nvSpPr>
            <xdr:cNvPr id="41" name="RENTAL_4_SECTION_TITLE">
              <a:extLst>
                <a:ext uri="{FF2B5EF4-FFF2-40B4-BE49-F238E27FC236}">
                  <a16:creationId xmlns:a16="http://schemas.microsoft.com/office/drawing/2014/main" id="{00000000-0008-0000-0200-000029000000}"/>
                </a:ext>
              </a:extLst>
            </xdr:cNvPr>
            <xdr:cNvSpPr/>
          </xdr:nvSpPr>
          <xdr:spPr>
            <a:xfrm>
              <a:off x="9363075" y="13992996"/>
              <a:ext cx="7360920" cy="285641"/>
            </a:xfrm>
            <a:prstGeom prst="rect">
              <a:avLst/>
            </a:prstGeom>
            <a:solidFill>
              <a:srgbClr val="9CACB9"/>
            </a:solid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l"/>
              <a:fld id="{1C87D710-882F-4EA8-810D-76AA4F2BFC65}" type="TxLink">
                <a:rPr lang="en-US" sz="1100" b="1" i="0" u="none" strike="noStrike">
                  <a:solidFill>
                    <a:schemeClr val="bg1"/>
                  </a:solidFill>
                  <a:latin typeface="Calibri"/>
                </a:rPr>
                <a:pPr algn="l"/>
                <a:t>Mortgage Information</a:t>
              </a:fld>
              <a:endParaRPr lang="en-US" sz="1100" b="1" i="0" u="none" strike="noStrike">
                <a:solidFill>
                  <a:schemeClr val="bg1"/>
                </a:solidFill>
                <a:latin typeface="Calibri"/>
              </a:endParaRPr>
            </a:p>
          </xdr:txBody>
        </xdr:sp>
        <xdr:sp macro="" textlink="$B$83">
          <xdr:nvSpPr>
            <xdr:cNvPr id="42" name="RENTAL_4_SECTION_SUBTITLE">
              <a:extLst>
                <a:ext uri="{FF2B5EF4-FFF2-40B4-BE49-F238E27FC236}">
                  <a16:creationId xmlns:a16="http://schemas.microsoft.com/office/drawing/2014/main" id="{00000000-0008-0000-0200-00002A000000}"/>
                </a:ext>
              </a:extLst>
            </xdr:cNvPr>
            <xdr:cNvSpPr/>
          </xdr:nvSpPr>
          <xdr:spPr>
            <a:xfrm>
              <a:off x="9372600" y="14297025"/>
              <a:ext cx="7351776" cy="252036"/>
            </a:xfrm>
            <a:prstGeom prst="rect">
              <a:avLst/>
            </a:prstGeom>
            <a:solidFill>
              <a:schemeClr val="accent1">
                <a:lumMod val="20000"/>
                <a:lumOff val="80000"/>
              </a:schemeClr>
            </a:solidFill>
            <a:ln>
              <a:noFill/>
            </a:ln>
            <a:effectLst/>
          </xdr:spPr>
          <xdr:style>
            <a:lnRef idx="1">
              <a:schemeClr val="accent1"/>
            </a:lnRef>
            <a:fillRef idx="2">
              <a:schemeClr val="accent1"/>
            </a:fillRef>
            <a:effectRef idx="1">
              <a:schemeClr val="accent1"/>
            </a:effectRef>
            <a:fontRef idx="minor">
              <a:schemeClr val="dk1"/>
            </a:fontRef>
          </xdr:style>
          <xdr:txBody>
            <a:bodyPr vertOverflow="clip" lIns="457200" rtlCol="0" anchor="ctr"/>
            <a:lstStyle/>
            <a:p>
              <a:pPr algn="l"/>
              <a:fld id="{4224E38E-FD2B-4D43-9985-507D8E54C645}" type="TxLink">
                <a:rPr lang="en-US" sz="900" b="0" i="0" u="none" strike="noStrike">
                  <a:solidFill>
                    <a:srgbClr val="000000"/>
                  </a:solidFill>
                  <a:latin typeface="Calibri"/>
                </a:rPr>
                <a:pPr algn="l"/>
                <a:t>Not Started</a:t>
              </a:fld>
              <a:endParaRPr lang="en-US" sz="1100" i="0"/>
            </a:p>
          </xdr:txBody>
        </xdr:sp>
        <xdr:sp macro="" textlink="">
          <xdr:nvSpPr>
            <xdr:cNvPr id="43" name="RENTAL_4_SECTION_SUBTITLE_LABEL">
              <a:extLst>
                <a:ext uri="{FF2B5EF4-FFF2-40B4-BE49-F238E27FC236}">
                  <a16:creationId xmlns:a16="http://schemas.microsoft.com/office/drawing/2014/main" id="{00000000-0008-0000-0200-00002B000000}"/>
                </a:ext>
              </a:extLst>
            </xdr:cNvPr>
            <xdr:cNvSpPr txBox="1"/>
          </xdr:nvSpPr>
          <xdr:spPr>
            <a:xfrm>
              <a:off x="9467852" y="14297025"/>
              <a:ext cx="476249" cy="252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tlCol="0" anchor="ctr">
              <a:noAutofit/>
            </a:bodyPr>
            <a:lstStyle/>
            <a:p>
              <a:r>
                <a:rPr lang="en-US" sz="900" b="1"/>
                <a:t>Status:</a:t>
              </a:r>
            </a:p>
          </xdr:txBody>
        </xdr:sp>
      </xdr:grpSp>
      <xdr:sp macro="" textlink="">
        <xdr:nvSpPr>
          <xdr:cNvPr id="39" name="LINK_RENTAL_TOC">
            <a:hlinkClick xmlns:r="http://schemas.openxmlformats.org/officeDocument/2006/relationships" r:id="rId6"/>
            <a:extLst>
              <a:ext uri="{FF2B5EF4-FFF2-40B4-BE49-F238E27FC236}">
                <a16:creationId xmlns:a16="http://schemas.microsoft.com/office/drawing/2014/main" id="{00000000-0008-0000-0200-000027000000}"/>
              </a:ext>
            </a:extLst>
          </xdr:cNvPr>
          <xdr:cNvSpPr/>
        </xdr:nvSpPr>
        <xdr:spPr>
          <a:xfrm>
            <a:off x="14525625" y="14973300"/>
            <a:ext cx="1028700" cy="30480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r"/>
            <a:r>
              <a:rPr lang="en-US" sz="1000" b="1" u="none">
                <a:solidFill>
                  <a:schemeClr val="bg1"/>
                </a:solidFill>
              </a:rPr>
              <a:t>Back</a:t>
            </a:r>
            <a:r>
              <a:rPr lang="en-US" sz="1000" b="1" u="none" baseline="0">
                <a:solidFill>
                  <a:schemeClr val="bg1"/>
                </a:solidFill>
              </a:rPr>
              <a:t> to Top ^</a:t>
            </a:r>
            <a:endParaRPr lang="en-US" sz="1000" b="1" u="none">
              <a:solidFill>
                <a:schemeClr val="bg1"/>
              </a:solidFill>
            </a:endParaRPr>
          </a:p>
        </xdr:txBody>
      </xdr:sp>
    </xdr:grpSp>
    <xdr:clientData fPrintsWithSheet="0"/>
  </xdr:twoCellAnchor>
  <xdr:twoCellAnchor editAs="oneCell">
    <xdr:from>
      <xdr:col>7</xdr:col>
      <xdr:colOff>66675</xdr:colOff>
      <xdr:row>70</xdr:row>
      <xdr:rowOff>1</xdr:rowOff>
    </xdr:from>
    <xdr:to>
      <xdr:col>24</xdr:col>
      <xdr:colOff>104775</xdr:colOff>
      <xdr:row>87</xdr:row>
      <xdr:rowOff>82551</xdr:rowOff>
    </xdr:to>
    <xdr:grpSp>
      <xdr:nvGrpSpPr>
        <xdr:cNvPr id="44" name="Group 43">
          <a:extLst>
            <a:ext uri="{FF2B5EF4-FFF2-40B4-BE49-F238E27FC236}">
              <a16:creationId xmlns:a16="http://schemas.microsoft.com/office/drawing/2014/main" id="{00000000-0008-0000-0200-00002C000000}"/>
            </a:ext>
          </a:extLst>
        </xdr:cNvPr>
        <xdr:cNvGrpSpPr/>
      </xdr:nvGrpSpPr>
      <xdr:grpSpPr>
        <a:xfrm>
          <a:off x="66675" y="19154776"/>
          <a:ext cx="7362825" cy="4778375"/>
          <a:chOff x="8191500" y="18297525"/>
          <a:chExt cx="7362825" cy="4778470"/>
        </a:xfrm>
      </xdr:grpSpPr>
      <xdr:grpSp>
        <xdr:nvGrpSpPr>
          <xdr:cNvPr id="45" name="RENTAL_5">
            <a:extLst>
              <a:ext uri="{FF2B5EF4-FFF2-40B4-BE49-F238E27FC236}">
                <a16:creationId xmlns:a16="http://schemas.microsoft.com/office/drawing/2014/main" id="{00000000-0008-0000-0200-00002D000000}"/>
              </a:ext>
            </a:extLst>
          </xdr:cNvPr>
          <xdr:cNvGrpSpPr/>
        </xdr:nvGrpSpPr>
        <xdr:grpSpPr>
          <a:xfrm>
            <a:off x="8191500" y="18297528"/>
            <a:ext cx="7362825" cy="4778467"/>
            <a:chOff x="9363075" y="17297252"/>
            <a:chExt cx="7362825" cy="4897415"/>
          </a:xfrm>
        </xdr:grpSpPr>
        <xdr:sp macro="" textlink="">
          <xdr:nvSpPr>
            <xdr:cNvPr id="47" name="RENTAL_5_SECTION_FRAME">
              <a:extLst>
                <a:ext uri="{FF2B5EF4-FFF2-40B4-BE49-F238E27FC236}">
                  <a16:creationId xmlns:a16="http://schemas.microsoft.com/office/drawing/2014/main" id="{00000000-0008-0000-0200-00002F000000}"/>
                </a:ext>
              </a:extLst>
            </xdr:cNvPr>
            <xdr:cNvSpPr/>
          </xdr:nvSpPr>
          <xdr:spPr>
            <a:xfrm>
              <a:off x="9363075" y="17617604"/>
              <a:ext cx="7362825" cy="4577063"/>
            </a:xfrm>
            <a:prstGeom prst="rect">
              <a:avLst/>
            </a:prstGeom>
            <a:no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endParaRPr lang="en-US" sz="1100"/>
            </a:p>
          </xdr:txBody>
        </xdr:sp>
        <xdr:sp macro="" textlink="$B$92">
          <xdr:nvSpPr>
            <xdr:cNvPr id="48" name="RENTAL_5_SECTION_TITLE">
              <a:extLst>
                <a:ext uri="{FF2B5EF4-FFF2-40B4-BE49-F238E27FC236}">
                  <a16:creationId xmlns:a16="http://schemas.microsoft.com/office/drawing/2014/main" id="{00000000-0008-0000-0200-000030000000}"/>
                </a:ext>
              </a:extLst>
            </xdr:cNvPr>
            <xdr:cNvSpPr/>
          </xdr:nvSpPr>
          <xdr:spPr>
            <a:xfrm>
              <a:off x="9363075" y="17297252"/>
              <a:ext cx="7360920" cy="312329"/>
            </a:xfrm>
            <a:prstGeom prst="rect">
              <a:avLst/>
            </a:prstGeom>
            <a:solidFill>
              <a:srgbClr val="9CACB9"/>
            </a:solid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l"/>
              <a:fld id="{EFEBC25B-7A00-49A1-B18C-0C8499BCDCC4}" type="TxLink">
                <a:rPr lang="en-US" sz="1100" b="1" i="0" u="none" strike="noStrike">
                  <a:solidFill>
                    <a:schemeClr val="bg1"/>
                  </a:solidFill>
                  <a:latin typeface="Calibri"/>
                </a:rPr>
                <a:pPr algn="l"/>
                <a:t>Other Grants</a:t>
              </a:fld>
              <a:endParaRPr lang="en-US" sz="1100" b="1" i="0" u="none" strike="noStrike">
                <a:solidFill>
                  <a:schemeClr val="bg1"/>
                </a:solidFill>
                <a:latin typeface="Calibri"/>
              </a:endParaRPr>
            </a:p>
          </xdr:txBody>
        </xdr:sp>
        <xdr:sp macro="" textlink="$B$110">
          <xdr:nvSpPr>
            <xdr:cNvPr id="49" name="RENTAL_5_SECTION_SUBTITLE">
              <a:extLst>
                <a:ext uri="{FF2B5EF4-FFF2-40B4-BE49-F238E27FC236}">
                  <a16:creationId xmlns:a16="http://schemas.microsoft.com/office/drawing/2014/main" id="{00000000-0008-0000-0200-000031000000}"/>
                </a:ext>
              </a:extLst>
            </xdr:cNvPr>
            <xdr:cNvSpPr/>
          </xdr:nvSpPr>
          <xdr:spPr>
            <a:xfrm>
              <a:off x="9372598" y="17621098"/>
              <a:ext cx="7351776" cy="278553"/>
            </a:xfrm>
            <a:prstGeom prst="rect">
              <a:avLst/>
            </a:prstGeom>
            <a:solidFill>
              <a:schemeClr val="accent1">
                <a:lumMod val="20000"/>
                <a:lumOff val="80000"/>
              </a:schemeClr>
            </a:solidFill>
            <a:ln>
              <a:noFill/>
            </a:ln>
            <a:effectLst/>
          </xdr:spPr>
          <xdr:style>
            <a:lnRef idx="1">
              <a:schemeClr val="accent1"/>
            </a:lnRef>
            <a:fillRef idx="2">
              <a:schemeClr val="accent1"/>
            </a:fillRef>
            <a:effectRef idx="1">
              <a:schemeClr val="accent1"/>
            </a:effectRef>
            <a:fontRef idx="minor">
              <a:schemeClr val="dk1"/>
            </a:fontRef>
          </xdr:style>
          <xdr:txBody>
            <a:bodyPr vertOverflow="clip" lIns="457200" rtlCol="0" anchor="ctr"/>
            <a:lstStyle/>
            <a:p>
              <a:pPr algn="l"/>
              <a:fld id="{ADBC2A39-60A8-4CFF-858A-1F847464B22E}" type="TxLink">
                <a:rPr lang="en-US" sz="900" b="0" i="0" u="none" strike="noStrike">
                  <a:solidFill>
                    <a:srgbClr val="000000"/>
                  </a:solidFill>
                  <a:latin typeface="Calibri"/>
                </a:rPr>
                <a:pPr algn="l"/>
                <a:t>Not Started</a:t>
              </a:fld>
              <a:endParaRPr lang="en-US" sz="1100" i="0"/>
            </a:p>
          </xdr:txBody>
        </xdr:sp>
        <xdr:sp macro="" textlink="">
          <xdr:nvSpPr>
            <xdr:cNvPr id="50" name="RENTAL_5_SECTION_SUBTITLE_LABEL">
              <a:extLst>
                <a:ext uri="{FF2B5EF4-FFF2-40B4-BE49-F238E27FC236}">
                  <a16:creationId xmlns:a16="http://schemas.microsoft.com/office/drawing/2014/main" id="{00000000-0008-0000-0200-000032000000}"/>
                </a:ext>
              </a:extLst>
            </xdr:cNvPr>
            <xdr:cNvSpPr txBox="1"/>
          </xdr:nvSpPr>
          <xdr:spPr>
            <a:xfrm>
              <a:off x="9467850" y="17621098"/>
              <a:ext cx="476249" cy="2785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tlCol="0" anchor="ctr">
              <a:noAutofit/>
            </a:bodyPr>
            <a:lstStyle/>
            <a:p>
              <a:r>
                <a:rPr lang="en-US" sz="900" b="1"/>
                <a:t>Status:</a:t>
              </a:r>
            </a:p>
          </xdr:txBody>
        </xdr:sp>
      </xdr:grpSp>
      <xdr:sp macro="" textlink="">
        <xdr:nvSpPr>
          <xdr:cNvPr id="46" name="LINK_RENTAL_TOC">
            <a:hlinkClick xmlns:r="http://schemas.openxmlformats.org/officeDocument/2006/relationships" r:id="rId6"/>
            <a:extLst>
              <a:ext uri="{FF2B5EF4-FFF2-40B4-BE49-F238E27FC236}">
                <a16:creationId xmlns:a16="http://schemas.microsoft.com/office/drawing/2014/main" id="{00000000-0008-0000-0200-00002E000000}"/>
              </a:ext>
            </a:extLst>
          </xdr:cNvPr>
          <xdr:cNvSpPr/>
        </xdr:nvSpPr>
        <xdr:spPr>
          <a:xfrm>
            <a:off x="14525625" y="18297525"/>
            <a:ext cx="1028700" cy="30480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r"/>
            <a:r>
              <a:rPr lang="en-US" sz="1000" b="1" u="none">
                <a:solidFill>
                  <a:schemeClr val="bg1"/>
                </a:solidFill>
              </a:rPr>
              <a:t>Back</a:t>
            </a:r>
            <a:r>
              <a:rPr lang="en-US" sz="1000" b="1" u="none" baseline="0">
                <a:solidFill>
                  <a:schemeClr val="bg1"/>
                </a:solidFill>
              </a:rPr>
              <a:t> to Top ^</a:t>
            </a:r>
            <a:endParaRPr lang="en-US" sz="1000" b="1" u="none">
              <a:solidFill>
                <a:schemeClr val="bg1"/>
              </a:solidFill>
            </a:endParaRPr>
          </a:p>
        </xdr:txBody>
      </xdr:sp>
    </xdr:grpSp>
    <xdr:clientData fPrintsWithSheet="0"/>
  </xdr:twoCellAnchor>
  <xdr:twoCellAnchor editAs="oneCell">
    <xdr:from>
      <xdr:col>20</xdr:col>
      <xdr:colOff>66675</xdr:colOff>
      <xdr:row>2</xdr:row>
      <xdr:rowOff>9525</xdr:rowOff>
    </xdr:from>
    <xdr:to>
      <xdr:col>24</xdr:col>
      <xdr:colOff>109538</xdr:colOff>
      <xdr:row>3</xdr:row>
      <xdr:rowOff>1905</xdr:rowOff>
    </xdr:to>
    <xdr:sp macro="" textlink="$B$7">
      <xdr:nvSpPr>
        <xdr:cNvPr id="51" name="HEADER_BANNER_SUBTITLE">
          <a:extLst>
            <a:ext uri="{FF2B5EF4-FFF2-40B4-BE49-F238E27FC236}">
              <a16:creationId xmlns:a16="http://schemas.microsoft.com/office/drawing/2014/main" id="{00000000-0008-0000-0200-000033000000}"/>
            </a:ext>
          </a:extLst>
        </xdr:cNvPr>
        <xdr:cNvSpPr txBox="1"/>
      </xdr:nvSpPr>
      <xdr:spPr>
        <a:xfrm>
          <a:off x="5600700" y="561975"/>
          <a:ext cx="1833563" cy="182880"/>
        </a:xfrm>
        <a:prstGeom prst="rect">
          <a:avLst/>
        </a:prstGeom>
        <a:solidFill>
          <a:srgbClr val="00305E"/>
        </a:solidFill>
      </xdr:spPr>
      <xdr:style>
        <a:lnRef idx="0">
          <a:scrgbClr r="0" g="0" b="0"/>
        </a:lnRef>
        <a:fillRef idx="0">
          <a:scrgbClr r="0" g="0" b="0"/>
        </a:fillRef>
        <a:effectRef idx="0">
          <a:scrgbClr r="0" g="0" b="0"/>
        </a:effectRef>
        <a:fontRef idx="minor">
          <a:schemeClr val="tx1"/>
        </a:fontRef>
      </xdr:style>
      <xdr:txBody>
        <a:bodyPr vertOverflow="clip" wrap="square" rtlCol="0" anchor="ctr">
          <a:noAutofit/>
        </a:bodyPr>
        <a:lstStyle/>
        <a:p>
          <a:pPr algn="ctr"/>
          <a:fld id="{4B39128B-4B37-4567-8AC7-02473171A03C}" type="TxLink">
            <a:rPr lang="en-US" sz="800" b="1" i="0" u="none" strike="noStrike">
              <a:solidFill>
                <a:schemeClr val="bg1"/>
              </a:solidFill>
              <a:latin typeface="Calibri"/>
              <a:cs typeface="Calibri"/>
            </a:rPr>
            <a:pPr algn="ctr"/>
            <a:t>Funding Request</a:t>
          </a:fld>
          <a:endParaRPr lang="en-US" sz="800" b="1" i="0" u="none" strike="noStrike">
            <a:solidFill>
              <a:schemeClr val="bg1"/>
            </a:solidFill>
            <a:latin typeface="Calibri"/>
          </a:endParaRPr>
        </a:p>
      </xdr:txBody>
    </xdr:sp>
    <xdr:clientData/>
  </xdr:twoCellAnchor>
  <xdr:twoCellAnchor editAs="oneCell">
    <xdr:from>
      <xdr:col>7</xdr:col>
      <xdr:colOff>28574</xdr:colOff>
      <xdr:row>0</xdr:row>
      <xdr:rowOff>37735</xdr:rowOff>
    </xdr:from>
    <xdr:to>
      <xdr:col>10</xdr:col>
      <xdr:colOff>299467</xdr:colOff>
      <xdr:row>0</xdr:row>
      <xdr:rowOff>480458</xdr:rowOff>
    </xdr:to>
    <xdr:pic>
      <xdr:nvPicPr>
        <xdr:cNvPr id="52" name="FHLBNY_LOGO" descr="Medium.gif">
          <a:extLst>
            <a:ext uri="{FF2B5EF4-FFF2-40B4-BE49-F238E27FC236}">
              <a16:creationId xmlns:a16="http://schemas.microsoft.com/office/drawing/2014/main" id="{00000000-0008-0000-0200-000034000000}"/>
            </a:ext>
          </a:extLst>
        </xdr:cNvPr>
        <xdr:cNvPicPr>
          <a:picLocks noChangeAspect="1"/>
        </xdr:cNvPicPr>
      </xdr:nvPicPr>
      <xdr:blipFill>
        <a:blip xmlns:r="http://schemas.openxmlformats.org/officeDocument/2006/relationships" r:embed="rId7" cstate="print"/>
        <a:stretch>
          <a:fillRect/>
        </a:stretch>
      </xdr:blipFill>
      <xdr:spPr>
        <a:xfrm>
          <a:off x="28574" y="37735"/>
          <a:ext cx="1328168" cy="442723"/>
        </a:xfrm>
        <a:prstGeom prst="rect">
          <a:avLst/>
        </a:prstGeom>
      </xdr:spPr>
    </xdr:pic>
    <xdr:clientData/>
  </xdr:twoCellAnchor>
  <xdr:twoCellAnchor editAs="oneCell">
    <xdr:from>
      <xdr:col>7</xdr:col>
      <xdr:colOff>66675</xdr:colOff>
      <xdr:row>13</xdr:row>
      <xdr:rowOff>228603</xdr:rowOff>
    </xdr:from>
    <xdr:to>
      <xdr:col>24</xdr:col>
      <xdr:colOff>104777</xdr:colOff>
      <xdr:row>19</xdr:row>
      <xdr:rowOff>0</xdr:rowOff>
    </xdr:to>
    <xdr:grpSp>
      <xdr:nvGrpSpPr>
        <xdr:cNvPr id="55" name="TABLE_OF_CONTENTS_RENTAL">
          <a:extLst>
            <a:ext uri="{FF2B5EF4-FFF2-40B4-BE49-F238E27FC236}">
              <a16:creationId xmlns:a16="http://schemas.microsoft.com/office/drawing/2014/main" id="{00000000-0008-0000-0200-000037000000}"/>
            </a:ext>
          </a:extLst>
        </xdr:cNvPr>
        <xdr:cNvGrpSpPr/>
      </xdr:nvGrpSpPr>
      <xdr:grpSpPr>
        <a:xfrm>
          <a:off x="66675" y="3638553"/>
          <a:ext cx="7362827" cy="1428747"/>
          <a:chOff x="8191498" y="1276170"/>
          <a:chExt cx="7362827" cy="1414214"/>
        </a:xfrm>
      </xdr:grpSpPr>
      <xdr:grpSp>
        <xdr:nvGrpSpPr>
          <xdr:cNvPr id="56" name="RENTAL_TABLE_OF_CONTENTS">
            <a:extLst>
              <a:ext uri="{FF2B5EF4-FFF2-40B4-BE49-F238E27FC236}">
                <a16:creationId xmlns:a16="http://schemas.microsoft.com/office/drawing/2014/main" id="{00000000-0008-0000-0200-000038000000}"/>
              </a:ext>
            </a:extLst>
          </xdr:cNvPr>
          <xdr:cNvGrpSpPr/>
        </xdr:nvGrpSpPr>
        <xdr:grpSpPr>
          <a:xfrm>
            <a:off x="8191498" y="1276170"/>
            <a:ext cx="7362827" cy="1414214"/>
            <a:chOff x="8191498" y="1276170"/>
            <a:chExt cx="7362827" cy="1414214"/>
          </a:xfrm>
        </xdr:grpSpPr>
        <xdr:sp macro="" textlink="">
          <xdr:nvSpPr>
            <xdr:cNvPr id="61" name="TOC_HEADER_BG">
              <a:extLst>
                <a:ext uri="{FF2B5EF4-FFF2-40B4-BE49-F238E27FC236}">
                  <a16:creationId xmlns:a16="http://schemas.microsoft.com/office/drawing/2014/main" id="{00000000-0008-0000-0200-00003D000000}"/>
                </a:ext>
              </a:extLst>
            </xdr:cNvPr>
            <xdr:cNvSpPr/>
          </xdr:nvSpPr>
          <xdr:spPr>
            <a:xfrm>
              <a:off x="8191498" y="1592257"/>
              <a:ext cx="7360921" cy="275969"/>
            </a:xfrm>
            <a:prstGeom prst="rect">
              <a:avLst/>
            </a:prstGeom>
            <a:solidFill>
              <a:schemeClr val="accent1">
                <a:lumMod val="20000"/>
                <a:lumOff val="80000"/>
              </a:schemeClr>
            </a:solidFill>
            <a:ln>
              <a:no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endParaRPr lang="en-US" sz="1100"/>
            </a:p>
          </xdr:txBody>
        </xdr:sp>
        <xdr:grpSp>
          <xdr:nvGrpSpPr>
            <xdr:cNvPr id="62" name="TOC">
              <a:extLst>
                <a:ext uri="{FF2B5EF4-FFF2-40B4-BE49-F238E27FC236}">
                  <a16:creationId xmlns:a16="http://schemas.microsoft.com/office/drawing/2014/main" id="{00000000-0008-0000-0200-00003E000000}"/>
                </a:ext>
              </a:extLst>
            </xdr:cNvPr>
            <xdr:cNvGrpSpPr/>
          </xdr:nvGrpSpPr>
          <xdr:grpSpPr>
            <a:xfrm>
              <a:off x="8191500" y="1276170"/>
              <a:ext cx="7362825" cy="1414214"/>
              <a:chOff x="9239250" y="1816952"/>
              <a:chExt cx="7362825" cy="1090370"/>
            </a:xfrm>
            <a:effectLst/>
          </xdr:grpSpPr>
          <xdr:sp macro="" textlink="">
            <xdr:nvSpPr>
              <xdr:cNvPr id="67" name="Rectangle 66">
                <a:extLst>
                  <a:ext uri="{FF2B5EF4-FFF2-40B4-BE49-F238E27FC236}">
                    <a16:creationId xmlns:a16="http://schemas.microsoft.com/office/drawing/2014/main" id="{00000000-0008-0000-0200-000043000000}"/>
                  </a:ext>
                </a:extLst>
              </xdr:cNvPr>
              <xdr:cNvSpPr/>
            </xdr:nvSpPr>
            <xdr:spPr>
              <a:xfrm>
                <a:off x="9239250" y="2052093"/>
                <a:ext cx="7362825" cy="855229"/>
              </a:xfrm>
              <a:prstGeom prst="rect">
                <a:avLst/>
              </a:prstGeom>
              <a:no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endParaRPr lang="en-US" sz="1100"/>
              </a:p>
            </xdr:txBody>
          </xdr:sp>
          <xdr:sp macro="" textlink="">
            <xdr:nvSpPr>
              <xdr:cNvPr id="68" name="Rectangle 67">
                <a:extLst>
                  <a:ext uri="{FF2B5EF4-FFF2-40B4-BE49-F238E27FC236}">
                    <a16:creationId xmlns:a16="http://schemas.microsoft.com/office/drawing/2014/main" id="{00000000-0008-0000-0200-000044000000}"/>
                  </a:ext>
                </a:extLst>
              </xdr:cNvPr>
              <xdr:cNvSpPr/>
            </xdr:nvSpPr>
            <xdr:spPr>
              <a:xfrm>
                <a:off x="9239250" y="1816952"/>
                <a:ext cx="7360920" cy="237265"/>
              </a:xfrm>
              <a:prstGeom prst="rect">
                <a:avLst/>
              </a:prstGeom>
              <a:solidFill>
                <a:srgbClr val="9CACB9"/>
              </a:solid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l"/>
                <a:r>
                  <a:rPr lang="en-US" sz="1100" b="1">
                    <a:solidFill>
                      <a:schemeClr val="bg1"/>
                    </a:solidFill>
                  </a:rPr>
                  <a:t>Table of Contents</a:t>
                </a:r>
              </a:p>
            </xdr:txBody>
          </xdr:sp>
        </xdr:grpSp>
        <xdr:sp macro="" textlink="">
          <xdr:nvSpPr>
            <xdr:cNvPr id="63" name="TOC_HEADER_LABEL_1">
              <a:extLst>
                <a:ext uri="{FF2B5EF4-FFF2-40B4-BE49-F238E27FC236}">
                  <a16:creationId xmlns:a16="http://schemas.microsoft.com/office/drawing/2014/main" id="{00000000-0008-0000-0200-00003F000000}"/>
                </a:ext>
              </a:extLst>
            </xdr:cNvPr>
            <xdr:cNvSpPr txBox="1"/>
          </xdr:nvSpPr>
          <xdr:spPr>
            <a:xfrm>
              <a:off x="8302028" y="1630443"/>
              <a:ext cx="1226450" cy="2644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lIns="0" rtlCol="0" anchor="t">
              <a:noAutofit/>
            </a:bodyPr>
            <a:lstStyle/>
            <a:p>
              <a:r>
                <a:rPr lang="en-US" sz="1000" b="1"/>
                <a:t>Section</a:t>
              </a:r>
            </a:p>
          </xdr:txBody>
        </xdr:sp>
        <xdr:sp macro="" textlink="">
          <xdr:nvSpPr>
            <xdr:cNvPr id="64" name="TOC_HEADER_LABEL_1">
              <a:extLst>
                <a:ext uri="{FF2B5EF4-FFF2-40B4-BE49-F238E27FC236}">
                  <a16:creationId xmlns:a16="http://schemas.microsoft.com/office/drawing/2014/main" id="{00000000-0008-0000-0200-000040000000}"/>
                </a:ext>
              </a:extLst>
            </xdr:cNvPr>
            <xdr:cNvSpPr txBox="1"/>
          </xdr:nvSpPr>
          <xdr:spPr>
            <a:xfrm>
              <a:off x="10988755" y="1630443"/>
              <a:ext cx="876784" cy="2644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tlCol="0" anchor="t">
              <a:noAutofit/>
            </a:bodyPr>
            <a:lstStyle/>
            <a:p>
              <a:r>
                <a:rPr lang="en-US" sz="1000" b="1"/>
                <a:t>Progress</a:t>
              </a:r>
            </a:p>
          </xdr:txBody>
        </xdr:sp>
        <xdr:sp macro="" textlink="">
          <xdr:nvSpPr>
            <xdr:cNvPr id="65" name="TOC_HEADER_LABEL_3">
              <a:extLst>
                <a:ext uri="{FF2B5EF4-FFF2-40B4-BE49-F238E27FC236}">
                  <a16:creationId xmlns:a16="http://schemas.microsoft.com/office/drawing/2014/main" id="{00000000-0008-0000-0200-000041000000}"/>
                </a:ext>
              </a:extLst>
            </xdr:cNvPr>
            <xdr:cNvSpPr txBox="1"/>
          </xdr:nvSpPr>
          <xdr:spPr>
            <a:xfrm>
              <a:off x="11990098" y="1630443"/>
              <a:ext cx="1226450" cy="2644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lIns="0" rtlCol="0" anchor="t">
              <a:noAutofit/>
            </a:bodyPr>
            <a:lstStyle/>
            <a:p>
              <a:r>
                <a:rPr lang="en-US" sz="1000" b="1"/>
                <a:t>Section</a:t>
              </a:r>
            </a:p>
          </xdr:txBody>
        </xdr:sp>
        <xdr:sp macro="" textlink="">
          <xdr:nvSpPr>
            <xdr:cNvPr id="66" name="TOC_HEADER_LABEL_4">
              <a:extLst>
                <a:ext uri="{FF2B5EF4-FFF2-40B4-BE49-F238E27FC236}">
                  <a16:creationId xmlns:a16="http://schemas.microsoft.com/office/drawing/2014/main" id="{00000000-0008-0000-0200-000042000000}"/>
                </a:ext>
              </a:extLst>
            </xdr:cNvPr>
            <xdr:cNvSpPr txBox="1"/>
          </xdr:nvSpPr>
          <xdr:spPr>
            <a:xfrm>
              <a:off x="14554212" y="1630443"/>
              <a:ext cx="871248" cy="2644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tlCol="0" anchor="t">
              <a:noAutofit/>
            </a:bodyPr>
            <a:lstStyle/>
            <a:p>
              <a:r>
                <a:rPr lang="en-US" sz="1000" b="1"/>
                <a:t>Progress</a:t>
              </a:r>
            </a:p>
          </xdr:txBody>
        </xdr:sp>
      </xdr:grpSp>
      <xdr:cxnSp macro="">
        <xdr:nvCxnSpPr>
          <xdr:cNvPr id="57" name="TOC_HEADER_VLINE">
            <a:extLst>
              <a:ext uri="{FF2B5EF4-FFF2-40B4-BE49-F238E27FC236}">
                <a16:creationId xmlns:a16="http://schemas.microsoft.com/office/drawing/2014/main" id="{00000000-0008-0000-0200-000039000000}"/>
              </a:ext>
            </a:extLst>
          </xdr:cNvPr>
          <xdr:cNvCxnSpPr>
            <a:endCxn id="67" idx="2"/>
          </xdr:cNvCxnSpPr>
        </xdr:nvCxnSpPr>
        <xdr:spPr>
          <a:xfrm>
            <a:off x="11871960" y="1596774"/>
            <a:ext cx="953" cy="1093609"/>
          </a:xfrm>
          <a:prstGeom prst="line">
            <a:avLst/>
          </a:prstGeom>
          <a:ln>
            <a:solidFill>
              <a:schemeClr val="bg1">
                <a:lumMod val="85000"/>
              </a:schemeClr>
            </a:solidFill>
          </a:ln>
          <a:effectLst>
            <a:innerShdw blurRad="63500" dist="50800" dir="13500000">
              <a:prstClr val="black">
                <a:alpha val="50000"/>
              </a:prstClr>
            </a:innerShdw>
          </a:effectLst>
        </xdr:spPr>
        <xdr:style>
          <a:lnRef idx="1">
            <a:schemeClr val="accent1"/>
          </a:lnRef>
          <a:fillRef idx="0">
            <a:schemeClr val="accent1"/>
          </a:fillRef>
          <a:effectRef idx="0">
            <a:schemeClr val="accent1"/>
          </a:effectRef>
          <a:fontRef idx="minor">
            <a:schemeClr val="tx1"/>
          </a:fontRef>
        </xdr:style>
      </xdr:cxnSp>
      <xdr:grpSp>
        <xdr:nvGrpSpPr>
          <xdr:cNvPr id="58" name="TOC_HORIZONTAL_DIVIDERS">
            <a:extLst>
              <a:ext uri="{FF2B5EF4-FFF2-40B4-BE49-F238E27FC236}">
                <a16:creationId xmlns:a16="http://schemas.microsoft.com/office/drawing/2014/main" id="{00000000-0008-0000-0200-00003A000000}"/>
              </a:ext>
            </a:extLst>
          </xdr:cNvPr>
          <xdr:cNvGrpSpPr/>
        </xdr:nvGrpSpPr>
        <xdr:grpSpPr>
          <a:xfrm>
            <a:off x="8191498" y="2143319"/>
            <a:ext cx="7362825" cy="276504"/>
            <a:chOff x="8191498" y="2143319"/>
            <a:chExt cx="7362825" cy="276504"/>
          </a:xfrm>
        </xdr:grpSpPr>
        <xdr:cxnSp macro="">
          <xdr:nvCxnSpPr>
            <xdr:cNvPr id="59" name="DOTTED_LINE">
              <a:extLst>
                <a:ext uri="{FF2B5EF4-FFF2-40B4-BE49-F238E27FC236}">
                  <a16:creationId xmlns:a16="http://schemas.microsoft.com/office/drawing/2014/main" id="{00000000-0008-0000-0200-00003B000000}"/>
                </a:ext>
              </a:extLst>
            </xdr:cNvPr>
            <xdr:cNvCxnSpPr/>
          </xdr:nvCxnSpPr>
          <xdr:spPr>
            <a:xfrm flipH="1">
              <a:off x="8191498" y="2143319"/>
              <a:ext cx="7362825" cy="0"/>
            </a:xfrm>
            <a:prstGeom prst="line">
              <a:avLst/>
            </a:prstGeom>
            <a:ln w="9525" cap="rnd">
              <a:solidFill>
                <a:schemeClr val="bg1">
                  <a:lumMod val="85000"/>
                </a:schemeClr>
              </a:solidFill>
              <a:prstDash val="solid"/>
              <a:round/>
            </a:ln>
          </xdr:spPr>
          <xdr:style>
            <a:lnRef idx="1">
              <a:schemeClr val="dk1"/>
            </a:lnRef>
            <a:fillRef idx="0">
              <a:schemeClr val="dk1"/>
            </a:fillRef>
            <a:effectRef idx="0">
              <a:schemeClr val="dk1"/>
            </a:effectRef>
            <a:fontRef idx="minor">
              <a:schemeClr val="tx1"/>
            </a:fontRef>
          </xdr:style>
        </xdr:cxnSp>
        <xdr:cxnSp macro="">
          <xdr:nvCxnSpPr>
            <xdr:cNvPr id="60" name="DOTTED_LINE">
              <a:extLst>
                <a:ext uri="{FF2B5EF4-FFF2-40B4-BE49-F238E27FC236}">
                  <a16:creationId xmlns:a16="http://schemas.microsoft.com/office/drawing/2014/main" id="{00000000-0008-0000-0200-00003C000000}"/>
                </a:ext>
              </a:extLst>
            </xdr:cNvPr>
            <xdr:cNvCxnSpPr/>
          </xdr:nvCxnSpPr>
          <xdr:spPr>
            <a:xfrm flipH="1">
              <a:off x="8191498" y="2419823"/>
              <a:ext cx="7360920" cy="0"/>
            </a:xfrm>
            <a:prstGeom prst="line">
              <a:avLst/>
            </a:prstGeom>
            <a:ln w="9525" cap="rnd">
              <a:solidFill>
                <a:schemeClr val="bg1">
                  <a:lumMod val="85000"/>
                </a:schemeClr>
              </a:solidFill>
              <a:prstDash val="solid"/>
              <a:round/>
            </a:ln>
          </xdr:spPr>
          <xdr:style>
            <a:lnRef idx="1">
              <a:schemeClr val="dk1"/>
            </a:lnRef>
            <a:fillRef idx="0">
              <a:schemeClr val="dk1"/>
            </a:fillRef>
            <a:effectRef idx="0">
              <a:schemeClr val="dk1"/>
            </a:effectRef>
            <a:fontRef idx="minor">
              <a:schemeClr val="tx1"/>
            </a:fontRef>
          </xdr:style>
        </xdr:cxnSp>
      </xdr:grpSp>
    </xdr:grpSp>
    <xdr:clientData/>
  </xdr:twoCellAnchor>
  <xdr:twoCellAnchor>
    <xdr:from>
      <xdr:col>14</xdr:col>
      <xdr:colOff>330200</xdr:colOff>
      <xdr:row>33</xdr:row>
      <xdr:rowOff>142875</xdr:rowOff>
    </xdr:from>
    <xdr:to>
      <xdr:col>19</xdr:col>
      <xdr:colOff>104775</xdr:colOff>
      <xdr:row>33</xdr:row>
      <xdr:rowOff>142875</xdr:rowOff>
    </xdr:to>
    <xdr:cxnSp macro="">
      <xdr:nvCxnSpPr>
        <xdr:cNvPr id="73" name="DOTTED_LINE">
          <a:extLst>
            <a:ext uri="{FF2B5EF4-FFF2-40B4-BE49-F238E27FC236}">
              <a16:creationId xmlns:a16="http://schemas.microsoft.com/office/drawing/2014/main" id="{00000000-0008-0000-0200-000049000000}"/>
            </a:ext>
          </a:extLst>
        </xdr:cNvPr>
        <xdr:cNvCxnSpPr/>
      </xdr:nvCxnSpPr>
      <xdr:spPr>
        <a:xfrm>
          <a:off x="11836400" y="9153525"/>
          <a:ext cx="2403475"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38100</xdr:colOff>
      <xdr:row>35</xdr:row>
      <xdr:rowOff>152400</xdr:rowOff>
    </xdr:from>
    <xdr:to>
      <xdr:col>21</xdr:col>
      <xdr:colOff>104775</xdr:colOff>
      <xdr:row>35</xdr:row>
      <xdr:rowOff>152400</xdr:rowOff>
    </xdr:to>
    <xdr:cxnSp macro="">
      <xdr:nvCxnSpPr>
        <xdr:cNvPr id="76" name="DOTTED_LINE">
          <a:extLst>
            <a:ext uri="{FF2B5EF4-FFF2-40B4-BE49-F238E27FC236}">
              <a16:creationId xmlns:a16="http://schemas.microsoft.com/office/drawing/2014/main" id="{00000000-0008-0000-0200-00004C000000}"/>
            </a:ext>
          </a:extLst>
        </xdr:cNvPr>
        <xdr:cNvCxnSpPr/>
      </xdr:nvCxnSpPr>
      <xdr:spPr>
        <a:xfrm>
          <a:off x="5391150" y="17926050"/>
          <a:ext cx="962025"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304800</xdr:colOff>
      <xdr:row>48</xdr:row>
      <xdr:rowOff>142875</xdr:rowOff>
    </xdr:from>
    <xdr:to>
      <xdr:col>21</xdr:col>
      <xdr:colOff>133350</xdr:colOff>
      <xdr:row>48</xdr:row>
      <xdr:rowOff>142875</xdr:rowOff>
    </xdr:to>
    <xdr:cxnSp macro="">
      <xdr:nvCxnSpPr>
        <xdr:cNvPr id="77" name="DOTTED_LINE">
          <a:extLst>
            <a:ext uri="{FF2B5EF4-FFF2-40B4-BE49-F238E27FC236}">
              <a16:creationId xmlns:a16="http://schemas.microsoft.com/office/drawing/2014/main" id="{00000000-0008-0000-0200-00004D000000}"/>
            </a:ext>
          </a:extLst>
        </xdr:cNvPr>
        <xdr:cNvCxnSpPr/>
      </xdr:nvCxnSpPr>
      <xdr:spPr>
        <a:xfrm>
          <a:off x="466725" y="13496925"/>
          <a:ext cx="5915025"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304800</xdr:colOff>
      <xdr:row>49</xdr:row>
      <xdr:rowOff>152400</xdr:rowOff>
    </xdr:from>
    <xdr:to>
      <xdr:col>21</xdr:col>
      <xdr:colOff>123825</xdr:colOff>
      <xdr:row>49</xdr:row>
      <xdr:rowOff>152400</xdr:rowOff>
    </xdr:to>
    <xdr:cxnSp macro="">
      <xdr:nvCxnSpPr>
        <xdr:cNvPr id="78" name="DOTTED_LINE">
          <a:extLst>
            <a:ext uri="{FF2B5EF4-FFF2-40B4-BE49-F238E27FC236}">
              <a16:creationId xmlns:a16="http://schemas.microsoft.com/office/drawing/2014/main" id="{00000000-0008-0000-0200-00004E000000}"/>
            </a:ext>
          </a:extLst>
        </xdr:cNvPr>
        <xdr:cNvCxnSpPr/>
      </xdr:nvCxnSpPr>
      <xdr:spPr>
        <a:xfrm>
          <a:off x="2257425" y="13782675"/>
          <a:ext cx="4114800"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28575</xdr:colOff>
      <xdr:row>50</xdr:row>
      <xdr:rowOff>152400</xdr:rowOff>
    </xdr:from>
    <xdr:to>
      <xdr:col>21</xdr:col>
      <xdr:colOff>123825</xdr:colOff>
      <xdr:row>50</xdr:row>
      <xdr:rowOff>152400</xdr:rowOff>
    </xdr:to>
    <xdr:cxnSp macro="">
      <xdr:nvCxnSpPr>
        <xdr:cNvPr id="80" name="DOTTED_LINE">
          <a:extLst>
            <a:ext uri="{FF2B5EF4-FFF2-40B4-BE49-F238E27FC236}">
              <a16:creationId xmlns:a16="http://schemas.microsoft.com/office/drawing/2014/main" id="{00000000-0008-0000-0200-000050000000}"/>
            </a:ext>
          </a:extLst>
        </xdr:cNvPr>
        <xdr:cNvCxnSpPr/>
      </xdr:nvCxnSpPr>
      <xdr:spPr>
        <a:xfrm>
          <a:off x="1800225" y="14058900"/>
          <a:ext cx="4572000"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361950</xdr:colOff>
      <xdr:row>60</xdr:row>
      <xdr:rowOff>152400</xdr:rowOff>
    </xdr:from>
    <xdr:to>
      <xdr:col>19</xdr:col>
      <xdr:colOff>114300</xdr:colOff>
      <xdr:row>60</xdr:row>
      <xdr:rowOff>152400</xdr:rowOff>
    </xdr:to>
    <xdr:cxnSp macro="">
      <xdr:nvCxnSpPr>
        <xdr:cNvPr id="81" name="DOTTED_LINE">
          <a:extLst>
            <a:ext uri="{FF2B5EF4-FFF2-40B4-BE49-F238E27FC236}">
              <a16:creationId xmlns:a16="http://schemas.microsoft.com/office/drawing/2014/main" id="{00000000-0008-0000-0200-000051000000}"/>
            </a:ext>
          </a:extLst>
        </xdr:cNvPr>
        <xdr:cNvCxnSpPr/>
      </xdr:nvCxnSpPr>
      <xdr:spPr>
        <a:xfrm>
          <a:off x="9544050" y="16544925"/>
          <a:ext cx="4048125"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209550</xdr:colOff>
      <xdr:row>61</xdr:row>
      <xdr:rowOff>152400</xdr:rowOff>
    </xdr:from>
    <xdr:to>
      <xdr:col>19</xdr:col>
      <xdr:colOff>114300</xdr:colOff>
      <xdr:row>61</xdr:row>
      <xdr:rowOff>152400</xdr:rowOff>
    </xdr:to>
    <xdr:cxnSp macro="">
      <xdr:nvCxnSpPr>
        <xdr:cNvPr id="82" name="DOTTED_LINE">
          <a:extLst>
            <a:ext uri="{FF2B5EF4-FFF2-40B4-BE49-F238E27FC236}">
              <a16:creationId xmlns:a16="http://schemas.microsoft.com/office/drawing/2014/main" id="{00000000-0008-0000-0200-000052000000}"/>
            </a:ext>
          </a:extLst>
        </xdr:cNvPr>
        <xdr:cNvCxnSpPr/>
      </xdr:nvCxnSpPr>
      <xdr:spPr>
        <a:xfrm>
          <a:off x="10287000" y="16821150"/>
          <a:ext cx="3305175"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123825</xdr:colOff>
      <xdr:row>65</xdr:row>
      <xdr:rowOff>152400</xdr:rowOff>
    </xdr:from>
    <xdr:to>
      <xdr:col>21</xdr:col>
      <xdr:colOff>104775</xdr:colOff>
      <xdr:row>65</xdr:row>
      <xdr:rowOff>152400</xdr:rowOff>
    </xdr:to>
    <xdr:cxnSp macro="">
      <xdr:nvCxnSpPr>
        <xdr:cNvPr id="86" name="DOTTED_LINE">
          <a:extLst>
            <a:ext uri="{FF2B5EF4-FFF2-40B4-BE49-F238E27FC236}">
              <a16:creationId xmlns:a16="http://schemas.microsoft.com/office/drawing/2014/main" id="{00000000-0008-0000-0200-000056000000}"/>
            </a:ext>
          </a:extLst>
        </xdr:cNvPr>
        <xdr:cNvCxnSpPr/>
      </xdr:nvCxnSpPr>
      <xdr:spPr>
        <a:xfrm>
          <a:off x="11096625" y="17926050"/>
          <a:ext cx="3381375"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161925</xdr:colOff>
      <xdr:row>80</xdr:row>
      <xdr:rowOff>152400</xdr:rowOff>
    </xdr:from>
    <xdr:to>
      <xdr:col>21</xdr:col>
      <xdr:colOff>104775</xdr:colOff>
      <xdr:row>80</xdr:row>
      <xdr:rowOff>152400</xdr:rowOff>
    </xdr:to>
    <xdr:cxnSp macro="">
      <xdr:nvCxnSpPr>
        <xdr:cNvPr id="88" name="DOTTED_LINE">
          <a:extLst>
            <a:ext uri="{FF2B5EF4-FFF2-40B4-BE49-F238E27FC236}">
              <a16:creationId xmlns:a16="http://schemas.microsoft.com/office/drawing/2014/main" id="{00000000-0008-0000-0200-000058000000}"/>
            </a:ext>
          </a:extLst>
        </xdr:cNvPr>
        <xdr:cNvCxnSpPr/>
      </xdr:nvCxnSpPr>
      <xdr:spPr>
        <a:xfrm>
          <a:off x="3724275" y="21793200"/>
          <a:ext cx="2628900"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276225</xdr:colOff>
      <xdr:row>73</xdr:row>
      <xdr:rowOff>152400</xdr:rowOff>
    </xdr:from>
    <xdr:to>
      <xdr:col>21</xdr:col>
      <xdr:colOff>104775</xdr:colOff>
      <xdr:row>73</xdr:row>
      <xdr:rowOff>152400</xdr:rowOff>
    </xdr:to>
    <xdr:cxnSp macro="">
      <xdr:nvCxnSpPr>
        <xdr:cNvPr id="92" name="DOTTED_LINE">
          <a:extLst>
            <a:ext uri="{FF2B5EF4-FFF2-40B4-BE49-F238E27FC236}">
              <a16:creationId xmlns:a16="http://schemas.microsoft.com/office/drawing/2014/main" id="{00000000-0008-0000-0200-00005C000000}"/>
            </a:ext>
          </a:extLst>
        </xdr:cNvPr>
        <xdr:cNvCxnSpPr/>
      </xdr:nvCxnSpPr>
      <xdr:spPr>
        <a:xfrm>
          <a:off x="11249025" y="20135850"/>
          <a:ext cx="3228975"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7</xdr:col>
      <xdr:colOff>66675</xdr:colOff>
      <xdr:row>87</xdr:row>
      <xdr:rowOff>247650</xdr:rowOff>
    </xdr:from>
    <xdr:to>
      <xdr:col>24</xdr:col>
      <xdr:colOff>104775</xdr:colOff>
      <xdr:row>120</xdr:row>
      <xdr:rowOff>95248</xdr:rowOff>
    </xdr:to>
    <xdr:grpSp>
      <xdr:nvGrpSpPr>
        <xdr:cNvPr id="83" name="Group 82">
          <a:extLst>
            <a:ext uri="{FF2B5EF4-FFF2-40B4-BE49-F238E27FC236}">
              <a16:creationId xmlns:a16="http://schemas.microsoft.com/office/drawing/2014/main" id="{00000000-0008-0000-0200-000053000000}"/>
            </a:ext>
          </a:extLst>
        </xdr:cNvPr>
        <xdr:cNvGrpSpPr/>
      </xdr:nvGrpSpPr>
      <xdr:grpSpPr>
        <a:xfrm>
          <a:off x="66675" y="24098250"/>
          <a:ext cx="7362825" cy="8963023"/>
          <a:chOff x="8191500" y="18297525"/>
          <a:chExt cx="7362825" cy="8963023"/>
        </a:xfrm>
      </xdr:grpSpPr>
      <xdr:grpSp>
        <xdr:nvGrpSpPr>
          <xdr:cNvPr id="84" name="RENTAL_5">
            <a:extLst>
              <a:ext uri="{FF2B5EF4-FFF2-40B4-BE49-F238E27FC236}">
                <a16:creationId xmlns:a16="http://schemas.microsoft.com/office/drawing/2014/main" id="{00000000-0008-0000-0200-000054000000}"/>
              </a:ext>
            </a:extLst>
          </xdr:cNvPr>
          <xdr:cNvGrpSpPr/>
        </xdr:nvGrpSpPr>
        <xdr:grpSpPr>
          <a:xfrm>
            <a:off x="8191500" y="18297526"/>
            <a:ext cx="7362825" cy="8963022"/>
            <a:chOff x="9363075" y="17297252"/>
            <a:chExt cx="7362825" cy="9186135"/>
          </a:xfrm>
        </xdr:grpSpPr>
        <xdr:sp macro="" textlink="">
          <xdr:nvSpPr>
            <xdr:cNvPr id="87" name="RENTAL_5_SECTION_FRAME">
              <a:extLst>
                <a:ext uri="{FF2B5EF4-FFF2-40B4-BE49-F238E27FC236}">
                  <a16:creationId xmlns:a16="http://schemas.microsoft.com/office/drawing/2014/main" id="{00000000-0008-0000-0200-000057000000}"/>
                </a:ext>
              </a:extLst>
            </xdr:cNvPr>
            <xdr:cNvSpPr/>
          </xdr:nvSpPr>
          <xdr:spPr>
            <a:xfrm>
              <a:off x="9363075" y="17617604"/>
              <a:ext cx="7362825" cy="8865783"/>
            </a:xfrm>
            <a:prstGeom prst="rect">
              <a:avLst/>
            </a:prstGeom>
            <a:no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endParaRPr lang="en-US" sz="1100"/>
            </a:p>
          </xdr:txBody>
        </xdr:sp>
        <xdr:sp macro="" textlink="$B$115">
          <xdr:nvSpPr>
            <xdr:cNvPr id="89" name="RENTAL_5_SECTION_TITLE">
              <a:extLst>
                <a:ext uri="{FF2B5EF4-FFF2-40B4-BE49-F238E27FC236}">
                  <a16:creationId xmlns:a16="http://schemas.microsoft.com/office/drawing/2014/main" id="{00000000-0008-0000-0200-000059000000}"/>
                </a:ext>
              </a:extLst>
            </xdr:cNvPr>
            <xdr:cNvSpPr/>
          </xdr:nvSpPr>
          <xdr:spPr>
            <a:xfrm>
              <a:off x="9363075" y="17297252"/>
              <a:ext cx="7360920" cy="312329"/>
            </a:xfrm>
            <a:prstGeom prst="rect">
              <a:avLst/>
            </a:prstGeom>
            <a:solidFill>
              <a:srgbClr val="9CACB9"/>
            </a:solid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l"/>
              <a:fld id="{3DCC70B4-8752-4930-A059-3BE28E7B735D}" type="TxLink">
                <a:rPr lang="en-US" sz="1100" b="1" i="0" u="none" strike="noStrike">
                  <a:solidFill>
                    <a:srgbClr val="FFFFFF"/>
                  </a:solidFill>
                  <a:latin typeface="Calibri"/>
                  <a:cs typeface="Calibri"/>
                </a:rPr>
                <a:pPr algn="l"/>
                <a:t>Member Certification</a:t>
              </a:fld>
              <a:endParaRPr lang="en-US" sz="1100" b="1" i="0" u="none" strike="noStrike">
                <a:solidFill>
                  <a:schemeClr val="bg1"/>
                </a:solidFill>
                <a:latin typeface="Calibri"/>
              </a:endParaRPr>
            </a:p>
          </xdr:txBody>
        </xdr:sp>
        <xdr:sp macro="" textlink="$B$126">
          <xdr:nvSpPr>
            <xdr:cNvPr id="90" name="RENTAL_5_SECTION_SUBTITLE">
              <a:extLst>
                <a:ext uri="{FF2B5EF4-FFF2-40B4-BE49-F238E27FC236}">
                  <a16:creationId xmlns:a16="http://schemas.microsoft.com/office/drawing/2014/main" id="{00000000-0008-0000-0200-00005A000000}"/>
                </a:ext>
              </a:extLst>
            </xdr:cNvPr>
            <xdr:cNvSpPr/>
          </xdr:nvSpPr>
          <xdr:spPr>
            <a:xfrm>
              <a:off x="9372598" y="17621098"/>
              <a:ext cx="7351776" cy="278553"/>
            </a:xfrm>
            <a:prstGeom prst="rect">
              <a:avLst/>
            </a:prstGeom>
            <a:solidFill>
              <a:schemeClr val="accent1">
                <a:lumMod val="20000"/>
                <a:lumOff val="80000"/>
              </a:schemeClr>
            </a:solidFill>
            <a:ln>
              <a:noFill/>
            </a:ln>
            <a:effectLst/>
          </xdr:spPr>
          <xdr:style>
            <a:lnRef idx="1">
              <a:schemeClr val="accent1"/>
            </a:lnRef>
            <a:fillRef idx="2">
              <a:schemeClr val="accent1"/>
            </a:fillRef>
            <a:effectRef idx="1">
              <a:schemeClr val="accent1"/>
            </a:effectRef>
            <a:fontRef idx="minor">
              <a:schemeClr val="dk1"/>
            </a:fontRef>
          </xdr:style>
          <xdr:txBody>
            <a:bodyPr vertOverflow="clip" lIns="457200" rtlCol="0" anchor="ctr"/>
            <a:lstStyle/>
            <a:p>
              <a:pPr algn="l"/>
              <a:fld id="{69A48C51-483E-44C7-83B3-91C8F5CA2BC0}" type="TxLink">
                <a:rPr lang="en-US" sz="900" b="0" i="0" u="none" strike="noStrike">
                  <a:solidFill>
                    <a:srgbClr val="000000"/>
                  </a:solidFill>
                  <a:latin typeface="Calibri"/>
                  <a:cs typeface="Calibri"/>
                </a:rPr>
                <a:pPr algn="l"/>
                <a:t>Not Started</a:t>
              </a:fld>
              <a:endParaRPr lang="en-US" sz="1100" i="0"/>
            </a:p>
          </xdr:txBody>
        </xdr:sp>
        <xdr:sp macro="" textlink="">
          <xdr:nvSpPr>
            <xdr:cNvPr id="91" name="RENTAL_5_SECTION_SUBTITLE_LABEL">
              <a:extLst>
                <a:ext uri="{FF2B5EF4-FFF2-40B4-BE49-F238E27FC236}">
                  <a16:creationId xmlns:a16="http://schemas.microsoft.com/office/drawing/2014/main" id="{00000000-0008-0000-0200-00005B000000}"/>
                </a:ext>
              </a:extLst>
            </xdr:cNvPr>
            <xdr:cNvSpPr txBox="1"/>
          </xdr:nvSpPr>
          <xdr:spPr>
            <a:xfrm>
              <a:off x="9467850" y="17621098"/>
              <a:ext cx="476249" cy="2785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tlCol="0" anchor="ctr">
              <a:noAutofit/>
            </a:bodyPr>
            <a:lstStyle/>
            <a:p>
              <a:r>
                <a:rPr lang="en-US" sz="900" b="1"/>
                <a:t>Status:</a:t>
              </a:r>
            </a:p>
          </xdr:txBody>
        </xdr:sp>
      </xdr:grpSp>
      <xdr:sp macro="" textlink="">
        <xdr:nvSpPr>
          <xdr:cNvPr id="85" name="LINK_RENTAL_TOC">
            <a:hlinkClick xmlns:r="http://schemas.openxmlformats.org/officeDocument/2006/relationships" r:id="rId6"/>
            <a:extLst>
              <a:ext uri="{FF2B5EF4-FFF2-40B4-BE49-F238E27FC236}">
                <a16:creationId xmlns:a16="http://schemas.microsoft.com/office/drawing/2014/main" id="{00000000-0008-0000-0200-000055000000}"/>
              </a:ext>
            </a:extLst>
          </xdr:cNvPr>
          <xdr:cNvSpPr/>
        </xdr:nvSpPr>
        <xdr:spPr>
          <a:xfrm>
            <a:off x="14525625" y="18297525"/>
            <a:ext cx="1028700" cy="30480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r"/>
            <a:r>
              <a:rPr lang="en-US" sz="1000" b="1" u="none">
                <a:solidFill>
                  <a:schemeClr val="bg1"/>
                </a:solidFill>
              </a:rPr>
              <a:t>Back</a:t>
            </a:r>
            <a:r>
              <a:rPr lang="en-US" sz="1000" b="1" u="none" baseline="0">
                <a:solidFill>
                  <a:schemeClr val="bg1"/>
                </a:solidFill>
              </a:rPr>
              <a:t> to Top ^</a:t>
            </a:r>
            <a:endParaRPr lang="en-US" sz="1000" b="1" u="none">
              <a:solidFill>
                <a:schemeClr val="bg1"/>
              </a:solidFill>
            </a:endParaRPr>
          </a:p>
        </xdr:txBody>
      </xdr:sp>
    </xdr:grpSp>
    <xdr:clientData fPrintsWithSheet="0"/>
  </xdr:twoCellAnchor>
  <xdr:oneCellAnchor>
    <xdr:from>
      <xdr:col>16</xdr:col>
      <xdr:colOff>295275</xdr:colOff>
      <xdr:row>18</xdr:row>
      <xdr:rowOff>9525</xdr:rowOff>
    </xdr:from>
    <xdr:ext cx="2200275" cy="264560"/>
    <xdr:sp macro="" textlink="$B$128">
      <xdr:nvSpPr>
        <xdr:cNvPr id="93" name="TOC_SECTION_10">
          <a:hlinkClick xmlns:r="http://schemas.openxmlformats.org/officeDocument/2006/relationships" r:id="rId8"/>
          <a:extLst>
            <a:ext uri="{FF2B5EF4-FFF2-40B4-BE49-F238E27FC236}">
              <a16:creationId xmlns:a16="http://schemas.microsoft.com/office/drawing/2014/main" id="{00000000-0008-0000-0200-00005D000000}"/>
            </a:ext>
          </a:extLst>
        </xdr:cNvPr>
        <xdr:cNvSpPr txBox="1"/>
      </xdr:nvSpPr>
      <xdr:spPr>
        <a:xfrm>
          <a:off x="12163425" y="4524375"/>
          <a:ext cx="2200275" cy="2645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lIns="0" rtlCol="0" anchor="t">
          <a:noAutofit/>
        </a:bodyPr>
        <a:lstStyle/>
        <a:p>
          <a:pPr marL="0" indent="0" algn="l"/>
          <a:fld id="{499D75FF-2498-41B5-BB99-BB1A59806023}" type="TxLink">
            <a:rPr lang="en-US" sz="1000" b="1" i="0" u="sng" strike="noStrike">
              <a:solidFill>
                <a:schemeClr val="accent1">
                  <a:lumMod val="75000"/>
                </a:schemeClr>
              </a:solidFill>
              <a:latin typeface="Calibri"/>
              <a:ea typeface="+mn-ea"/>
              <a:cs typeface="Calibri"/>
            </a:rPr>
            <a:pPr marL="0" indent="0" algn="l"/>
            <a:t>Member Certification</a:t>
          </a:fld>
          <a:endParaRPr lang="en-US" sz="1000" b="1" i="0" u="sng" strike="noStrike">
            <a:solidFill>
              <a:schemeClr val="accent1">
                <a:lumMod val="75000"/>
              </a:schemeClr>
            </a:solidFill>
            <a:latin typeface="Calibri"/>
            <a:ea typeface="+mn-ea"/>
            <a:cs typeface="Calibri"/>
          </a:endParaRPr>
        </a:p>
      </xdr:txBody>
    </xdr:sp>
    <xdr:clientData fPrintsWithSheet="0"/>
  </xdr:oneCellAnchor>
  <xdr:twoCellAnchor editAs="oneCell">
    <xdr:from>
      <xdr:col>7</xdr:col>
      <xdr:colOff>9526</xdr:colOff>
      <xdr:row>0</xdr:row>
      <xdr:rowOff>8595</xdr:rowOff>
    </xdr:from>
    <xdr:to>
      <xdr:col>25</xdr:col>
      <xdr:colOff>0</xdr:colOff>
      <xdr:row>4</xdr:row>
      <xdr:rowOff>4083</xdr:rowOff>
    </xdr:to>
    <xdr:sp macro="" textlink="">
      <xdr:nvSpPr>
        <xdr:cNvPr id="54" name="HEADER_SHORTCUT_TOP">
          <a:hlinkClick xmlns:r="http://schemas.openxmlformats.org/officeDocument/2006/relationships" r:id="rId6" tooltip="Jump to Top"/>
          <a:extLst>
            <a:ext uri="{FF2B5EF4-FFF2-40B4-BE49-F238E27FC236}">
              <a16:creationId xmlns:a16="http://schemas.microsoft.com/office/drawing/2014/main" id="{00000000-0008-0000-0200-000036000000}"/>
            </a:ext>
          </a:extLst>
        </xdr:cNvPr>
        <xdr:cNvSpPr/>
      </xdr:nvSpPr>
      <xdr:spPr>
        <a:xfrm>
          <a:off x="8524876" y="8595"/>
          <a:ext cx="7851774" cy="776538"/>
        </a:xfrm>
        <a:prstGeom prst="rect">
          <a:avLst/>
        </a:prstGeom>
        <a:solidFill>
          <a:schemeClr val="bg1">
            <a:alpha val="0"/>
          </a:schemeClr>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800"/>
        </a:p>
      </xdr:txBody>
    </xdr:sp>
    <xdr:clientData fPrintsWithSheet="0"/>
  </xdr:twoCellAnchor>
</xdr:wsDr>
</file>

<file path=xl/drawings/drawing4.xml><?xml version="1.0" encoding="utf-8"?>
<xdr:wsDr xmlns:xdr="http://schemas.openxmlformats.org/drawingml/2006/spreadsheetDrawing" xmlns:a="http://schemas.openxmlformats.org/drawingml/2006/main">
  <xdr:oneCellAnchor>
    <xdr:from>
      <xdr:col>8</xdr:col>
      <xdr:colOff>200024</xdr:colOff>
      <xdr:row>16</xdr:row>
      <xdr:rowOff>9525</xdr:rowOff>
    </xdr:from>
    <xdr:ext cx="2295525" cy="264560"/>
    <xdr:sp macro="" textlink="$B$27">
      <xdr:nvSpPr>
        <xdr:cNvPr id="3" name="TOC_SECTION_1">
          <a:hlinkClick xmlns:r="http://schemas.openxmlformats.org/officeDocument/2006/relationships" r:id="rId1"/>
          <a:extLst>
            <a:ext uri="{FF2B5EF4-FFF2-40B4-BE49-F238E27FC236}">
              <a16:creationId xmlns:a16="http://schemas.microsoft.com/office/drawing/2014/main" id="{00000000-0008-0000-0300-000003000000}"/>
            </a:ext>
          </a:extLst>
        </xdr:cNvPr>
        <xdr:cNvSpPr txBox="1"/>
      </xdr:nvSpPr>
      <xdr:spPr>
        <a:xfrm>
          <a:off x="8486774" y="4248150"/>
          <a:ext cx="2295525" cy="2645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lIns="0" rtlCol="0" anchor="t">
          <a:noAutofit/>
        </a:bodyPr>
        <a:lstStyle/>
        <a:p>
          <a:pPr marL="0" indent="0" algn="l"/>
          <a:fld id="{DA03C1FA-CA01-4B00-9243-F0FEF1FEBC7E}" type="TxLink">
            <a:rPr lang="en-US" sz="1000" b="1" i="0" u="sng" strike="noStrike">
              <a:solidFill>
                <a:schemeClr val="accent1">
                  <a:lumMod val="75000"/>
                </a:schemeClr>
              </a:solidFill>
              <a:latin typeface="Calibri"/>
              <a:ea typeface="+mn-ea"/>
              <a:cs typeface="Calibri"/>
            </a:rPr>
            <a:pPr marL="0" indent="0" algn="l"/>
            <a:t>FHLBNY Member</a:t>
          </a:fld>
          <a:endParaRPr lang="en-US" sz="1000" b="1" i="0" u="sng" strike="noStrike">
            <a:solidFill>
              <a:schemeClr val="accent1">
                <a:lumMod val="75000"/>
              </a:schemeClr>
            </a:solidFill>
            <a:latin typeface="Calibri"/>
            <a:ea typeface="+mn-ea"/>
            <a:cs typeface="Calibri"/>
          </a:endParaRPr>
        </a:p>
      </xdr:txBody>
    </xdr:sp>
    <xdr:clientData fPrintsWithSheet="0"/>
  </xdr:oneCellAnchor>
  <xdr:oneCellAnchor>
    <xdr:from>
      <xdr:col>16</xdr:col>
      <xdr:colOff>295275</xdr:colOff>
      <xdr:row>16</xdr:row>
      <xdr:rowOff>9525</xdr:rowOff>
    </xdr:from>
    <xdr:ext cx="2200275" cy="264560"/>
    <xdr:sp macro="" textlink="$B$69">
      <xdr:nvSpPr>
        <xdr:cNvPr id="6" name="TOC_SECTION_9">
          <a:hlinkClick xmlns:r="http://schemas.openxmlformats.org/officeDocument/2006/relationships" r:id="rId2"/>
          <a:extLst>
            <a:ext uri="{FF2B5EF4-FFF2-40B4-BE49-F238E27FC236}">
              <a16:creationId xmlns:a16="http://schemas.microsoft.com/office/drawing/2014/main" id="{00000000-0008-0000-0300-000006000000}"/>
            </a:ext>
          </a:extLst>
        </xdr:cNvPr>
        <xdr:cNvSpPr txBox="1"/>
      </xdr:nvSpPr>
      <xdr:spPr>
        <a:xfrm>
          <a:off x="4038600" y="4248150"/>
          <a:ext cx="2200275" cy="2645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lIns="0" rtlCol="0" anchor="t">
          <a:noAutofit/>
        </a:bodyPr>
        <a:lstStyle/>
        <a:p>
          <a:pPr marL="0" indent="0" algn="l"/>
          <a:fld id="{E9FE7D1D-73D2-4596-9122-036E6D096E77}" type="TxLink">
            <a:rPr lang="en-US" sz="1000" b="1" i="0" u="sng" strike="noStrike">
              <a:solidFill>
                <a:schemeClr val="accent1">
                  <a:lumMod val="75000"/>
                </a:schemeClr>
              </a:solidFill>
              <a:latin typeface="Calibri"/>
              <a:ea typeface="+mn-ea"/>
              <a:cs typeface="Calibri"/>
            </a:rPr>
            <a:pPr marL="0" indent="0" algn="l"/>
            <a:t>Member Certification</a:t>
          </a:fld>
          <a:endParaRPr lang="en-US" sz="1000" b="1" i="0" u="sng" strike="noStrike">
            <a:solidFill>
              <a:schemeClr val="accent1">
                <a:lumMod val="75000"/>
              </a:schemeClr>
            </a:solidFill>
            <a:latin typeface="Calibri"/>
            <a:ea typeface="+mn-ea"/>
            <a:cs typeface="Calibri"/>
          </a:endParaRPr>
        </a:p>
      </xdr:txBody>
    </xdr:sp>
    <xdr:clientData fPrintsWithSheet="0"/>
  </xdr:oneCellAnchor>
  <xdr:twoCellAnchor editAs="absolute">
    <xdr:from>
      <xdr:col>16384</xdr:col>
      <xdr:colOff>607578</xdr:colOff>
      <xdr:row>13</xdr:row>
      <xdr:rowOff>180975</xdr:rowOff>
    </xdr:from>
    <xdr:to>
      <xdr:col>16384</xdr:col>
      <xdr:colOff>607578</xdr:colOff>
      <xdr:row>15</xdr:row>
      <xdr:rowOff>228600</xdr:rowOff>
    </xdr:to>
    <xdr:sp macro="" textlink="">
      <xdr:nvSpPr>
        <xdr:cNvPr id="7" name="COVER_CELLS_01">
          <a:extLst>
            <a:ext uri="{FF2B5EF4-FFF2-40B4-BE49-F238E27FC236}">
              <a16:creationId xmlns:a16="http://schemas.microsoft.com/office/drawing/2014/main" id="{00000000-0008-0000-0300-000007000000}"/>
            </a:ext>
          </a:extLst>
        </xdr:cNvPr>
        <xdr:cNvSpPr/>
      </xdr:nvSpPr>
      <xdr:spPr>
        <a:xfrm>
          <a:off x="8100578" y="3590925"/>
          <a:ext cx="0" cy="600075"/>
        </a:xfrm>
        <a:prstGeom prst="rect">
          <a:avLst/>
        </a:prstGeom>
        <a:solidFill>
          <a:srgbClr val="FFFFFF">
            <a:alpha val="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fPrintsWithSheet="0"/>
  </xdr:twoCellAnchor>
  <xdr:twoCellAnchor>
    <xdr:from>
      <xdr:col>7</xdr:col>
      <xdr:colOff>24775</xdr:colOff>
      <xdr:row>90</xdr:row>
      <xdr:rowOff>228647</xdr:rowOff>
    </xdr:from>
    <xdr:to>
      <xdr:col>24</xdr:col>
      <xdr:colOff>152399</xdr:colOff>
      <xdr:row>91</xdr:row>
      <xdr:rowOff>263320</xdr:rowOff>
    </xdr:to>
    <xdr:grpSp>
      <xdr:nvGrpSpPr>
        <xdr:cNvPr id="8" name="Group 7">
          <a:extLst>
            <a:ext uri="{FF2B5EF4-FFF2-40B4-BE49-F238E27FC236}">
              <a16:creationId xmlns:a16="http://schemas.microsoft.com/office/drawing/2014/main" id="{00000000-0008-0000-0300-000008000000}"/>
            </a:ext>
          </a:extLst>
        </xdr:cNvPr>
        <xdr:cNvGrpSpPr/>
      </xdr:nvGrpSpPr>
      <xdr:grpSpPr>
        <a:xfrm>
          <a:off x="24775" y="24907922"/>
          <a:ext cx="7452349" cy="310898"/>
          <a:chOff x="9296399" y="16259174"/>
          <a:chExt cx="7452359" cy="269487"/>
        </a:xfrm>
      </xdr:grpSpPr>
      <xdr:sp macro="" textlink="CONFIG_EFORM_DOC_ID_NAME">
        <xdr:nvSpPr>
          <xdr:cNvPr id="9" name="FOOTER_BG">
            <a:extLst>
              <a:ext uri="{FF2B5EF4-FFF2-40B4-BE49-F238E27FC236}">
                <a16:creationId xmlns:a16="http://schemas.microsoft.com/office/drawing/2014/main" id="{00000000-0008-0000-0300-000009000000}"/>
              </a:ext>
            </a:extLst>
          </xdr:cNvPr>
          <xdr:cNvSpPr/>
        </xdr:nvSpPr>
        <xdr:spPr>
          <a:xfrm>
            <a:off x="9296399" y="16259174"/>
            <a:ext cx="7452359" cy="269486"/>
          </a:xfrm>
          <a:prstGeom prst="rect">
            <a:avLst/>
          </a:prstGeom>
          <a:solidFill>
            <a:srgbClr val="00305E"/>
          </a:solidFill>
          <a:ln>
            <a:noFill/>
          </a:ln>
          <a:effectLst/>
        </xdr:spPr>
        <xdr:style>
          <a:lnRef idx="1">
            <a:schemeClr val="accent1"/>
          </a:lnRef>
          <a:fillRef idx="3">
            <a:schemeClr val="accent1"/>
          </a:fillRef>
          <a:effectRef idx="2">
            <a:schemeClr val="accent1"/>
          </a:effectRef>
          <a:fontRef idx="minor">
            <a:schemeClr val="lt1"/>
          </a:fontRef>
        </xdr:style>
        <xdr:txBody>
          <a:bodyPr vertOverflow="clip" rtlCol="0" anchor="ctr"/>
          <a:lstStyle/>
          <a:p>
            <a:pPr marL="0" marR="0" indent="0" algn="r" defTabSz="914400" eaLnBrk="1" fontAlgn="auto" latinLnBrk="0" hangingPunct="1">
              <a:lnSpc>
                <a:spcPct val="100000"/>
              </a:lnSpc>
              <a:spcBef>
                <a:spcPts val="0"/>
              </a:spcBef>
              <a:spcAft>
                <a:spcPts val="0"/>
              </a:spcAft>
              <a:buClrTx/>
              <a:buSzTx/>
              <a:buFontTx/>
              <a:buNone/>
              <a:tabLst/>
              <a:defRPr/>
            </a:pPr>
            <a:fld id="{318D66D7-35C3-43A5-9A89-905D240885C5}" type="TxLink">
              <a:rPr lang="en-US" sz="1000" b="1" i="0" u="none" strike="noStrike">
                <a:solidFill>
                  <a:schemeClr val="bg1"/>
                </a:solidFill>
                <a:latin typeface="+mn-lt"/>
                <a:ea typeface="+mn-ea"/>
                <a:cs typeface="Calibri"/>
              </a:rPr>
              <a:pPr marL="0" marR="0" indent="0" algn="r" defTabSz="914400" eaLnBrk="1" fontAlgn="auto" latinLnBrk="0" hangingPunct="1">
                <a:lnSpc>
                  <a:spcPct val="100000"/>
                </a:lnSpc>
                <a:spcBef>
                  <a:spcPts val="0"/>
                </a:spcBef>
                <a:spcAft>
                  <a:spcPts val="0"/>
                </a:spcAft>
                <a:buClrTx/>
                <a:buSzTx/>
                <a:buFontTx/>
                <a:buNone/>
                <a:tabLst/>
                <a:defRPr/>
              </a:pPr>
              <a:t>HDP-005: Homebuyer Dream Program® Request Form</a:t>
            </a:fld>
            <a:endParaRPr lang="en-US" sz="1000" b="1">
              <a:solidFill>
                <a:schemeClr val="bg1"/>
              </a:solidFill>
              <a:latin typeface="+mn-lt"/>
            </a:endParaRPr>
          </a:p>
        </xdr:txBody>
      </xdr:sp>
      <xdr:sp macro="" textlink="">
        <xdr:nvSpPr>
          <xdr:cNvPr id="10" name="FOOTER_LINK_PAGETOP">
            <a:hlinkClick xmlns:r="http://schemas.openxmlformats.org/officeDocument/2006/relationships" r:id="rId3"/>
            <a:extLst>
              <a:ext uri="{FF2B5EF4-FFF2-40B4-BE49-F238E27FC236}">
                <a16:creationId xmlns:a16="http://schemas.microsoft.com/office/drawing/2014/main" id="{00000000-0008-0000-0300-00000A000000}"/>
              </a:ext>
            </a:extLst>
          </xdr:cNvPr>
          <xdr:cNvSpPr/>
        </xdr:nvSpPr>
        <xdr:spPr>
          <a:xfrm>
            <a:off x="9296399" y="16259175"/>
            <a:ext cx="1126715" cy="269486"/>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u="none">
                <a:solidFill>
                  <a:schemeClr val="bg1"/>
                </a:solidFill>
                <a:latin typeface="+mn-lt"/>
              </a:rPr>
              <a:t>^ Back to Top</a:t>
            </a:r>
          </a:p>
        </xdr:txBody>
      </xdr:sp>
    </xdr:grpSp>
    <xdr:clientData fPrintsWithSheet="0"/>
  </xdr:twoCellAnchor>
  <xdr:oneCellAnchor>
    <xdr:from>
      <xdr:col>12</xdr:col>
      <xdr:colOff>1076325</xdr:colOff>
      <xdr:row>12</xdr:row>
      <xdr:rowOff>0</xdr:rowOff>
    </xdr:from>
    <xdr:ext cx="184731" cy="264560"/>
    <xdr:sp macro="" textlink="">
      <xdr:nvSpPr>
        <xdr:cNvPr id="11" name="TextBox 10">
          <a:extLst>
            <a:ext uri="{FF2B5EF4-FFF2-40B4-BE49-F238E27FC236}">
              <a16:creationId xmlns:a16="http://schemas.microsoft.com/office/drawing/2014/main" id="{00000000-0008-0000-0300-00000B000000}"/>
            </a:ext>
          </a:extLst>
        </xdr:cNvPr>
        <xdr:cNvSpPr txBox="1"/>
      </xdr:nvSpPr>
      <xdr:spPr>
        <a:xfrm>
          <a:off x="2667000" y="31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oneCellAnchor>
    <xdr:from>
      <xdr:col>16</xdr:col>
      <xdr:colOff>1076325</xdr:colOff>
      <xdr:row>12</xdr:row>
      <xdr:rowOff>0</xdr:rowOff>
    </xdr:from>
    <xdr:ext cx="184731" cy="264560"/>
    <xdr:sp macro="" textlink="">
      <xdr:nvSpPr>
        <xdr:cNvPr id="12" name="TextBox 11">
          <a:extLst>
            <a:ext uri="{FF2B5EF4-FFF2-40B4-BE49-F238E27FC236}">
              <a16:creationId xmlns:a16="http://schemas.microsoft.com/office/drawing/2014/main" id="{00000000-0008-0000-0300-00000C000000}"/>
            </a:ext>
          </a:extLst>
        </xdr:cNvPr>
        <xdr:cNvSpPr txBox="1"/>
      </xdr:nvSpPr>
      <xdr:spPr>
        <a:xfrm>
          <a:off x="4457700" y="31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oneCellAnchor>
    <xdr:from>
      <xdr:col>16</xdr:col>
      <xdr:colOff>1076325</xdr:colOff>
      <xdr:row>12</xdr:row>
      <xdr:rowOff>0</xdr:rowOff>
    </xdr:from>
    <xdr:ext cx="184731" cy="264560"/>
    <xdr:sp macro="" textlink="">
      <xdr:nvSpPr>
        <xdr:cNvPr id="13" name="TextBox 12">
          <a:extLst>
            <a:ext uri="{FF2B5EF4-FFF2-40B4-BE49-F238E27FC236}">
              <a16:creationId xmlns:a16="http://schemas.microsoft.com/office/drawing/2014/main" id="{00000000-0008-0000-0300-00000D000000}"/>
            </a:ext>
          </a:extLst>
        </xdr:cNvPr>
        <xdr:cNvSpPr txBox="1"/>
      </xdr:nvSpPr>
      <xdr:spPr>
        <a:xfrm>
          <a:off x="4457700" y="31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oneCellAnchor>
    <xdr:from>
      <xdr:col>16</xdr:col>
      <xdr:colOff>1076325</xdr:colOff>
      <xdr:row>12</xdr:row>
      <xdr:rowOff>0</xdr:rowOff>
    </xdr:from>
    <xdr:ext cx="184731" cy="264560"/>
    <xdr:sp macro="" textlink="">
      <xdr:nvSpPr>
        <xdr:cNvPr id="14" name="TextBox 13">
          <a:extLst>
            <a:ext uri="{FF2B5EF4-FFF2-40B4-BE49-F238E27FC236}">
              <a16:creationId xmlns:a16="http://schemas.microsoft.com/office/drawing/2014/main" id="{00000000-0008-0000-0300-00000E000000}"/>
            </a:ext>
          </a:extLst>
        </xdr:cNvPr>
        <xdr:cNvSpPr txBox="1"/>
      </xdr:nvSpPr>
      <xdr:spPr>
        <a:xfrm>
          <a:off x="4457700" y="31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twoCellAnchor editAs="oneCell">
    <xdr:from>
      <xdr:col>7</xdr:col>
      <xdr:colOff>66675</xdr:colOff>
      <xdr:row>18</xdr:row>
      <xdr:rowOff>180974</xdr:rowOff>
    </xdr:from>
    <xdr:to>
      <xdr:col>24</xdr:col>
      <xdr:colOff>104776</xdr:colOff>
      <xdr:row>23</xdr:row>
      <xdr:rowOff>95247</xdr:rowOff>
    </xdr:to>
    <xdr:grpSp>
      <xdr:nvGrpSpPr>
        <xdr:cNvPr id="15" name="Group 14">
          <a:extLst>
            <a:ext uri="{FF2B5EF4-FFF2-40B4-BE49-F238E27FC236}">
              <a16:creationId xmlns:a16="http://schemas.microsoft.com/office/drawing/2014/main" id="{00000000-0008-0000-0300-00000F000000}"/>
            </a:ext>
          </a:extLst>
        </xdr:cNvPr>
        <xdr:cNvGrpSpPr/>
      </xdr:nvGrpSpPr>
      <xdr:grpSpPr>
        <a:xfrm>
          <a:off x="66675" y="4972049"/>
          <a:ext cx="7362826" cy="1295398"/>
          <a:chOff x="8191500" y="5295900"/>
          <a:chExt cx="7362826" cy="1172027"/>
        </a:xfrm>
      </xdr:grpSpPr>
      <xdr:grpSp>
        <xdr:nvGrpSpPr>
          <xdr:cNvPr id="16" name="RENTAL_1">
            <a:extLst>
              <a:ext uri="{FF2B5EF4-FFF2-40B4-BE49-F238E27FC236}">
                <a16:creationId xmlns:a16="http://schemas.microsoft.com/office/drawing/2014/main" id="{00000000-0008-0000-0300-000010000000}"/>
              </a:ext>
            </a:extLst>
          </xdr:cNvPr>
          <xdr:cNvGrpSpPr/>
        </xdr:nvGrpSpPr>
        <xdr:grpSpPr>
          <a:xfrm>
            <a:off x="8191500" y="5295901"/>
            <a:ext cx="7362825" cy="1172026"/>
            <a:chOff x="8191500" y="4057651"/>
            <a:chExt cx="7362825" cy="1172026"/>
          </a:xfrm>
        </xdr:grpSpPr>
        <xdr:sp macro="" textlink="">
          <xdr:nvSpPr>
            <xdr:cNvPr id="18" name="RENTAL_1_SECTION_FRAME">
              <a:extLst>
                <a:ext uri="{FF2B5EF4-FFF2-40B4-BE49-F238E27FC236}">
                  <a16:creationId xmlns:a16="http://schemas.microsoft.com/office/drawing/2014/main" id="{00000000-0008-0000-0300-000012000000}"/>
                </a:ext>
              </a:extLst>
            </xdr:cNvPr>
            <xdr:cNvSpPr/>
          </xdr:nvSpPr>
          <xdr:spPr>
            <a:xfrm>
              <a:off x="8191500" y="4367099"/>
              <a:ext cx="7362825" cy="862578"/>
            </a:xfrm>
            <a:prstGeom prst="rect">
              <a:avLst/>
            </a:prstGeom>
            <a:no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endParaRPr lang="en-US" sz="1100"/>
            </a:p>
          </xdr:txBody>
        </xdr:sp>
        <xdr:sp macro="" textlink="B18">
          <xdr:nvSpPr>
            <xdr:cNvPr id="19" name="RENTAL_1_SECTION_TITLE">
              <a:extLst>
                <a:ext uri="{FF2B5EF4-FFF2-40B4-BE49-F238E27FC236}">
                  <a16:creationId xmlns:a16="http://schemas.microsoft.com/office/drawing/2014/main" id="{00000000-0008-0000-0300-000013000000}"/>
                </a:ext>
              </a:extLst>
            </xdr:cNvPr>
            <xdr:cNvSpPr/>
          </xdr:nvSpPr>
          <xdr:spPr>
            <a:xfrm>
              <a:off x="8191500" y="4057651"/>
              <a:ext cx="7360920" cy="311090"/>
            </a:xfrm>
            <a:prstGeom prst="rect">
              <a:avLst/>
            </a:prstGeom>
            <a:solidFill>
              <a:srgbClr val="9CACB9"/>
            </a:solid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l"/>
              <a:fld id="{41F85F06-3A35-4C2E-A513-A2CFAECED2A4}" type="TxLink">
                <a:rPr lang="en-US" sz="1100" b="1" i="0" u="none" strike="noStrike">
                  <a:solidFill>
                    <a:schemeClr val="bg1"/>
                  </a:solidFill>
                  <a:latin typeface="Calibri"/>
                </a:rPr>
                <a:pPr algn="l"/>
                <a:t>Federal Home Loan Bank of New York Member</a:t>
              </a:fld>
              <a:endParaRPr lang="en-US" sz="1100" b="1" i="0">
                <a:solidFill>
                  <a:schemeClr val="bg1"/>
                </a:solidFill>
              </a:endParaRPr>
            </a:p>
          </xdr:txBody>
        </xdr:sp>
        <xdr:sp macro="" textlink="$B$25">
          <xdr:nvSpPr>
            <xdr:cNvPr id="20" name="RENTAL_1_SECTION_SUBTITLE">
              <a:extLst>
                <a:ext uri="{FF2B5EF4-FFF2-40B4-BE49-F238E27FC236}">
                  <a16:creationId xmlns:a16="http://schemas.microsoft.com/office/drawing/2014/main" id="{00000000-0008-0000-0300-000014000000}"/>
                </a:ext>
              </a:extLst>
            </xdr:cNvPr>
            <xdr:cNvSpPr/>
          </xdr:nvSpPr>
          <xdr:spPr>
            <a:xfrm>
              <a:off x="8201025" y="4379110"/>
              <a:ext cx="7351776" cy="274320"/>
            </a:xfrm>
            <a:prstGeom prst="rect">
              <a:avLst/>
            </a:prstGeom>
            <a:solidFill>
              <a:schemeClr val="accent1">
                <a:lumMod val="20000"/>
                <a:lumOff val="80000"/>
              </a:schemeClr>
            </a:solidFill>
            <a:ln>
              <a:noFill/>
            </a:ln>
            <a:effectLst/>
          </xdr:spPr>
          <xdr:style>
            <a:lnRef idx="1">
              <a:schemeClr val="accent1"/>
            </a:lnRef>
            <a:fillRef idx="2">
              <a:schemeClr val="accent1"/>
            </a:fillRef>
            <a:effectRef idx="1">
              <a:schemeClr val="accent1"/>
            </a:effectRef>
            <a:fontRef idx="minor">
              <a:schemeClr val="dk1"/>
            </a:fontRef>
          </xdr:style>
          <xdr:txBody>
            <a:bodyPr vertOverflow="clip" lIns="457200" rtlCol="0" anchor="ctr"/>
            <a:lstStyle/>
            <a:p>
              <a:pPr algn="l"/>
              <a:fld id="{CCDC5A28-C611-4D0B-B4D7-393A7AD37E0E}" type="TxLink">
                <a:rPr lang="en-US" sz="900" b="0" i="0" u="none" strike="noStrike">
                  <a:solidFill>
                    <a:srgbClr val="000000"/>
                  </a:solidFill>
                  <a:latin typeface="Calibri"/>
                </a:rPr>
                <a:pPr algn="l"/>
                <a:t>Not Started</a:t>
              </a:fld>
              <a:endParaRPr lang="en-US" sz="1100" i="0"/>
            </a:p>
          </xdr:txBody>
        </xdr:sp>
        <xdr:sp macro="" textlink="">
          <xdr:nvSpPr>
            <xdr:cNvPr id="21" name="RENTAL_1_SECTION_SUBTITLE_LABEL">
              <a:extLst>
                <a:ext uri="{FF2B5EF4-FFF2-40B4-BE49-F238E27FC236}">
                  <a16:creationId xmlns:a16="http://schemas.microsoft.com/office/drawing/2014/main" id="{00000000-0008-0000-0300-000015000000}"/>
                </a:ext>
              </a:extLst>
            </xdr:cNvPr>
            <xdr:cNvSpPr txBox="1"/>
          </xdr:nvSpPr>
          <xdr:spPr>
            <a:xfrm>
              <a:off x="8296277" y="4379110"/>
              <a:ext cx="476249" cy="2743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tlCol="0" anchor="ctr">
              <a:noAutofit/>
            </a:bodyPr>
            <a:lstStyle/>
            <a:p>
              <a:r>
                <a:rPr lang="en-US" sz="900" b="1"/>
                <a:t>Status:</a:t>
              </a:r>
            </a:p>
          </xdr:txBody>
        </xdr:sp>
      </xdr:grpSp>
      <xdr:sp macro="" textlink="">
        <xdr:nvSpPr>
          <xdr:cNvPr id="17" name="LINK_RENTAL_TOC">
            <a:hlinkClick xmlns:r="http://schemas.openxmlformats.org/officeDocument/2006/relationships" r:id="rId3"/>
            <a:extLst>
              <a:ext uri="{FF2B5EF4-FFF2-40B4-BE49-F238E27FC236}">
                <a16:creationId xmlns:a16="http://schemas.microsoft.com/office/drawing/2014/main" id="{00000000-0008-0000-0300-000011000000}"/>
              </a:ext>
            </a:extLst>
          </xdr:cNvPr>
          <xdr:cNvSpPr/>
        </xdr:nvSpPr>
        <xdr:spPr>
          <a:xfrm>
            <a:off x="14525626" y="5295900"/>
            <a:ext cx="1028700" cy="30480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r"/>
            <a:r>
              <a:rPr lang="en-US" sz="1000" b="1" u="none">
                <a:solidFill>
                  <a:schemeClr val="bg1"/>
                </a:solidFill>
              </a:rPr>
              <a:t>Back</a:t>
            </a:r>
            <a:r>
              <a:rPr lang="en-US" sz="1000" b="1" u="none" baseline="0">
                <a:solidFill>
                  <a:schemeClr val="bg1"/>
                </a:solidFill>
              </a:rPr>
              <a:t> to Top ^</a:t>
            </a:r>
            <a:endParaRPr lang="en-US" sz="1000" b="1" u="none">
              <a:solidFill>
                <a:schemeClr val="bg1"/>
              </a:solidFill>
            </a:endParaRPr>
          </a:p>
        </xdr:txBody>
      </xdr:sp>
    </xdr:grpSp>
    <xdr:clientData fPrintsWithSheet="0"/>
  </xdr:twoCellAnchor>
  <xdr:twoCellAnchor editAs="oneCell">
    <xdr:from>
      <xdr:col>14</xdr:col>
      <xdr:colOff>3398</xdr:colOff>
      <xdr:row>0</xdr:row>
      <xdr:rowOff>71440</xdr:rowOff>
    </xdr:from>
    <xdr:to>
      <xdr:col>24</xdr:col>
      <xdr:colOff>98648</xdr:colOff>
      <xdr:row>0</xdr:row>
      <xdr:rowOff>463550</xdr:rowOff>
    </xdr:to>
    <xdr:sp macro="" textlink="$B$6">
      <xdr:nvSpPr>
        <xdr:cNvPr id="22" name="HEADER_BANNER_TITLE">
          <a:extLst>
            <a:ext uri="{FF2B5EF4-FFF2-40B4-BE49-F238E27FC236}">
              <a16:creationId xmlns:a16="http://schemas.microsoft.com/office/drawing/2014/main" id="{00000000-0008-0000-0300-000016000000}"/>
            </a:ext>
          </a:extLst>
        </xdr:cNvPr>
        <xdr:cNvSpPr txBox="1"/>
      </xdr:nvSpPr>
      <xdr:spPr>
        <a:xfrm>
          <a:off x="11509598" y="71440"/>
          <a:ext cx="4794250" cy="392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Ins="0" rtlCol="0" anchor="ctr">
          <a:noAutofit/>
        </a:bodyPr>
        <a:lstStyle/>
        <a:p>
          <a:pPr algn="r"/>
          <a:fld id="{EB7A598A-0828-4A2E-81B0-26C15BB3F65D}" type="TxLink">
            <a:rPr lang="en-US" sz="1200" b="1" i="0" u="none" strike="noStrike">
              <a:solidFill>
                <a:sysClr val="windowText" lastClr="000000"/>
              </a:solidFill>
              <a:latin typeface="Calibri"/>
              <a:cs typeface="Calibri"/>
            </a:rPr>
            <a:pPr algn="r"/>
            <a:t>Homebuyer Dream Program - 2026 Round</a:t>
          </a:fld>
          <a:endParaRPr lang="en-US" sz="1200" b="1" i="0">
            <a:solidFill>
              <a:sysClr val="windowText" lastClr="000000"/>
            </a:solidFill>
          </a:endParaRPr>
        </a:p>
      </xdr:txBody>
    </xdr:sp>
    <xdr:clientData/>
  </xdr:twoCellAnchor>
  <xdr:twoCellAnchor editAs="oneCell">
    <xdr:from>
      <xdr:col>7</xdr:col>
      <xdr:colOff>66675</xdr:colOff>
      <xdr:row>23</xdr:row>
      <xdr:rowOff>238125</xdr:rowOff>
    </xdr:from>
    <xdr:to>
      <xdr:col>24</xdr:col>
      <xdr:colOff>104776</xdr:colOff>
      <xdr:row>57</xdr:row>
      <xdr:rowOff>114300</xdr:rowOff>
    </xdr:to>
    <xdr:grpSp>
      <xdr:nvGrpSpPr>
        <xdr:cNvPr id="23" name="Group 22">
          <a:extLst>
            <a:ext uri="{FF2B5EF4-FFF2-40B4-BE49-F238E27FC236}">
              <a16:creationId xmlns:a16="http://schemas.microsoft.com/office/drawing/2014/main" id="{00000000-0008-0000-0300-000017000000}"/>
            </a:ext>
          </a:extLst>
        </xdr:cNvPr>
        <xdr:cNvGrpSpPr/>
      </xdr:nvGrpSpPr>
      <xdr:grpSpPr>
        <a:xfrm>
          <a:off x="66675" y="6410325"/>
          <a:ext cx="7362826" cy="9267825"/>
          <a:chOff x="8191500" y="8343900"/>
          <a:chExt cx="7362826" cy="9010651"/>
        </a:xfrm>
      </xdr:grpSpPr>
      <xdr:grpSp>
        <xdr:nvGrpSpPr>
          <xdr:cNvPr id="24" name="RENTAL_2">
            <a:extLst>
              <a:ext uri="{FF2B5EF4-FFF2-40B4-BE49-F238E27FC236}">
                <a16:creationId xmlns:a16="http://schemas.microsoft.com/office/drawing/2014/main" id="{00000000-0008-0000-0300-000018000000}"/>
              </a:ext>
            </a:extLst>
          </xdr:cNvPr>
          <xdr:cNvGrpSpPr/>
        </xdr:nvGrpSpPr>
        <xdr:grpSpPr>
          <a:xfrm>
            <a:off x="8191500" y="8343902"/>
            <a:ext cx="7362825" cy="9010649"/>
            <a:chOff x="9353550" y="7334730"/>
            <a:chExt cx="7362825" cy="8558388"/>
          </a:xfrm>
        </xdr:grpSpPr>
        <xdr:sp macro="" textlink="">
          <xdr:nvSpPr>
            <xdr:cNvPr id="26" name="RENTAL_2_SECTION_FRAME">
              <a:extLst>
                <a:ext uri="{FF2B5EF4-FFF2-40B4-BE49-F238E27FC236}">
                  <a16:creationId xmlns:a16="http://schemas.microsoft.com/office/drawing/2014/main" id="{00000000-0008-0000-0300-00001A000000}"/>
                </a:ext>
              </a:extLst>
            </xdr:cNvPr>
            <xdr:cNvSpPr/>
          </xdr:nvSpPr>
          <xdr:spPr>
            <a:xfrm>
              <a:off x="9353550" y="7632464"/>
              <a:ext cx="7362825" cy="8260654"/>
            </a:xfrm>
            <a:prstGeom prst="rect">
              <a:avLst/>
            </a:prstGeom>
            <a:no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endParaRPr lang="en-US" sz="1100"/>
            </a:p>
          </xdr:txBody>
        </xdr:sp>
        <xdr:sp macro="" textlink="B30">
          <xdr:nvSpPr>
            <xdr:cNvPr id="27" name="RENTAL_2_SECTION_TITLE">
              <a:extLst>
                <a:ext uri="{FF2B5EF4-FFF2-40B4-BE49-F238E27FC236}">
                  <a16:creationId xmlns:a16="http://schemas.microsoft.com/office/drawing/2014/main" id="{00000000-0008-0000-0300-00001B000000}"/>
                </a:ext>
              </a:extLst>
            </xdr:cNvPr>
            <xdr:cNvSpPr/>
          </xdr:nvSpPr>
          <xdr:spPr>
            <a:xfrm>
              <a:off x="9353550" y="7334730"/>
              <a:ext cx="7360920" cy="291669"/>
            </a:xfrm>
            <a:prstGeom prst="rect">
              <a:avLst/>
            </a:prstGeom>
            <a:solidFill>
              <a:srgbClr val="9CACB9"/>
            </a:solid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l"/>
              <a:fld id="{F86A917A-A239-4A8F-B86B-B93056A9B8CA}" type="TxLink">
                <a:rPr lang="en-US" sz="1100" b="1" i="0" u="none" strike="noStrike">
                  <a:solidFill>
                    <a:srgbClr val="FFFFFF"/>
                  </a:solidFill>
                  <a:latin typeface="Calibri"/>
                  <a:cs typeface="Calibri"/>
                </a:rPr>
                <a:pPr algn="l"/>
                <a:t>Household &amp; Submission Details</a:t>
              </a:fld>
              <a:endParaRPr lang="en-US" sz="1100" b="1" i="0">
                <a:solidFill>
                  <a:schemeClr val="bg1"/>
                </a:solidFill>
              </a:endParaRPr>
            </a:p>
          </xdr:txBody>
        </xdr:sp>
        <xdr:sp macro="" textlink="$B$51">
          <xdr:nvSpPr>
            <xdr:cNvPr id="28" name="RENTAL_2_SECTION_SUBTITLE">
              <a:extLst>
                <a:ext uri="{FF2B5EF4-FFF2-40B4-BE49-F238E27FC236}">
                  <a16:creationId xmlns:a16="http://schemas.microsoft.com/office/drawing/2014/main" id="{00000000-0008-0000-0300-00001C000000}"/>
                </a:ext>
              </a:extLst>
            </xdr:cNvPr>
            <xdr:cNvSpPr/>
          </xdr:nvSpPr>
          <xdr:spPr>
            <a:xfrm>
              <a:off x="9363075" y="7641569"/>
              <a:ext cx="7351776" cy="257355"/>
            </a:xfrm>
            <a:prstGeom prst="rect">
              <a:avLst/>
            </a:prstGeom>
            <a:solidFill>
              <a:schemeClr val="accent1">
                <a:lumMod val="20000"/>
                <a:lumOff val="80000"/>
              </a:schemeClr>
            </a:solidFill>
            <a:ln>
              <a:noFill/>
            </a:ln>
            <a:effectLst/>
          </xdr:spPr>
          <xdr:style>
            <a:lnRef idx="1">
              <a:schemeClr val="accent1"/>
            </a:lnRef>
            <a:fillRef idx="2">
              <a:schemeClr val="accent1"/>
            </a:fillRef>
            <a:effectRef idx="1">
              <a:schemeClr val="accent1"/>
            </a:effectRef>
            <a:fontRef idx="minor">
              <a:schemeClr val="dk1"/>
            </a:fontRef>
          </xdr:style>
          <xdr:txBody>
            <a:bodyPr vertOverflow="clip" lIns="457200" rtlCol="0" anchor="ctr"/>
            <a:lstStyle/>
            <a:p>
              <a:pPr algn="l"/>
              <a:fld id="{BEF70007-2BBB-4EA1-8334-9920191B3D48}" type="TxLink">
                <a:rPr lang="en-US" sz="900" b="0" i="0" u="none" strike="noStrike">
                  <a:solidFill>
                    <a:srgbClr val="000000"/>
                  </a:solidFill>
                  <a:latin typeface="Calibri"/>
                  <a:cs typeface="Calibri"/>
                </a:rPr>
                <a:pPr algn="l"/>
                <a:t>Not Started</a:t>
              </a:fld>
              <a:endParaRPr lang="en-US" sz="1100" i="0"/>
            </a:p>
          </xdr:txBody>
        </xdr:sp>
        <xdr:sp macro="" textlink="">
          <xdr:nvSpPr>
            <xdr:cNvPr id="29" name="RENTAL_2_SECTION_SUBTITLE_LABEL">
              <a:extLst>
                <a:ext uri="{FF2B5EF4-FFF2-40B4-BE49-F238E27FC236}">
                  <a16:creationId xmlns:a16="http://schemas.microsoft.com/office/drawing/2014/main" id="{00000000-0008-0000-0300-00001D000000}"/>
                </a:ext>
              </a:extLst>
            </xdr:cNvPr>
            <xdr:cNvSpPr txBox="1"/>
          </xdr:nvSpPr>
          <xdr:spPr>
            <a:xfrm>
              <a:off x="9458327" y="7641569"/>
              <a:ext cx="476249" cy="2573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tlCol="0" anchor="ctr">
              <a:noAutofit/>
            </a:bodyPr>
            <a:lstStyle/>
            <a:p>
              <a:r>
                <a:rPr lang="en-US" sz="900" b="1"/>
                <a:t>Status:</a:t>
              </a:r>
            </a:p>
          </xdr:txBody>
        </xdr:sp>
      </xdr:grpSp>
      <xdr:sp macro="" textlink="">
        <xdr:nvSpPr>
          <xdr:cNvPr id="25" name="LINK_RENTAL_TOC">
            <a:hlinkClick xmlns:r="http://schemas.openxmlformats.org/officeDocument/2006/relationships" r:id="rId3"/>
            <a:extLst>
              <a:ext uri="{FF2B5EF4-FFF2-40B4-BE49-F238E27FC236}">
                <a16:creationId xmlns:a16="http://schemas.microsoft.com/office/drawing/2014/main" id="{00000000-0008-0000-0300-000019000000}"/>
              </a:ext>
            </a:extLst>
          </xdr:cNvPr>
          <xdr:cNvSpPr/>
        </xdr:nvSpPr>
        <xdr:spPr>
          <a:xfrm>
            <a:off x="14525626" y="8343900"/>
            <a:ext cx="1028700" cy="30480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r"/>
            <a:r>
              <a:rPr lang="en-US" sz="1000" b="1" u="none">
                <a:solidFill>
                  <a:schemeClr val="bg1"/>
                </a:solidFill>
              </a:rPr>
              <a:t>Back</a:t>
            </a:r>
            <a:r>
              <a:rPr lang="en-US" sz="1000" b="1" u="none" baseline="0">
                <a:solidFill>
                  <a:schemeClr val="bg1"/>
                </a:solidFill>
              </a:rPr>
              <a:t> to Top ^</a:t>
            </a:r>
            <a:endParaRPr lang="en-US" sz="1000" b="1" u="none">
              <a:solidFill>
                <a:schemeClr val="bg1"/>
              </a:solidFill>
            </a:endParaRPr>
          </a:p>
        </xdr:txBody>
      </xdr:sp>
    </xdr:grpSp>
    <xdr:clientData fPrintsWithSheet="0"/>
  </xdr:twoCellAnchor>
  <xdr:twoCellAnchor editAs="oneCell">
    <xdr:from>
      <xdr:col>20</xdr:col>
      <xdr:colOff>66675</xdr:colOff>
      <xdr:row>2</xdr:row>
      <xdr:rowOff>9525</xdr:rowOff>
    </xdr:from>
    <xdr:to>
      <xdr:col>24</xdr:col>
      <xdr:colOff>109538</xdr:colOff>
      <xdr:row>3</xdr:row>
      <xdr:rowOff>1905</xdr:rowOff>
    </xdr:to>
    <xdr:sp macro="" textlink="$B$7">
      <xdr:nvSpPr>
        <xdr:cNvPr id="51" name="HEADER_BANNER_SUBTITLE">
          <a:extLst>
            <a:ext uri="{FF2B5EF4-FFF2-40B4-BE49-F238E27FC236}">
              <a16:creationId xmlns:a16="http://schemas.microsoft.com/office/drawing/2014/main" id="{00000000-0008-0000-0300-000033000000}"/>
            </a:ext>
          </a:extLst>
        </xdr:cNvPr>
        <xdr:cNvSpPr txBox="1"/>
      </xdr:nvSpPr>
      <xdr:spPr>
        <a:xfrm>
          <a:off x="5600700" y="561975"/>
          <a:ext cx="1833563" cy="182880"/>
        </a:xfrm>
        <a:prstGeom prst="rect">
          <a:avLst/>
        </a:prstGeom>
        <a:solidFill>
          <a:srgbClr val="00305E"/>
        </a:solidFill>
      </xdr:spPr>
      <xdr:style>
        <a:lnRef idx="0">
          <a:scrgbClr r="0" g="0" b="0"/>
        </a:lnRef>
        <a:fillRef idx="0">
          <a:scrgbClr r="0" g="0" b="0"/>
        </a:fillRef>
        <a:effectRef idx="0">
          <a:scrgbClr r="0" g="0" b="0"/>
        </a:effectRef>
        <a:fontRef idx="minor">
          <a:schemeClr val="tx1"/>
        </a:fontRef>
      </xdr:style>
      <xdr:txBody>
        <a:bodyPr vertOverflow="clip" wrap="square" rtlCol="0" anchor="ctr">
          <a:noAutofit/>
        </a:bodyPr>
        <a:lstStyle/>
        <a:p>
          <a:pPr algn="ctr"/>
          <a:fld id="{4B39128B-4B37-4567-8AC7-02473171A03C}" type="TxLink">
            <a:rPr lang="en-US" sz="800" b="1" i="0" u="none" strike="noStrike">
              <a:solidFill>
                <a:schemeClr val="bg1"/>
              </a:solidFill>
              <a:latin typeface="Calibri"/>
              <a:cs typeface="Calibri"/>
            </a:rPr>
            <a:pPr algn="ctr"/>
            <a:t>Other Documentation Request </a:t>
          </a:fld>
          <a:endParaRPr lang="en-US" sz="800" b="1" i="0" u="none" strike="noStrike">
            <a:solidFill>
              <a:schemeClr val="bg1"/>
            </a:solidFill>
            <a:latin typeface="Calibri"/>
          </a:endParaRPr>
        </a:p>
      </xdr:txBody>
    </xdr:sp>
    <xdr:clientData/>
  </xdr:twoCellAnchor>
  <xdr:twoCellAnchor editAs="oneCell">
    <xdr:from>
      <xdr:col>7</xdr:col>
      <xdr:colOff>28574</xdr:colOff>
      <xdr:row>0</xdr:row>
      <xdr:rowOff>37735</xdr:rowOff>
    </xdr:from>
    <xdr:to>
      <xdr:col>10</xdr:col>
      <xdr:colOff>299467</xdr:colOff>
      <xdr:row>0</xdr:row>
      <xdr:rowOff>480458</xdr:rowOff>
    </xdr:to>
    <xdr:pic>
      <xdr:nvPicPr>
        <xdr:cNvPr id="52" name="FHLBNY_LOGO" descr="Medium.gif">
          <a:extLst>
            <a:ext uri="{FF2B5EF4-FFF2-40B4-BE49-F238E27FC236}">
              <a16:creationId xmlns:a16="http://schemas.microsoft.com/office/drawing/2014/main" id="{00000000-0008-0000-0300-000034000000}"/>
            </a:ext>
          </a:extLst>
        </xdr:cNvPr>
        <xdr:cNvPicPr>
          <a:picLocks noChangeAspect="1"/>
        </xdr:cNvPicPr>
      </xdr:nvPicPr>
      <xdr:blipFill>
        <a:blip xmlns:r="http://schemas.openxmlformats.org/officeDocument/2006/relationships" r:embed="rId4" cstate="print"/>
        <a:stretch>
          <a:fillRect/>
        </a:stretch>
      </xdr:blipFill>
      <xdr:spPr>
        <a:xfrm>
          <a:off x="28574" y="37735"/>
          <a:ext cx="1328168" cy="442723"/>
        </a:xfrm>
        <a:prstGeom prst="rect">
          <a:avLst/>
        </a:prstGeom>
      </xdr:spPr>
    </xdr:pic>
    <xdr:clientData/>
  </xdr:twoCellAnchor>
  <xdr:twoCellAnchor editAs="oneCell">
    <xdr:from>
      <xdr:col>7</xdr:col>
      <xdr:colOff>9526</xdr:colOff>
      <xdr:row>0</xdr:row>
      <xdr:rowOff>5420</xdr:rowOff>
    </xdr:from>
    <xdr:to>
      <xdr:col>25</xdr:col>
      <xdr:colOff>0</xdr:colOff>
      <xdr:row>4</xdr:row>
      <xdr:rowOff>908</xdr:rowOff>
    </xdr:to>
    <xdr:sp macro="" textlink="">
      <xdr:nvSpPr>
        <xdr:cNvPr id="54" name="HEADER_SHORTCUT_TOP">
          <a:hlinkClick xmlns:r="http://schemas.openxmlformats.org/officeDocument/2006/relationships" r:id="rId3" tooltip="Jump to Top"/>
          <a:extLst>
            <a:ext uri="{FF2B5EF4-FFF2-40B4-BE49-F238E27FC236}">
              <a16:creationId xmlns:a16="http://schemas.microsoft.com/office/drawing/2014/main" id="{00000000-0008-0000-0300-000036000000}"/>
            </a:ext>
          </a:extLst>
        </xdr:cNvPr>
        <xdr:cNvSpPr/>
      </xdr:nvSpPr>
      <xdr:spPr>
        <a:xfrm>
          <a:off x="8524876" y="5420"/>
          <a:ext cx="7851774" cy="776538"/>
        </a:xfrm>
        <a:prstGeom prst="rect">
          <a:avLst/>
        </a:prstGeom>
        <a:solidFill>
          <a:schemeClr val="bg1">
            <a:alpha val="0"/>
          </a:schemeClr>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800"/>
        </a:p>
      </xdr:txBody>
    </xdr:sp>
    <xdr:clientData fPrintsWithSheet="0"/>
  </xdr:twoCellAnchor>
  <xdr:twoCellAnchor>
    <xdr:from>
      <xdr:col>19</xdr:col>
      <xdr:colOff>38100</xdr:colOff>
      <xdr:row>37</xdr:row>
      <xdr:rowOff>152400</xdr:rowOff>
    </xdr:from>
    <xdr:to>
      <xdr:col>21</xdr:col>
      <xdr:colOff>104775</xdr:colOff>
      <xdr:row>37</xdr:row>
      <xdr:rowOff>152400</xdr:rowOff>
    </xdr:to>
    <xdr:cxnSp macro="">
      <xdr:nvCxnSpPr>
        <xdr:cNvPr id="81" name="DOTTED_LINE">
          <a:extLst>
            <a:ext uri="{FF2B5EF4-FFF2-40B4-BE49-F238E27FC236}">
              <a16:creationId xmlns:a16="http://schemas.microsoft.com/office/drawing/2014/main" id="{00000000-0008-0000-0300-000051000000}"/>
            </a:ext>
          </a:extLst>
        </xdr:cNvPr>
        <xdr:cNvCxnSpPr/>
      </xdr:nvCxnSpPr>
      <xdr:spPr>
        <a:xfrm>
          <a:off x="13515975" y="20688300"/>
          <a:ext cx="962025"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161925</xdr:colOff>
      <xdr:row>42</xdr:row>
      <xdr:rowOff>152400</xdr:rowOff>
    </xdr:from>
    <xdr:to>
      <xdr:col>21</xdr:col>
      <xdr:colOff>104775</xdr:colOff>
      <xdr:row>42</xdr:row>
      <xdr:rowOff>152400</xdr:rowOff>
    </xdr:to>
    <xdr:cxnSp macro="">
      <xdr:nvCxnSpPr>
        <xdr:cNvPr id="43" name="DOTTED_LINE">
          <a:extLst>
            <a:ext uri="{FF2B5EF4-FFF2-40B4-BE49-F238E27FC236}">
              <a16:creationId xmlns:a16="http://schemas.microsoft.com/office/drawing/2014/main" id="{00000000-0008-0000-0300-00002B000000}"/>
            </a:ext>
          </a:extLst>
        </xdr:cNvPr>
        <xdr:cNvCxnSpPr/>
      </xdr:nvCxnSpPr>
      <xdr:spPr>
        <a:xfrm>
          <a:off x="5514975" y="11572875"/>
          <a:ext cx="838200"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12</xdr:col>
          <xdr:colOff>190500</xdr:colOff>
          <xdr:row>55</xdr:row>
          <xdr:rowOff>19050</xdr:rowOff>
        </xdr:from>
        <xdr:to>
          <xdr:col>18</xdr:col>
          <xdr:colOff>552450</xdr:colOff>
          <xdr:row>55</xdr:row>
          <xdr:rowOff>266700</xdr:rowOff>
        </xdr:to>
        <xdr:sp macro="" textlink="">
          <xdr:nvSpPr>
            <xdr:cNvPr id="12289" name="ICW_COMPLETE_FLAG" hidden="1">
              <a:extLst>
                <a:ext uri="{63B3BB69-23CF-44E3-9099-C40C66FF867C}">
                  <a14:compatExt spid="_x0000_s12289"/>
                </a:ext>
                <a:ext uri="{FF2B5EF4-FFF2-40B4-BE49-F238E27FC236}">
                  <a16:creationId xmlns:a16="http://schemas.microsoft.com/office/drawing/2014/main" id="{00000000-0008-0000-03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The Income Calculation Worksheet has been fully completed</a:t>
              </a:r>
            </a:p>
          </xdr:txBody>
        </xdr:sp>
        <xdr:clientData/>
      </xdr:twoCellAnchor>
    </mc:Choice>
    <mc:Fallback/>
  </mc:AlternateContent>
  <xdr:twoCellAnchor>
    <xdr:from>
      <xdr:col>12</xdr:col>
      <xdr:colOff>419100</xdr:colOff>
      <xdr:row>52</xdr:row>
      <xdr:rowOff>95250</xdr:rowOff>
    </xdr:from>
    <xdr:to>
      <xdr:col>18</xdr:col>
      <xdr:colOff>485775</xdr:colOff>
      <xdr:row>53</xdr:row>
      <xdr:rowOff>171450</xdr:rowOff>
    </xdr:to>
    <xdr:sp macro="" textlink="">
      <xdr:nvSpPr>
        <xdr:cNvPr id="45" name="Rounded Rectangle 44">
          <a:hlinkClick xmlns:r="http://schemas.openxmlformats.org/officeDocument/2006/relationships" r:id="rId5"/>
          <a:extLst>
            <a:ext uri="{FF2B5EF4-FFF2-40B4-BE49-F238E27FC236}">
              <a16:creationId xmlns:a16="http://schemas.microsoft.com/office/drawing/2014/main" id="{00000000-0008-0000-0300-00002D000000}"/>
            </a:ext>
          </a:extLst>
        </xdr:cNvPr>
        <xdr:cNvSpPr/>
      </xdr:nvSpPr>
      <xdr:spPr>
        <a:xfrm>
          <a:off x="2371725" y="24222075"/>
          <a:ext cx="2752725" cy="352425"/>
        </a:xfrm>
        <a:prstGeom prst="roundRect">
          <a:avLst/>
        </a:prstGeom>
        <a:gradFill>
          <a:gsLst>
            <a:gs pos="0">
              <a:srgbClr val="8EB149"/>
            </a:gs>
            <a:gs pos="100000">
              <a:srgbClr val="708B39"/>
            </a:gs>
          </a:gsLst>
          <a:lin ang="5400000" scaled="1"/>
        </a:gra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baseline="0">
              <a:latin typeface="Arial" panose="020B0604020202020204" pitchFamily="34" charset="0"/>
              <a:cs typeface="Arial" panose="020B0604020202020204" pitchFamily="34" charset="0"/>
            </a:rPr>
            <a:t>Open Income Calculation Worksheet </a:t>
          </a:r>
        </a:p>
      </xdr:txBody>
    </xdr:sp>
    <xdr:clientData/>
  </xdr:twoCellAnchor>
  <xdr:twoCellAnchor editAs="oneCell">
    <xdr:from>
      <xdr:col>7</xdr:col>
      <xdr:colOff>66675</xdr:colOff>
      <xdr:row>57</xdr:row>
      <xdr:rowOff>247650</xdr:rowOff>
    </xdr:from>
    <xdr:to>
      <xdr:col>24</xdr:col>
      <xdr:colOff>104775</xdr:colOff>
      <xdr:row>90</xdr:row>
      <xdr:rowOff>114299</xdr:rowOff>
    </xdr:to>
    <xdr:grpSp>
      <xdr:nvGrpSpPr>
        <xdr:cNvPr id="49" name="Group 48">
          <a:extLst>
            <a:ext uri="{FF2B5EF4-FFF2-40B4-BE49-F238E27FC236}">
              <a16:creationId xmlns:a16="http://schemas.microsoft.com/office/drawing/2014/main" id="{00000000-0008-0000-0300-000031000000}"/>
            </a:ext>
          </a:extLst>
        </xdr:cNvPr>
        <xdr:cNvGrpSpPr/>
      </xdr:nvGrpSpPr>
      <xdr:grpSpPr>
        <a:xfrm>
          <a:off x="66675" y="15811500"/>
          <a:ext cx="7362825" cy="8982074"/>
          <a:chOff x="8191500" y="18297525"/>
          <a:chExt cx="7362825" cy="8982074"/>
        </a:xfrm>
      </xdr:grpSpPr>
      <xdr:grpSp>
        <xdr:nvGrpSpPr>
          <xdr:cNvPr id="50" name="RENTAL_5">
            <a:extLst>
              <a:ext uri="{FF2B5EF4-FFF2-40B4-BE49-F238E27FC236}">
                <a16:creationId xmlns:a16="http://schemas.microsoft.com/office/drawing/2014/main" id="{00000000-0008-0000-0300-000032000000}"/>
              </a:ext>
            </a:extLst>
          </xdr:cNvPr>
          <xdr:cNvGrpSpPr/>
        </xdr:nvGrpSpPr>
        <xdr:grpSpPr>
          <a:xfrm>
            <a:off x="8191500" y="18297527"/>
            <a:ext cx="7362825" cy="8982072"/>
            <a:chOff x="9363075" y="17297252"/>
            <a:chExt cx="7362825" cy="9205659"/>
          </a:xfrm>
        </xdr:grpSpPr>
        <xdr:sp macro="" textlink="">
          <xdr:nvSpPr>
            <xdr:cNvPr id="59" name="RENTAL_5_SECTION_FRAME">
              <a:extLst>
                <a:ext uri="{FF2B5EF4-FFF2-40B4-BE49-F238E27FC236}">
                  <a16:creationId xmlns:a16="http://schemas.microsoft.com/office/drawing/2014/main" id="{00000000-0008-0000-0300-00003B000000}"/>
                </a:ext>
              </a:extLst>
            </xdr:cNvPr>
            <xdr:cNvSpPr/>
          </xdr:nvSpPr>
          <xdr:spPr>
            <a:xfrm>
              <a:off x="9363075" y="17617604"/>
              <a:ext cx="7362825" cy="8885307"/>
            </a:xfrm>
            <a:prstGeom prst="rect">
              <a:avLst/>
            </a:prstGeom>
            <a:no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endParaRPr lang="en-US" sz="1100"/>
            </a:p>
          </xdr:txBody>
        </xdr:sp>
        <xdr:sp macro="" textlink="$B$56">
          <xdr:nvSpPr>
            <xdr:cNvPr id="60" name="RENTAL_5_SECTION_TITLE">
              <a:extLst>
                <a:ext uri="{FF2B5EF4-FFF2-40B4-BE49-F238E27FC236}">
                  <a16:creationId xmlns:a16="http://schemas.microsoft.com/office/drawing/2014/main" id="{00000000-0008-0000-0300-00003C000000}"/>
                </a:ext>
              </a:extLst>
            </xdr:cNvPr>
            <xdr:cNvSpPr/>
          </xdr:nvSpPr>
          <xdr:spPr>
            <a:xfrm>
              <a:off x="9363075" y="17297252"/>
              <a:ext cx="7360920" cy="312329"/>
            </a:xfrm>
            <a:prstGeom prst="rect">
              <a:avLst/>
            </a:prstGeom>
            <a:solidFill>
              <a:srgbClr val="9CACB9"/>
            </a:solid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l"/>
              <a:fld id="{9DF9BA25-05A3-4920-BA1B-8A0AAD6FE00E}" type="TxLink">
                <a:rPr lang="en-US" sz="1100" b="1" i="0" u="none" strike="noStrike">
                  <a:solidFill>
                    <a:srgbClr val="FFFFFF"/>
                  </a:solidFill>
                  <a:latin typeface="Calibri"/>
                  <a:cs typeface="Calibri"/>
                </a:rPr>
                <a:pPr algn="l"/>
                <a:t>Member Certification</a:t>
              </a:fld>
              <a:endParaRPr lang="en-US" sz="1100" b="1" i="0" u="none" strike="noStrike">
                <a:solidFill>
                  <a:schemeClr val="bg1"/>
                </a:solidFill>
                <a:latin typeface="Calibri"/>
              </a:endParaRPr>
            </a:p>
          </xdr:txBody>
        </xdr:sp>
        <xdr:sp macro="" textlink="$B$67">
          <xdr:nvSpPr>
            <xdr:cNvPr id="69" name="RENTAL_5_SECTION_SUBTITLE">
              <a:extLst>
                <a:ext uri="{FF2B5EF4-FFF2-40B4-BE49-F238E27FC236}">
                  <a16:creationId xmlns:a16="http://schemas.microsoft.com/office/drawing/2014/main" id="{00000000-0008-0000-0300-000045000000}"/>
                </a:ext>
              </a:extLst>
            </xdr:cNvPr>
            <xdr:cNvSpPr/>
          </xdr:nvSpPr>
          <xdr:spPr>
            <a:xfrm>
              <a:off x="9372598" y="17621098"/>
              <a:ext cx="7351776" cy="278553"/>
            </a:xfrm>
            <a:prstGeom prst="rect">
              <a:avLst/>
            </a:prstGeom>
            <a:solidFill>
              <a:schemeClr val="accent1">
                <a:lumMod val="20000"/>
                <a:lumOff val="80000"/>
              </a:schemeClr>
            </a:solidFill>
            <a:ln>
              <a:noFill/>
            </a:ln>
            <a:effectLst/>
          </xdr:spPr>
          <xdr:style>
            <a:lnRef idx="1">
              <a:schemeClr val="accent1"/>
            </a:lnRef>
            <a:fillRef idx="2">
              <a:schemeClr val="accent1"/>
            </a:fillRef>
            <a:effectRef idx="1">
              <a:schemeClr val="accent1"/>
            </a:effectRef>
            <a:fontRef idx="minor">
              <a:schemeClr val="dk1"/>
            </a:fontRef>
          </xdr:style>
          <xdr:txBody>
            <a:bodyPr vertOverflow="clip" lIns="457200" rtlCol="0" anchor="ctr"/>
            <a:lstStyle/>
            <a:p>
              <a:pPr algn="l"/>
              <a:fld id="{762594DE-3823-4529-9D07-42BEED13138B}" type="TxLink">
                <a:rPr lang="en-US" sz="900" b="0" i="0" u="none" strike="noStrike">
                  <a:solidFill>
                    <a:srgbClr val="000000"/>
                  </a:solidFill>
                  <a:latin typeface="Calibri"/>
                  <a:cs typeface="Calibri"/>
                </a:rPr>
                <a:pPr algn="l"/>
                <a:t>Not Started</a:t>
              </a:fld>
              <a:endParaRPr lang="en-US" sz="1100" i="0"/>
            </a:p>
          </xdr:txBody>
        </xdr:sp>
        <xdr:sp macro="" textlink="">
          <xdr:nvSpPr>
            <xdr:cNvPr id="70" name="RENTAL_5_SECTION_SUBTITLE_LABEL">
              <a:extLst>
                <a:ext uri="{FF2B5EF4-FFF2-40B4-BE49-F238E27FC236}">
                  <a16:creationId xmlns:a16="http://schemas.microsoft.com/office/drawing/2014/main" id="{00000000-0008-0000-0300-000046000000}"/>
                </a:ext>
              </a:extLst>
            </xdr:cNvPr>
            <xdr:cNvSpPr txBox="1"/>
          </xdr:nvSpPr>
          <xdr:spPr>
            <a:xfrm>
              <a:off x="9467850" y="17621098"/>
              <a:ext cx="476249" cy="2785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tlCol="0" anchor="ctr">
              <a:noAutofit/>
            </a:bodyPr>
            <a:lstStyle/>
            <a:p>
              <a:r>
                <a:rPr lang="en-US" sz="900" b="1"/>
                <a:t>Status:</a:t>
              </a:r>
            </a:p>
          </xdr:txBody>
        </xdr:sp>
      </xdr:grpSp>
      <xdr:sp macro="" textlink="">
        <xdr:nvSpPr>
          <xdr:cNvPr id="58" name="LINK_RENTAL_TOC">
            <a:hlinkClick xmlns:r="http://schemas.openxmlformats.org/officeDocument/2006/relationships" r:id="rId3"/>
            <a:extLst>
              <a:ext uri="{FF2B5EF4-FFF2-40B4-BE49-F238E27FC236}">
                <a16:creationId xmlns:a16="http://schemas.microsoft.com/office/drawing/2014/main" id="{00000000-0008-0000-0300-00003A000000}"/>
              </a:ext>
            </a:extLst>
          </xdr:cNvPr>
          <xdr:cNvSpPr/>
        </xdr:nvSpPr>
        <xdr:spPr>
          <a:xfrm>
            <a:off x="14525625" y="18297525"/>
            <a:ext cx="1028700" cy="30480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r"/>
            <a:r>
              <a:rPr lang="en-US" sz="1000" b="1" u="none">
                <a:solidFill>
                  <a:schemeClr val="bg1"/>
                </a:solidFill>
              </a:rPr>
              <a:t>Back</a:t>
            </a:r>
            <a:r>
              <a:rPr lang="en-US" sz="1000" b="1" u="none" baseline="0">
                <a:solidFill>
                  <a:schemeClr val="bg1"/>
                </a:solidFill>
              </a:rPr>
              <a:t> to Top ^</a:t>
            </a:r>
            <a:endParaRPr lang="en-US" sz="1000" b="1" u="none">
              <a:solidFill>
                <a:schemeClr val="bg1"/>
              </a:solidFill>
            </a:endParaRPr>
          </a:p>
        </xdr:txBody>
      </xdr:sp>
    </xdr:grpSp>
    <xdr:clientData fPrintsWithSheet="0"/>
  </xdr:twoCellAnchor>
  <xdr:oneCellAnchor>
    <xdr:from>
      <xdr:col>8</xdr:col>
      <xdr:colOff>200024</xdr:colOff>
      <xdr:row>17</xdr:row>
      <xdr:rowOff>9525</xdr:rowOff>
    </xdr:from>
    <xdr:ext cx="2200275" cy="264560"/>
    <xdr:sp macro="" textlink="$B$53">
      <xdr:nvSpPr>
        <xdr:cNvPr id="72" name="TOC_SECTION_9">
          <a:hlinkClick xmlns:r="http://schemas.openxmlformats.org/officeDocument/2006/relationships" r:id="rId6"/>
          <a:extLst>
            <a:ext uri="{FF2B5EF4-FFF2-40B4-BE49-F238E27FC236}">
              <a16:creationId xmlns:a16="http://schemas.microsoft.com/office/drawing/2014/main" id="{00000000-0008-0000-0300-000048000000}"/>
            </a:ext>
          </a:extLst>
        </xdr:cNvPr>
        <xdr:cNvSpPr txBox="1"/>
      </xdr:nvSpPr>
      <xdr:spPr>
        <a:xfrm>
          <a:off x="8486774" y="4524375"/>
          <a:ext cx="2200275" cy="2645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lIns="0" rtlCol="0" anchor="t">
          <a:noAutofit/>
        </a:bodyPr>
        <a:lstStyle/>
        <a:p>
          <a:pPr marL="0" indent="0" algn="l"/>
          <a:fld id="{9FA7E1F7-4F86-4A36-97C4-40980C6555E4}" type="TxLink">
            <a:rPr lang="en-US" sz="1000" b="1" i="0" u="sng" strike="noStrike">
              <a:solidFill>
                <a:schemeClr val="accent1">
                  <a:lumMod val="75000"/>
                </a:schemeClr>
              </a:solidFill>
              <a:latin typeface="Calibri"/>
              <a:ea typeface="+mn-ea"/>
              <a:cs typeface="Calibri"/>
            </a:rPr>
            <a:pPr marL="0" indent="0" algn="l"/>
            <a:t>Household &amp; Submission Details</a:t>
          </a:fld>
          <a:endParaRPr lang="en-US" sz="1000" b="1" i="0" u="sng" strike="noStrike">
            <a:solidFill>
              <a:schemeClr val="accent1">
                <a:lumMod val="75000"/>
              </a:schemeClr>
            </a:solidFill>
            <a:latin typeface="Calibri"/>
            <a:ea typeface="+mn-ea"/>
            <a:cs typeface="Calibri"/>
          </a:endParaRPr>
        </a:p>
      </xdr:txBody>
    </xdr:sp>
    <xdr:clientData fPrintsWithSheet="0"/>
  </xdr:oneCellAnchor>
  <xdr:twoCellAnchor>
    <xdr:from>
      <xdr:col>7</xdr:col>
      <xdr:colOff>66675</xdr:colOff>
      <xdr:row>13</xdr:row>
      <xdr:rowOff>228603</xdr:rowOff>
    </xdr:from>
    <xdr:to>
      <xdr:col>24</xdr:col>
      <xdr:colOff>104777</xdr:colOff>
      <xdr:row>18</xdr:row>
      <xdr:rowOff>0</xdr:rowOff>
    </xdr:to>
    <xdr:grpSp>
      <xdr:nvGrpSpPr>
        <xdr:cNvPr id="4" name="Group 3">
          <a:extLst>
            <a:ext uri="{FF2B5EF4-FFF2-40B4-BE49-F238E27FC236}">
              <a16:creationId xmlns:a16="http://schemas.microsoft.com/office/drawing/2014/main" id="{00000000-0008-0000-0300-000004000000}"/>
            </a:ext>
          </a:extLst>
        </xdr:cNvPr>
        <xdr:cNvGrpSpPr/>
      </xdr:nvGrpSpPr>
      <xdr:grpSpPr>
        <a:xfrm>
          <a:off x="66675" y="3638553"/>
          <a:ext cx="7362827" cy="1152522"/>
          <a:chOff x="8191500" y="3638553"/>
          <a:chExt cx="7362827" cy="1152522"/>
        </a:xfrm>
      </xdr:grpSpPr>
      <xdr:grpSp>
        <xdr:nvGrpSpPr>
          <xdr:cNvPr id="55" name="TABLE_OF_CONTENTS_RENTAL">
            <a:extLst>
              <a:ext uri="{FF2B5EF4-FFF2-40B4-BE49-F238E27FC236}">
                <a16:creationId xmlns:a16="http://schemas.microsoft.com/office/drawing/2014/main" id="{00000000-0008-0000-0300-000037000000}"/>
              </a:ext>
            </a:extLst>
          </xdr:cNvPr>
          <xdr:cNvGrpSpPr/>
        </xdr:nvGrpSpPr>
        <xdr:grpSpPr>
          <a:xfrm>
            <a:off x="8191500" y="3638553"/>
            <a:ext cx="7362827" cy="1152522"/>
            <a:chOff x="8191498" y="1276170"/>
            <a:chExt cx="7362827" cy="1140799"/>
          </a:xfrm>
        </xdr:grpSpPr>
        <xdr:grpSp>
          <xdr:nvGrpSpPr>
            <xdr:cNvPr id="56" name="RENTAL_TABLE_OF_CONTENTS">
              <a:extLst>
                <a:ext uri="{FF2B5EF4-FFF2-40B4-BE49-F238E27FC236}">
                  <a16:creationId xmlns:a16="http://schemas.microsoft.com/office/drawing/2014/main" id="{00000000-0008-0000-0300-000038000000}"/>
                </a:ext>
              </a:extLst>
            </xdr:cNvPr>
            <xdr:cNvGrpSpPr/>
          </xdr:nvGrpSpPr>
          <xdr:grpSpPr>
            <a:xfrm>
              <a:off x="8191498" y="1276170"/>
              <a:ext cx="7362827" cy="1140799"/>
              <a:chOff x="8191498" y="1276170"/>
              <a:chExt cx="7362827" cy="1140799"/>
            </a:xfrm>
          </xdr:grpSpPr>
          <xdr:sp macro="" textlink="">
            <xdr:nvSpPr>
              <xdr:cNvPr id="61" name="TOC_HEADER_BG">
                <a:extLst>
                  <a:ext uri="{FF2B5EF4-FFF2-40B4-BE49-F238E27FC236}">
                    <a16:creationId xmlns:a16="http://schemas.microsoft.com/office/drawing/2014/main" id="{00000000-0008-0000-0300-00003D000000}"/>
                  </a:ext>
                </a:extLst>
              </xdr:cNvPr>
              <xdr:cNvSpPr/>
            </xdr:nvSpPr>
            <xdr:spPr>
              <a:xfrm>
                <a:off x="8191498" y="1592257"/>
                <a:ext cx="7360921" cy="275969"/>
              </a:xfrm>
              <a:prstGeom prst="rect">
                <a:avLst/>
              </a:prstGeom>
              <a:solidFill>
                <a:schemeClr val="accent1">
                  <a:lumMod val="20000"/>
                  <a:lumOff val="80000"/>
                </a:schemeClr>
              </a:solidFill>
              <a:ln>
                <a:no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endParaRPr lang="en-US" sz="1100"/>
              </a:p>
            </xdr:txBody>
          </xdr:sp>
          <xdr:grpSp>
            <xdr:nvGrpSpPr>
              <xdr:cNvPr id="62" name="TOC">
                <a:extLst>
                  <a:ext uri="{FF2B5EF4-FFF2-40B4-BE49-F238E27FC236}">
                    <a16:creationId xmlns:a16="http://schemas.microsoft.com/office/drawing/2014/main" id="{00000000-0008-0000-0300-00003E000000}"/>
                  </a:ext>
                </a:extLst>
              </xdr:cNvPr>
              <xdr:cNvGrpSpPr/>
            </xdr:nvGrpSpPr>
            <xdr:grpSpPr>
              <a:xfrm>
                <a:off x="8191500" y="1276170"/>
                <a:ext cx="7362825" cy="1140799"/>
                <a:chOff x="9239250" y="1816952"/>
                <a:chExt cx="7362825" cy="879565"/>
              </a:xfrm>
              <a:effectLst/>
            </xdr:grpSpPr>
            <xdr:sp macro="" textlink="">
              <xdr:nvSpPr>
                <xdr:cNvPr id="67" name="Rectangle 66">
                  <a:extLst>
                    <a:ext uri="{FF2B5EF4-FFF2-40B4-BE49-F238E27FC236}">
                      <a16:creationId xmlns:a16="http://schemas.microsoft.com/office/drawing/2014/main" id="{00000000-0008-0000-0300-000043000000}"/>
                    </a:ext>
                  </a:extLst>
                </xdr:cNvPr>
                <xdr:cNvSpPr/>
              </xdr:nvSpPr>
              <xdr:spPr>
                <a:xfrm>
                  <a:off x="9239250" y="2052094"/>
                  <a:ext cx="7362825" cy="644423"/>
                </a:xfrm>
                <a:prstGeom prst="rect">
                  <a:avLst/>
                </a:prstGeom>
                <a:no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endParaRPr lang="en-US" sz="1100"/>
                </a:p>
              </xdr:txBody>
            </xdr:sp>
            <xdr:sp macro="" textlink="">
              <xdr:nvSpPr>
                <xdr:cNvPr id="68" name="Rectangle 67">
                  <a:extLst>
                    <a:ext uri="{FF2B5EF4-FFF2-40B4-BE49-F238E27FC236}">
                      <a16:creationId xmlns:a16="http://schemas.microsoft.com/office/drawing/2014/main" id="{00000000-0008-0000-0300-000044000000}"/>
                    </a:ext>
                  </a:extLst>
                </xdr:cNvPr>
                <xdr:cNvSpPr/>
              </xdr:nvSpPr>
              <xdr:spPr>
                <a:xfrm>
                  <a:off x="9239250" y="1816952"/>
                  <a:ext cx="7360920" cy="237265"/>
                </a:xfrm>
                <a:prstGeom prst="rect">
                  <a:avLst/>
                </a:prstGeom>
                <a:solidFill>
                  <a:srgbClr val="9CACB9"/>
                </a:solid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l"/>
                  <a:r>
                    <a:rPr lang="en-US" sz="1100" b="1">
                      <a:solidFill>
                        <a:schemeClr val="bg1"/>
                      </a:solidFill>
                    </a:rPr>
                    <a:t>Table of Contents</a:t>
                  </a:r>
                </a:p>
              </xdr:txBody>
            </xdr:sp>
          </xdr:grpSp>
          <xdr:sp macro="" textlink="">
            <xdr:nvSpPr>
              <xdr:cNvPr id="63" name="TOC_HEADER_LABEL_1">
                <a:extLst>
                  <a:ext uri="{FF2B5EF4-FFF2-40B4-BE49-F238E27FC236}">
                    <a16:creationId xmlns:a16="http://schemas.microsoft.com/office/drawing/2014/main" id="{00000000-0008-0000-0300-00003F000000}"/>
                  </a:ext>
                </a:extLst>
              </xdr:cNvPr>
              <xdr:cNvSpPr txBox="1"/>
            </xdr:nvSpPr>
            <xdr:spPr>
              <a:xfrm>
                <a:off x="8302028" y="1630443"/>
                <a:ext cx="1226450" cy="2644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lIns="0" rtlCol="0" anchor="t">
                <a:noAutofit/>
              </a:bodyPr>
              <a:lstStyle/>
              <a:p>
                <a:r>
                  <a:rPr lang="en-US" sz="1000" b="1"/>
                  <a:t>Section</a:t>
                </a:r>
              </a:p>
            </xdr:txBody>
          </xdr:sp>
          <xdr:sp macro="" textlink="">
            <xdr:nvSpPr>
              <xdr:cNvPr id="64" name="TOC_HEADER_LABEL_1">
                <a:extLst>
                  <a:ext uri="{FF2B5EF4-FFF2-40B4-BE49-F238E27FC236}">
                    <a16:creationId xmlns:a16="http://schemas.microsoft.com/office/drawing/2014/main" id="{00000000-0008-0000-0300-000040000000}"/>
                  </a:ext>
                </a:extLst>
              </xdr:cNvPr>
              <xdr:cNvSpPr txBox="1"/>
            </xdr:nvSpPr>
            <xdr:spPr>
              <a:xfrm>
                <a:off x="10988755" y="1630443"/>
                <a:ext cx="876784" cy="2644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tlCol="0" anchor="t">
                <a:noAutofit/>
              </a:bodyPr>
              <a:lstStyle/>
              <a:p>
                <a:r>
                  <a:rPr lang="en-US" sz="1000" b="1"/>
                  <a:t>Progress</a:t>
                </a:r>
              </a:p>
            </xdr:txBody>
          </xdr:sp>
          <xdr:sp macro="" textlink="">
            <xdr:nvSpPr>
              <xdr:cNvPr id="65" name="TOC_HEADER_LABEL_3">
                <a:extLst>
                  <a:ext uri="{FF2B5EF4-FFF2-40B4-BE49-F238E27FC236}">
                    <a16:creationId xmlns:a16="http://schemas.microsoft.com/office/drawing/2014/main" id="{00000000-0008-0000-0300-000041000000}"/>
                  </a:ext>
                </a:extLst>
              </xdr:cNvPr>
              <xdr:cNvSpPr txBox="1"/>
            </xdr:nvSpPr>
            <xdr:spPr>
              <a:xfrm>
                <a:off x="11990098" y="1630443"/>
                <a:ext cx="1226450" cy="2644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lIns="0" rtlCol="0" anchor="t">
                <a:noAutofit/>
              </a:bodyPr>
              <a:lstStyle/>
              <a:p>
                <a:r>
                  <a:rPr lang="en-US" sz="1000" b="1"/>
                  <a:t>Section</a:t>
                </a:r>
              </a:p>
            </xdr:txBody>
          </xdr:sp>
          <xdr:sp macro="" textlink="">
            <xdr:nvSpPr>
              <xdr:cNvPr id="66" name="TOC_HEADER_LABEL_4">
                <a:extLst>
                  <a:ext uri="{FF2B5EF4-FFF2-40B4-BE49-F238E27FC236}">
                    <a16:creationId xmlns:a16="http://schemas.microsoft.com/office/drawing/2014/main" id="{00000000-0008-0000-0300-000042000000}"/>
                  </a:ext>
                </a:extLst>
              </xdr:cNvPr>
              <xdr:cNvSpPr txBox="1"/>
            </xdr:nvSpPr>
            <xdr:spPr>
              <a:xfrm>
                <a:off x="14554212" y="1630443"/>
                <a:ext cx="871248" cy="2644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tlCol="0" anchor="t">
                <a:noAutofit/>
              </a:bodyPr>
              <a:lstStyle/>
              <a:p>
                <a:r>
                  <a:rPr lang="en-US" sz="1000" b="1"/>
                  <a:t>Progress</a:t>
                </a:r>
              </a:p>
            </xdr:txBody>
          </xdr:sp>
        </xdr:grpSp>
        <xdr:cxnSp macro="">
          <xdr:nvCxnSpPr>
            <xdr:cNvPr id="57" name="TOC_HEADER_VLINE">
              <a:extLst>
                <a:ext uri="{FF2B5EF4-FFF2-40B4-BE49-F238E27FC236}">
                  <a16:creationId xmlns:a16="http://schemas.microsoft.com/office/drawing/2014/main" id="{00000000-0008-0000-0300-000039000000}"/>
                </a:ext>
              </a:extLst>
            </xdr:cNvPr>
            <xdr:cNvCxnSpPr>
              <a:endCxn id="67" idx="2"/>
            </xdr:cNvCxnSpPr>
          </xdr:nvCxnSpPr>
          <xdr:spPr>
            <a:xfrm>
              <a:off x="11871960" y="1596774"/>
              <a:ext cx="953" cy="820195"/>
            </a:xfrm>
            <a:prstGeom prst="line">
              <a:avLst/>
            </a:prstGeom>
            <a:ln>
              <a:solidFill>
                <a:schemeClr val="bg1">
                  <a:lumMod val="85000"/>
                </a:schemeClr>
              </a:solidFill>
            </a:ln>
            <a:effectLst>
              <a:innerShdw blurRad="63500" dist="50800" dir="13500000">
                <a:prstClr val="black">
                  <a:alpha val="50000"/>
                </a:prstClr>
              </a:innerShdw>
            </a:effectLst>
          </xdr:spPr>
          <xdr:style>
            <a:lnRef idx="1">
              <a:schemeClr val="accent1"/>
            </a:lnRef>
            <a:fillRef idx="0">
              <a:schemeClr val="accent1"/>
            </a:fillRef>
            <a:effectRef idx="0">
              <a:schemeClr val="accent1"/>
            </a:effectRef>
            <a:fontRef idx="minor">
              <a:schemeClr val="tx1"/>
            </a:fontRef>
          </xdr:style>
        </xdr:cxnSp>
      </xdr:grpSp>
      <xdr:cxnSp macro="">
        <xdr:nvCxnSpPr>
          <xdr:cNvPr id="73" name="DOTTED_LINE">
            <a:extLst>
              <a:ext uri="{FF2B5EF4-FFF2-40B4-BE49-F238E27FC236}">
                <a16:creationId xmlns:a16="http://schemas.microsoft.com/office/drawing/2014/main" id="{00000000-0008-0000-0300-000049000000}"/>
              </a:ext>
            </a:extLst>
          </xdr:cNvPr>
          <xdr:cNvCxnSpPr/>
        </xdr:nvCxnSpPr>
        <xdr:spPr>
          <a:xfrm flipH="1">
            <a:off x="8191500" y="4514853"/>
            <a:ext cx="7362825" cy="0"/>
          </a:xfrm>
          <a:prstGeom prst="line">
            <a:avLst/>
          </a:prstGeom>
          <a:ln w="9525" cap="rnd">
            <a:solidFill>
              <a:schemeClr val="bg1">
                <a:lumMod val="85000"/>
              </a:schemeClr>
            </a:solidFill>
            <a:prstDash val="solid"/>
            <a:round/>
          </a:ln>
        </xdr:spPr>
        <xdr:style>
          <a:lnRef idx="1">
            <a:schemeClr val="dk1"/>
          </a:lnRef>
          <a:fillRef idx="0">
            <a:schemeClr val="dk1"/>
          </a:fillRef>
          <a:effectRef idx="0">
            <a:schemeClr val="dk1"/>
          </a:effectRef>
          <a:fontRef idx="minor">
            <a:schemeClr val="tx1"/>
          </a:fontRef>
        </xdr:style>
      </xdr:cxnSp>
    </xdr:grpSp>
    <xdr:clientData/>
  </xdr:twoCellAnchor>
</xdr:wsDr>
</file>

<file path=xl/drawings/drawing5.xml><?xml version="1.0" encoding="utf-8"?>
<xdr:wsDr xmlns:xdr="http://schemas.openxmlformats.org/drawingml/2006/spreadsheetDrawing" xmlns:a="http://schemas.openxmlformats.org/drawingml/2006/main">
  <xdr:oneCellAnchor>
    <xdr:from>
      <xdr:col>16</xdr:col>
      <xdr:colOff>295275</xdr:colOff>
      <xdr:row>17</xdr:row>
      <xdr:rowOff>9525</xdr:rowOff>
    </xdr:from>
    <xdr:ext cx="2200275" cy="264560"/>
    <xdr:sp macro="" textlink="$B$132">
      <xdr:nvSpPr>
        <xdr:cNvPr id="2" name="TOC_SECTION_10">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4225925" y="4549775"/>
          <a:ext cx="2200275" cy="2645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lIns="0" rtlCol="0" anchor="t">
          <a:noAutofit/>
        </a:bodyPr>
        <a:lstStyle/>
        <a:p>
          <a:pPr algn="l"/>
          <a:fld id="{BFAA168D-172E-4430-9045-F99273F30A4A}" type="TxLink">
            <a:rPr lang="en-US" sz="1000" b="1" i="0" u="sng" strike="noStrike">
              <a:solidFill>
                <a:schemeClr val="accent1">
                  <a:lumMod val="75000"/>
                </a:schemeClr>
              </a:solidFill>
              <a:latin typeface="Calibri"/>
              <a:ea typeface="Calibri"/>
              <a:cs typeface="Calibri"/>
            </a:rPr>
            <a:pPr algn="l"/>
            <a:t>Household Qualification</a:t>
          </a:fld>
          <a:endParaRPr lang="en-US" sz="1000" b="1" i="0" u="sng">
            <a:solidFill>
              <a:schemeClr val="accent1">
                <a:lumMod val="75000"/>
              </a:schemeClr>
            </a:solidFill>
          </a:endParaRPr>
        </a:p>
      </xdr:txBody>
    </xdr:sp>
    <xdr:clientData fPrintsWithSheet="0"/>
  </xdr:oneCellAnchor>
  <xdr:oneCellAnchor>
    <xdr:from>
      <xdr:col>8</xdr:col>
      <xdr:colOff>200024</xdr:colOff>
      <xdr:row>16</xdr:row>
      <xdr:rowOff>9525</xdr:rowOff>
    </xdr:from>
    <xdr:ext cx="2295525" cy="264560"/>
    <xdr:sp macro="" textlink="$B$27">
      <xdr:nvSpPr>
        <xdr:cNvPr id="3" name="TOC_SECTION_1">
          <a:hlinkClick xmlns:r="http://schemas.openxmlformats.org/officeDocument/2006/relationships" r:id="rId2"/>
          <a:extLst>
            <a:ext uri="{FF2B5EF4-FFF2-40B4-BE49-F238E27FC236}">
              <a16:creationId xmlns:a16="http://schemas.microsoft.com/office/drawing/2014/main" id="{00000000-0008-0000-0400-000003000000}"/>
            </a:ext>
          </a:extLst>
        </xdr:cNvPr>
        <xdr:cNvSpPr txBox="1"/>
      </xdr:nvSpPr>
      <xdr:spPr>
        <a:xfrm>
          <a:off x="371474" y="4270375"/>
          <a:ext cx="2295525" cy="2645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lIns="0" rtlCol="0" anchor="t">
          <a:noAutofit/>
        </a:bodyPr>
        <a:lstStyle/>
        <a:p>
          <a:pPr marL="0" indent="0" algn="l"/>
          <a:fld id="{F6F54798-E607-4CA9-99FB-B3AB05C568D1}" type="TxLink">
            <a:rPr lang="en-US" sz="1000" b="1" i="0" u="sng" strike="noStrike">
              <a:solidFill>
                <a:schemeClr val="accent1">
                  <a:lumMod val="75000"/>
                </a:schemeClr>
              </a:solidFill>
              <a:latin typeface="Calibri"/>
              <a:ea typeface="+mn-ea"/>
              <a:cs typeface="+mn-cs"/>
            </a:rPr>
            <a:pPr marL="0" indent="0" algn="l"/>
            <a:t>FHLBNY Member</a:t>
          </a:fld>
          <a:endParaRPr lang="en-US" sz="1000" b="1" i="0" u="sng" strike="noStrike">
            <a:solidFill>
              <a:schemeClr val="accent1">
                <a:lumMod val="75000"/>
              </a:schemeClr>
            </a:solidFill>
            <a:latin typeface="Calibri"/>
            <a:ea typeface="+mn-ea"/>
            <a:cs typeface="+mn-cs"/>
          </a:endParaRPr>
        </a:p>
      </xdr:txBody>
    </xdr:sp>
    <xdr:clientData fPrintsWithSheet="0"/>
  </xdr:oneCellAnchor>
  <xdr:oneCellAnchor>
    <xdr:from>
      <xdr:col>8</xdr:col>
      <xdr:colOff>200024</xdr:colOff>
      <xdr:row>17</xdr:row>
      <xdr:rowOff>9525</xdr:rowOff>
    </xdr:from>
    <xdr:ext cx="2295525" cy="264560"/>
    <xdr:sp macro="" textlink="$B$60">
      <xdr:nvSpPr>
        <xdr:cNvPr id="4" name="TOC_SECTION_2">
          <a:hlinkClick xmlns:r="http://schemas.openxmlformats.org/officeDocument/2006/relationships" r:id="rId3"/>
          <a:extLst>
            <a:ext uri="{FF2B5EF4-FFF2-40B4-BE49-F238E27FC236}">
              <a16:creationId xmlns:a16="http://schemas.microsoft.com/office/drawing/2014/main" id="{00000000-0008-0000-0400-000004000000}"/>
            </a:ext>
          </a:extLst>
        </xdr:cNvPr>
        <xdr:cNvSpPr txBox="1"/>
      </xdr:nvSpPr>
      <xdr:spPr>
        <a:xfrm>
          <a:off x="371474" y="4549775"/>
          <a:ext cx="2295525" cy="2645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lIns="0" rtlCol="0" anchor="t">
          <a:noAutofit/>
        </a:bodyPr>
        <a:lstStyle/>
        <a:p>
          <a:pPr marL="0" indent="0" algn="l"/>
          <a:fld id="{60896E56-02AF-450F-83A0-DE79B7AE6E83}" type="TxLink">
            <a:rPr lang="en-US" sz="1000" b="1" i="0" u="sng" strike="noStrike">
              <a:solidFill>
                <a:schemeClr val="accent1">
                  <a:lumMod val="75000"/>
                </a:schemeClr>
              </a:solidFill>
              <a:latin typeface="Calibri"/>
              <a:ea typeface="+mn-ea"/>
              <a:cs typeface="+mn-cs"/>
            </a:rPr>
            <a:pPr marL="0" indent="0" algn="l"/>
            <a:t>Household Information</a:t>
          </a:fld>
          <a:endParaRPr lang="en-US" sz="1000" b="1" i="0" u="sng" strike="noStrike">
            <a:solidFill>
              <a:schemeClr val="accent1">
                <a:lumMod val="75000"/>
              </a:schemeClr>
            </a:solidFill>
            <a:latin typeface="Calibri"/>
            <a:ea typeface="+mn-ea"/>
            <a:cs typeface="+mn-cs"/>
          </a:endParaRPr>
        </a:p>
      </xdr:txBody>
    </xdr:sp>
    <xdr:clientData fPrintsWithSheet="0"/>
  </xdr:oneCellAnchor>
  <xdr:oneCellAnchor>
    <xdr:from>
      <xdr:col>8</xdr:col>
      <xdr:colOff>200024</xdr:colOff>
      <xdr:row>18</xdr:row>
      <xdr:rowOff>9525</xdr:rowOff>
    </xdr:from>
    <xdr:ext cx="2295525" cy="264560"/>
    <xdr:sp macro="" textlink="$B$83">
      <xdr:nvSpPr>
        <xdr:cNvPr id="5" name="TOC_SECTION_3">
          <a:hlinkClick xmlns:r="http://schemas.openxmlformats.org/officeDocument/2006/relationships" r:id="rId4"/>
          <a:extLst>
            <a:ext uri="{FF2B5EF4-FFF2-40B4-BE49-F238E27FC236}">
              <a16:creationId xmlns:a16="http://schemas.microsoft.com/office/drawing/2014/main" id="{00000000-0008-0000-0400-000005000000}"/>
            </a:ext>
          </a:extLst>
        </xdr:cNvPr>
        <xdr:cNvSpPr txBox="1"/>
      </xdr:nvSpPr>
      <xdr:spPr>
        <a:xfrm>
          <a:off x="371474" y="4829175"/>
          <a:ext cx="2295525" cy="2645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lIns="0" rtlCol="0" anchor="t">
          <a:noAutofit/>
        </a:bodyPr>
        <a:lstStyle/>
        <a:p>
          <a:pPr algn="l"/>
          <a:fld id="{F3897FBB-DF3B-4B73-902D-D31EFF95B025}" type="TxLink">
            <a:rPr lang="en-US" sz="1000" b="1" i="0" u="sng" strike="noStrike">
              <a:solidFill>
                <a:schemeClr val="accent1">
                  <a:lumMod val="75000"/>
                </a:schemeClr>
              </a:solidFill>
              <a:latin typeface="Calibri"/>
              <a:ea typeface="Calibri"/>
              <a:cs typeface="Calibri"/>
            </a:rPr>
            <a:pPr algn="l"/>
            <a:t>Grant Summary</a:t>
          </a:fld>
          <a:endParaRPr lang="en-US" sz="1000" b="1" i="0" u="sng">
            <a:solidFill>
              <a:schemeClr val="accent1">
                <a:lumMod val="75000"/>
              </a:schemeClr>
            </a:solidFill>
          </a:endParaRPr>
        </a:p>
      </xdr:txBody>
    </xdr:sp>
    <xdr:clientData fPrintsWithSheet="0"/>
  </xdr:oneCellAnchor>
  <xdr:oneCellAnchor>
    <xdr:from>
      <xdr:col>16</xdr:col>
      <xdr:colOff>295275</xdr:colOff>
      <xdr:row>16</xdr:row>
      <xdr:rowOff>9525</xdr:rowOff>
    </xdr:from>
    <xdr:ext cx="2200275" cy="264560"/>
    <xdr:sp macro="" textlink="$B$107">
      <xdr:nvSpPr>
        <xdr:cNvPr id="6" name="TOC_SECTION_9">
          <a:hlinkClick xmlns:r="http://schemas.openxmlformats.org/officeDocument/2006/relationships" r:id="rId5"/>
          <a:extLst>
            <a:ext uri="{FF2B5EF4-FFF2-40B4-BE49-F238E27FC236}">
              <a16:creationId xmlns:a16="http://schemas.microsoft.com/office/drawing/2014/main" id="{00000000-0008-0000-0400-000006000000}"/>
            </a:ext>
          </a:extLst>
        </xdr:cNvPr>
        <xdr:cNvSpPr txBox="1"/>
      </xdr:nvSpPr>
      <xdr:spPr>
        <a:xfrm>
          <a:off x="4225925" y="4270375"/>
          <a:ext cx="2200275" cy="2645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lIns="0" rtlCol="0" anchor="t">
          <a:noAutofit/>
        </a:bodyPr>
        <a:lstStyle/>
        <a:p>
          <a:pPr algn="l"/>
          <a:fld id="{177A4A5A-073A-414A-AACE-C550FFAA6913}" type="TxLink">
            <a:rPr lang="en-US" sz="1000" b="1" i="0" u="sng" strike="noStrike">
              <a:solidFill>
                <a:schemeClr val="accent1">
                  <a:lumMod val="75000"/>
                </a:schemeClr>
              </a:solidFill>
              <a:latin typeface="Calibri"/>
              <a:ea typeface="Calibri"/>
              <a:cs typeface="Calibri"/>
            </a:rPr>
            <a:pPr algn="l"/>
            <a:t>Purchase Property</a:t>
          </a:fld>
          <a:endParaRPr lang="en-US" sz="1000" b="1" i="0" u="sng">
            <a:solidFill>
              <a:schemeClr val="accent1">
                <a:lumMod val="75000"/>
              </a:schemeClr>
            </a:solidFill>
          </a:endParaRPr>
        </a:p>
      </xdr:txBody>
    </xdr:sp>
    <xdr:clientData fPrintsWithSheet="0"/>
  </xdr:oneCellAnchor>
  <xdr:twoCellAnchor editAs="absolute">
    <xdr:from>
      <xdr:col>16384</xdr:col>
      <xdr:colOff>607578</xdr:colOff>
      <xdr:row>13</xdr:row>
      <xdr:rowOff>180975</xdr:rowOff>
    </xdr:from>
    <xdr:to>
      <xdr:col>16384</xdr:col>
      <xdr:colOff>607578</xdr:colOff>
      <xdr:row>15</xdr:row>
      <xdr:rowOff>228600</xdr:rowOff>
    </xdr:to>
    <xdr:sp macro="" textlink="">
      <xdr:nvSpPr>
        <xdr:cNvPr id="7" name="COVER_CELLS_01">
          <a:extLst>
            <a:ext uri="{FF2B5EF4-FFF2-40B4-BE49-F238E27FC236}">
              <a16:creationId xmlns:a16="http://schemas.microsoft.com/office/drawing/2014/main" id="{00000000-0008-0000-0400-000007000000}"/>
            </a:ext>
          </a:extLst>
        </xdr:cNvPr>
        <xdr:cNvSpPr/>
      </xdr:nvSpPr>
      <xdr:spPr>
        <a:xfrm>
          <a:off x="8468878" y="3603625"/>
          <a:ext cx="0" cy="606425"/>
        </a:xfrm>
        <a:prstGeom prst="rect">
          <a:avLst/>
        </a:prstGeom>
        <a:solidFill>
          <a:srgbClr val="FFFFFF">
            <a:alpha val="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fPrintsWithSheet="0"/>
  </xdr:twoCellAnchor>
  <xdr:twoCellAnchor>
    <xdr:from>
      <xdr:col>7</xdr:col>
      <xdr:colOff>24775</xdr:colOff>
      <xdr:row>134</xdr:row>
      <xdr:rowOff>190501</xdr:rowOff>
    </xdr:from>
    <xdr:to>
      <xdr:col>24</xdr:col>
      <xdr:colOff>152399</xdr:colOff>
      <xdr:row>136</xdr:row>
      <xdr:rowOff>0</xdr:rowOff>
    </xdr:to>
    <xdr:grpSp>
      <xdr:nvGrpSpPr>
        <xdr:cNvPr id="8" name="Group 7">
          <a:extLst>
            <a:ext uri="{FF2B5EF4-FFF2-40B4-BE49-F238E27FC236}">
              <a16:creationId xmlns:a16="http://schemas.microsoft.com/office/drawing/2014/main" id="{00000000-0008-0000-0400-000008000000}"/>
            </a:ext>
          </a:extLst>
        </xdr:cNvPr>
        <xdr:cNvGrpSpPr/>
      </xdr:nvGrpSpPr>
      <xdr:grpSpPr>
        <a:xfrm>
          <a:off x="24775" y="37023676"/>
          <a:ext cx="7452349" cy="361949"/>
          <a:chOff x="9296399" y="16259175"/>
          <a:chExt cx="7452359" cy="371473"/>
        </a:xfrm>
      </xdr:grpSpPr>
      <xdr:sp macro="" textlink="CONFIG_EFORM_DOC_ID_NAME">
        <xdr:nvSpPr>
          <xdr:cNvPr id="9" name="FOOTER_BG">
            <a:extLst>
              <a:ext uri="{FF2B5EF4-FFF2-40B4-BE49-F238E27FC236}">
                <a16:creationId xmlns:a16="http://schemas.microsoft.com/office/drawing/2014/main" id="{00000000-0008-0000-0400-000009000000}"/>
              </a:ext>
            </a:extLst>
          </xdr:cNvPr>
          <xdr:cNvSpPr/>
        </xdr:nvSpPr>
        <xdr:spPr>
          <a:xfrm>
            <a:off x="9296399" y="16259175"/>
            <a:ext cx="7452359" cy="371473"/>
          </a:xfrm>
          <a:prstGeom prst="rect">
            <a:avLst/>
          </a:prstGeom>
          <a:solidFill>
            <a:srgbClr val="00305E"/>
          </a:solidFill>
          <a:ln>
            <a:noFill/>
          </a:ln>
          <a:effectLst/>
        </xdr:spPr>
        <xdr:style>
          <a:lnRef idx="1">
            <a:schemeClr val="accent1"/>
          </a:lnRef>
          <a:fillRef idx="3">
            <a:schemeClr val="accent1"/>
          </a:fillRef>
          <a:effectRef idx="2">
            <a:schemeClr val="accent1"/>
          </a:effectRef>
          <a:fontRef idx="minor">
            <a:schemeClr val="lt1"/>
          </a:fontRef>
        </xdr:style>
        <xdr:txBody>
          <a:bodyPr vertOverflow="clip" rtlCol="0" anchor="ctr"/>
          <a:lstStyle/>
          <a:p>
            <a:pPr marL="0" marR="0" indent="0" algn="r" defTabSz="914400" eaLnBrk="1" fontAlgn="auto" latinLnBrk="0" hangingPunct="1">
              <a:lnSpc>
                <a:spcPct val="100000"/>
              </a:lnSpc>
              <a:spcBef>
                <a:spcPts val="0"/>
              </a:spcBef>
              <a:spcAft>
                <a:spcPts val="0"/>
              </a:spcAft>
              <a:buClrTx/>
              <a:buSzTx/>
              <a:buFontTx/>
              <a:buNone/>
              <a:tabLst/>
              <a:defRPr/>
            </a:pPr>
            <a:fld id="{318D66D7-35C3-43A5-9A89-905D240885C5}" type="TxLink">
              <a:rPr lang="en-US" sz="1000" b="1" i="0" u="none" strike="noStrike">
                <a:solidFill>
                  <a:schemeClr val="bg1"/>
                </a:solidFill>
                <a:latin typeface="+mn-lt"/>
                <a:ea typeface="+mn-ea"/>
                <a:cs typeface="Calibri"/>
              </a:rPr>
              <a:pPr marL="0" marR="0" indent="0" algn="r" defTabSz="914400" eaLnBrk="1" fontAlgn="auto" latinLnBrk="0" hangingPunct="1">
                <a:lnSpc>
                  <a:spcPct val="100000"/>
                </a:lnSpc>
                <a:spcBef>
                  <a:spcPts val="0"/>
                </a:spcBef>
                <a:spcAft>
                  <a:spcPts val="0"/>
                </a:spcAft>
                <a:buClrTx/>
                <a:buSzTx/>
                <a:buFontTx/>
                <a:buNone/>
                <a:tabLst/>
                <a:defRPr/>
              </a:pPr>
              <a:t>HDP-005: Homebuyer Dream Program® Request Form</a:t>
            </a:fld>
            <a:endParaRPr lang="en-US" sz="1000" b="1">
              <a:solidFill>
                <a:schemeClr val="bg1"/>
              </a:solidFill>
              <a:latin typeface="+mn-lt"/>
            </a:endParaRPr>
          </a:p>
        </xdr:txBody>
      </xdr:sp>
      <xdr:sp macro="" textlink="">
        <xdr:nvSpPr>
          <xdr:cNvPr id="10" name="FOOTER_LINK_PAGETOP">
            <a:hlinkClick xmlns:r="http://schemas.openxmlformats.org/officeDocument/2006/relationships" r:id="rId6"/>
            <a:extLst>
              <a:ext uri="{FF2B5EF4-FFF2-40B4-BE49-F238E27FC236}">
                <a16:creationId xmlns:a16="http://schemas.microsoft.com/office/drawing/2014/main" id="{00000000-0008-0000-0400-00000A000000}"/>
              </a:ext>
            </a:extLst>
          </xdr:cNvPr>
          <xdr:cNvSpPr/>
        </xdr:nvSpPr>
        <xdr:spPr>
          <a:xfrm>
            <a:off x="9296399" y="16259175"/>
            <a:ext cx="1126715" cy="36195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u="none">
                <a:solidFill>
                  <a:schemeClr val="bg1"/>
                </a:solidFill>
                <a:latin typeface="+mn-lt"/>
              </a:rPr>
              <a:t>^ Back to Top</a:t>
            </a:r>
          </a:p>
        </xdr:txBody>
      </xdr:sp>
    </xdr:grpSp>
    <xdr:clientData fPrintsWithSheet="0"/>
  </xdr:twoCellAnchor>
  <xdr:oneCellAnchor>
    <xdr:from>
      <xdr:col>12</xdr:col>
      <xdr:colOff>1076325</xdr:colOff>
      <xdr:row>12</xdr:row>
      <xdr:rowOff>0</xdr:rowOff>
    </xdr:from>
    <xdr:ext cx="184731" cy="264560"/>
    <xdr:sp macro="" textlink="">
      <xdr:nvSpPr>
        <xdr:cNvPr id="11" name="TextBox 10">
          <a:extLst>
            <a:ext uri="{FF2B5EF4-FFF2-40B4-BE49-F238E27FC236}">
              <a16:creationId xmlns:a16="http://schemas.microsoft.com/office/drawing/2014/main" id="{00000000-0008-0000-0400-00000B000000}"/>
            </a:ext>
          </a:extLst>
        </xdr:cNvPr>
        <xdr:cNvSpPr txBox="1"/>
      </xdr:nvSpPr>
      <xdr:spPr>
        <a:xfrm>
          <a:off x="27971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oneCellAnchor>
    <xdr:from>
      <xdr:col>16</xdr:col>
      <xdr:colOff>1076325</xdr:colOff>
      <xdr:row>12</xdr:row>
      <xdr:rowOff>0</xdr:rowOff>
    </xdr:from>
    <xdr:ext cx="184731" cy="264560"/>
    <xdr:sp macro="" textlink="">
      <xdr:nvSpPr>
        <xdr:cNvPr id="12" name="TextBox 11">
          <a:extLst>
            <a:ext uri="{FF2B5EF4-FFF2-40B4-BE49-F238E27FC236}">
              <a16:creationId xmlns:a16="http://schemas.microsoft.com/office/drawing/2014/main" id="{00000000-0008-0000-0400-00000C000000}"/>
            </a:ext>
          </a:extLst>
        </xdr:cNvPr>
        <xdr:cNvSpPr txBox="1"/>
      </xdr:nvSpPr>
      <xdr:spPr>
        <a:xfrm>
          <a:off x="46767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oneCellAnchor>
    <xdr:from>
      <xdr:col>16</xdr:col>
      <xdr:colOff>1076325</xdr:colOff>
      <xdr:row>12</xdr:row>
      <xdr:rowOff>0</xdr:rowOff>
    </xdr:from>
    <xdr:ext cx="184731" cy="264560"/>
    <xdr:sp macro="" textlink="">
      <xdr:nvSpPr>
        <xdr:cNvPr id="13" name="TextBox 12">
          <a:extLst>
            <a:ext uri="{FF2B5EF4-FFF2-40B4-BE49-F238E27FC236}">
              <a16:creationId xmlns:a16="http://schemas.microsoft.com/office/drawing/2014/main" id="{00000000-0008-0000-0400-00000D000000}"/>
            </a:ext>
          </a:extLst>
        </xdr:cNvPr>
        <xdr:cNvSpPr txBox="1"/>
      </xdr:nvSpPr>
      <xdr:spPr>
        <a:xfrm>
          <a:off x="46767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oneCellAnchor>
    <xdr:from>
      <xdr:col>16</xdr:col>
      <xdr:colOff>1076325</xdr:colOff>
      <xdr:row>12</xdr:row>
      <xdr:rowOff>0</xdr:rowOff>
    </xdr:from>
    <xdr:ext cx="184731" cy="264560"/>
    <xdr:sp macro="" textlink="">
      <xdr:nvSpPr>
        <xdr:cNvPr id="14" name="TextBox 13">
          <a:extLst>
            <a:ext uri="{FF2B5EF4-FFF2-40B4-BE49-F238E27FC236}">
              <a16:creationId xmlns:a16="http://schemas.microsoft.com/office/drawing/2014/main" id="{00000000-0008-0000-0400-00000E000000}"/>
            </a:ext>
          </a:extLst>
        </xdr:cNvPr>
        <xdr:cNvSpPr txBox="1"/>
      </xdr:nvSpPr>
      <xdr:spPr>
        <a:xfrm>
          <a:off x="46767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twoCellAnchor editAs="oneCell">
    <xdr:from>
      <xdr:col>7</xdr:col>
      <xdr:colOff>66675</xdr:colOff>
      <xdr:row>19</xdr:row>
      <xdr:rowOff>180976</xdr:rowOff>
    </xdr:from>
    <xdr:to>
      <xdr:col>24</xdr:col>
      <xdr:colOff>104776</xdr:colOff>
      <xdr:row>24</xdr:row>
      <xdr:rowOff>123827</xdr:rowOff>
    </xdr:to>
    <xdr:grpSp>
      <xdr:nvGrpSpPr>
        <xdr:cNvPr id="15" name="Group 14">
          <a:extLst>
            <a:ext uri="{FF2B5EF4-FFF2-40B4-BE49-F238E27FC236}">
              <a16:creationId xmlns:a16="http://schemas.microsoft.com/office/drawing/2014/main" id="{00000000-0008-0000-0400-00000F000000}"/>
            </a:ext>
          </a:extLst>
        </xdr:cNvPr>
        <xdr:cNvGrpSpPr/>
      </xdr:nvGrpSpPr>
      <xdr:grpSpPr>
        <a:xfrm>
          <a:off x="66675" y="5248276"/>
          <a:ext cx="7362826" cy="1323976"/>
          <a:chOff x="8191500" y="5295900"/>
          <a:chExt cx="7362826" cy="1197883"/>
        </a:xfrm>
      </xdr:grpSpPr>
      <xdr:grpSp>
        <xdr:nvGrpSpPr>
          <xdr:cNvPr id="16" name="RENTAL_1">
            <a:extLst>
              <a:ext uri="{FF2B5EF4-FFF2-40B4-BE49-F238E27FC236}">
                <a16:creationId xmlns:a16="http://schemas.microsoft.com/office/drawing/2014/main" id="{00000000-0008-0000-0400-000010000000}"/>
              </a:ext>
            </a:extLst>
          </xdr:cNvPr>
          <xdr:cNvGrpSpPr/>
        </xdr:nvGrpSpPr>
        <xdr:grpSpPr>
          <a:xfrm>
            <a:off x="8191500" y="5295901"/>
            <a:ext cx="7362825" cy="1197882"/>
            <a:chOff x="8191500" y="4057651"/>
            <a:chExt cx="7362825" cy="1197882"/>
          </a:xfrm>
        </xdr:grpSpPr>
        <xdr:sp macro="" textlink="">
          <xdr:nvSpPr>
            <xdr:cNvPr id="18" name="RENTAL_1_SECTION_FRAME">
              <a:extLst>
                <a:ext uri="{FF2B5EF4-FFF2-40B4-BE49-F238E27FC236}">
                  <a16:creationId xmlns:a16="http://schemas.microsoft.com/office/drawing/2014/main" id="{00000000-0008-0000-0400-000012000000}"/>
                </a:ext>
              </a:extLst>
            </xdr:cNvPr>
            <xdr:cNvSpPr/>
          </xdr:nvSpPr>
          <xdr:spPr>
            <a:xfrm>
              <a:off x="8191500" y="4367099"/>
              <a:ext cx="7362825" cy="888434"/>
            </a:xfrm>
            <a:prstGeom prst="rect">
              <a:avLst/>
            </a:prstGeom>
            <a:no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endParaRPr lang="en-US" sz="1100"/>
            </a:p>
          </xdr:txBody>
        </xdr:sp>
        <xdr:sp macro="" textlink="B18">
          <xdr:nvSpPr>
            <xdr:cNvPr id="19" name="RENTAL_1_SECTION_TITLE">
              <a:extLst>
                <a:ext uri="{FF2B5EF4-FFF2-40B4-BE49-F238E27FC236}">
                  <a16:creationId xmlns:a16="http://schemas.microsoft.com/office/drawing/2014/main" id="{00000000-0008-0000-0400-000013000000}"/>
                </a:ext>
              </a:extLst>
            </xdr:cNvPr>
            <xdr:cNvSpPr/>
          </xdr:nvSpPr>
          <xdr:spPr>
            <a:xfrm>
              <a:off x="8191500" y="4057651"/>
              <a:ext cx="7360920" cy="311090"/>
            </a:xfrm>
            <a:prstGeom prst="rect">
              <a:avLst/>
            </a:prstGeom>
            <a:solidFill>
              <a:srgbClr val="9CACB9"/>
            </a:solid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l"/>
              <a:fld id="{41F85F06-3A35-4C2E-A513-A2CFAECED2A4}" type="TxLink">
                <a:rPr lang="en-US" sz="1100" b="1" i="0" u="none" strike="noStrike">
                  <a:solidFill>
                    <a:schemeClr val="bg1"/>
                  </a:solidFill>
                  <a:latin typeface="Calibri"/>
                </a:rPr>
                <a:pPr algn="l"/>
                <a:t>Federal Home Loan Bank of New York Member</a:t>
              </a:fld>
              <a:endParaRPr lang="en-US" sz="1100" b="1" i="0">
                <a:solidFill>
                  <a:schemeClr val="bg1"/>
                </a:solidFill>
              </a:endParaRPr>
            </a:p>
          </xdr:txBody>
        </xdr:sp>
        <xdr:sp macro="" textlink="$B$25">
          <xdr:nvSpPr>
            <xdr:cNvPr id="20" name="RENTAL_1_SECTION_SUBTITLE">
              <a:extLst>
                <a:ext uri="{FF2B5EF4-FFF2-40B4-BE49-F238E27FC236}">
                  <a16:creationId xmlns:a16="http://schemas.microsoft.com/office/drawing/2014/main" id="{00000000-0008-0000-0400-000014000000}"/>
                </a:ext>
              </a:extLst>
            </xdr:cNvPr>
            <xdr:cNvSpPr/>
          </xdr:nvSpPr>
          <xdr:spPr>
            <a:xfrm>
              <a:off x="8201025" y="4379110"/>
              <a:ext cx="7351776" cy="274320"/>
            </a:xfrm>
            <a:prstGeom prst="rect">
              <a:avLst/>
            </a:prstGeom>
            <a:solidFill>
              <a:schemeClr val="accent1">
                <a:lumMod val="20000"/>
                <a:lumOff val="80000"/>
              </a:schemeClr>
            </a:solidFill>
            <a:ln>
              <a:noFill/>
            </a:ln>
            <a:effectLst/>
          </xdr:spPr>
          <xdr:style>
            <a:lnRef idx="1">
              <a:schemeClr val="accent1"/>
            </a:lnRef>
            <a:fillRef idx="2">
              <a:schemeClr val="accent1"/>
            </a:fillRef>
            <a:effectRef idx="1">
              <a:schemeClr val="accent1"/>
            </a:effectRef>
            <a:fontRef idx="minor">
              <a:schemeClr val="dk1"/>
            </a:fontRef>
          </xdr:style>
          <xdr:txBody>
            <a:bodyPr vertOverflow="clip" lIns="457200" rtlCol="0" anchor="ctr"/>
            <a:lstStyle/>
            <a:p>
              <a:pPr algn="l"/>
              <a:fld id="{CCDC5A28-C611-4D0B-B4D7-393A7AD37E0E}" type="TxLink">
                <a:rPr lang="en-US" sz="900" b="0" i="0" u="none" strike="noStrike">
                  <a:solidFill>
                    <a:srgbClr val="000000"/>
                  </a:solidFill>
                  <a:latin typeface="Calibri"/>
                </a:rPr>
                <a:pPr algn="l"/>
                <a:t>Not Started</a:t>
              </a:fld>
              <a:endParaRPr lang="en-US" sz="1100" i="0"/>
            </a:p>
          </xdr:txBody>
        </xdr:sp>
        <xdr:sp macro="" textlink="">
          <xdr:nvSpPr>
            <xdr:cNvPr id="21" name="RENTAL_1_SECTION_SUBTITLE_LABEL">
              <a:extLst>
                <a:ext uri="{FF2B5EF4-FFF2-40B4-BE49-F238E27FC236}">
                  <a16:creationId xmlns:a16="http://schemas.microsoft.com/office/drawing/2014/main" id="{00000000-0008-0000-0400-000015000000}"/>
                </a:ext>
              </a:extLst>
            </xdr:cNvPr>
            <xdr:cNvSpPr txBox="1"/>
          </xdr:nvSpPr>
          <xdr:spPr>
            <a:xfrm>
              <a:off x="8296277" y="4379110"/>
              <a:ext cx="476249" cy="2743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tlCol="0" anchor="ctr">
              <a:noAutofit/>
            </a:bodyPr>
            <a:lstStyle/>
            <a:p>
              <a:r>
                <a:rPr lang="en-US" sz="900" b="1"/>
                <a:t>Status:</a:t>
              </a:r>
            </a:p>
          </xdr:txBody>
        </xdr:sp>
      </xdr:grpSp>
      <xdr:sp macro="" textlink="">
        <xdr:nvSpPr>
          <xdr:cNvPr id="17" name="LINK_RENTAL_TOC">
            <a:hlinkClick xmlns:r="http://schemas.openxmlformats.org/officeDocument/2006/relationships" r:id="rId6"/>
            <a:extLst>
              <a:ext uri="{FF2B5EF4-FFF2-40B4-BE49-F238E27FC236}">
                <a16:creationId xmlns:a16="http://schemas.microsoft.com/office/drawing/2014/main" id="{00000000-0008-0000-0400-000011000000}"/>
              </a:ext>
            </a:extLst>
          </xdr:cNvPr>
          <xdr:cNvSpPr/>
        </xdr:nvSpPr>
        <xdr:spPr>
          <a:xfrm>
            <a:off x="14525626" y="5295900"/>
            <a:ext cx="1028700" cy="30480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r"/>
            <a:r>
              <a:rPr lang="en-US" sz="1000" b="1" u="none">
                <a:solidFill>
                  <a:schemeClr val="bg1"/>
                </a:solidFill>
              </a:rPr>
              <a:t>Back</a:t>
            </a:r>
            <a:r>
              <a:rPr lang="en-US" sz="1000" b="1" u="none" baseline="0">
                <a:solidFill>
                  <a:schemeClr val="bg1"/>
                </a:solidFill>
              </a:rPr>
              <a:t> to Top ^</a:t>
            </a:r>
            <a:endParaRPr lang="en-US" sz="1000" b="1" u="none">
              <a:solidFill>
                <a:schemeClr val="bg1"/>
              </a:solidFill>
            </a:endParaRPr>
          </a:p>
        </xdr:txBody>
      </xdr:sp>
    </xdr:grpSp>
    <xdr:clientData fPrintsWithSheet="0"/>
  </xdr:twoCellAnchor>
  <xdr:twoCellAnchor editAs="oneCell">
    <xdr:from>
      <xdr:col>14</xdr:col>
      <xdr:colOff>3398</xdr:colOff>
      <xdr:row>0</xdr:row>
      <xdr:rowOff>71440</xdr:rowOff>
    </xdr:from>
    <xdr:to>
      <xdr:col>24</xdr:col>
      <xdr:colOff>98648</xdr:colOff>
      <xdr:row>0</xdr:row>
      <xdr:rowOff>469900</xdr:rowOff>
    </xdr:to>
    <xdr:sp macro="" textlink="$B$6">
      <xdr:nvSpPr>
        <xdr:cNvPr id="22" name="HEADER_BANNER_TITLE">
          <a:extLst>
            <a:ext uri="{FF2B5EF4-FFF2-40B4-BE49-F238E27FC236}">
              <a16:creationId xmlns:a16="http://schemas.microsoft.com/office/drawing/2014/main" id="{00000000-0008-0000-0400-000016000000}"/>
            </a:ext>
          </a:extLst>
        </xdr:cNvPr>
        <xdr:cNvSpPr txBox="1"/>
      </xdr:nvSpPr>
      <xdr:spPr>
        <a:xfrm>
          <a:off x="11509598" y="71440"/>
          <a:ext cx="4794250" cy="3984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Ins="0" rtlCol="0" anchor="ctr">
          <a:noAutofit/>
        </a:bodyPr>
        <a:lstStyle/>
        <a:p>
          <a:pPr algn="r"/>
          <a:fld id="{EB7A598A-0828-4A2E-81B0-26C15BB3F65D}" type="TxLink">
            <a:rPr lang="en-US" sz="1200" b="1" i="0" u="none" strike="noStrike">
              <a:solidFill>
                <a:sysClr val="windowText" lastClr="000000"/>
              </a:solidFill>
              <a:latin typeface="Calibri"/>
              <a:ea typeface="Calibri"/>
              <a:cs typeface="Calibri"/>
            </a:rPr>
            <a:pPr algn="r"/>
            <a:t>Homebuyer Dream Program Plus - 2026 Round</a:t>
          </a:fld>
          <a:endParaRPr lang="en-US" sz="1200" b="1" i="0">
            <a:solidFill>
              <a:sysClr val="windowText" lastClr="000000"/>
            </a:solidFill>
          </a:endParaRPr>
        </a:p>
      </xdr:txBody>
    </xdr:sp>
    <xdr:clientData/>
  </xdr:twoCellAnchor>
  <xdr:twoCellAnchor editAs="oneCell">
    <xdr:from>
      <xdr:col>7</xdr:col>
      <xdr:colOff>66675</xdr:colOff>
      <xdr:row>25</xdr:row>
      <xdr:rowOff>0</xdr:rowOff>
    </xdr:from>
    <xdr:to>
      <xdr:col>24</xdr:col>
      <xdr:colOff>104776</xdr:colOff>
      <xdr:row>43</xdr:row>
      <xdr:rowOff>95250</xdr:rowOff>
    </xdr:to>
    <xdr:grpSp>
      <xdr:nvGrpSpPr>
        <xdr:cNvPr id="23" name="Group 22">
          <a:extLst>
            <a:ext uri="{FF2B5EF4-FFF2-40B4-BE49-F238E27FC236}">
              <a16:creationId xmlns:a16="http://schemas.microsoft.com/office/drawing/2014/main" id="{00000000-0008-0000-0400-000017000000}"/>
            </a:ext>
          </a:extLst>
        </xdr:cNvPr>
        <xdr:cNvGrpSpPr/>
      </xdr:nvGrpSpPr>
      <xdr:grpSpPr>
        <a:xfrm>
          <a:off x="66675" y="6724650"/>
          <a:ext cx="7362826" cy="5067300"/>
          <a:chOff x="8191500" y="8343900"/>
          <a:chExt cx="7362826" cy="5067300"/>
        </a:xfrm>
      </xdr:grpSpPr>
      <xdr:grpSp>
        <xdr:nvGrpSpPr>
          <xdr:cNvPr id="24" name="RENTAL_2">
            <a:extLst>
              <a:ext uri="{FF2B5EF4-FFF2-40B4-BE49-F238E27FC236}">
                <a16:creationId xmlns:a16="http://schemas.microsoft.com/office/drawing/2014/main" id="{00000000-0008-0000-0400-000018000000}"/>
              </a:ext>
            </a:extLst>
          </xdr:cNvPr>
          <xdr:cNvGrpSpPr/>
        </xdr:nvGrpSpPr>
        <xdr:grpSpPr>
          <a:xfrm>
            <a:off x="8191500" y="8343901"/>
            <a:ext cx="7362825" cy="5067299"/>
            <a:chOff x="9353550" y="7334730"/>
            <a:chExt cx="7362825" cy="4812963"/>
          </a:xfrm>
        </xdr:grpSpPr>
        <xdr:sp macro="" textlink="">
          <xdr:nvSpPr>
            <xdr:cNvPr id="26" name="RENTAL_2_SECTION_FRAME">
              <a:extLst>
                <a:ext uri="{FF2B5EF4-FFF2-40B4-BE49-F238E27FC236}">
                  <a16:creationId xmlns:a16="http://schemas.microsoft.com/office/drawing/2014/main" id="{00000000-0008-0000-0400-00001A000000}"/>
                </a:ext>
              </a:extLst>
            </xdr:cNvPr>
            <xdr:cNvSpPr/>
          </xdr:nvSpPr>
          <xdr:spPr>
            <a:xfrm>
              <a:off x="9353550" y="7632465"/>
              <a:ext cx="7362825" cy="4515228"/>
            </a:xfrm>
            <a:prstGeom prst="rect">
              <a:avLst/>
            </a:prstGeom>
            <a:no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endParaRPr lang="en-US" sz="1100"/>
            </a:p>
          </xdr:txBody>
        </xdr:sp>
        <xdr:sp macro="" textlink="B30">
          <xdr:nvSpPr>
            <xdr:cNvPr id="27" name="RENTAL_2_SECTION_TITLE">
              <a:extLst>
                <a:ext uri="{FF2B5EF4-FFF2-40B4-BE49-F238E27FC236}">
                  <a16:creationId xmlns:a16="http://schemas.microsoft.com/office/drawing/2014/main" id="{00000000-0008-0000-0400-00001B000000}"/>
                </a:ext>
              </a:extLst>
            </xdr:cNvPr>
            <xdr:cNvSpPr/>
          </xdr:nvSpPr>
          <xdr:spPr>
            <a:xfrm>
              <a:off x="9353550" y="7334730"/>
              <a:ext cx="7360920" cy="291669"/>
            </a:xfrm>
            <a:prstGeom prst="rect">
              <a:avLst/>
            </a:prstGeom>
            <a:solidFill>
              <a:srgbClr val="9CACB9"/>
            </a:solid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l"/>
              <a:fld id="{F7EBC575-AB48-40AE-B3DF-C45D66875040}" type="TxLink">
                <a:rPr lang="en-US" sz="1100" b="1" i="0" u="none" strike="noStrike">
                  <a:solidFill>
                    <a:schemeClr val="bg1"/>
                  </a:solidFill>
                  <a:latin typeface="Calibri"/>
                </a:rPr>
                <a:pPr algn="l"/>
                <a:t>Household Information</a:t>
              </a:fld>
              <a:endParaRPr lang="en-US" sz="1100" b="1" i="0">
                <a:solidFill>
                  <a:schemeClr val="bg1"/>
                </a:solidFill>
              </a:endParaRPr>
            </a:p>
          </xdr:txBody>
        </xdr:sp>
        <xdr:sp macro="" textlink="$B$58">
          <xdr:nvSpPr>
            <xdr:cNvPr id="28" name="RENTAL_2_SECTION_SUBTITLE">
              <a:extLst>
                <a:ext uri="{FF2B5EF4-FFF2-40B4-BE49-F238E27FC236}">
                  <a16:creationId xmlns:a16="http://schemas.microsoft.com/office/drawing/2014/main" id="{00000000-0008-0000-0400-00001C000000}"/>
                </a:ext>
              </a:extLst>
            </xdr:cNvPr>
            <xdr:cNvSpPr/>
          </xdr:nvSpPr>
          <xdr:spPr>
            <a:xfrm>
              <a:off x="9363075" y="7641569"/>
              <a:ext cx="7351776" cy="257355"/>
            </a:xfrm>
            <a:prstGeom prst="rect">
              <a:avLst/>
            </a:prstGeom>
            <a:solidFill>
              <a:schemeClr val="accent1">
                <a:lumMod val="20000"/>
                <a:lumOff val="80000"/>
              </a:schemeClr>
            </a:solidFill>
            <a:ln>
              <a:noFill/>
            </a:ln>
            <a:effectLst/>
          </xdr:spPr>
          <xdr:style>
            <a:lnRef idx="1">
              <a:schemeClr val="accent1"/>
            </a:lnRef>
            <a:fillRef idx="2">
              <a:schemeClr val="accent1"/>
            </a:fillRef>
            <a:effectRef idx="1">
              <a:schemeClr val="accent1"/>
            </a:effectRef>
            <a:fontRef idx="minor">
              <a:schemeClr val="dk1"/>
            </a:fontRef>
          </xdr:style>
          <xdr:txBody>
            <a:bodyPr vertOverflow="clip" lIns="457200" rtlCol="0" anchor="ctr"/>
            <a:lstStyle/>
            <a:p>
              <a:pPr algn="l"/>
              <a:fld id="{105E12F8-653C-4DF9-8753-A54BD8A3A967}" type="TxLink">
                <a:rPr lang="en-US" sz="900" b="0" i="0" u="none" strike="noStrike">
                  <a:solidFill>
                    <a:srgbClr val="000000"/>
                  </a:solidFill>
                  <a:latin typeface="Calibri"/>
                </a:rPr>
                <a:pPr algn="l"/>
                <a:t>Not Started</a:t>
              </a:fld>
              <a:endParaRPr lang="en-US" sz="1100" i="0"/>
            </a:p>
          </xdr:txBody>
        </xdr:sp>
        <xdr:sp macro="" textlink="">
          <xdr:nvSpPr>
            <xdr:cNvPr id="29" name="RENTAL_2_SECTION_SUBTITLE_LABEL">
              <a:extLst>
                <a:ext uri="{FF2B5EF4-FFF2-40B4-BE49-F238E27FC236}">
                  <a16:creationId xmlns:a16="http://schemas.microsoft.com/office/drawing/2014/main" id="{00000000-0008-0000-0400-00001D000000}"/>
                </a:ext>
              </a:extLst>
            </xdr:cNvPr>
            <xdr:cNvSpPr txBox="1"/>
          </xdr:nvSpPr>
          <xdr:spPr>
            <a:xfrm>
              <a:off x="9458327" y="7641569"/>
              <a:ext cx="476249" cy="2573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tlCol="0" anchor="ctr">
              <a:noAutofit/>
            </a:bodyPr>
            <a:lstStyle/>
            <a:p>
              <a:r>
                <a:rPr lang="en-US" sz="900" b="1"/>
                <a:t>Status:</a:t>
              </a:r>
            </a:p>
          </xdr:txBody>
        </xdr:sp>
      </xdr:grpSp>
      <xdr:sp macro="" textlink="">
        <xdr:nvSpPr>
          <xdr:cNvPr id="25" name="LINK_RENTAL_TOC">
            <a:hlinkClick xmlns:r="http://schemas.openxmlformats.org/officeDocument/2006/relationships" r:id="rId6"/>
            <a:extLst>
              <a:ext uri="{FF2B5EF4-FFF2-40B4-BE49-F238E27FC236}">
                <a16:creationId xmlns:a16="http://schemas.microsoft.com/office/drawing/2014/main" id="{00000000-0008-0000-0400-000019000000}"/>
              </a:ext>
            </a:extLst>
          </xdr:cNvPr>
          <xdr:cNvSpPr/>
        </xdr:nvSpPr>
        <xdr:spPr>
          <a:xfrm>
            <a:off x="14525626" y="8343900"/>
            <a:ext cx="1028700" cy="30480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r"/>
            <a:r>
              <a:rPr lang="en-US" sz="1000" b="1" u="none">
                <a:solidFill>
                  <a:schemeClr val="bg1"/>
                </a:solidFill>
              </a:rPr>
              <a:t>Back</a:t>
            </a:r>
            <a:r>
              <a:rPr lang="en-US" sz="1000" b="1" u="none" baseline="0">
                <a:solidFill>
                  <a:schemeClr val="bg1"/>
                </a:solidFill>
              </a:rPr>
              <a:t> to Top ^</a:t>
            </a:r>
            <a:endParaRPr lang="en-US" sz="1000" b="1" u="none">
              <a:solidFill>
                <a:schemeClr val="bg1"/>
              </a:solidFill>
            </a:endParaRPr>
          </a:p>
        </xdr:txBody>
      </xdr:sp>
    </xdr:grpSp>
    <xdr:clientData fPrintsWithSheet="0"/>
  </xdr:twoCellAnchor>
  <xdr:twoCellAnchor editAs="oneCell">
    <xdr:from>
      <xdr:col>7</xdr:col>
      <xdr:colOff>66675</xdr:colOff>
      <xdr:row>43</xdr:row>
      <xdr:rowOff>238123</xdr:rowOff>
    </xdr:from>
    <xdr:to>
      <xdr:col>24</xdr:col>
      <xdr:colOff>114300</xdr:colOff>
      <xdr:row>63</xdr:row>
      <xdr:rowOff>88900</xdr:rowOff>
    </xdr:to>
    <xdr:grpSp>
      <xdr:nvGrpSpPr>
        <xdr:cNvPr id="30" name="Group 29">
          <a:extLst>
            <a:ext uri="{FF2B5EF4-FFF2-40B4-BE49-F238E27FC236}">
              <a16:creationId xmlns:a16="http://schemas.microsoft.com/office/drawing/2014/main" id="{00000000-0008-0000-0400-00001E000000}"/>
            </a:ext>
          </a:extLst>
        </xdr:cNvPr>
        <xdr:cNvGrpSpPr/>
      </xdr:nvGrpSpPr>
      <xdr:grpSpPr>
        <a:xfrm>
          <a:off x="66675" y="11934823"/>
          <a:ext cx="7372350" cy="5375277"/>
          <a:chOff x="8191500" y="11668125"/>
          <a:chExt cx="7372350" cy="5373960"/>
        </a:xfrm>
      </xdr:grpSpPr>
      <xdr:grpSp>
        <xdr:nvGrpSpPr>
          <xdr:cNvPr id="31" name="RENTAL_3">
            <a:extLst>
              <a:ext uri="{FF2B5EF4-FFF2-40B4-BE49-F238E27FC236}">
                <a16:creationId xmlns:a16="http://schemas.microsoft.com/office/drawing/2014/main" id="{00000000-0008-0000-0400-00001F000000}"/>
              </a:ext>
            </a:extLst>
          </xdr:cNvPr>
          <xdr:cNvGrpSpPr/>
        </xdr:nvGrpSpPr>
        <xdr:grpSpPr>
          <a:xfrm>
            <a:off x="8191500" y="11668125"/>
            <a:ext cx="7362825" cy="5373960"/>
            <a:chOff x="9353550" y="10677527"/>
            <a:chExt cx="7362825" cy="5057298"/>
          </a:xfrm>
        </xdr:grpSpPr>
        <xdr:sp macro="" textlink="">
          <xdr:nvSpPr>
            <xdr:cNvPr id="33" name="RENTAL_3_SECTION_FRAME">
              <a:extLst>
                <a:ext uri="{FF2B5EF4-FFF2-40B4-BE49-F238E27FC236}">
                  <a16:creationId xmlns:a16="http://schemas.microsoft.com/office/drawing/2014/main" id="{00000000-0008-0000-0400-000021000000}"/>
                </a:ext>
              </a:extLst>
            </xdr:cNvPr>
            <xdr:cNvSpPr/>
          </xdr:nvSpPr>
          <xdr:spPr>
            <a:xfrm>
              <a:off x="9353550" y="10971289"/>
              <a:ext cx="7362825" cy="4763536"/>
            </a:xfrm>
            <a:prstGeom prst="rect">
              <a:avLst/>
            </a:prstGeom>
            <a:no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endParaRPr lang="en-US" sz="1100"/>
            </a:p>
          </xdr:txBody>
        </xdr:sp>
        <xdr:sp macro="" textlink="$B$64">
          <xdr:nvSpPr>
            <xdr:cNvPr id="34" name="RENTAL_3_SECTION_TITLE">
              <a:extLst>
                <a:ext uri="{FF2B5EF4-FFF2-40B4-BE49-F238E27FC236}">
                  <a16:creationId xmlns:a16="http://schemas.microsoft.com/office/drawing/2014/main" id="{00000000-0008-0000-0400-000022000000}"/>
                </a:ext>
              </a:extLst>
            </xdr:cNvPr>
            <xdr:cNvSpPr/>
          </xdr:nvSpPr>
          <xdr:spPr>
            <a:xfrm>
              <a:off x="9353550" y="10677527"/>
              <a:ext cx="7360920" cy="289884"/>
            </a:xfrm>
            <a:prstGeom prst="rect">
              <a:avLst/>
            </a:prstGeom>
            <a:solidFill>
              <a:srgbClr val="9CACB9"/>
            </a:solid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l"/>
              <a:fld id="{E5F0481B-FAA3-4CC6-BC46-194342DDD317}" type="TxLink">
                <a:rPr lang="en-US" sz="1100" b="1" i="0" u="none" strike="noStrike">
                  <a:solidFill>
                    <a:schemeClr val="bg1"/>
                  </a:solidFill>
                  <a:latin typeface="Calibri"/>
                </a:rPr>
                <a:pPr algn="l"/>
                <a:t>Grant Summary</a:t>
              </a:fld>
              <a:endParaRPr lang="en-US" sz="1100" b="1" i="0" u="none" strike="noStrike">
                <a:solidFill>
                  <a:schemeClr val="bg1"/>
                </a:solidFill>
                <a:latin typeface="Calibri"/>
              </a:endParaRPr>
            </a:p>
          </xdr:txBody>
        </xdr:sp>
        <xdr:sp macro="" textlink="$B$81">
          <xdr:nvSpPr>
            <xdr:cNvPr id="35" name="RENTAL_3_SECTION_SUBTITLE">
              <a:extLst>
                <a:ext uri="{FF2B5EF4-FFF2-40B4-BE49-F238E27FC236}">
                  <a16:creationId xmlns:a16="http://schemas.microsoft.com/office/drawing/2014/main" id="{00000000-0008-0000-0400-000023000000}"/>
                </a:ext>
              </a:extLst>
            </xdr:cNvPr>
            <xdr:cNvSpPr/>
          </xdr:nvSpPr>
          <xdr:spPr>
            <a:xfrm>
              <a:off x="9363075" y="10973444"/>
              <a:ext cx="7351776" cy="255780"/>
            </a:xfrm>
            <a:prstGeom prst="rect">
              <a:avLst/>
            </a:prstGeom>
            <a:solidFill>
              <a:schemeClr val="accent1">
                <a:lumMod val="20000"/>
                <a:lumOff val="80000"/>
              </a:schemeClr>
            </a:solidFill>
            <a:ln>
              <a:noFill/>
            </a:ln>
            <a:effectLst/>
          </xdr:spPr>
          <xdr:style>
            <a:lnRef idx="1">
              <a:schemeClr val="accent1"/>
            </a:lnRef>
            <a:fillRef idx="2">
              <a:schemeClr val="accent1"/>
            </a:fillRef>
            <a:effectRef idx="1">
              <a:schemeClr val="accent1"/>
            </a:effectRef>
            <a:fontRef idx="minor">
              <a:schemeClr val="dk1"/>
            </a:fontRef>
          </xdr:style>
          <xdr:txBody>
            <a:bodyPr vertOverflow="clip" lIns="457200" rtlCol="0" anchor="ctr"/>
            <a:lstStyle/>
            <a:p>
              <a:pPr algn="l"/>
              <a:fld id="{AC7DE13B-4CF9-4B53-B058-CF26A2B7D8EE}" type="TxLink">
                <a:rPr lang="en-US" sz="900" b="0" i="0" u="none" strike="noStrike">
                  <a:solidFill>
                    <a:srgbClr val="000000"/>
                  </a:solidFill>
                  <a:latin typeface="Calibri"/>
                </a:rPr>
                <a:pPr algn="l"/>
                <a:t>Not Started</a:t>
              </a:fld>
              <a:endParaRPr lang="en-US" sz="1100" i="0"/>
            </a:p>
          </xdr:txBody>
        </xdr:sp>
        <xdr:sp macro="" textlink="">
          <xdr:nvSpPr>
            <xdr:cNvPr id="36" name="RENTAL_3_SECTION_SUBTITLE_LABEL">
              <a:extLst>
                <a:ext uri="{FF2B5EF4-FFF2-40B4-BE49-F238E27FC236}">
                  <a16:creationId xmlns:a16="http://schemas.microsoft.com/office/drawing/2014/main" id="{00000000-0008-0000-0400-000024000000}"/>
                </a:ext>
              </a:extLst>
            </xdr:cNvPr>
            <xdr:cNvSpPr txBox="1"/>
          </xdr:nvSpPr>
          <xdr:spPr>
            <a:xfrm>
              <a:off x="9458327" y="10973444"/>
              <a:ext cx="476249" cy="2557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tlCol="0" anchor="ctr">
              <a:noAutofit/>
            </a:bodyPr>
            <a:lstStyle/>
            <a:p>
              <a:r>
                <a:rPr lang="en-US" sz="900" b="1"/>
                <a:t>Status:</a:t>
              </a:r>
            </a:p>
          </xdr:txBody>
        </xdr:sp>
      </xdr:grpSp>
      <xdr:sp macro="" textlink="">
        <xdr:nvSpPr>
          <xdr:cNvPr id="32" name="LINK_RENTAL_TOC">
            <a:hlinkClick xmlns:r="http://schemas.openxmlformats.org/officeDocument/2006/relationships" r:id="rId6"/>
            <a:extLst>
              <a:ext uri="{FF2B5EF4-FFF2-40B4-BE49-F238E27FC236}">
                <a16:creationId xmlns:a16="http://schemas.microsoft.com/office/drawing/2014/main" id="{00000000-0008-0000-0400-000020000000}"/>
              </a:ext>
            </a:extLst>
          </xdr:cNvPr>
          <xdr:cNvSpPr/>
        </xdr:nvSpPr>
        <xdr:spPr>
          <a:xfrm>
            <a:off x="14535150" y="11677650"/>
            <a:ext cx="1028700" cy="30480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r"/>
            <a:r>
              <a:rPr lang="en-US" sz="1000" b="1" u="none">
                <a:solidFill>
                  <a:schemeClr val="bg1"/>
                </a:solidFill>
              </a:rPr>
              <a:t>Back</a:t>
            </a:r>
            <a:r>
              <a:rPr lang="en-US" sz="1000" b="1" u="none" baseline="0">
                <a:solidFill>
                  <a:schemeClr val="bg1"/>
                </a:solidFill>
              </a:rPr>
              <a:t> to Top ^</a:t>
            </a:r>
            <a:endParaRPr lang="en-US" sz="1000" b="1" u="none">
              <a:solidFill>
                <a:schemeClr val="bg1"/>
              </a:solidFill>
            </a:endParaRPr>
          </a:p>
        </xdr:txBody>
      </xdr:sp>
    </xdr:grpSp>
    <xdr:clientData fPrintsWithSheet="0"/>
  </xdr:twoCellAnchor>
  <xdr:twoCellAnchor editAs="oneCell">
    <xdr:from>
      <xdr:col>7</xdr:col>
      <xdr:colOff>66675</xdr:colOff>
      <xdr:row>63</xdr:row>
      <xdr:rowOff>228598</xdr:rowOff>
    </xdr:from>
    <xdr:to>
      <xdr:col>24</xdr:col>
      <xdr:colOff>104775</xdr:colOff>
      <xdr:row>74</xdr:row>
      <xdr:rowOff>85728</xdr:rowOff>
    </xdr:to>
    <xdr:grpSp>
      <xdr:nvGrpSpPr>
        <xdr:cNvPr id="37" name="Group 36">
          <a:extLst>
            <a:ext uri="{FF2B5EF4-FFF2-40B4-BE49-F238E27FC236}">
              <a16:creationId xmlns:a16="http://schemas.microsoft.com/office/drawing/2014/main" id="{00000000-0008-0000-0400-000025000000}"/>
            </a:ext>
          </a:extLst>
        </xdr:cNvPr>
        <xdr:cNvGrpSpPr/>
      </xdr:nvGrpSpPr>
      <xdr:grpSpPr>
        <a:xfrm>
          <a:off x="66675" y="17449798"/>
          <a:ext cx="7362825" cy="2895605"/>
          <a:chOff x="8191500" y="14963771"/>
          <a:chExt cx="7362825" cy="2895605"/>
        </a:xfrm>
      </xdr:grpSpPr>
      <xdr:grpSp>
        <xdr:nvGrpSpPr>
          <xdr:cNvPr id="38" name="RENTAL_4">
            <a:extLst>
              <a:ext uri="{FF2B5EF4-FFF2-40B4-BE49-F238E27FC236}">
                <a16:creationId xmlns:a16="http://schemas.microsoft.com/office/drawing/2014/main" id="{00000000-0008-0000-0400-000026000000}"/>
              </a:ext>
            </a:extLst>
          </xdr:cNvPr>
          <xdr:cNvGrpSpPr/>
        </xdr:nvGrpSpPr>
        <xdr:grpSpPr>
          <a:xfrm>
            <a:off x="8191500" y="14963771"/>
            <a:ext cx="7362825" cy="2895605"/>
            <a:chOff x="9363075" y="13992996"/>
            <a:chExt cx="7362825" cy="2660388"/>
          </a:xfrm>
        </xdr:grpSpPr>
        <xdr:sp macro="" textlink="">
          <xdr:nvSpPr>
            <xdr:cNvPr id="40" name="RENTAL_4_SECTION_FRAME">
              <a:extLst>
                <a:ext uri="{FF2B5EF4-FFF2-40B4-BE49-F238E27FC236}">
                  <a16:creationId xmlns:a16="http://schemas.microsoft.com/office/drawing/2014/main" id="{00000000-0008-0000-0400-000028000000}"/>
                </a:ext>
              </a:extLst>
            </xdr:cNvPr>
            <xdr:cNvSpPr/>
          </xdr:nvSpPr>
          <xdr:spPr>
            <a:xfrm>
              <a:off x="9363075" y="14291730"/>
              <a:ext cx="7362825" cy="2361654"/>
            </a:xfrm>
            <a:prstGeom prst="rect">
              <a:avLst/>
            </a:prstGeom>
            <a:no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endParaRPr lang="en-US" sz="1100"/>
            </a:p>
          </xdr:txBody>
        </xdr:sp>
        <xdr:sp macro="" textlink="$B$87">
          <xdr:nvSpPr>
            <xdr:cNvPr id="41" name="RENTAL_4_SECTION_TITLE">
              <a:extLst>
                <a:ext uri="{FF2B5EF4-FFF2-40B4-BE49-F238E27FC236}">
                  <a16:creationId xmlns:a16="http://schemas.microsoft.com/office/drawing/2014/main" id="{00000000-0008-0000-0400-000029000000}"/>
                </a:ext>
              </a:extLst>
            </xdr:cNvPr>
            <xdr:cNvSpPr/>
          </xdr:nvSpPr>
          <xdr:spPr>
            <a:xfrm>
              <a:off x="9363075" y="13992996"/>
              <a:ext cx="7360920" cy="285641"/>
            </a:xfrm>
            <a:prstGeom prst="rect">
              <a:avLst/>
            </a:prstGeom>
            <a:solidFill>
              <a:srgbClr val="9CACB9"/>
            </a:solid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l"/>
              <a:fld id="{1C87D710-882F-4EA8-810D-76AA4F2BFC65}" type="TxLink">
                <a:rPr lang="en-US" sz="1100" b="1" i="0" u="none" strike="noStrike">
                  <a:solidFill>
                    <a:schemeClr val="bg1"/>
                  </a:solidFill>
                  <a:latin typeface="Calibri"/>
                </a:rPr>
                <a:pPr algn="l"/>
                <a:t>Purchase Property</a:t>
              </a:fld>
              <a:endParaRPr lang="en-US" sz="1100" b="1" i="0" u="none" strike="noStrike">
                <a:solidFill>
                  <a:schemeClr val="bg1"/>
                </a:solidFill>
                <a:latin typeface="Calibri"/>
              </a:endParaRPr>
            </a:p>
          </xdr:txBody>
        </xdr:sp>
        <xdr:sp macro="" textlink="$B$105">
          <xdr:nvSpPr>
            <xdr:cNvPr id="42" name="RENTAL_4_SECTION_SUBTITLE">
              <a:extLst>
                <a:ext uri="{FF2B5EF4-FFF2-40B4-BE49-F238E27FC236}">
                  <a16:creationId xmlns:a16="http://schemas.microsoft.com/office/drawing/2014/main" id="{00000000-0008-0000-0400-00002A000000}"/>
                </a:ext>
              </a:extLst>
            </xdr:cNvPr>
            <xdr:cNvSpPr/>
          </xdr:nvSpPr>
          <xdr:spPr>
            <a:xfrm>
              <a:off x="9372600" y="14297025"/>
              <a:ext cx="7351776" cy="252036"/>
            </a:xfrm>
            <a:prstGeom prst="rect">
              <a:avLst/>
            </a:prstGeom>
            <a:solidFill>
              <a:schemeClr val="accent1">
                <a:lumMod val="20000"/>
                <a:lumOff val="80000"/>
              </a:schemeClr>
            </a:solidFill>
            <a:ln>
              <a:noFill/>
            </a:ln>
            <a:effectLst/>
          </xdr:spPr>
          <xdr:style>
            <a:lnRef idx="1">
              <a:schemeClr val="accent1"/>
            </a:lnRef>
            <a:fillRef idx="2">
              <a:schemeClr val="accent1"/>
            </a:fillRef>
            <a:effectRef idx="1">
              <a:schemeClr val="accent1"/>
            </a:effectRef>
            <a:fontRef idx="minor">
              <a:schemeClr val="dk1"/>
            </a:fontRef>
          </xdr:style>
          <xdr:txBody>
            <a:bodyPr vertOverflow="clip" lIns="457200" rtlCol="0" anchor="ctr"/>
            <a:lstStyle/>
            <a:p>
              <a:pPr algn="l"/>
              <a:fld id="{4224E38E-FD2B-4D43-9985-507D8E54C645}" type="TxLink">
                <a:rPr lang="en-US" sz="900" b="0" i="0" u="none" strike="noStrike">
                  <a:solidFill>
                    <a:srgbClr val="000000"/>
                  </a:solidFill>
                  <a:latin typeface="Calibri"/>
                </a:rPr>
                <a:pPr algn="l"/>
                <a:t>Not Started</a:t>
              </a:fld>
              <a:endParaRPr lang="en-US" sz="1100" i="0"/>
            </a:p>
          </xdr:txBody>
        </xdr:sp>
        <xdr:sp macro="" textlink="">
          <xdr:nvSpPr>
            <xdr:cNvPr id="43" name="RENTAL_4_SECTION_SUBTITLE_LABEL">
              <a:extLst>
                <a:ext uri="{FF2B5EF4-FFF2-40B4-BE49-F238E27FC236}">
                  <a16:creationId xmlns:a16="http://schemas.microsoft.com/office/drawing/2014/main" id="{00000000-0008-0000-0400-00002B000000}"/>
                </a:ext>
              </a:extLst>
            </xdr:cNvPr>
            <xdr:cNvSpPr txBox="1"/>
          </xdr:nvSpPr>
          <xdr:spPr>
            <a:xfrm>
              <a:off x="9467852" y="14297025"/>
              <a:ext cx="476249" cy="252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tlCol="0" anchor="ctr">
              <a:noAutofit/>
            </a:bodyPr>
            <a:lstStyle/>
            <a:p>
              <a:r>
                <a:rPr lang="en-US" sz="900" b="1"/>
                <a:t>Status:</a:t>
              </a:r>
            </a:p>
          </xdr:txBody>
        </xdr:sp>
      </xdr:grpSp>
      <xdr:sp macro="" textlink="">
        <xdr:nvSpPr>
          <xdr:cNvPr id="39" name="LINK_RENTAL_TOC">
            <a:hlinkClick xmlns:r="http://schemas.openxmlformats.org/officeDocument/2006/relationships" r:id="rId6"/>
            <a:extLst>
              <a:ext uri="{FF2B5EF4-FFF2-40B4-BE49-F238E27FC236}">
                <a16:creationId xmlns:a16="http://schemas.microsoft.com/office/drawing/2014/main" id="{00000000-0008-0000-0400-000027000000}"/>
              </a:ext>
            </a:extLst>
          </xdr:cNvPr>
          <xdr:cNvSpPr/>
        </xdr:nvSpPr>
        <xdr:spPr>
          <a:xfrm>
            <a:off x="14525625" y="14973300"/>
            <a:ext cx="1028700" cy="30480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r"/>
            <a:r>
              <a:rPr lang="en-US" sz="1000" b="1" u="none">
                <a:solidFill>
                  <a:schemeClr val="bg1"/>
                </a:solidFill>
              </a:rPr>
              <a:t>Back</a:t>
            </a:r>
            <a:r>
              <a:rPr lang="en-US" sz="1000" b="1" u="none" baseline="0">
                <a:solidFill>
                  <a:schemeClr val="bg1"/>
                </a:solidFill>
              </a:rPr>
              <a:t> to Top ^</a:t>
            </a:r>
            <a:endParaRPr lang="en-US" sz="1000" b="1" u="none">
              <a:solidFill>
                <a:schemeClr val="bg1"/>
              </a:solidFill>
            </a:endParaRPr>
          </a:p>
        </xdr:txBody>
      </xdr:sp>
    </xdr:grpSp>
    <xdr:clientData fPrintsWithSheet="0"/>
  </xdr:twoCellAnchor>
  <xdr:twoCellAnchor editAs="oneCell">
    <xdr:from>
      <xdr:col>7</xdr:col>
      <xdr:colOff>66675</xdr:colOff>
      <xdr:row>74</xdr:row>
      <xdr:rowOff>247650</xdr:rowOff>
    </xdr:from>
    <xdr:to>
      <xdr:col>24</xdr:col>
      <xdr:colOff>104775</xdr:colOff>
      <xdr:row>100</xdr:row>
      <xdr:rowOff>85725</xdr:rowOff>
    </xdr:to>
    <xdr:grpSp>
      <xdr:nvGrpSpPr>
        <xdr:cNvPr id="44" name="Group 43">
          <a:extLst>
            <a:ext uri="{FF2B5EF4-FFF2-40B4-BE49-F238E27FC236}">
              <a16:creationId xmlns:a16="http://schemas.microsoft.com/office/drawing/2014/main" id="{00000000-0008-0000-0400-00002C000000}"/>
            </a:ext>
          </a:extLst>
        </xdr:cNvPr>
        <xdr:cNvGrpSpPr/>
      </xdr:nvGrpSpPr>
      <xdr:grpSpPr>
        <a:xfrm>
          <a:off x="66675" y="20507325"/>
          <a:ext cx="7362825" cy="7019925"/>
          <a:chOff x="8191500" y="18297525"/>
          <a:chExt cx="7362825" cy="7019925"/>
        </a:xfrm>
      </xdr:grpSpPr>
      <xdr:grpSp>
        <xdr:nvGrpSpPr>
          <xdr:cNvPr id="45" name="RENTAL_5">
            <a:extLst>
              <a:ext uri="{FF2B5EF4-FFF2-40B4-BE49-F238E27FC236}">
                <a16:creationId xmlns:a16="http://schemas.microsoft.com/office/drawing/2014/main" id="{00000000-0008-0000-0400-00002D000000}"/>
              </a:ext>
            </a:extLst>
          </xdr:cNvPr>
          <xdr:cNvGrpSpPr/>
        </xdr:nvGrpSpPr>
        <xdr:grpSpPr>
          <a:xfrm>
            <a:off x="8191500" y="18297527"/>
            <a:ext cx="7362825" cy="7019923"/>
            <a:chOff x="9363075" y="17297252"/>
            <a:chExt cx="7362825" cy="7194667"/>
          </a:xfrm>
        </xdr:grpSpPr>
        <xdr:sp macro="" textlink="">
          <xdr:nvSpPr>
            <xdr:cNvPr id="47" name="RENTAL_5_SECTION_FRAME">
              <a:extLst>
                <a:ext uri="{FF2B5EF4-FFF2-40B4-BE49-F238E27FC236}">
                  <a16:creationId xmlns:a16="http://schemas.microsoft.com/office/drawing/2014/main" id="{00000000-0008-0000-0400-00002F000000}"/>
                </a:ext>
              </a:extLst>
            </xdr:cNvPr>
            <xdr:cNvSpPr/>
          </xdr:nvSpPr>
          <xdr:spPr>
            <a:xfrm>
              <a:off x="9363075" y="17617605"/>
              <a:ext cx="7362825" cy="6874314"/>
            </a:xfrm>
            <a:prstGeom prst="rect">
              <a:avLst/>
            </a:prstGeom>
            <a:no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endParaRPr lang="en-US" sz="1100"/>
            </a:p>
          </xdr:txBody>
        </xdr:sp>
        <xdr:sp macro="" textlink="$B$111">
          <xdr:nvSpPr>
            <xdr:cNvPr id="48" name="RENTAL_5_SECTION_TITLE">
              <a:extLst>
                <a:ext uri="{FF2B5EF4-FFF2-40B4-BE49-F238E27FC236}">
                  <a16:creationId xmlns:a16="http://schemas.microsoft.com/office/drawing/2014/main" id="{00000000-0008-0000-0400-000030000000}"/>
                </a:ext>
              </a:extLst>
            </xdr:cNvPr>
            <xdr:cNvSpPr/>
          </xdr:nvSpPr>
          <xdr:spPr>
            <a:xfrm>
              <a:off x="9363075" y="17297252"/>
              <a:ext cx="7360920" cy="312329"/>
            </a:xfrm>
            <a:prstGeom prst="rect">
              <a:avLst/>
            </a:prstGeom>
            <a:solidFill>
              <a:srgbClr val="9CACB9"/>
            </a:solid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l"/>
              <a:fld id="{EFEBC25B-7A00-49A1-B18C-0C8499BCDCC4}" type="TxLink">
                <a:rPr lang="en-US" sz="1100" b="1" i="0" u="none" strike="noStrike">
                  <a:solidFill>
                    <a:schemeClr val="bg1"/>
                  </a:solidFill>
                  <a:latin typeface="Calibri"/>
                </a:rPr>
                <a:pPr algn="l"/>
                <a:t>Household Qualification</a:t>
              </a:fld>
              <a:endParaRPr lang="en-US" sz="1100" b="1" i="0" u="none" strike="noStrike">
                <a:solidFill>
                  <a:schemeClr val="bg1"/>
                </a:solidFill>
                <a:latin typeface="Calibri"/>
              </a:endParaRPr>
            </a:p>
          </xdr:txBody>
        </xdr:sp>
        <xdr:sp macro="" textlink="$B$130">
          <xdr:nvSpPr>
            <xdr:cNvPr id="49" name="RENTAL_5_SECTION_SUBTITLE">
              <a:extLst>
                <a:ext uri="{FF2B5EF4-FFF2-40B4-BE49-F238E27FC236}">
                  <a16:creationId xmlns:a16="http://schemas.microsoft.com/office/drawing/2014/main" id="{00000000-0008-0000-0400-000031000000}"/>
                </a:ext>
              </a:extLst>
            </xdr:cNvPr>
            <xdr:cNvSpPr/>
          </xdr:nvSpPr>
          <xdr:spPr>
            <a:xfrm>
              <a:off x="9372598" y="17621098"/>
              <a:ext cx="7351776" cy="278553"/>
            </a:xfrm>
            <a:prstGeom prst="rect">
              <a:avLst/>
            </a:prstGeom>
            <a:solidFill>
              <a:schemeClr val="accent1">
                <a:lumMod val="20000"/>
                <a:lumOff val="80000"/>
              </a:schemeClr>
            </a:solidFill>
            <a:ln>
              <a:noFill/>
            </a:ln>
            <a:effectLst/>
          </xdr:spPr>
          <xdr:style>
            <a:lnRef idx="1">
              <a:schemeClr val="accent1"/>
            </a:lnRef>
            <a:fillRef idx="2">
              <a:schemeClr val="accent1"/>
            </a:fillRef>
            <a:effectRef idx="1">
              <a:schemeClr val="accent1"/>
            </a:effectRef>
            <a:fontRef idx="minor">
              <a:schemeClr val="dk1"/>
            </a:fontRef>
          </xdr:style>
          <xdr:txBody>
            <a:bodyPr vertOverflow="clip" lIns="457200" rtlCol="0" anchor="ctr"/>
            <a:lstStyle/>
            <a:p>
              <a:pPr algn="l"/>
              <a:fld id="{ADBC2A39-60A8-4CFF-858A-1F847464B22E}" type="TxLink">
                <a:rPr lang="en-US" sz="900" b="0" i="0" u="none" strike="noStrike">
                  <a:solidFill>
                    <a:srgbClr val="000000"/>
                  </a:solidFill>
                  <a:latin typeface="Calibri"/>
                </a:rPr>
                <a:pPr algn="l"/>
                <a:t>Not Started</a:t>
              </a:fld>
              <a:endParaRPr lang="en-US" sz="1100" i="0"/>
            </a:p>
          </xdr:txBody>
        </xdr:sp>
        <xdr:sp macro="" textlink="">
          <xdr:nvSpPr>
            <xdr:cNvPr id="50" name="RENTAL_5_SECTION_SUBTITLE_LABEL">
              <a:extLst>
                <a:ext uri="{FF2B5EF4-FFF2-40B4-BE49-F238E27FC236}">
                  <a16:creationId xmlns:a16="http://schemas.microsoft.com/office/drawing/2014/main" id="{00000000-0008-0000-0400-000032000000}"/>
                </a:ext>
              </a:extLst>
            </xdr:cNvPr>
            <xdr:cNvSpPr txBox="1"/>
          </xdr:nvSpPr>
          <xdr:spPr>
            <a:xfrm>
              <a:off x="9467850" y="17621098"/>
              <a:ext cx="476249" cy="2785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tlCol="0" anchor="ctr">
              <a:noAutofit/>
            </a:bodyPr>
            <a:lstStyle/>
            <a:p>
              <a:r>
                <a:rPr lang="en-US" sz="900" b="1"/>
                <a:t>Status:</a:t>
              </a:r>
            </a:p>
          </xdr:txBody>
        </xdr:sp>
      </xdr:grpSp>
      <xdr:sp macro="" textlink="">
        <xdr:nvSpPr>
          <xdr:cNvPr id="46" name="LINK_RENTAL_TOC">
            <a:hlinkClick xmlns:r="http://schemas.openxmlformats.org/officeDocument/2006/relationships" r:id="rId6"/>
            <a:extLst>
              <a:ext uri="{FF2B5EF4-FFF2-40B4-BE49-F238E27FC236}">
                <a16:creationId xmlns:a16="http://schemas.microsoft.com/office/drawing/2014/main" id="{00000000-0008-0000-0400-00002E000000}"/>
              </a:ext>
            </a:extLst>
          </xdr:cNvPr>
          <xdr:cNvSpPr/>
        </xdr:nvSpPr>
        <xdr:spPr>
          <a:xfrm>
            <a:off x="14525625" y="18297525"/>
            <a:ext cx="1028700" cy="30480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r"/>
            <a:r>
              <a:rPr lang="en-US" sz="1000" b="1" u="none">
                <a:solidFill>
                  <a:schemeClr val="bg1"/>
                </a:solidFill>
              </a:rPr>
              <a:t>Back</a:t>
            </a:r>
            <a:r>
              <a:rPr lang="en-US" sz="1000" b="1" u="none" baseline="0">
                <a:solidFill>
                  <a:schemeClr val="bg1"/>
                </a:solidFill>
              </a:rPr>
              <a:t> to Top ^</a:t>
            </a:r>
            <a:endParaRPr lang="en-US" sz="1000" b="1" u="none">
              <a:solidFill>
                <a:schemeClr val="bg1"/>
              </a:solidFill>
            </a:endParaRPr>
          </a:p>
        </xdr:txBody>
      </xdr:sp>
    </xdr:grpSp>
    <xdr:clientData fPrintsWithSheet="0"/>
  </xdr:twoCellAnchor>
  <xdr:twoCellAnchor editAs="oneCell">
    <xdr:from>
      <xdr:col>20</xdr:col>
      <xdr:colOff>66675</xdr:colOff>
      <xdr:row>2</xdr:row>
      <xdr:rowOff>9525</xdr:rowOff>
    </xdr:from>
    <xdr:to>
      <xdr:col>24</xdr:col>
      <xdr:colOff>109538</xdr:colOff>
      <xdr:row>3</xdr:row>
      <xdr:rowOff>1905</xdr:rowOff>
    </xdr:to>
    <xdr:sp macro="" textlink="$B$7">
      <xdr:nvSpPr>
        <xdr:cNvPr id="51" name="HEADER_BANNER_SUBTITLE">
          <a:extLst>
            <a:ext uri="{FF2B5EF4-FFF2-40B4-BE49-F238E27FC236}">
              <a16:creationId xmlns:a16="http://schemas.microsoft.com/office/drawing/2014/main" id="{00000000-0008-0000-0400-000033000000}"/>
            </a:ext>
          </a:extLst>
        </xdr:cNvPr>
        <xdr:cNvSpPr txBox="1"/>
      </xdr:nvSpPr>
      <xdr:spPr>
        <a:xfrm>
          <a:off x="5876925" y="561975"/>
          <a:ext cx="1922463" cy="182880"/>
        </a:xfrm>
        <a:prstGeom prst="rect">
          <a:avLst/>
        </a:prstGeom>
        <a:solidFill>
          <a:srgbClr val="00305E"/>
        </a:solidFill>
      </xdr:spPr>
      <xdr:style>
        <a:lnRef idx="0">
          <a:scrgbClr r="0" g="0" b="0"/>
        </a:lnRef>
        <a:fillRef idx="0">
          <a:scrgbClr r="0" g="0" b="0"/>
        </a:fillRef>
        <a:effectRef idx="0">
          <a:scrgbClr r="0" g="0" b="0"/>
        </a:effectRef>
        <a:fontRef idx="minor">
          <a:schemeClr val="tx1"/>
        </a:fontRef>
      </xdr:style>
      <xdr:txBody>
        <a:bodyPr vertOverflow="clip" wrap="square" rtlCol="0" anchor="ctr">
          <a:noAutofit/>
        </a:bodyPr>
        <a:lstStyle/>
        <a:p>
          <a:pPr algn="ctr"/>
          <a:fld id="{4B39128B-4B37-4567-8AC7-02473171A03C}" type="TxLink">
            <a:rPr lang="en-US" sz="800" b="1" i="0" u="none" strike="noStrike">
              <a:solidFill>
                <a:schemeClr val="bg1"/>
              </a:solidFill>
              <a:latin typeface="Calibri"/>
              <a:ea typeface="Calibri"/>
              <a:cs typeface="Calibri"/>
            </a:rPr>
            <a:pPr algn="ctr"/>
            <a:t>New Household Reservation Request</a:t>
          </a:fld>
          <a:endParaRPr lang="en-US" sz="800" b="1" i="0" u="none" strike="noStrike">
            <a:solidFill>
              <a:schemeClr val="bg1"/>
            </a:solidFill>
            <a:latin typeface="Calibri"/>
          </a:endParaRPr>
        </a:p>
      </xdr:txBody>
    </xdr:sp>
    <xdr:clientData/>
  </xdr:twoCellAnchor>
  <xdr:twoCellAnchor editAs="oneCell">
    <xdr:from>
      <xdr:col>7</xdr:col>
      <xdr:colOff>28574</xdr:colOff>
      <xdr:row>0</xdr:row>
      <xdr:rowOff>37735</xdr:rowOff>
    </xdr:from>
    <xdr:to>
      <xdr:col>10</xdr:col>
      <xdr:colOff>299467</xdr:colOff>
      <xdr:row>0</xdr:row>
      <xdr:rowOff>480458</xdr:rowOff>
    </xdr:to>
    <xdr:pic>
      <xdr:nvPicPr>
        <xdr:cNvPr id="52" name="FHLBNY_LOGO" descr="Medium.gif">
          <a:extLst>
            <a:ext uri="{FF2B5EF4-FFF2-40B4-BE49-F238E27FC236}">
              <a16:creationId xmlns:a16="http://schemas.microsoft.com/office/drawing/2014/main" id="{00000000-0008-0000-0400-000034000000}"/>
            </a:ext>
          </a:extLst>
        </xdr:cNvPr>
        <xdr:cNvPicPr>
          <a:picLocks noChangeAspect="1"/>
        </xdr:cNvPicPr>
      </xdr:nvPicPr>
      <xdr:blipFill>
        <a:blip xmlns:r="http://schemas.openxmlformats.org/officeDocument/2006/relationships" r:embed="rId7" cstate="print"/>
        <a:stretch>
          <a:fillRect/>
        </a:stretch>
      </xdr:blipFill>
      <xdr:spPr>
        <a:xfrm>
          <a:off x="28574" y="37735"/>
          <a:ext cx="1382143" cy="442723"/>
        </a:xfrm>
        <a:prstGeom prst="rect">
          <a:avLst/>
        </a:prstGeom>
      </xdr:spPr>
    </xdr:pic>
    <xdr:clientData/>
  </xdr:twoCellAnchor>
  <xdr:twoCellAnchor editAs="oneCell">
    <xdr:from>
      <xdr:col>7</xdr:col>
      <xdr:colOff>9526</xdr:colOff>
      <xdr:row>0</xdr:row>
      <xdr:rowOff>5420</xdr:rowOff>
    </xdr:from>
    <xdr:to>
      <xdr:col>25</xdr:col>
      <xdr:colOff>0</xdr:colOff>
      <xdr:row>4</xdr:row>
      <xdr:rowOff>908</xdr:rowOff>
    </xdr:to>
    <xdr:sp macro="" textlink="">
      <xdr:nvSpPr>
        <xdr:cNvPr id="54" name="HEADER_SHORTCUT_TOP">
          <a:hlinkClick xmlns:r="http://schemas.openxmlformats.org/officeDocument/2006/relationships" r:id="rId6" tooltip="Jump to Top"/>
          <a:extLst>
            <a:ext uri="{FF2B5EF4-FFF2-40B4-BE49-F238E27FC236}">
              <a16:creationId xmlns:a16="http://schemas.microsoft.com/office/drawing/2014/main" id="{00000000-0008-0000-0400-000036000000}"/>
            </a:ext>
          </a:extLst>
        </xdr:cNvPr>
        <xdr:cNvSpPr/>
      </xdr:nvSpPr>
      <xdr:spPr>
        <a:xfrm>
          <a:off x="8524876" y="5420"/>
          <a:ext cx="7851774" cy="776538"/>
        </a:xfrm>
        <a:prstGeom prst="rect">
          <a:avLst/>
        </a:prstGeom>
        <a:solidFill>
          <a:schemeClr val="bg1">
            <a:alpha val="0"/>
          </a:schemeClr>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800"/>
        </a:p>
      </xdr:txBody>
    </xdr:sp>
    <xdr:clientData fPrintsWithSheet="0"/>
  </xdr:twoCellAnchor>
  <xdr:twoCellAnchor editAs="oneCell">
    <xdr:from>
      <xdr:col>7</xdr:col>
      <xdr:colOff>66675</xdr:colOff>
      <xdr:row>13</xdr:row>
      <xdr:rowOff>228603</xdr:rowOff>
    </xdr:from>
    <xdr:to>
      <xdr:col>24</xdr:col>
      <xdr:colOff>104777</xdr:colOff>
      <xdr:row>19</xdr:row>
      <xdr:rowOff>0</xdr:rowOff>
    </xdr:to>
    <xdr:grpSp>
      <xdr:nvGrpSpPr>
        <xdr:cNvPr id="55" name="TABLE_OF_CONTENTS_RENTAL">
          <a:extLst>
            <a:ext uri="{FF2B5EF4-FFF2-40B4-BE49-F238E27FC236}">
              <a16:creationId xmlns:a16="http://schemas.microsoft.com/office/drawing/2014/main" id="{00000000-0008-0000-0400-000037000000}"/>
            </a:ext>
          </a:extLst>
        </xdr:cNvPr>
        <xdr:cNvGrpSpPr/>
      </xdr:nvGrpSpPr>
      <xdr:grpSpPr>
        <a:xfrm>
          <a:off x="66675" y="3638553"/>
          <a:ext cx="7362827" cy="1428747"/>
          <a:chOff x="8191498" y="1276170"/>
          <a:chExt cx="7362827" cy="1414214"/>
        </a:xfrm>
      </xdr:grpSpPr>
      <xdr:grpSp>
        <xdr:nvGrpSpPr>
          <xdr:cNvPr id="56" name="RENTAL_TABLE_OF_CONTENTS">
            <a:extLst>
              <a:ext uri="{FF2B5EF4-FFF2-40B4-BE49-F238E27FC236}">
                <a16:creationId xmlns:a16="http://schemas.microsoft.com/office/drawing/2014/main" id="{00000000-0008-0000-0400-000038000000}"/>
              </a:ext>
            </a:extLst>
          </xdr:cNvPr>
          <xdr:cNvGrpSpPr/>
        </xdr:nvGrpSpPr>
        <xdr:grpSpPr>
          <a:xfrm>
            <a:off x="8191498" y="1276170"/>
            <a:ext cx="7362827" cy="1414214"/>
            <a:chOff x="8191498" y="1276170"/>
            <a:chExt cx="7362827" cy="1414214"/>
          </a:xfrm>
        </xdr:grpSpPr>
        <xdr:sp macro="" textlink="">
          <xdr:nvSpPr>
            <xdr:cNvPr id="61" name="TOC_HEADER_BG">
              <a:extLst>
                <a:ext uri="{FF2B5EF4-FFF2-40B4-BE49-F238E27FC236}">
                  <a16:creationId xmlns:a16="http://schemas.microsoft.com/office/drawing/2014/main" id="{00000000-0008-0000-0400-00003D000000}"/>
                </a:ext>
              </a:extLst>
            </xdr:cNvPr>
            <xdr:cNvSpPr/>
          </xdr:nvSpPr>
          <xdr:spPr>
            <a:xfrm>
              <a:off x="8191498" y="1592257"/>
              <a:ext cx="7360921" cy="275969"/>
            </a:xfrm>
            <a:prstGeom prst="rect">
              <a:avLst/>
            </a:prstGeom>
            <a:solidFill>
              <a:schemeClr val="accent1">
                <a:lumMod val="20000"/>
                <a:lumOff val="80000"/>
              </a:schemeClr>
            </a:solidFill>
            <a:ln>
              <a:no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endParaRPr lang="en-US" sz="1100"/>
            </a:p>
          </xdr:txBody>
        </xdr:sp>
        <xdr:grpSp>
          <xdr:nvGrpSpPr>
            <xdr:cNvPr id="62" name="TOC">
              <a:extLst>
                <a:ext uri="{FF2B5EF4-FFF2-40B4-BE49-F238E27FC236}">
                  <a16:creationId xmlns:a16="http://schemas.microsoft.com/office/drawing/2014/main" id="{00000000-0008-0000-0400-00003E000000}"/>
                </a:ext>
              </a:extLst>
            </xdr:cNvPr>
            <xdr:cNvGrpSpPr/>
          </xdr:nvGrpSpPr>
          <xdr:grpSpPr>
            <a:xfrm>
              <a:off x="8191500" y="1276170"/>
              <a:ext cx="7362825" cy="1414214"/>
              <a:chOff x="9239250" y="1816952"/>
              <a:chExt cx="7362825" cy="1090370"/>
            </a:xfrm>
            <a:effectLst/>
          </xdr:grpSpPr>
          <xdr:sp macro="" textlink="">
            <xdr:nvSpPr>
              <xdr:cNvPr id="67" name="Rectangle 66">
                <a:extLst>
                  <a:ext uri="{FF2B5EF4-FFF2-40B4-BE49-F238E27FC236}">
                    <a16:creationId xmlns:a16="http://schemas.microsoft.com/office/drawing/2014/main" id="{00000000-0008-0000-0400-000043000000}"/>
                  </a:ext>
                </a:extLst>
              </xdr:cNvPr>
              <xdr:cNvSpPr/>
            </xdr:nvSpPr>
            <xdr:spPr>
              <a:xfrm>
                <a:off x="9239250" y="2052093"/>
                <a:ext cx="7362825" cy="855229"/>
              </a:xfrm>
              <a:prstGeom prst="rect">
                <a:avLst/>
              </a:prstGeom>
              <a:no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endParaRPr lang="en-US" sz="1100"/>
              </a:p>
            </xdr:txBody>
          </xdr:sp>
          <xdr:sp macro="" textlink="">
            <xdr:nvSpPr>
              <xdr:cNvPr id="68" name="Rectangle 67">
                <a:extLst>
                  <a:ext uri="{FF2B5EF4-FFF2-40B4-BE49-F238E27FC236}">
                    <a16:creationId xmlns:a16="http://schemas.microsoft.com/office/drawing/2014/main" id="{00000000-0008-0000-0400-000044000000}"/>
                  </a:ext>
                </a:extLst>
              </xdr:cNvPr>
              <xdr:cNvSpPr/>
            </xdr:nvSpPr>
            <xdr:spPr>
              <a:xfrm>
                <a:off x="9239250" y="1816952"/>
                <a:ext cx="7360920" cy="237265"/>
              </a:xfrm>
              <a:prstGeom prst="rect">
                <a:avLst/>
              </a:prstGeom>
              <a:solidFill>
                <a:srgbClr val="9CACB9"/>
              </a:solid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l"/>
                <a:r>
                  <a:rPr lang="en-US" sz="1100" b="1">
                    <a:solidFill>
                      <a:schemeClr val="bg1"/>
                    </a:solidFill>
                  </a:rPr>
                  <a:t>Table of Contents</a:t>
                </a:r>
              </a:p>
            </xdr:txBody>
          </xdr:sp>
        </xdr:grpSp>
        <xdr:sp macro="" textlink="">
          <xdr:nvSpPr>
            <xdr:cNvPr id="63" name="TOC_HEADER_LABEL_1">
              <a:extLst>
                <a:ext uri="{FF2B5EF4-FFF2-40B4-BE49-F238E27FC236}">
                  <a16:creationId xmlns:a16="http://schemas.microsoft.com/office/drawing/2014/main" id="{00000000-0008-0000-0400-00003F000000}"/>
                </a:ext>
              </a:extLst>
            </xdr:cNvPr>
            <xdr:cNvSpPr txBox="1"/>
          </xdr:nvSpPr>
          <xdr:spPr>
            <a:xfrm>
              <a:off x="8302028" y="1630443"/>
              <a:ext cx="1226450" cy="2644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lIns="0" rtlCol="0" anchor="t">
              <a:noAutofit/>
            </a:bodyPr>
            <a:lstStyle/>
            <a:p>
              <a:r>
                <a:rPr lang="en-US" sz="1000" b="1"/>
                <a:t>Section</a:t>
              </a:r>
            </a:p>
          </xdr:txBody>
        </xdr:sp>
        <xdr:sp macro="" textlink="">
          <xdr:nvSpPr>
            <xdr:cNvPr id="64" name="TOC_HEADER_LABEL_1">
              <a:extLst>
                <a:ext uri="{FF2B5EF4-FFF2-40B4-BE49-F238E27FC236}">
                  <a16:creationId xmlns:a16="http://schemas.microsoft.com/office/drawing/2014/main" id="{00000000-0008-0000-0400-000040000000}"/>
                </a:ext>
              </a:extLst>
            </xdr:cNvPr>
            <xdr:cNvSpPr txBox="1"/>
          </xdr:nvSpPr>
          <xdr:spPr>
            <a:xfrm>
              <a:off x="10988755" y="1630443"/>
              <a:ext cx="876784" cy="2644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tlCol="0" anchor="t">
              <a:noAutofit/>
            </a:bodyPr>
            <a:lstStyle/>
            <a:p>
              <a:r>
                <a:rPr lang="en-US" sz="1000" b="1"/>
                <a:t>Progress</a:t>
              </a:r>
            </a:p>
          </xdr:txBody>
        </xdr:sp>
        <xdr:sp macro="" textlink="">
          <xdr:nvSpPr>
            <xdr:cNvPr id="65" name="TOC_HEADER_LABEL_3">
              <a:extLst>
                <a:ext uri="{FF2B5EF4-FFF2-40B4-BE49-F238E27FC236}">
                  <a16:creationId xmlns:a16="http://schemas.microsoft.com/office/drawing/2014/main" id="{00000000-0008-0000-0400-000041000000}"/>
                </a:ext>
              </a:extLst>
            </xdr:cNvPr>
            <xdr:cNvSpPr txBox="1"/>
          </xdr:nvSpPr>
          <xdr:spPr>
            <a:xfrm>
              <a:off x="11990098" y="1630443"/>
              <a:ext cx="1226450" cy="2644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lIns="0" rtlCol="0" anchor="t">
              <a:noAutofit/>
            </a:bodyPr>
            <a:lstStyle/>
            <a:p>
              <a:r>
                <a:rPr lang="en-US" sz="1000" b="1"/>
                <a:t>Section</a:t>
              </a:r>
            </a:p>
          </xdr:txBody>
        </xdr:sp>
        <xdr:sp macro="" textlink="">
          <xdr:nvSpPr>
            <xdr:cNvPr id="66" name="TOC_HEADER_LABEL_4">
              <a:extLst>
                <a:ext uri="{FF2B5EF4-FFF2-40B4-BE49-F238E27FC236}">
                  <a16:creationId xmlns:a16="http://schemas.microsoft.com/office/drawing/2014/main" id="{00000000-0008-0000-0400-000042000000}"/>
                </a:ext>
              </a:extLst>
            </xdr:cNvPr>
            <xdr:cNvSpPr txBox="1"/>
          </xdr:nvSpPr>
          <xdr:spPr>
            <a:xfrm>
              <a:off x="14554212" y="1630443"/>
              <a:ext cx="871248" cy="2644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tlCol="0" anchor="t">
              <a:noAutofit/>
            </a:bodyPr>
            <a:lstStyle/>
            <a:p>
              <a:r>
                <a:rPr lang="en-US" sz="1000" b="1"/>
                <a:t>Progress</a:t>
              </a:r>
            </a:p>
          </xdr:txBody>
        </xdr:sp>
      </xdr:grpSp>
      <xdr:cxnSp macro="">
        <xdr:nvCxnSpPr>
          <xdr:cNvPr id="57" name="TOC_HEADER_VLINE">
            <a:extLst>
              <a:ext uri="{FF2B5EF4-FFF2-40B4-BE49-F238E27FC236}">
                <a16:creationId xmlns:a16="http://schemas.microsoft.com/office/drawing/2014/main" id="{00000000-0008-0000-0400-000039000000}"/>
              </a:ext>
            </a:extLst>
          </xdr:cNvPr>
          <xdr:cNvCxnSpPr>
            <a:endCxn id="67" idx="2"/>
          </xdr:cNvCxnSpPr>
        </xdr:nvCxnSpPr>
        <xdr:spPr>
          <a:xfrm>
            <a:off x="11871960" y="1596774"/>
            <a:ext cx="953" cy="1093609"/>
          </a:xfrm>
          <a:prstGeom prst="line">
            <a:avLst/>
          </a:prstGeom>
          <a:ln>
            <a:solidFill>
              <a:schemeClr val="bg1">
                <a:lumMod val="85000"/>
              </a:schemeClr>
            </a:solidFill>
          </a:ln>
          <a:effectLst>
            <a:innerShdw blurRad="63500" dist="50800" dir="13500000">
              <a:prstClr val="black">
                <a:alpha val="50000"/>
              </a:prstClr>
            </a:innerShdw>
          </a:effectLst>
        </xdr:spPr>
        <xdr:style>
          <a:lnRef idx="1">
            <a:schemeClr val="accent1"/>
          </a:lnRef>
          <a:fillRef idx="0">
            <a:schemeClr val="accent1"/>
          </a:fillRef>
          <a:effectRef idx="0">
            <a:schemeClr val="accent1"/>
          </a:effectRef>
          <a:fontRef idx="minor">
            <a:schemeClr val="tx1"/>
          </a:fontRef>
        </xdr:style>
      </xdr:cxnSp>
      <xdr:grpSp>
        <xdr:nvGrpSpPr>
          <xdr:cNvPr id="58" name="TOC_HORIZONTAL_DIVIDERS">
            <a:extLst>
              <a:ext uri="{FF2B5EF4-FFF2-40B4-BE49-F238E27FC236}">
                <a16:creationId xmlns:a16="http://schemas.microsoft.com/office/drawing/2014/main" id="{00000000-0008-0000-0400-00003A000000}"/>
              </a:ext>
            </a:extLst>
          </xdr:cNvPr>
          <xdr:cNvGrpSpPr/>
        </xdr:nvGrpSpPr>
        <xdr:grpSpPr>
          <a:xfrm>
            <a:off x="8191498" y="2143319"/>
            <a:ext cx="7362825" cy="276504"/>
            <a:chOff x="8191498" y="2143319"/>
            <a:chExt cx="7362825" cy="276504"/>
          </a:xfrm>
        </xdr:grpSpPr>
        <xdr:cxnSp macro="">
          <xdr:nvCxnSpPr>
            <xdr:cNvPr id="59" name="DOTTED_LINE">
              <a:extLst>
                <a:ext uri="{FF2B5EF4-FFF2-40B4-BE49-F238E27FC236}">
                  <a16:creationId xmlns:a16="http://schemas.microsoft.com/office/drawing/2014/main" id="{00000000-0008-0000-0400-00003B000000}"/>
                </a:ext>
              </a:extLst>
            </xdr:cNvPr>
            <xdr:cNvCxnSpPr/>
          </xdr:nvCxnSpPr>
          <xdr:spPr>
            <a:xfrm flipH="1">
              <a:off x="8191498" y="2143319"/>
              <a:ext cx="7362825" cy="0"/>
            </a:xfrm>
            <a:prstGeom prst="line">
              <a:avLst/>
            </a:prstGeom>
            <a:ln w="9525" cap="rnd">
              <a:solidFill>
                <a:schemeClr val="bg1">
                  <a:lumMod val="85000"/>
                </a:schemeClr>
              </a:solidFill>
              <a:prstDash val="solid"/>
              <a:round/>
            </a:ln>
          </xdr:spPr>
          <xdr:style>
            <a:lnRef idx="1">
              <a:schemeClr val="dk1"/>
            </a:lnRef>
            <a:fillRef idx="0">
              <a:schemeClr val="dk1"/>
            </a:fillRef>
            <a:effectRef idx="0">
              <a:schemeClr val="dk1"/>
            </a:effectRef>
            <a:fontRef idx="minor">
              <a:schemeClr val="tx1"/>
            </a:fontRef>
          </xdr:style>
        </xdr:cxnSp>
        <xdr:cxnSp macro="">
          <xdr:nvCxnSpPr>
            <xdr:cNvPr id="60" name="DOTTED_LINE">
              <a:extLst>
                <a:ext uri="{FF2B5EF4-FFF2-40B4-BE49-F238E27FC236}">
                  <a16:creationId xmlns:a16="http://schemas.microsoft.com/office/drawing/2014/main" id="{00000000-0008-0000-0400-00003C000000}"/>
                </a:ext>
              </a:extLst>
            </xdr:cNvPr>
            <xdr:cNvCxnSpPr/>
          </xdr:nvCxnSpPr>
          <xdr:spPr>
            <a:xfrm flipH="1">
              <a:off x="8191498" y="2419823"/>
              <a:ext cx="7360920" cy="0"/>
            </a:xfrm>
            <a:prstGeom prst="line">
              <a:avLst/>
            </a:prstGeom>
            <a:ln w="9525" cap="rnd">
              <a:solidFill>
                <a:schemeClr val="bg1">
                  <a:lumMod val="85000"/>
                </a:schemeClr>
              </a:solidFill>
              <a:prstDash val="solid"/>
              <a:round/>
            </a:ln>
          </xdr:spPr>
          <xdr:style>
            <a:lnRef idx="1">
              <a:schemeClr val="dk1"/>
            </a:lnRef>
            <a:fillRef idx="0">
              <a:schemeClr val="dk1"/>
            </a:fillRef>
            <a:effectRef idx="0">
              <a:schemeClr val="dk1"/>
            </a:effectRef>
            <a:fontRef idx="minor">
              <a:schemeClr val="tx1"/>
            </a:fontRef>
          </xdr:style>
        </xdr:cxnSp>
      </xdr:grpSp>
    </xdr:grpSp>
    <xdr:clientData/>
  </xdr:twoCellAnchor>
  <xdr:twoCellAnchor>
    <xdr:from>
      <xdr:col>14</xdr:col>
      <xdr:colOff>695325</xdr:colOff>
      <xdr:row>28</xdr:row>
      <xdr:rowOff>152400</xdr:rowOff>
    </xdr:from>
    <xdr:to>
      <xdr:col>21</xdr:col>
      <xdr:colOff>104775</xdr:colOff>
      <xdr:row>28</xdr:row>
      <xdr:rowOff>152400</xdr:rowOff>
    </xdr:to>
    <xdr:cxnSp macro="">
      <xdr:nvCxnSpPr>
        <xdr:cNvPr id="69" name="DOTTED_LINE">
          <a:extLst>
            <a:ext uri="{FF2B5EF4-FFF2-40B4-BE49-F238E27FC236}">
              <a16:creationId xmlns:a16="http://schemas.microsoft.com/office/drawing/2014/main" id="{00000000-0008-0000-0400-000045000000}"/>
            </a:ext>
          </a:extLst>
        </xdr:cNvPr>
        <xdr:cNvCxnSpPr/>
      </xdr:nvCxnSpPr>
      <xdr:spPr>
        <a:xfrm>
          <a:off x="3686175" y="7766050"/>
          <a:ext cx="2978150"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342900</xdr:colOff>
      <xdr:row>47</xdr:row>
      <xdr:rowOff>142875</xdr:rowOff>
    </xdr:from>
    <xdr:to>
      <xdr:col>19</xdr:col>
      <xdr:colOff>104775</xdr:colOff>
      <xdr:row>47</xdr:row>
      <xdr:rowOff>142875</xdr:rowOff>
    </xdr:to>
    <xdr:cxnSp macro="">
      <xdr:nvCxnSpPr>
        <xdr:cNvPr id="70" name="DOTTED_LINE">
          <a:extLst>
            <a:ext uri="{FF2B5EF4-FFF2-40B4-BE49-F238E27FC236}">
              <a16:creationId xmlns:a16="http://schemas.microsoft.com/office/drawing/2014/main" id="{00000000-0008-0000-0400-000046000000}"/>
            </a:ext>
          </a:extLst>
        </xdr:cNvPr>
        <xdr:cNvCxnSpPr/>
      </xdr:nvCxnSpPr>
      <xdr:spPr>
        <a:xfrm>
          <a:off x="11849100" y="13065125"/>
          <a:ext cx="2390775"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38100</xdr:colOff>
      <xdr:row>61</xdr:row>
      <xdr:rowOff>152400</xdr:rowOff>
    </xdr:from>
    <xdr:to>
      <xdr:col>21</xdr:col>
      <xdr:colOff>104775</xdr:colOff>
      <xdr:row>61</xdr:row>
      <xdr:rowOff>152400</xdr:rowOff>
    </xdr:to>
    <xdr:cxnSp macro="">
      <xdr:nvCxnSpPr>
        <xdr:cNvPr id="73" name="DOTTED_LINE">
          <a:extLst>
            <a:ext uri="{FF2B5EF4-FFF2-40B4-BE49-F238E27FC236}">
              <a16:creationId xmlns:a16="http://schemas.microsoft.com/office/drawing/2014/main" id="{00000000-0008-0000-0400-000049000000}"/>
            </a:ext>
          </a:extLst>
        </xdr:cNvPr>
        <xdr:cNvCxnSpPr/>
      </xdr:nvCxnSpPr>
      <xdr:spPr>
        <a:xfrm>
          <a:off x="5657850" y="14471650"/>
          <a:ext cx="1006475"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419100</xdr:colOff>
      <xdr:row>87</xdr:row>
      <xdr:rowOff>95250</xdr:rowOff>
    </xdr:from>
    <xdr:to>
      <xdr:col>18</xdr:col>
      <xdr:colOff>485775</xdr:colOff>
      <xdr:row>88</xdr:row>
      <xdr:rowOff>171450</xdr:rowOff>
    </xdr:to>
    <xdr:sp macro="" textlink="">
      <xdr:nvSpPr>
        <xdr:cNvPr id="74" name="Rounded Rectangle 84">
          <a:hlinkClick xmlns:r="http://schemas.openxmlformats.org/officeDocument/2006/relationships" r:id="rId8"/>
          <a:extLst>
            <a:ext uri="{FF2B5EF4-FFF2-40B4-BE49-F238E27FC236}">
              <a16:creationId xmlns:a16="http://schemas.microsoft.com/office/drawing/2014/main" id="{00000000-0008-0000-0400-00004A000000}"/>
            </a:ext>
          </a:extLst>
        </xdr:cNvPr>
        <xdr:cNvSpPr/>
      </xdr:nvSpPr>
      <xdr:spPr>
        <a:xfrm>
          <a:off x="2470150" y="21678900"/>
          <a:ext cx="2886075" cy="355600"/>
        </a:xfrm>
        <a:prstGeom prst="roundRect">
          <a:avLst/>
        </a:prstGeom>
        <a:gradFill>
          <a:gsLst>
            <a:gs pos="0">
              <a:srgbClr val="8EB149"/>
            </a:gs>
            <a:gs pos="100000">
              <a:srgbClr val="708B39"/>
            </a:gs>
          </a:gsLst>
          <a:lin ang="5400000" scaled="1"/>
        </a:gra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baseline="0">
              <a:latin typeface="Arial" panose="020B0604020202020204" pitchFamily="34" charset="0"/>
              <a:cs typeface="Arial" panose="020B0604020202020204" pitchFamily="34" charset="0"/>
            </a:rPr>
            <a:t>Open Income Calculation Worksheet </a:t>
          </a:r>
        </a:p>
      </xdr:txBody>
    </xdr:sp>
    <xdr:clientData/>
  </xdr:twoCellAnchor>
  <xdr:twoCellAnchor editAs="oneCell">
    <xdr:from>
      <xdr:col>7</xdr:col>
      <xdr:colOff>66675</xdr:colOff>
      <xdr:row>100</xdr:row>
      <xdr:rowOff>238125</xdr:rowOff>
    </xdr:from>
    <xdr:to>
      <xdr:col>24</xdr:col>
      <xdr:colOff>104775</xdr:colOff>
      <xdr:row>134</xdr:row>
      <xdr:rowOff>76201</xdr:rowOff>
    </xdr:to>
    <xdr:grpSp>
      <xdr:nvGrpSpPr>
        <xdr:cNvPr id="75" name="Group 74">
          <a:extLst>
            <a:ext uri="{FF2B5EF4-FFF2-40B4-BE49-F238E27FC236}">
              <a16:creationId xmlns:a16="http://schemas.microsoft.com/office/drawing/2014/main" id="{00000000-0008-0000-0400-00004B000000}"/>
            </a:ext>
          </a:extLst>
        </xdr:cNvPr>
        <xdr:cNvGrpSpPr/>
      </xdr:nvGrpSpPr>
      <xdr:grpSpPr>
        <a:xfrm>
          <a:off x="66675" y="27679650"/>
          <a:ext cx="7362825" cy="9229726"/>
          <a:chOff x="8191500" y="18297525"/>
          <a:chExt cx="7362825" cy="9229725"/>
        </a:xfrm>
      </xdr:grpSpPr>
      <xdr:grpSp>
        <xdr:nvGrpSpPr>
          <xdr:cNvPr id="76" name="RENTAL_5">
            <a:extLst>
              <a:ext uri="{FF2B5EF4-FFF2-40B4-BE49-F238E27FC236}">
                <a16:creationId xmlns:a16="http://schemas.microsoft.com/office/drawing/2014/main" id="{00000000-0008-0000-0400-00004C000000}"/>
              </a:ext>
            </a:extLst>
          </xdr:cNvPr>
          <xdr:cNvGrpSpPr/>
        </xdr:nvGrpSpPr>
        <xdr:grpSpPr>
          <a:xfrm>
            <a:off x="8191500" y="18297525"/>
            <a:ext cx="7362825" cy="9229725"/>
            <a:chOff x="9363075" y="17297253"/>
            <a:chExt cx="7362825" cy="9459477"/>
          </a:xfrm>
        </xdr:grpSpPr>
        <xdr:sp macro="" textlink="">
          <xdr:nvSpPr>
            <xdr:cNvPr id="78" name="RENTAL_5_SECTION_FRAME">
              <a:extLst>
                <a:ext uri="{FF2B5EF4-FFF2-40B4-BE49-F238E27FC236}">
                  <a16:creationId xmlns:a16="http://schemas.microsoft.com/office/drawing/2014/main" id="{00000000-0008-0000-0400-00004E000000}"/>
                </a:ext>
              </a:extLst>
            </xdr:cNvPr>
            <xdr:cNvSpPr/>
          </xdr:nvSpPr>
          <xdr:spPr>
            <a:xfrm>
              <a:off x="9363075" y="17617604"/>
              <a:ext cx="7362825" cy="9139126"/>
            </a:xfrm>
            <a:prstGeom prst="rect">
              <a:avLst/>
            </a:prstGeom>
            <a:no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endParaRPr lang="en-US" sz="1100"/>
            </a:p>
          </xdr:txBody>
        </xdr:sp>
        <xdr:sp macro="" textlink="$B$136">
          <xdr:nvSpPr>
            <xdr:cNvPr id="79" name="RENTAL_5_SECTION_TITLE">
              <a:extLst>
                <a:ext uri="{FF2B5EF4-FFF2-40B4-BE49-F238E27FC236}">
                  <a16:creationId xmlns:a16="http://schemas.microsoft.com/office/drawing/2014/main" id="{00000000-0008-0000-0400-00004F000000}"/>
                </a:ext>
              </a:extLst>
            </xdr:cNvPr>
            <xdr:cNvSpPr/>
          </xdr:nvSpPr>
          <xdr:spPr>
            <a:xfrm>
              <a:off x="9363075" y="17297253"/>
              <a:ext cx="7360920" cy="312329"/>
            </a:xfrm>
            <a:prstGeom prst="rect">
              <a:avLst/>
            </a:prstGeom>
            <a:solidFill>
              <a:srgbClr val="9CACB9"/>
            </a:solid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l"/>
              <a:fld id="{D88E3CCE-11D7-4A89-B55B-0F85F8F00C5D}" type="TxLink">
                <a:rPr lang="en-US" sz="1100" b="1" i="0" u="none" strike="noStrike">
                  <a:solidFill>
                    <a:srgbClr val="FFFFFF"/>
                  </a:solidFill>
                  <a:latin typeface="Calibri"/>
                  <a:cs typeface="Calibri"/>
                </a:rPr>
                <a:pPr algn="l"/>
                <a:t>Member Certification</a:t>
              </a:fld>
              <a:endParaRPr lang="en-US" sz="1100" b="1" i="0" u="none" strike="noStrike">
                <a:solidFill>
                  <a:schemeClr val="bg1"/>
                </a:solidFill>
                <a:latin typeface="Calibri"/>
              </a:endParaRPr>
            </a:p>
          </xdr:txBody>
        </xdr:sp>
        <xdr:sp macro="" textlink="$B$147">
          <xdr:nvSpPr>
            <xdr:cNvPr id="80" name="RENTAL_5_SECTION_SUBTITLE">
              <a:extLst>
                <a:ext uri="{FF2B5EF4-FFF2-40B4-BE49-F238E27FC236}">
                  <a16:creationId xmlns:a16="http://schemas.microsoft.com/office/drawing/2014/main" id="{00000000-0008-0000-0400-000050000000}"/>
                </a:ext>
              </a:extLst>
            </xdr:cNvPr>
            <xdr:cNvSpPr/>
          </xdr:nvSpPr>
          <xdr:spPr>
            <a:xfrm>
              <a:off x="9372598" y="17621099"/>
              <a:ext cx="7351776" cy="278552"/>
            </a:xfrm>
            <a:prstGeom prst="rect">
              <a:avLst/>
            </a:prstGeom>
            <a:solidFill>
              <a:schemeClr val="accent1">
                <a:lumMod val="20000"/>
                <a:lumOff val="80000"/>
              </a:schemeClr>
            </a:solidFill>
            <a:ln>
              <a:noFill/>
            </a:ln>
            <a:effectLst/>
          </xdr:spPr>
          <xdr:style>
            <a:lnRef idx="1">
              <a:schemeClr val="accent1"/>
            </a:lnRef>
            <a:fillRef idx="2">
              <a:schemeClr val="accent1"/>
            </a:fillRef>
            <a:effectRef idx="1">
              <a:schemeClr val="accent1"/>
            </a:effectRef>
            <a:fontRef idx="minor">
              <a:schemeClr val="dk1"/>
            </a:fontRef>
          </xdr:style>
          <xdr:txBody>
            <a:bodyPr vertOverflow="clip" lIns="457200" rtlCol="0" anchor="ctr"/>
            <a:lstStyle/>
            <a:p>
              <a:pPr algn="l"/>
              <a:fld id="{FB26CD53-0FF5-4F12-AFE7-DB5492936A6A}" type="TxLink">
                <a:rPr lang="en-US" sz="900" b="0" i="0" u="none" strike="noStrike">
                  <a:solidFill>
                    <a:srgbClr val="000000"/>
                  </a:solidFill>
                  <a:latin typeface="Calibri"/>
                  <a:cs typeface="Calibri"/>
                </a:rPr>
                <a:pPr algn="l"/>
                <a:t>Not Started</a:t>
              </a:fld>
              <a:endParaRPr lang="en-US" sz="1100" i="0"/>
            </a:p>
          </xdr:txBody>
        </xdr:sp>
        <xdr:sp macro="" textlink="">
          <xdr:nvSpPr>
            <xdr:cNvPr id="81" name="RENTAL_5_SECTION_SUBTITLE_LABEL">
              <a:extLst>
                <a:ext uri="{FF2B5EF4-FFF2-40B4-BE49-F238E27FC236}">
                  <a16:creationId xmlns:a16="http://schemas.microsoft.com/office/drawing/2014/main" id="{00000000-0008-0000-0400-000051000000}"/>
                </a:ext>
              </a:extLst>
            </xdr:cNvPr>
            <xdr:cNvSpPr txBox="1"/>
          </xdr:nvSpPr>
          <xdr:spPr>
            <a:xfrm>
              <a:off x="9467850" y="17621098"/>
              <a:ext cx="476249" cy="2785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tlCol="0" anchor="ctr">
              <a:noAutofit/>
            </a:bodyPr>
            <a:lstStyle/>
            <a:p>
              <a:r>
                <a:rPr lang="en-US" sz="900" b="1"/>
                <a:t>Status:</a:t>
              </a:r>
            </a:p>
          </xdr:txBody>
        </xdr:sp>
      </xdr:grpSp>
      <xdr:sp macro="" textlink="">
        <xdr:nvSpPr>
          <xdr:cNvPr id="77" name="LINK_RENTAL_TOC">
            <a:hlinkClick xmlns:r="http://schemas.openxmlformats.org/officeDocument/2006/relationships" r:id="rId6"/>
            <a:extLst>
              <a:ext uri="{FF2B5EF4-FFF2-40B4-BE49-F238E27FC236}">
                <a16:creationId xmlns:a16="http://schemas.microsoft.com/office/drawing/2014/main" id="{00000000-0008-0000-0400-00004D000000}"/>
              </a:ext>
            </a:extLst>
          </xdr:cNvPr>
          <xdr:cNvSpPr/>
        </xdr:nvSpPr>
        <xdr:spPr>
          <a:xfrm>
            <a:off x="14525625" y="18297525"/>
            <a:ext cx="1028700" cy="30480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r"/>
            <a:r>
              <a:rPr lang="en-US" sz="1000" b="1" u="none">
                <a:solidFill>
                  <a:schemeClr val="bg1"/>
                </a:solidFill>
              </a:rPr>
              <a:t>Back</a:t>
            </a:r>
            <a:r>
              <a:rPr lang="en-US" sz="1000" b="1" u="none" baseline="0">
                <a:solidFill>
                  <a:schemeClr val="bg1"/>
                </a:solidFill>
              </a:rPr>
              <a:t> to Top ^</a:t>
            </a:r>
            <a:endParaRPr lang="en-US" sz="1000" b="1" u="none">
              <a:solidFill>
                <a:schemeClr val="bg1"/>
              </a:solidFill>
            </a:endParaRPr>
          </a:p>
        </xdr:txBody>
      </xdr:sp>
    </xdr:grpSp>
    <xdr:clientData fPrintsWithSheet="0"/>
  </xdr:twoCellAnchor>
  <xdr:oneCellAnchor>
    <xdr:from>
      <xdr:col>16</xdr:col>
      <xdr:colOff>295275</xdr:colOff>
      <xdr:row>18</xdr:row>
      <xdr:rowOff>9525</xdr:rowOff>
    </xdr:from>
    <xdr:ext cx="2200275" cy="264560"/>
    <xdr:sp macro="" textlink="$B$149">
      <xdr:nvSpPr>
        <xdr:cNvPr id="82" name="TOC_SECTION_10">
          <a:hlinkClick xmlns:r="http://schemas.openxmlformats.org/officeDocument/2006/relationships" r:id="rId9"/>
          <a:extLst>
            <a:ext uri="{FF2B5EF4-FFF2-40B4-BE49-F238E27FC236}">
              <a16:creationId xmlns:a16="http://schemas.microsoft.com/office/drawing/2014/main" id="{00000000-0008-0000-0400-000052000000}"/>
            </a:ext>
          </a:extLst>
        </xdr:cNvPr>
        <xdr:cNvSpPr txBox="1"/>
      </xdr:nvSpPr>
      <xdr:spPr>
        <a:xfrm>
          <a:off x="4225925" y="4829175"/>
          <a:ext cx="2200275" cy="2645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lIns="0" rtlCol="0" anchor="t">
          <a:noAutofit/>
        </a:bodyPr>
        <a:lstStyle/>
        <a:p>
          <a:pPr marL="0" indent="0" algn="l"/>
          <a:fld id="{6135BE1B-C9D2-4812-82E5-8EBB27621EE9}" type="TxLink">
            <a:rPr lang="en-US" sz="1000" b="1" i="0" u="sng" strike="noStrike">
              <a:solidFill>
                <a:schemeClr val="accent1">
                  <a:lumMod val="75000"/>
                </a:schemeClr>
              </a:solidFill>
              <a:latin typeface="Calibri"/>
              <a:ea typeface="+mn-ea"/>
              <a:cs typeface="Calibri"/>
            </a:rPr>
            <a:pPr marL="0" indent="0" algn="l"/>
            <a:t>Member Certification</a:t>
          </a:fld>
          <a:endParaRPr lang="en-US" sz="1000" b="1" i="0" u="sng" strike="noStrike">
            <a:solidFill>
              <a:schemeClr val="accent1">
                <a:lumMod val="75000"/>
              </a:schemeClr>
            </a:solidFill>
            <a:latin typeface="Calibri"/>
            <a:ea typeface="+mn-ea"/>
            <a:cs typeface="Calibri"/>
          </a:endParaRPr>
        </a:p>
      </xdr:txBody>
    </xdr:sp>
    <xdr:clientData fPrintsWithSheet="0"/>
  </xdr:oneCellAnchor>
  <xdr:twoCellAnchor>
    <xdr:from>
      <xdr:col>8</xdr:col>
      <xdr:colOff>19049</xdr:colOff>
      <xdr:row>98</xdr:row>
      <xdr:rowOff>123825</xdr:rowOff>
    </xdr:from>
    <xdr:to>
      <xdr:col>11</xdr:col>
      <xdr:colOff>9524</xdr:colOff>
      <xdr:row>99</xdr:row>
      <xdr:rowOff>200025</xdr:rowOff>
    </xdr:to>
    <xdr:sp macro="" textlink="">
      <xdr:nvSpPr>
        <xdr:cNvPr id="83" name="Rounded Rectangle 84">
          <a:hlinkClick xmlns:r="http://schemas.openxmlformats.org/officeDocument/2006/relationships" r:id="rId10"/>
          <a:extLst>
            <a:ext uri="{FF2B5EF4-FFF2-40B4-BE49-F238E27FC236}">
              <a16:creationId xmlns:a16="http://schemas.microsoft.com/office/drawing/2014/main" id="{00000000-0008-0000-0400-000053000000}"/>
            </a:ext>
          </a:extLst>
        </xdr:cNvPr>
        <xdr:cNvSpPr/>
      </xdr:nvSpPr>
      <xdr:spPr>
        <a:xfrm>
          <a:off x="190499" y="24780875"/>
          <a:ext cx="1679575" cy="355600"/>
        </a:xfrm>
        <a:prstGeom prst="roundRect">
          <a:avLst/>
        </a:prstGeom>
        <a:gradFill>
          <a:gsLst>
            <a:gs pos="0">
              <a:srgbClr val="8EB149"/>
            </a:gs>
            <a:gs pos="100000">
              <a:srgbClr val="708B39"/>
            </a:gs>
          </a:gsLst>
          <a:lin ang="5400000" scaled="1"/>
        </a:gra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baseline="0">
              <a:latin typeface="Arial" panose="020B0604020202020204" pitchFamily="34" charset="0"/>
              <a:cs typeface="Arial" panose="020B0604020202020204" pitchFamily="34" charset="0"/>
            </a:rPr>
            <a:t>New Jersey</a:t>
          </a:r>
        </a:p>
      </xdr:txBody>
    </xdr:sp>
    <xdr:clientData/>
  </xdr:twoCellAnchor>
  <xdr:twoCellAnchor>
    <xdr:from>
      <xdr:col>12</xdr:col>
      <xdr:colOff>104775</xdr:colOff>
      <xdr:row>98</xdr:row>
      <xdr:rowOff>123825</xdr:rowOff>
    </xdr:from>
    <xdr:to>
      <xdr:col>15</xdr:col>
      <xdr:colOff>95250</xdr:colOff>
      <xdr:row>99</xdr:row>
      <xdr:rowOff>200025</xdr:rowOff>
    </xdr:to>
    <xdr:sp macro="" textlink="">
      <xdr:nvSpPr>
        <xdr:cNvPr id="84" name="Rounded Rectangle 84">
          <a:hlinkClick xmlns:r="http://schemas.openxmlformats.org/officeDocument/2006/relationships" r:id="rId11"/>
          <a:extLst>
            <a:ext uri="{FF2B5EF4-FFF2-40B4-BE49-F238E27FC236}">
              <a16:creationId xmlns:a16="http://schemas.microsoft.com/office/drawing/2014/main" id="{00000000-0008-0000-0400-000054000000}"/>
            </a:ext>
          </a:extLst>
        </xdr:cNvPr>
        <xdr:cNvSpPr/>
      </xdr:nvSpPr>
      <xdr:spPr>
        <a:xfrm>
          <a:off x="2155825" y="24780875"/>
          <a:ext cx="1679575" cy="355600"/>
        </a:xfrm>
        <a:prstGeom prst="roundRect">
          <a:avLst/>
        </a:prstGeom>
        <a:gradFill>
          <a:gsLst>
            <a:gs pos="0">
              <a:srgbClr val="8EB149"/>
            </a:gs>
            <a:gs pos="100000">
              <a:srgbClr val="708B39"/>
            </a:gs>
          </a:gsLst>
          <a:lin ang="5400000" scaled="1"/>
        </a:gra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baseline="0">
              <a:latin typeface="Arial" panose="020B0604020202020204" pitchFamily="34" charset="0"/>
              <a:cs typeface="Arial" panose="020B0604020202020204" pitchFamily="34" charset="0"/>
            </a:rPr>
            <a:t>New York</a:t>
          </a:r>
        </a:p>
      </xdr:txBody>
    </xdr:sp>
    <xdr:clientData/>
  </xdr:twoCellAnchor>
  <xdr:twoCellAnchor>
    <xdr:from>
      <xdr:col>16</xdr:col>
      <xdr:colOff>171449</xdr:colOff>
      <xdr:row>98</xdr:row>
      <xdr:rowOff>123825</xdr:rowOff>
    </xdr:from>
    <xdr:to>
      <xdr:col>19</xdr:col>
      <xdr:colOff>161924</xdr:colOff>
      <xdr:row>99</xdr:row>
      <xdr:rowOff>200025</xdr:rowOff>
    </xdr:to>
    <xdr:sp macro="" textlink="">
      <xdr:nvSpPr>
        <xdr:cNvPr id="85" name="Rounded Rectangle 84">
          <a:hlinkClick xmlns:r="http://schemas.openxmlformats.org/officeDocument/2006/relationships" r:id="rId12"/>
          <a:extLst>
            <a:ext uri="{FF2B5EF4-FFF2-40B4-BE49-F238E27FC236}">
              <a16:creationId xmlns:a16="http://schemas.microsoft.com/office/drawing/2014/main" id="{00000000-0008-0000-0400-000055000000}"/>
            </a:ext>
          </a:extLst>
        </xdr:cNvPr>
        <xdr:cNvSpPr/>
      </xdr:nvSpPr>
      <xdr:spPr>
        <a:xfrm>
          <a:off x="4102099" y="24780875"/>
          <a:ext cx="1679575" cy="355600"/>
        </a:xfrm>
        <a:prstGeom prst="roundRect">
          <a:avLst/>
        </a:prstGeom>
        <a:gradFill>
          <a:gsLst>
            <a:gs pos="0">
              <a:srgbClr val="8EB149"/>
            </a:gs>
            <a:gs pos="100000">
              <a:srgbClr val="708B39"/>
            </a:gs>
          </a:gsLst>
          <a:lin ang="5400000" scaled="1"/>
        </a:gra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baseline="0">
              <a:latin typeface="Arial" panose="020B0604020202020204" pitchFamily="34" charset="0"/>
              <a:cs typeface="Arial" panose="020B0604020202020204" pitchFamily="34" charset="0"/>
            </a:rPr>
            <a:t>Puerto Rico</a:t>
          </a:r>
        </a:p>
      </xdr:txBody>
    </xdr:sp>
    <xdr:clientData/>
  </xdr:twoCellAnchor>
  <xdr:twoCellAnchor>
    <xdr:from>
      <xdr:col>20</xdr:col>
      <xdr:colOff>180974</xdr:colOff>
      <xdr:row>98</xdr:row>
      <xdr:rowOff>123825</xdr:rowOff>
    </xdr:from>
    <xdr:to>
      <xdr:col>23</xdr:col>
      <xdr:colOff>171449</xdr:colOff>
      <xdr:row>99</xdr:row>
      <xdr:rowOff>200025</xdr:rowOff>
    </xdr:to>
    <xdr:sp macro="" textlink="">
      <xdr:nvSpPr>
        <xdr:cNvPr id="86" name="Rounded Rectangle 84">
          <a:hlinkClick xmlns:r="http://schemas.openxmlformats.org/officeDocument/2006/relationships" r:id="rId13"/>
          <a:extLst>
            <a:ext uri="{FF2B5EF4-FFF2-40B4-BE49-F238E27FC236}">
              <a16:creationId xmlns:a16="http://schemas.microsoft.com/office/drawing/2014/main" id="{00000000-0008-0000-0400-000056000000}"/>
            </a:ext>
          </a:extLst>
        </xdr:cNvPr>
        <xdr:cNvSpPr/>
      </xdr:nvSpPr>
      <xdr:spPr>
        <a:xfrm>
          <a:off x="5991224" y="24780875"/>
          <a:ext cx="1679575" cy="355600"/>
        </a:xfrm>
        <a:prstGeom prst="roundRect">
          <a:avLst/>
        </a:prstGeom>
        <a:gradFill>
          <a:gsLst>
            <a:gs pos="0">
              <a:srgbClr val="8EB149"/>
            </a:gs>
            <a:gs pos="100000">
              <a:srgbClr val="708B39"/>
            </a:gs>
          </a:gsLst>
          <a:lin ang="5400000" scaled="1"/>
        </a:gra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baseline="0">
              <a:latin typeface="Arial" panose="020B0604020202020204" pitchFamily="34" charset="0"/>
              <a:cs typeface="Arial" panose="020B0604020202020204" pitchFamily="34" charset="0"/>
            </a:rPr>
            <a:t>US Virgin Islands</a:t>
          </a:r>
        </a:p>
      </xdr:txBody>
    </xdr:sp>
    <xdr:clientData/>
  </xdr:twoCellAnchor>
  <mc:AlternateContent xmlns:mc="http://schemas.openxmlformats.org/markup-compatibility/2006">
    <mc:Choice xmlns:a14="http://schemas.microsoft.com/office/drawing/2010/main" Requires="a14">
      <xdr:twoCellAnchor editAs="oneCell">
        <xdr:from>
          <xdr:col>12</xdr:col>
          <xdr:colOff>190500</xdr:colOff>
          <xdr:row>90</xdr:row>
          <xdr:rowOff>19050</xdr:rowOff>
        </xdr:from>
        <xdr:to>
          <xdr:col>18</xdr:col>
          <xdr:colOff>552450</xdr:colOff>
          <xdr:row>90</xdr:row>
          <xdr:rowOff>266700</xdr:rowOff>
        </xdr:to>
        <xdr:sp macro="" textlink="">
          <xdr:nvSpPr>
            <xdr:cNvPr id="33793" name="ICW_COMPLETE_FLAG" hidden="1">
              <a:extLst>
                <a:ext uri="{63B3BB69-23CF-44E3-9099-C40C66FF867C}">
                  <a14:compatExt spid="_x0000_s33793"/>
                </a:ext>
                <a:ext uri="{FF2B5EF4-FFF2-40B4-BE49-F238E27FC236}">
                  <a16:creationId xmlns:a16="http://schemas.microsoft.com/office/drawing/2014/main" id="{00000000-0008-0000-0400-00000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The Income Calculation Worksheet has been fully completed</a:t>
              </a:r>
            </a:p>
          </xdr:txBody>
        </xdr:sp>
        <xdr:clientData/>
      </xdr:twoCellAnchor>
    </mc:Choice>
    <mc:Fallback/>
  </mc:AlternateContent>
  <xdr:twoCellAnchor>
    <xdr:from>
      <xdr:col>16</xdr:col>
      <xdr:colOff>590550</xdr:colOff>
      <xdr:row>49</xdr:row>
      <xdr:rowOff>152400</xdr:rowOff>
    </xdr:from>
    <xdr:to>
      <xdr:col>21</xdr:col>
      <xdr:colOff>82550</xdr:colOff>
      <xdr:row>49</xdr:row>
      <xdr:rowOff>152400</xdr:rowOff>
    </xdr:to>
    <xdr:cxnSp macro="">
      <xdr:nvCxnSpPr>
        <xdr:cNvPr id="89" name="DOTTED_LINE">
          <a:extLst>
            <a:ext uri="{FF2B5EF4-FFF2-40B4-BE49-F238E27FC236}">
              <a16:creationId xmlns:a16="http://schemas.microsoft.com/office/drawing/2014/main" id="{00000000-0008-0000-0400-000059000000}"/>
            </a:ext>
          </a:extLst>
        </xdr:cNvPr>
        <xdr:cNvCxnSpPr/>
      </xdr:nvCxnSpPr>
      <xdr:spPr>
        <a:xfrm>
          <a:off x="13036550" y="14192250"/>
          <a:ext cx="2120900"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590550</xdr:colOff>
      <xdr:row>49</xdr:row>
      <xdr:rowOff>152400</xdr:rowOff>
    </xdr:from>
    <xdr:to>
      <xdr:col>21</xdr:col>
      <xdr:colOff>82550</xdr:colOff>
      <xdr:row>49</xdr:row>
      <xdr:rowOff>152400</xdr:rowOff>
    </xdr:to>
    <xdr:cxnSp macro="">
      <xdr:nvCxnSpPr>
        <xdr:cNvPr id="90" name="DOTTED_LINE">
          <a:extLst>
            <a:ext uri="{FF2B5EF4-FFF2-40B4-BE49-F238E27FC236}">
              <a16:creationId xmlns:a16="http://schemas.microsoft.com/office/drawing/2014/main" id="{00000000-0008-0000-0400-00005A000000}"/>
            </a:ext>
          </a:extLst>
        </xdr:cNvPr>
        <xdr:cNvCxnSpPr/>
      </xdr:nvCxnSpPr>
      <xdr:spPr>
        <a:xfrm>
          <a:off x="13036550" y="14192250"/>
          <a:ext cx="2120900"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oneCellAnchor>
    <xdr:from>
      <xdr:col>16</xdr:col>
      <xdr:colOff>295275</xdr:colOff>
      <xdr:row>17</xdr:row>
      <xdr:rowOff>9525</xdr:rowOff>
    </xdr:from>
    <xdr:ext cx="2200275" cy="264560"/>
    <xdr:sp macro="" textlink="$B$112">
      <xdr:nvSpPr>
        <xdr:cNvPr id="2" name="TOC_SECTION_10">
          <a:hlinkClick xmlns:r="http://schemas.openxmlformats.org/officeDocument/2006/relationships" r:id="rId1"/>
          <a:extLst>
            <a:ext uri="{FF2B5EF4-FFF2-40B4-BE49-F238E27FC236}">
              <a16:creationId xmlns:a16="http://schemas.microsoft.com/office/drawing/2014/main" id="{00000000-0008-0000-0500-000002000000}"/>
            </a:ext>
          </a:extLst>
        </xdr:cNvPr>
        <xdr:cNvSpPr txBox="1"/>
      </xdr:nvSpPr>
      <xdr:spPr>
        <a:xfrm>
          <a:off x="4225925" y="4549775"/>
          <a:ext cx="2200275" cy="2645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lIns="0" rtlCol="0" anchor="t">
          <a:noAutofit/>
        </a:bodyPr>
        <a:lstStyle/>
        <a:p>
          <a:pPr algn="l"/>
          <a:fld id="{BFAA168D-172E-4430-9045-F99273F30A4A}" type="TxLink">
            <a:rPr lang="en-US" sz="1000" b="1" i="0" u="sng" strike="noStrike">
              <a:solidFill>
                <a:schemeClr val="accent1">
                  <a:lumMod val="75000"/>
                </a:schemeClr>
              </a:solidFill>
              <a:latin typeface="Calibri"/>
              <a:ea typeface="Calibri"/>
              <a:cs typeface="Calibri"/>
            </a:rPr>
            <a:pPr algn="l"/>
            <a:t>Other Grants</a:t>
          </a:fld>
          <a:endParaRPr lang="en-US" sz="1000" b="1" i="0" u="sng">
            <a:solidFill>
              <a:schemeClr val="accent1">
                <a:lumMod val="75000"/>
              </a:schemeClr>
            </a:solidFill>
          </a:endParaRPr>
        </a:p>
      </xdr:txBody>
    </xdr:sp>
    <xdr:clientData fPrintsWithSheet="0"/>
  </xdr:oneCellAnchor>
  <xdr:oneCellAnchor>
    <xdr:from>
      <xdr:col>8</xdr:col>
      <xdr:colOff>200024</xdr:colOff>
      <xdr:row>16</xdr:row>
      <xdr:rowOff>9525</xdr:rowOff>
    </xdr:from>
    <xdr:ext cx="2295525" cy="264560"/>
    <xdr:sp macro="" textlink="$B$28">
      <xdr:nvSpPr>
        <xdr:cNvPr id="3" name="TOC_SECTION_1">
          <a:hlinkClick xmlns:r="http://schemas.openxmlformats.org/officeDocument/2006/relationships" r:id="rId2"/>
          <a:extLst>
            <a:ext uri="{FF2B5EF4-FFF2-40B4-BE49-F238E27FC236}">
              <a16:creationId xmlns:a16="http://schemas.microsoft.com/office/drawing/2014/main" id="{00000000-0008-0000-0500-000003000000}"/>
            </a:ext>
          </a:extLst>
        </xdr:cNvPr>
        <xdr:cNvSpPr txBox="1"/>
      </xdr:nvSpPr>
      <xdr:spPr>
        <a:xfrm>
          <a:off x="371474" y="4270375"/>
          <a:ext cx="2295525" cy="2645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lIns="0" rtlCol="0" anchor="t">
          <a:noAutofit/>
        </a:bodyPr>
        <a:lstStyle/>
        <a:p>
          <a:pPr marL="0" indent="0" algn="l"/>
          <a:fld id="{B912DCB3-33D0-4DE5-9CF9-E2B978CDACDE}" type="TxLink">
            <a:rPr lang="en-US" sz="1000" b="1" i="0" u="sng" strike="noStrike">
              <a:solidFill>
                <a:schemeClr val="accent1">
                  <a:lumMod val="75000"/>
                </a:schemeClr>
              </a:solidFill>
              <a:latin typeface="Calibri"/>
              <a:ea typeface="+mn-ea"/>
              <a:cs typeface="Calibri"/>
            </a:rPr>
            <a:pPr marL="0" indent="0" algn="l"/>
            <a:t>FHLBNY Member</a:t>
          </a:fld>
          <a:endParaRPr lang="en-US" sz="1000" b="1" i="0" u="sng" strike="noStrike">
            <a:solidFill>
              <a:schemeClr val="accent1">
                <a:lumMod val="75000"/>
              </a:schemeClr>
            </a:solidFill>
            <a:latin typeface="Calibri"/>
            <a:ea typeface="+mn-ea"/>
            <a:cs typeface="Calibri"/>
          </a:endParaRPr>
        </a:p>
      </xdr:txBody>
    </xdr:sp>
    <xdr:clientData fPrintsWithSheet="0"/>
  </xdr:oneCellAnchor>
  <xdr:oneCellAnchor>
    <xdr:from>
      <xdr:col>8</xdr:col>
      <xdr:colOff>200024</xdr:colOff>
      <xdr:row>17</xdr:row>
      <xdr:rowOff>9525</xdr:rowOff>
    </xdr:from>
    <xdr:ext cx="2295525" cy="264560"/>
    <xdr:sp macro="" textlink="$B$42">
      <xdr:nvSpPr>
        <xdr:cNvPr id="4" name="TOC_SECTION_2">
          <a:hlinkClick xmlns:r="http://schemas.openxmlformats.org/officeDocument/2006/relationships" r:id="rId3"/>
          <a:extLst>
            <a:ext uri="{FF2B5EF4-FFF2-40B4-BE49-F238E27FC236}">
              <a16:creationId xmlns:a16="http://schemas.microsoft.com/office/drawing/2014/main" id="{00000000-0008-0000-0500-000004000000}"/>
            </a:ext>
          </a:extLst>
        </xdr:cNvPr>
        <xdr:cNvSpPr txBox="1"/>
      </xdr:nvSpPr>
      <xdr:spPr>
        <a:xfrm>
          <a:off x="371474" y="4549775"/>
          <a:ext cx="2295525" cy="2645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lIns="0" rtlCol="0" anchor="t">
          <a:noAutofit/>
        </a:bodyPr>
        <a:lstStyle/>
        <a:p>
          <a:pPr marL="0" indent="0" algn="l"/>
          <a:fld id="{60896E56-02AF-450F-83A0-DE79B7AE6E83}" type="TxLink">
            <a:rPr lang="en-US" sz="1000" b="1" i="0" u="sng" strike="noStrike">
              <a:solidFill>
                <a:schemeClr val="accent1">
                  <a:lumMod val="75000"/>
                </a:schemeClr>
              </a:solidFill>
              <a:latin typeface="Calibri"/>
              <a:ea typeface="+mn-ea"/>
              <a:cs typeface="Calibri"/>
            </a:rPr>
            <a:pPr marL="0" indent="0" algn="l"/>
            <a:t>Household Information</a:t>
          </a:fld>
          <a:endParaRPr lang="en-US" sz="1000" b="1" i="0" u="sng" strike="noStrike">
            <a:solidFill>
              <a:schemeClr val="accent1">
                <a:lumMod val="75000"/>
              </a:schemeClr>
            </a:solidFill>
            <a:latin typeface="Calibri"/>
            <a:ea typeface="+mn-ea"/>
            <a:cs typeface="Calibri"/>
          </a:endParaRPr>
        </a:p>
      </xdr:txBody>
    </xdr:sp>
    <xdr:clientData fPrintsWithSheet="0"/>
  </xdr:oneCellAnchor>
  <xdr:oneCellAnchor>
    <xdr:from>
      <xdr:col>8</xdr:col>
      <xdr:colOff>200024</xdr:colOff>
      <xdr:row>18</xdr:row>
      <xdr:rowOff>9525</xdr:rowOff>
    </xdr:from>
    <xdr:ext cx="2295525" cy="264560"/>
    <xdr:sp macro="" textlink="$B$57">
      <xdr:nvSpPr>
        <xdr:cNvPr id="5" name="TOC_SECTION_3">
          <a:hlinkClick xmlns:r="http://schemas.openxmlformats.org/officeDocument/2006/relationships" r:id="rId4"/>
          <a:extLst>
            <a:ext uri="{FF2B5EF4-FFF2-40B4-BE49-F238E27FC236}">
              <a16:creationId xmlns:a16="http://schemas.microsoft.com/office/drawing/2014/main" id="{00000000-0008-0000-0500-000005000000}"/>
            </a:ext>
          </a:extLst>
        </xdr:cNvPr>
        <xdr:cNvSpPr txBox="1"/>
      </xdr:nvSpPr>
      <xdr:spPr>
        <a:xfrm>
          <a:off x="371474" y="4829175"/>
          <a:ext cx="2295525" cy="2645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lIns="0" rtlCol="0" anchor="t">
          <a:noAutofit/>
        </a:bodyPr>
        <a:lstStyle/>
        <a:p>
          <a:pPr algn="l"/>
          <a:fld id="{F3897FBB-DF3B-4B73-902D-D31EFF95B025}" type="TxLink">
            <a:rPr lang="en-US" sz="1000" b="1" i="0" u="sng" strike="noStrike">
              <a:solidFill>
                <a:schemeClr val="accent1">
                  <a:lumMod val="75000"/>
                </a:schemeClr>
              </a:solidFill>
              <a:latin typeface="Calibri"/>
              <a:ea typeface="Calibri"/>
              <a:cs typeface="Calibri"/>
            </a:rPr>
            <a:pPr algn="l"/>
            <a:t>Grant Summary</a:t>
          </a:fld>
          <a:endParaRPr lang="en-US" sz="1000" b="1" i="0" u="sng">
            <a:solidFill>
              <a:schemeClr val="accent1">
                <a:lumMod val="75000"/>
              </a:schemeClr>
            </a:solidFill>
          </a:endParaRPr>
        </a:p>
      </xdr:txBody>
    </xdr:sp>
    <xdr:clientData fPrintsWithSheet="0"/>
  </xdr:oneCellAnchor>
  <xdr:oneCellAnchor>
    <xdr:from>
      <xdr:col>16</xdr:col>
      <xdr:colOff>295275</xdr:colOff>
      <xdr:row>16</xdr:row>
      <xdr:rowOff>9525</xdr:rowOff>
    </xdr:from>
    <xdr:ext cx="2200275" cy="264560"/>
    <xdr:sp macro="" textlink="$B$85">
      <xdr:nvSpPr>
        <xdr:cNvPr id="6" name="TOC_SECTION_9">
          <a:hlinkClick xmlns:r="http://schemas.openxmlformats.org/officeDocument/2006/relationships" r:id="rId5"/>
          <a:extLst>
            <a:ext uri="{FF2B5EF4-FFF2-40B4-BE49-F238E27FC236}">
              <a16:creationId xmlns:a16="http://schemas.microsoft.com/office/drawing/2014/main" id="{00000000-0008-0000-0500-000006000000}"/>
            </a:ext>
          </a:extLst>
        </xdr:cNvPr>
        <xdr:cNvSpPr txBox="1"/>
      </xdr:nvSpPr>
      <xdr:spPr>
        <a:xfrm>
          <a:off x="4225925" y="4270375"/>
          <a:ext cx="2200275" cy="2645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lIns="0" rtlCol="0" anchor="t">
          <a:noAutofit/>
        </a:bodyPr>
        <a:lstStyle/>
        <a:p>
          <a:pPr algn="l"/>
          <a:fld id="{177A4A5A-073A-414A-AACE-C550FFAA6913}" type="TxLink">
            <a:rPr lang="en-US" sz="1000" b="1" i="0" u="sng" strike="noStrike">
              <a:solidFill>
                <a:schemeClr val="accent1">
                  <a:lumMod val="75000"/>
                </a:schemeClr>
              </a:solidFill>
              <a:latin typeface="Calibri"/>
              <a:ea typeface="Calibri"/>
              <a:cs typeface="Calibri"/>
            </a:rPr>
            <a:pPr algn="l"/>
            <a:t>Mortgage Information</a:t>
          </a:fld>
          <a:endParaRPr lang="en-US" sz="1000" b="1" i="0" u="sng">
            <a:solidFill>
              <a:schemeClr val="accent1">
                <a:lumMod val="75000"/>
              </a:schemeClr>
            </a:solidFill>
          </a:endParaRPr>
        </a:p>
      </xdr:txBody>
    </xdr:sp>
    <xdr:clientData fPrintsWithSheet="0"/>
  </xdr:oneCellAnchor>
  <xdr:twoCellAnchor editAs="absolute">
    <xdr:from>
      <xdr:col>16384</xdr:col>
      <xdr:colOff>607578</xdr:colOff>
      <xdr:row>13</xdr:row>
      <xdr:rowOff>180975</xdr:rowOff>
    </xdr:from>
    <xdr:to>
      <xdr:col>16384</xdr:col>
      <xdr:colOff>607578</xdr:colOff>
      <xdr:row>15</xdr:row>
      <xdr:rowOff>228600</xdr:rowOff>
    </xdr:to>
    <xdr:sp macro="" textlink="">
      <xdr:nvSpPr>
        <xdr:cNvPr id="7" name="COVER_CELLS_01">
          <a:extLst>
            <a:ext uri="{FF2B5EF4-FFF2-40B4-BE49-F238E27FC236}">
              <a16:creationId xmlns:a16="http://schemas.microsoft.com/office/drawing/2014/main" id="{00000000-0008-0000-0500-000007000000}"/>
            </a:ext>
          </a:extLst>
        </xdr:cNvPr>
        <xdr:cNvSpPr/>
      </xdr:nvSpPr>
      <xdr:spPr>
        <a:xfrm>
          <a:off x="8468878" y="3603625"/>
          <a:ext cx="0" cy="606425"/>
        </a:xfrm>
        <a:prstGeom prst="rect">
          <a:avLst/>
        </a:prstGeom>
        <a:solidFill>
          <a:srgbClr val="FFFFFF">
            <a:alpha val="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fPrintsWithSheet="0"/>
  </xdr:twoCellAnchor>
  <xdr:twoCellAnchor>
    <xdr:from>
      <xdr:col>7</xdr:col>
      <xdr:colOff>24775</xdr:colOff>
      <xdr:row>118</xdr:row>
      <xdr:rowOff>161926</xdr:rowOff>
    </xdr:from>
    <xdr:to>
      <xdr:col>24</xdr:col>
      <xdr:colOff>152399</xdr:colOff>
      <xdr:row>119</xdr:row>
      <xdr:rowOff>247650</xdr:rowOff>
    </xdr:to>
    <xdr:grpSp>
      <xdr:nvGrpSpPr>
        <xdr:cNvPr id="8" name="Group 7">
          <a:extLst>
            <a:ext uri="{FF2B5EF4-FFF2-40B4-BE49-F238E27FC236}">
              <a16:creationId xmlns:a16="http://schemas.microsoft.com/office/drawing/2014/main" id="{00000000-0008-0000-0500-000008000000}"/>
            </a:ext>
          </a:extLst>
        </xdr:cNvPr>
        <xdr:cNvGrpSpPr/>
      </xdr:nvGrpSpPr>
      <xdr:grpSpPr>
        <a:xfrm>
          <a:off x="24775" y="32575501"/>
          <a:ext cx="7452349" cy="361949"/>
          <a:chOff x="9296399" y="16259175"/>
          <a:chExt cx="7452359" cy="371473"/>
        </a:xfrm>
      </xdr:grpSpPr>
      <xdr:sp macro="" textlink="CONFIG_EFORM_DOC_ID_NAME">
        <xdr:nvSpPr>
          <xdr:cNvPr id="9" name="FOOTER_BG">
            <a:extLst>
              <a:ext uri="{FF2B5EF4-FFF2-40B4-BE49-F238E27FC236}">
                <a16:creationId xmlns:a16="http://schemas.microsoft.com/office/drawing/2014/main" id="{00000000-0008-0000-0500-000009000000}"/>
              </a:ext>
            </a:extLst>
          </xdr:cNvPr>
          <xdr:cNvSpPr/>
        </xdr:nvSpPr>
        <xdr:spPr>
          <a:xfrm>
            <a:off x="9296399" y="16259175"/>
            <a:ext cx="7452359" cy="371473"/>
          </a:xfrm>
          <a:prstGeom prst="rect">
            <a:avLst/>
          </a:prstGeom>
          <a:solidFill>
            <a:srgbClr val="00305E"/>
          </a:solidFill>
          <a:ln>
            <a:noFill/>
          </a:ln>
          <a:effectLst/>
        </xdr:spPr>
        <xdr:style>
          <a:lnRef idx="1">
            <a:schemeClr val="accent1"/>
          </a:lnRef>
          <a:fillRef idx="3">
            <a:schemeClr val="accent1"/>
          </a:fillRef>
          <a:effectRef idx="2">
            <a:schemeClr val="accent1"/>
          </a:effectRef>
          <a:fontRef idx="minor">
            <a:schemeClr val="lt1"/>
          </a:fontRef>
        </xdr:style>
        <xdr:txBody>
          <a:bodyPr vertOverflow="clip" rtlCol="0" anchor="ctr"/>
          <a:lstStyle/>
          <a:p>
            <a:pPr marL="0" marR="0" indent="0" algn="r" defTabSz="914400" eaLnBrk="1" fontAlgn="auto" latinLnBrk="0" hangingPunct="1">
              <a:lnSpc>
                <a:spcPct val="100000"/>
              </a:lnSpc>
              <a:spcBef>
                <a:spcPts val="0"/>
              </a:spcBef>
              <a:spcAft>
                <a:spcPts val="0"/>
              </a:spcAft>
              <a:buClrTx/>
              <a:buSzTx/>
              <a:buFontTx/>
              <a:buNone/>
              <a:tabLst/>
              <a:defRPr/>
            </a:pPr>
            <a:fld id="{318D66D7-35C3-43A5-9A89-905D240885C5}" type="TxLink">
              <a:rPr lang="en-US" sz="1000" b="1" i="0" u="none" strike="noStrike">
                <a:solidFill>
                  <a:schemeClr val="bg1"/>
                </a:solidFill>
                <a:latin typeface="+mn-lt"/>
                <a:ea typeface="+mn-ea"/>
                <a:cs typeface="Calibri"/>
              </a:rPr>
              <a:pPr marL="0" marR="0" indent="0" algn="r" defTabSz="914400" eaLnBrk="1" fontAlgn="auto" latinLnBrk="0" hangingPunct="1">
                <a:lnSpc>
                  <a:spcPct val="100000"/>
                </a:lnSpc>
                <a:spcBef>
                  <a:spcPts val="0"/>
                </a:spcBef>
                <a:spcAft>
                  <a:spcPts val="0"/>
                </a:spcAft>
                <a:buClrTx/>
                <a:buSzTx/>
                <a:buFontTx/>
                <a:buNone/>
                <a:tabLst/>
                <a:defRPr/>
              </a:pPr>
              <a:t>HDP-005: Homebuyer Dream Program® Request Form</a:t>
            </a:fld>
            <a:endParaRPr lang="en-US" sz="1000" b="1">
              <a:solidFill>
                <a:schemeClr val="bg1"/>
              </a:solidFill>
              <a:latin typeface="+mn-lt"/>
            </a:endParaRPr>
          </a:p>
        </xdr:txBody>
      </xdr:sp>
      <xdr:sp macro="" textlink="">
        <xdr:nvSpPr>
          <xdr:cNvPr id="10" name="FOOTER_LINK_PAGETOP">
            <a:hlinkClick xmlns:r="http://schemas.openxmlformats.org/officeDocument/2006/relationships" r:id="rId6"/>
            <a:extLst>
              <a:ext uri="{FF2B5EF4-FFF2-40B4-BE49-F238E27FC236}">
                <a16:creationId xmlns:a16="http://schemas.microsoft.com/office/drawing/2014/main" id="{00000000-0008-0000-0500-00000A000000}"/>
              </a:ext>
            </a:extLst>
          </xdr:cNvPr>
          <xdr:cNvSpPr/>
        </xdr:nvSpPr>
        <xdr:spPr>
          <a:xfrm>
            <a:off x="9296399" y="16259175"/>
            <a:ext cx="1126715" cy="36195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u="none">
                <a:solidFill>
                  <a:schemeClr val="bg1"/>
                </a:solidFill>
                <a:latin typeface="+mn-lt"/>
              </a:rPr>
              <a:t>^ Back to Top</a:t>
            </a:r>
          </a:p>
        </xdr:txBody>
      </xdr:sp>
    </xdr:grpSp>
    <xdr:clientData fPrintsWithSheet="0"/>
  </xdr:twoCellAnchor>
  <xdr:oneCellAnchor>
    <xdr:from>
      <xdr:col>12</xdr:col>
      <xdr:colOff>1076325</xdr:colOff>
      <xdr:row>12</xdr:row>
      <xdr:rowOff>0</xdr:rowOff>
    </xdr:from>
    <xdr:ext cx="184731" cy="264560"/>
    <xdr:sp macro="" textlink="">
      <xdr:nvSpPr>
        <xdr:cNvPr id="11" name="TextBox 10">
          <a:extLst>
            <a:ext uri="{FF2B5EF4-FFF2-40B4-BE49-F238E27FC236}">
              <a16:creationId xmlns:a16="http://schemas.microsoft.com/office/drawing/2014/main" id="{00000000-0008-0000-0500-00000B000000}"/>
            </a:ext>
          </a:extLst>
        </xdr:cNvPr>
        <xdr:cNvSpPr txBox="1"/>
      </xdr:nvSpPr>
      <xdr:spPr>
        <a:xfrm>
          <a:off x="27971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oneCellAnchor>
    <xdr:from>
      <xdr:col>16</xdr:col>
      <xdr:colOff>1076325</xdr:colOff>
      <xdr:row>12</xdr:row>
      <xdr:rowOff>0</xdr:rowOff>
    </xdr:from>
    <xdr:ext cx="184731" cy="264560"/>
    <xdr:sp macro="" textlink="">
      <xdr:nvSpPr>
        <xdr:cNvPr id="12" name="TextBox 11">
          <a:extLst>
            <a:ext uri="{FF2B5EF4-FFF2-40B4-BE49-F238E27FC236}">
              <a16:creationId xmlns:a16="http://schemas.microsoft.com/office/drawing/2014/main" id="{00000000-0008-0000-0500-00000C000000}"/>
            </a:ext>
          </a:extLst>
        </xdr:cNvPr>
        <xdr:cNvSpPr txBox="1"/>
      </xdr:nvSpPr>
      <xdr:spPr>
        <a:xfrm>
          <a:off x="46767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oneCellAnchor>
    <xdr:from>
      <xdr:col>16</xdr:col>
      <xdr:colOff>1076325</xdr:colOff>
      <xdr:row>12</xdr:row>
      <xdr:rowOff>0</xdr:rowOff>
    </xdr:from>
    <xdr:ext cx="184731" cy="264560"/>
    <xdr:sp macro="" textlink="">
      <xdr:nvSpPr>
        <xdr:cNvPr id="13" name="TextBox 12">
          <a:extLst>
            <a:ext uri="{FF2B5EF4-FFF2-40B4-BE49-F238E27FC236}">
              <a16:creationId xmlns:a16="http://schemas.microsoft.com/office/drawing/2014/main" id="{00000000-0008-0000-0500-00000D000000}"/>
            </a:ext>
          </a:extLst>
        </xdr:cNvPr>
        <xdr:cNvSpPr txBox="1"/>
      </xdr:nvSpPr>
      <xdr:spPr>
        <a:xfrm>
          <a:off x="46767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oneCellAnchor>
    <xdr:from>
      <xdr:col>16</xdr:col>
      <xdr:colOff>1076325</xdr:colOff>
      <xdr:row>12</xdr:row>
      <xdr:rowOff>0</xdr:rowOff>
    </xdr:from>
    <xdr:ext cx="184731" cy="264560"/>
    <xdr:sp macro="" textlink="">
      <xdr:nvSpPr>
        <xdr:cNvPr id="14" name="TextBox 13">
          <a:extLst>
            <a:ext uri="{FF2B5EF4-FFF2-40B4-BE49-F238E27FC236}">
              <a16:creationId xmlns:a16="http://schemas.microsoft.com/office/drawing/2014/main" id="{00000000-0008-0000-0500-00000E000000}"/>
            </a:ext>
          </a:extLst>
        </xdr:cNvPr>
        <xdr:cNvSpPr txBox="1"/>
      </xdr:nvSpPr>
      <xdr:spPr>
        <a:xfrm>
          <a:off x="46767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twoCellAnchor editAs="oneCell">
    <xdr:from>
      <xdr:col>7</xdr:col>
      <xdr:colOff>66675</xdr:colOff>
      <xdr:row>19</xdr:row>
      <xdr:rowOff>180974</xdr:rowOff>
    </xdr:from>
    <xdr:to>
      <xdr:col>24</xdr:col>
      <xdr:colOff>104776</xdr:colOff>
      <xdr:row>24</xdr:row>
      <xdr:rowOff>95248</xdr:rowOff>
    </xdr:to>
    <xdr:grpSp>
      <xdr:nvGrpSpPr>
        <xdr:cNvPr id="15" name="Group 14">
          <a:extLst>
            <a:ext uri="{FF2B5EF4-FFF2-40B4-BE49-F238E27FC236}">
              <a16:creationId xmlns:a16="http://schemas.microsoft.com/office/drawing/2014/main" id="{00000000-0008-0000-0500-00000F000000}"/>
            </a:ext>
          </a:extLst>
        </xdr:cNvPr>
        <xdr:cNvGrpSpPr/>
      </xdr:nvGrpSpPr>
      <xdr:grpSpPr>
        <a:xfrm>
          <a:off x="66675" y="5248274"/>
          <a:ext cx="7362826" cy="1295399"/>
          <a:chOff x="8191500" y="5295900"/>
          <a:chExt cx="7362826" cy="1172028"/>
        </a:xfrm>
      </xdr:grpSpPr>
      <xdr:grpSp>
        <xdr:nvGrpSpPr>
          <xdr:cNvPr id="16" name="RENTAL_1">
            <a:extLst>
              <a:ext uri="{FF2B5EF4-FFF2-40B4-BE49-F238E27FC236}">
                <a16:creationId xmlns:a16="http://schemas.microsoft.com/office/drawing/2014/main" id="{00000000-0008-0000-0500-000010000000}"/>
              </a:ext>
            </a:extLst>
          </xdr:cNvPr>
          <xdr:cNvGrpSpPr/>
        </xdr:nvGrpSpPr>
        <xdr:grpSpPr>
          <a:xfrm>
            <a:off x="8191500" y="5295901"/>
            <a:ext cx="7362825" cy="1172027"/>
            <a:chOff x="8191500" y="4057651"/>
            <a:chExt cx="7362825" cy="1172027"/>
          </a:xfrm>
        </xdr:grpSpPr>
        <xdr:sp macro="" textlink="">
          <xdr:nvSpPr>
            <xdr:cNvPr id="18" name="RENTAL_1_SECTION_FRAME">
              <a:extLst>
                <a:ext uri="{FF2B5EF4-FFF2-40B4-BE49-F238E27FC236}">
                  <a16:creationId xmlns:a16="http://schemas.microsoft.com/office/drawing/2014/main" id="{00000000-0008-0000-0500-000012000000}"/>
                </a:ext>
              </a:extLst>
            </xdr:cNvPr>
            <xdr:cNvSpPr/>
          </xdr:nvSpPr>
          <xdr:spPr>
            <a:xfrm>
              <a:off x="8191500" y="4367099"/>
              <a:ext cx="7362825" cy="862579"/>
            </a:xfrm>
            <a:prstGeom prst="rect">
              <a:avLst/>
            </a:prstGeom>
            <a:no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endParaRPr lang="en-US" sz="1100"/>
            </a:p>
          </xdr:txBody>
        </xdr:sp>
        <xdr:sp macro="" textlink="B18">
          <xdr:nvSpPr>
            <xdr:cNvPr id="19" name="RENTAL_1_SECTION_TITLE">
              <a:extLst>
                <a:ext uri="{FF2B5EF4-FFF2-40B4-BE49-F238E27FC236}">
                  <a16:creationId xmlns:a16="http://schemas.microsoft.com/office/drawing/2014/main" id="{00000000-0008-0000-0500-000013000000}"/>
                </a:ext>
              </a:extLst>
            </xdr:cNvPr>
            <xdr:cNvSpPr/>
          </xdr:nvSpPr>
          <xdr:spPr>
            <a:xfrm>
              <a:off x="8191500" y="4057651"/>
              <a:ext cx="7360920" cy="311090"/>
            </a:xfrm>
            <a:prstGeom prst="rect">
              <a:avLst/>
            </a:prstGeom>
            <a:solidFill>
              <a:srgbClr val="9CACB9"/>
            </a:solid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l"/>
              <a:fld id="{41F85F06-3A35-4C2E-A513-A2CFAECED2A4}" type="TxLink">
                <a:rPr lang="en-US" sz="1100" b="1" i="0" u="none" strike="noStrike">
                  <a:solidFill>
                    <a:schemeClr val="bg1"/>
                  </a:solidFill>
                  <a:latin typeface="Calibri"/>
                </a:rPr>
                <a:pPr algn="l"/>
                <a:t>Federal Home Loan Bank of New York Member</a:t>
              </a:fld>
              <a:endParaRPr lang="en-US" sz="1100" b="1" i="0">
                <a:solidFill>
                  <a:schemeClr val="bg1"/>
                </a:solidFill>
              </a:endParaRPr>
            </a:p>
          </xdr:txBody>
        </xdr:sp>
        <xdr:sp macro="" textlink="$B$26">
          <xdr:nvSpPr>
            <xdr:cNvPr id="20" name="RENTAL_1_SECTION_SUBTITLE">
              <a:extLst>
                <a:ext uri="{FF2B5EF4-FFF2-40B4-BE49-F238E27FC236}">
                  <a16:creationId xmlns:a16="http://schemas.microsoft.com/office/drawing/2014/main" id="{00000000-0008-0000-0500-000014000000}"/>
                </a:ext>
              </a:extLst>
            </xdr:cNvPr>
            <xdr:cNvSpPr/>
          </xdr:nvSpPr>
          <xdr:spPr>
            <a:xfrm>
              <a:off x="8201025" y="4379110"/>
              <a:ext cx="7351776" cy="274320"/>
            </a:xfrm>
            <a:prstGeom prst="rect">
              <a:avLst/>
            </a:prstGeom>
            <a:solidFill>
              <a:schemeClr val="accent1">
                <a:lumMod val="20000"/>
                <a:lumOff val="80000"/>
              </a:schemeClr>
            </a:solidFill>
            <a:ln>
              <a:noFill/>
            </a:ln>
            <a:effectLst/>
          </xdr:spPr>
          <xdr:style>
            <a:lnRef idx="1">
              <a:schemeClr val="accent1"/>
            </a:lnRef>
            <a:fillRef idx="2">
              <a:schemeClr val="accent1"/>
            </a:fillRef>
            <a:effectRef idx="1">
              <a:schemeClr val="accent1"/>
            </a:effectRef>
            <a:fontRef idx="minor">
              <a:schemeClr val="dk1"/>
            </a:fontRef>
          </xdr:style>
          <xdr:txBody>
            <a:bodyPr vertOverflow="clip" lIns="457200" rtlCol="0" anchor="ctr"/>
            <a:lstStyle/>
            <a:p>
              <a:pPr algn="l"/>
              <a:fld id="{CCDC5A28-C611-4D0B-B4D7-393A7AD37E0E}" type="TxLink">
                <a:rPr lang="en-US" sz="900" b="0" i="0" u="none" strike="noStrike">
                  <a:solidFill>
                    <a:srgbClr val="000000"/>
                  </a:solidFill>
                  <a:latin typeface="Calibri"/>
                </a:rPr>
                <a:pPr algn="l"/>
                <a:t>Not Started</a:t>
              </a:fld>
              <a:endParaRPr lang="en-US" sz="1100" i="0"/>
            </a:p>
          </xdr:txBody>
        </xdr:sp>
        <xdr:sp macro="" textlink="">
          <xdr:nvSpPr>
            <xdr:cNvPr id="21" name="RENTAL_1_SECTION_SUBTITLE_LABEL">
              <a:extLst>
                <a:ext uri="{FF2B5EF4-FFF2-40B4-BE49-F238E27FC236}">
                  <a16:creationId xmlns:a16="http://schemas.microsoft.com/office/drawing/2014/main" id="{00000000-0008-0000-0500-000015000000}"/>
                </a:ext>
              </a:extLst>
            </xdr:cNvPr>
            <xdr:cNvSpPr txBox="1"/>
          </xdr:nvSpPr>
          <xdr:spPr>
            <a:xfrm>
              <a:off x="8296277" y="4379110"/>
              <a:ext cx="476249" cy="2743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tlCol="0" anchor="ctr">
              <a:noAutofit/>
            </a:bodyPr>
            <a:lstStyle/>
            <a:p>
              <a:r>
                <a:rPr lang="en-US" sz="900" b="1"/>
                <a:t>Status:</a:t>
              </a:r>
            </a:p>
          </xdr:txBody>
        </xdr:sp>
      </xdr:grpSp>
      <xdr:sp macro="" textlink="">
        <xdr:nvSpPr>
          <xdr:cNvPr id="17" name="LINK_RENTAL_TOC">
            <a:hlinkClick xmlns:r="http://schemas.openxmlformats.org/officeDocument/2006/relationships" r:id="rId6"/>
            <a:extLst>
              <a:ext uri="{FF2B5EF4-FFF2-40B4-BE49-F238E27FC236}">
                <a16:creationId xmlns:a16="http://schemas.microsoft.com/office/drawing/2014/main" id="{00000000-0008-0000-0500-000011000000}"/>
              </a:ext>
            </a:extLst>
          </xdr:cNvPr>
          <xdr:cNvSpPr/>
        </xdr:nvSpPr>
        <xdr:spPr>
          <a:xfrm>
            <a:off x="14525626" y="5295900"/>
            <a:ext cx="1028700" cy="30480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r"/>
            <a:r>
              <a:rPr lang="en-US" sz="1000" b="1" u="none">
                <a:solidFill>
                  <a:schemeClr val="bg1"/>
                </a:solidFill>
              </a:rPr>
              <a:t>Back</a:t>
            </a:r>
            <a:r>
              <a:rPr lang="en-US" sz="1000" b="1" u="none" baseline="0">
                <a:solidFill>
                  <a:schemeClr val="bg1"/>
                </a:solidFill>
              </a:rPr>
              <a:t> to Top ^</a:t>
            </a:r>
            <a:endParaRPr lang="en-US" sz="1000" b="1" u="none">
              <a:solidFill>
                <a:schemeClr val="bg1"/>
              </a:solidFill>
            </a:endParaRPr>
          </a:p>
        </xdr:txBody>
      </xdr:sp>
    </xdr:grpSp>
    <xdr:clientData fPrintsWithSheet="0"/>
  </xdr:twoCellAnchor>
  <xdr:twoCellAnchor editAs="oneCell">
    <xdr:from>
      <xdr:col>14</xdr:col>
      <xdr:colOff>3398</xdr:colOff>
      <xdr:row>0</xdr:row>
      <xdr:rowOff>71440</xdr:rowOff>
    </xdr:from>
    <xdr:to>
      <xdr:col>24</xdr:col>
      <xdr:colOff>98648</xdr:colOff>
      <xdr:row>0</xdr:row>
      <xdr:rowOff>482600</xdr:rowOff>
    </xdr:to>
    <xdr:sp macro="" textlink="$B$6">
      <xdr:nvSpPr>
        <xdr:cNvPr id="22" name="HEADER_BANNER_TITLE">
          <a:extLst>
            <a:ext uri="{FF2B5EF4-FFF2-40B4-BE49-F238E27FC236}">
              <a16:creationId xmlns:a16="http://schemas.microsoft.com/office/drawing/2014/main" id="{00000000-0008-0000-0500-000016000000}"/>
            </a:ext>
          </a:extLst>
        </xdr:cNvPr>
        <xdr:cNvSpPr txBox="1"/>
      </xdr:nvSpPr>
      <xdr:spPr>
        <a:xfrm>
          <a:off x="11509598" y="71440"/>
          <a:ext cx="4794250" cy="411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Ins="0" rtlCol="0" anchor="ctr">
          <a:noAutofit/>
        </a:bodyPr>
        <a:lstStyle/>
        <a:p>
          <a:pPr algn="r"/>
          <a:fld id="{EB7A598A-0828-4A2E-81B0-26C15BB3F65D}" type="TxLink">
            <a:rPr lang="en-US" sz="1200" b="1" i="0" u="none" strike="noStrike">
              <a:solidFill>
                <a:sysClr val="windowText" lastClr="000000"/>
              </a:solidFill>
              <a:latin typeface="Calibri"/>
              <a:ea typeface="Calibri"/>
              <a:cs typeface="Calibri"/>
            </a:rPr>
            <a:pPr algn="r"/>
            <a:t>Homebuyer Dream Program Plus - 2026 Round</a:t>
          </a:fld>
          <a:endParaRPr lang="en-US" sz="1200" b="1" i="0">
            <a:solidFill>
              <a:sysClr val="windowText" lastClr="000000"/>
            </a:solidFill>
          </a:endParaRPr>
        </a:p>
      </xdr:txBody>
    </xdr:sp>
    <xdr:clientData/>
  </xdr:twoCellAnchor>
  <xdr:twoCellAnchor editAs="oneCell">
    <xdr:from>
      <xdr:col>7</xdr:col>
      <xdr:colOff>66675</xdr:colOff>
      <xdr:row>24</xdr:row>
      <xdr:rowOff>250825</xdr:rowOff>
    </xdr:from>
    <xdr:to>
      <xdr:col>24</xdr:col>
      <xdr:colOff>104776</xdr:colOff>
      <xdr:row>29</xdr:row>
      <xdr:rowOff>107952</xdr:rowOff>
    </xdr:to>
    <xdr:grpSp>
      <xdr:nvGrpSpPr>
        <xdr:cNvPr id="23" name="Group 22">
          <a:extLst>
            <a:ext uri="{FF2B5EF4-FFF2-40B4-BE49-F238E27FC236}">
              <a16:creationId xmlns:a16="http://schemas.microsoft.com/office/drawing/2014/main" id="{00000000-0008-0000-0500-000017000000}"/>
            </a:ext>
          </a:extLst>
        </xdr:cNvPr>
        <xdr:cNvGrpSpPr/>
      </xdr:nvGrpSpPr>
      <xdr:grpSpPr>
        <a:xfrm>
          <a:off x="66675" y="6699250"/>
          <a:ext cx="7362826" cy="1238252"/>
          <a:chOff x="8191500" y="8343900"/>
          <a:chExt cx="7362826" cy="1238252"/>
        </a:xfrm>
      </xdr:grpSpPr>
      <xdr:grpSp>
        <xdr:nvGrpSpPr>
          <xdr:cNvPr id="24" name="RENTAL_2">
            <a:extLst>
              <a:ext uri="{FF2B5EF4-FFF2-40B4-BE49-F238E27FC236}">
                <a16:creationId xmlns:a16="http://schemas.microsoft.com/office/drawing/2014/main" id="{00000000-0008-0000-0500-000018000000}"/>
              </a:ext>
            </a:extLst>
          </xdr:cNvPr>
          <xdr:cNvGrpSpPr/>
        </xdr:nvGrpSpPr>
        <xdr:grpSpPr>
          <a:xfrm>
            <a:off x="8191500" y="8343902"/>
            <a:ext cx="7362825" cy="1238250"/>
            <a:chOff x="9353550" y="7334730"/>
            <a:chExt cx="7362825" cy="1176100"/>
          </a:xfrm>
        </xdr:grpSpPr>
        <xdr:sp macro="" textlink="">
          <xdr:nvSpPr>
            <xdr:cNvPr id="26" name="RENTAL_2_SECTION_FRAME">
              <a:extLst>
                <a:ext uri="{FF2B5EF4-FFF2-40B4-BE49-F238E27FC236}">
                  <a16:creationId xmlns:a16="http://schemas.microsoft.com/office/drawing/2014/main" id="{00000000-0008-0000-0500-00001A000000}"/>
                </a:ext>
              </a:extLst>
            </xdr:cNvPr>
            <xdr:cNvSpPr/>
          </xdr:nvSpPr>
          <xdr:spPr>
            <a:xfrm>
              <a:off x="9353550" y="7632465"/>
              <a:ext cx="7362825" cy="878365"/>
            </a:xfrm>
            <a:prstGeom prst="rect">
              <a:avLst/>
            </a:prstGeom>
            <a:no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endParaRPr lang="en-US" sz="1100"/>
            </a:p>
          </xdr:txBody>
        </xdr:sp>
        <xdr:sp macro="" textlink="B31">
          <xdr:nvSpPr>
            <xdr:cNvPr id="27" name="RENTAL_2_SECTION_TITLE">
              <a:extLst>
                <a:ext uri="{FF2B5EF4-FFF2-40B4-BE49-F238E27FC236}">
                  <a16:creationId xmlns:a16="http://schemas.microsoft.com/office/drawing/2014/main" id="{00000000-0008-0000-0500-00001B000000}"/>
                </a:ext>
              </a:extLst>
            </xdr:cNvPr>
            <xdr:cNvSpPr/>
          </xdr:nvSpPr>
          <xdr:spPr>
            <a:xfrm>
              <a:off x="9353550" y="7334730"/>
              <a:ext cx="7360920" cy="291669"/>
            </a:xfrm>
            <a:prstGeom prst="rect">
              <a:avLst/>
            </a:prstGeom>
            <a:solidFill>
              <a:srgbClr val="9CACB9"/>
            </a:solid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l"/>
              <a:fld id="{F7EBC575-AB48-40AE-B3DF-C45D66875040}" type="TxLink">
                <a:rPr lang="en-US" sz="1100" b="1" i="0" u="none" strike="noStrike">
                  <a:solidFill>
                    <a:schemeClr val="bg1"/>
                  </a:solidFill>
                  <a:latin typeface="Calibri"/>
                </a:rPr>
                <a:pPr algn="l"/>
                <a:t>Household Information</a:t>
              </a:fld>
              <a:endParaRPr lang="en-US" sz="1100" b="1" i="0">
                <a:solidFill>
                  <a:schemeClr val="bg1"/>
                </a:solidFill>
              </a:endParaRPr>
            </a:p>
          </xdr:txBody>
        </xdr:sp>
        <xdr:sp macro="" textlink="$B$40">
          <xdr:nvSpPr>
            <xdr:cNvPr id="28" name="RENTAL_2_SECTION_SUBTITLE">
              <a:extLst>
                <a:ext uri="{FF2B5EF4-FFF2-40B4-BE49-F238E27FC236}">
                  <a16:creationId xmlns:a16="http://schemas.microsoft.com/office/drawing/2014/main" id="{00000000-0008-0000-0500-00001C000000}"/>
                </a:ext>
              </a:extLst>
            </xdr:cNvPr>
            <xdr:cNvSpPr/>
          </xdr:nvSpPr>
          <xdr:spPr>
            <a:xfrm>
              <a:off x="9363075" y="7641569"/>
              <a:ext cx="7351776" cy="257355"/>
            </a:xfrm>
            <a:prstGeom prst="rect">
              <a:avLst/>
            </a:prstGeom>
            <a:solidFill>
              <a:schemeClr val="accent1">
                <a:lumMod val="20000"/>
                <a:lumOff val="80000"/>
              </a:schemeClr>
            </a:solidFill>
            <a:ln>
              <a:noFill/>
            </a:ln>
            <a:effectLst/>
          </xdr:spPr>
          <xdr:style>
            <a:lnRef idx="1">
              <a:schemeClr val="accent1"/>
            </a:lnRef>
            <a:fillRef idx="2">
              <a:schemeClr val="accent1"/>
            </a:fillRef>
            <a:effectRef idx="1">
              <a:schemeClr val="accent1"/>
            </a:effectRef>
            <a:fontRef idx="minor">
              <a:schemeClr val="dk1"/>
            </a:fontRef>
          </xdr:style>
          <xdr:txBody>
            <a:bodyPr vertOverflow="clip" lIns="457200" rtlCol="0" anchor="ctr"/>
            <a:lstStyle/>
            <a:p>
              <a:pPr algn="l"/>
              <a:fld id="{105E12F8-653C-4DF9-8753-A54BD8A3A967}" type="TxLink">
                <a:rPr lang="en-US" sz="900" b="0" i="0" u="none" strike="noStrike">
                  <a:solidFill>
                    <a:srgbClr val="000000"/>
                  </a:solidFill>
                  <a:latin typeface="Calibri"/>
                </a:rPr>
                <a:pPr algn="l"/>
                <a:t>Not Started</a:t>
              </a:fld>
              <a:endParaRPr lang="en-US" sz="1100" i="0"/>
            </a:p>
          </xdr:txBody>
        </xdr:sp>
        <xdr:sp macro="" textlink="">
          <xdr:nvSpPr>
            <xdr:cNvPr id="29" name="RENTAL_2_SECTION_SUBTITLE_LABEL">
              <a:extLst>
                <a:ext uri="{FF2B5EF4-FFF2-40B4-BE49-F238E27FC236}">
                  <a16:creationId xmlns:a16="http://schemas.microsoft.com/office/drawing/2014/main" id="{00000000-0008-0000-0500-00001D000000}"/>
                </a:ext>
              </a:extLst>
            </xdr:cNvPr>
            <xdr:cNvSpPr txBox="1"/>
          </xdr:nvSpPr>
          <xdr:spPr>
            <a:xfrm>
              <a:off x="9458327" y="7641569"/>
              <a:ext cx="476249" cy="2573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tlCol="0" anchor="ctr">
              <a:noAutofit/>
            </a:bodyPr>
            <a:lstStyle/>
            <a:p>
              <a:r>
                <a:rPr lang="en-US" sz="900" b="1"/>
                <a:t>Status:</a:t>
              </a:r>
            </a:p>
          </xdr:txBody>
        </xdr:sp>
      </xdr:grpSp>
      <xdr:sp macro="" textlink="">
        <xdr:nvSpPr>
          <xdr:cNvPr id="25" name="LINK_RENTAL_TOC">
            <a:hlinkClick xmlns:r="http://schemas.openxmlformats.org/officeDocument/2006/relationships" r:id="rId6"/>
            <a:extLst>
              <a:ext uri="{FF2B5EF4-FFF2-40B4-BE49-F238E27FC236}">
                <a16:creationId xmlns:a16="http://schemas.microsoft.com/office/drawing/2014/main" id="{00000000-0008-0000-0500-000019000000}"/>
              </a:ext>
            </a:extLst>
          </xdr:cNvPr>
          <xdr:cNvSpPr/>
        </xdr:nvSpPr>
        <xdr:spPr>
          <a:xfrm>
            <a:off x="14525626" y="8343900"/>
            <a:ext cx="1028700" cy="30480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r"/>
            <a:r>
              <a:rPr lang="en-US" sz="1000" b="1" u="none">
                <a:solidFill>
                  <a:schemeClr val="bg1"/>
                </a:solidFill>
              </a:rPr>
              <a:t>Back</a:t>
            </a:r>
            <a:r>
              <a:rPr lang="en-US" sz="1000" b="1" u="none" baseline="0">
                <a:solidFill>
                  <a:schemeClr val="bg1"/>
                </a:solidFill>
              </a:rPr>
              <a:t> to Top ^</a:t>
            </a:r>
            <a:endParaRPr lang="en-US" sz="1000" b="1" u="none">
              <a:solidFill>
                <a:schemeClr val="bg1"/>
              </a:solidFill>
            </a:endParaRPr>
          </a:p>
        </xdr:txBody>
      </xdr:sp>
    </xdr:grpSp>
    <xdr:clientData fPrintsWithSheet="0"/>
  </xdr:twoCellAnchor>
  <xdr:twoCellAnchor editAs="oneCell">
    <xdr:from>
      <xdr:col>7</xdr:col>
      <xdr:colOff>66675</xdr:colOff>
      <xdr:row>29</xdr:row>
      <xdr:rowOff>276220</xdr:rowOff>
    </xdr:from>
    <xdr:to>
      <xdr:col>24</xdr:col>
      <xdr:colOff>114300</xdr:colOff>
      <xdr:row>37</xdr:row>
      <xdr:rowOff>76197</xdr:rowOff>
    </xdr:to>
    <xdr:grpSp>
      <xdr:nvGrpSpPr>
        <xdr:cNvPr id="30" name="Group 29">
          <a:extLst>
            <a:ext uri="{FF2B5EF4-FFF2-40B4-BE49-F238E27FC236}">
              <a16:creationId xmlns:a16="http://schemas.microsoft.com/office/drawing/2014/main" id="{00000000-0008-0000-0500-00001E000000}"/>
            </a:ext>
          </a:extLst>
        </xdr:cNvPr>
        <xdr:cNvGrpSpPr/>
      </xdr:nvGrpSpPr>
      <xdr:grpSpPr>
        <a:xfrm>
          <a:off x="66675" y="8105770"/>
          <a:ext cx="7372350" cy="2009777"/>
          <a:chOff x="8191500" y="11668120"/>
          <a:chExt cx="7372350" cy="2010275"/>
        </a:xfrm>
      </xdr:grpSpPr>
      <xdr:grpSp>
        <xdr:nvGrpSpPr>
          <xdr:cNvPr id="31" name="RENTAL_3">
            <a:extLst>
              <a:ext uri="{FF2B5EF4-FFF2-40B4-BE49-F238E27FC236}">
                <a16:creationId xmlns:a16="http://schemas.microsoft.com/office/drawing/2014/main" id="{00000000-0008-0000-0500-00001F000000}"/>
              </a:ext>
            </a:extLst>
          </xdr:cNvPr>
          <xdr:cNvGrpSpPr/>
        </xdr:nvGrpSpPr>
        <xdr:grpSpPr>
          <a:xfrm>
            <a:off x="8191500" y="11668120"/>
            <a:ext cx="7362825" cy="2010275"/>
            <a:chOff x="9353550" y="10677527"/>
            <a:chExt cx="7362825" cy="1891820"/>
          </a:xfrm>
        </xdr:grpSpPr>
        <xdr:sp macro="" textlink="">
          <xdr:nvSpPr>
            <xdr:cNvPr id="33" name="RENTAL_3_SECTION_FRAME">
              <a:extLst>
                <a:ext uri="{FF2B5EF4-FFF2-40B4-BE49-F238E27FC236}">
                  <a16:creationId xmlns:a16="http://schemas.microsoft.com/office/drawing/2014/main" id="{00000000-0008-0000-0500-000021000000}"/>
                </a:ext>
              </a:extLst>
            </xdr:cNvPr>
            <xdr:cNvSpPr/>
          </xdr:nvSpPr>
          <xdr:spPr>
            <a:xfrm>
              <a:off x="9353550" y="10971289"/>
              <a:ext cx="7362825" cy="1598058"/>
            </a:xfrm>
            <a:prstGeom prst="rect">
              <a:avLst/>
            </a:prstGeom>
            <a:no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endParaRPr lang="en-US" sz="1100"/>
            </a:p>
          </xdr:txBody>
        </xdr:sp>
        <xdr:sp macro="" textlink="$B$45">
          <xdr:nvSpPr>
            <xdr:cNvPr id="34" name="RENTAL_3_SECTION_TITLE">
              <a:extLst>
                <a:ext uri="{FF2B5EF4-FFF2-40B4-BE49-F238E27FC236}">
                  <a16:creationId xmlns:a16="http://schemas.microsoft.com/office/drawing/2014/main" id="{00000000-0008-0000-0500-000022000000}"/>
                </a:ext>
              </a:extLst>
            </xdr:cNvPr>
            <xdr:cNvSpPr/>
          </xdr:nvSpPr>
          <xdr:spPr>
            <a:xfrm>
              <a:off x="9353550" y="10677527"/>
              <a:ext cx="7360920" cy="289884"/>
            </a:xfrm>
            <a:prstGeom prst="rect">
              <a:avLst/>
            </a:prstGeom>
            <a:solidFill>
              <a:srgbClr val="9CACB9"/>
            </a:solid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l"/>
              <a:fld id="{E5F0481B-FAA3-4CC6-BC46-194342DDD317}" type="TxLink">
                <a:rPr lang="en-US" sz="1100" b="1" i="0" u="none" strike="noStrike">
                  <a:solidFill>
                    <a:schemeClr val="bg1"/>
                  </a:solidFill>
                  <a:latin typeface="Calibri"/>
                </a:rPr>
                <a:pPr algn="l"/>
                <a:t>Grant Summary</a:t>
              </a:fld>
              <a:endParaRPr lang="en-US" sz="1100" b="1" i="0" u="none" strike="noStrike">
                <a:solidFill>
                  <a:schemeClr val="bg1"/>
                </a:solidFill>
                <a:latin typeface="Calibri"/>
              </a:endParaRPr>
            </a:p>
          </xdr:txBody>
        </xdr:sp>
        <xdr:sp macro="" textlink="$B$55">
          <xdr:nvSpPr>
            <xdr:cNvPr id="35" name="RENTAL_3_SECTION_SUBTITLE">
              <a:extLst>
                <a:ext uri="{FF2B5EF4-FFF2-40B4-BE49-F238E27FC236}">
                  <a16:creationId xmlns:a16="http://schemas.microsoft.com/office/drawing/2014/main" id="{00000000-0008-0000-0500-000023000000}"/>
                </a:ext>
              </a:extLst>
            </xdr:cNvPr>
            <xdr:cNvSpPr/>
          </xdr:nvSpPr>
          <xdr:spPr>
            <a:xfrm>
              <a:off x="9363075" y="10973444"/>
              <a:ext cx="7351776" cy="255780"/>
            </a:xfrm>
            <a:prstGeom prst="rect">
              <a:avLst/>
            </a:prstGeom>
            <a:solidFill>
              <a:schemeClr val="accent1">
                <a:lumMod val="20000"/>
                <a:lumOff val="80000"/>
              </a:schemeClr>
            </a:solidFill>
            <a:ln>
              <a:noFill/>
            </a:ln>
            <a:effectLst/>
          </xdr:spPr>
          <xdr:style>
            <a:lnRef idx="1">
              <a:schemeClr val="accent1"/>
            </a:lnRef>
            <a:fillRef idx="2">
              <a:schemeClr val="accent1"/>
            </a:fillRef>
            <a:effectRef idx="1">
              <a:schemeClr val="accent1"/>
            </a:effectRef>
            <a:fontRef idx="minor">
              <a:schemeClr val="dk1"/>
            </a:fontRef>
          </xdr:style>
          <xdr:txBody>
            <a:bodyPr vertOverflow="clip" lIns="457200" rtlCol="0" anchor="ctr"/>
            <a:lstStyle/>
            <a:p>
              <a:pPr algn="l"/>
              <a:fld id="{AC7DE13B-4CF9-4B53-B058-CF26A2B7D8EE}" type="TxLink">
                <a:rPr lang="en-US" sz="900" b="0" i="0" u="none" strike="noStrike">
                  <a:solidFill>
                    <a:srgbClr val="000000"/>
                  </a:solidFill>
                  <a:latin typeface="Calibri"/>
                </a:rPr>
                <a:pPr algn="l"/>
                <a:t>Not Started</a:t>
              </a:fld>
              <a:endParaRPr lang="en-US" sz="1100" i="0"/>
            </a:p>
          </xdr:txBody>
        </xdr:sp>
        <xdr:sp macro="" textlink="">
          <xdr:nvSpPr>
            <xdr:cNvPr id="36" name="RENTAL_3_SECTION_SUBTITLE_LABEL">
              <a:extLst>
                <a:ext uri="{FF2B5EF4-FFF2-40B4-BE49-F238E27FC236}">
                  <a16:creationId xmlns:a16="http://schemas.microsoft.com/office/drawing/2014/main" id="{00000000-0008-0000-0500-000024000000}"/>
                </a:ext>
              </a:extLst>
            </xdr:cNvPr>
            <xdr:cNvSpPr txBox="1"/>
          </xdr:nvSpPr>
          <xdr:spPr>
            <a:xfrm>
              <a:off x="9458327" y="10973444"/>
              <a:ext cx="476249" cy="2557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tlCol="0" anchor="ctr">
              <a:noAutofit/>
            </a:bodyPr>
            <a:lstStyle/>
            <a:p>
              <a:r>
                <a:rPr lang="en-US" sz="900" b="1"/>
                <a:t>Status:</a:t>
              </a:r>
            </a:p>
          </xdr:txBody>
        </xdr:sp>
      </xdr:grpSp>
      <xdr:sp macro="" textlink="">
        <xdr:nvSpPr>
          <xdr:cNvPr id="32" name="LINK_RENTAL_TOC">
            <a:hlinkClick xmlns:r="http://schemas.openxmlformats.org/officeDocument/2006/relationships" r:id="rId6"/>
            <a:extLst>
              <a:ext uri="{FF2B5EF4-FFF2-40B4-BE49-F238E27FC236}">
                <a16:creationId xmlns:a16="http://schemas.microsoft.com/office/drawing/2014/main" id="{00000000-0008-0000-0500-000020000000}"/>
              </a:ext>
            </a:extLst>
          </xdr:cNvPr>
          <xdr:cNvSpPr/>
        </xdr:nvSpPr>
        <xdr:spPr>
          <a:xfrm>
            <a:off x="14535150" y="11677650"/>
            <a:ext cx="1028700" cy="30480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r"/>
            <a:r>
              <a:rPr lang="en-US" sz="1000" b="1" u="none">
                <a:solidFill>
                  <a:schemeClr val="bg1"/>
                </a:solidFill>
              </a:rPr>
              <a:t>Back</a:t>
            </a:r>
            <a:r>
              <a:rPr lang="en-US" sz="1000" b="1" u="none" baseline="0">
                <a:solidFill>
                  <a:schemeClr val="bg1"/>
                </a:solidFill>
              </a:rPr>
              <a:t> to Top ^</a:t>
            </a:r>
            <a:endParaRPr lang="en-US" sz="1000" b="1" u="none">
              <a:solidFill>
                <a:schemeClr val="bg1"/>
              </a:solidFill>
            </a:endParaRPr>
          </a:p>
        </xdr:txBody>
      </xdr:sp>
    </xdr:grpSp>
    <xdr:clientData fPrintsWithSheet="0"/>
  </xdr:twoCellAnchor>
  <xdr:twoCellAnchor editAs="oneCell">
    <xdr:from>
      <xdr:col>7</xdr:col>
      <xdr:colOff>66675</xdr:colOff>
      <xdr:row>37</xdr:row>
      <xdr:rowOff>228600</xdr:rowOff>
    </xdr:from>
    <xdr:to>
      <xdr:col>24</xdr:col>
      <xdr:colOff>104775</xdr:colOff>
      <xdr:row>69</xdr:row>
      <xdr:rowOff>107951</xdr:rowOff>
    </xdr:to>
    <xdr:grpSp>
      <xdr:nvGrpSpPr>
        <xdr:cNvPr id="37" name="Group 36">
          <a:extLst>
            <a:ext uri="{FF2B5EF4-FFF2-40B4-BE49-F238E27FC236}">
              <a16:creationId xmlns:a16="http://schemas.microsoft.com/office/drawing/2014/main" id="{00000000-0008-0000-0500-000025000000}"/>
            </a:ext>
          </a:extLst>
        </xdr:cNvPr>
        <xdr:cNvGrpSpPr/>
      </xdr:nvGrpSpPr>
      <xdr:grpSpPr>
        <a:xfrm>
          <a:off x="66675" y="10267950"/>
          <a:ext cx="7362825" cy="8718551"/>
          <a:chOff x="8191500" y="14963771"/>
          <a:chExt cx="7362825" cy="8718000"/>
        </a:xfrm>
      </xdr:grpSpPr>
      <xdr:grpSp>
        <xdr:nvGrpSpPr>
          <xdr:cNvPr id="38" name="RENTAL_4">
            <a:extLst>
              <a:ext uri="{FF2B5EF4-FFF2-40B4-BE49-F238E27FC236}">
                <a16:creationId xmlns:a16="http://schemas.microsoft.com/office/drawing/2014/main" id="{00000000-0008-0000-0500-000026000000}"/>
              </a:ext>
            </a:extLst>
          </xdr:cNvPr>
          <xdr:cNvGrpSpPr/>
        </xdr:nvGrpSpPr>
        <xdr:grpSpPr>
          <a:xfrm>
            <a:off x="8191500" y="14963771"/>
            <a:ext cx="7362825" cy="8718000"/>
            <a:chOff x="9363075" y="13992996"/>
            <a:chExt cx="7362825" cy="8009816"/>
          </a:xfrm>
        </xdr:grpSpPr>
        <xdr:sp macro="" textlink="">
          <xdr:nvSpPr>
            <xdr:cNvPr id="40" name="RENTAL_4_SECTION_FRAME">
              <a:extLst>
                <a:ext uri="{FF2B5EF4-FFF2-40B4-BE49-F238E27FC236}">
                  <a16:creationId xmlns:a16="http://schemas.microsoft.com/office/drawing/2014/main" id="{00000000-0008-0000-0500-000028000000}"/>
                </a:ext>
              </a:extLst>
            </xdr:cNvPr>
            <xdr:cNvSpPr/>
          </xdr:nvSpPr>
          <xdr:spPr>
            <a:xfrm>
              <a:off x="9363075" y="14291730"/>
              <a:ext cx="7362825" cy="7711082"/>
            </a:xfrm>
            <a:prstGeom prst="rect">
              <a:avLst/>
            </a:prstGeom>
            <a:no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endParaRPr lang="en-US" sz="1100"/>
            </a:p>
          </xdr:txBody>
        </xdr:sp>
        <xdr:sp macro="" textlink="$B$60">
          <xdr:nvSpPr>
            <xdr:cNvPr id="41" name="RENTAL_4_SECTION_TITLE">
              <a:extLst>
                <a:ext uri="{FF2B5EF4-FFF2-40B4-BE49-F238E27FC236}">
                  <a16:creationId xmlns:a16="http://schemas.microsoft.com/office/drawing/2014/main" id="{00000000-0008-0000-0500-000029000000}"/>
                </a:ext>
              </a:extLst>
            </xdr:cNvPr>
            <xdr:cNvSpPr/>
          </xdr:nvSpPr>
          <xdr:spPr>
            <a:xfrm>
              <a:off x="9363075" y="13992996"/>
              <a:ext cx="7360920" cy="285641"/>
            </a:xfrm>
            <a:prstGeom prst="rect">
              <a:avLst/>
            </a:prstGeom>
            <a:solidFill>
              <a:srgbClr val="9CACB9"/>
            </a:solid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l"/>
              <a:fld id="{1C87D710-882F-4EA8-810D-76AA4F2BFC65}" type="TxLink">
                <a:rPr lang="en-US" sz="1100" b="1" i="0" u="none" strike="noStrike">
                  <a:solidFill>
                    <a:schemeClr val="bg1"/>
                  </a:solidFill>
                  <a:latin typeface="Calibri"/>
                </a:rPr>
                <a:pPr algn="l"/>
                <a:t>Mortgage Information</a:t>
              </a:fld>
              <a:endParaRPr lang="en-US" sz="1100" b="1" i="0" u="none" strike="noStrike">
                <a:solidFill>
                  <a:schemeClr val="bg1"/>
                </a:solidFill>
                <a:latin typeface="Calibri"/>
              </a:endParaRPr>
            </a:p>
          </xdr:txBody>
        </xdr:sp>
        <xdr:sp macro="" textlink="$B$83">
          <xdr:nvSpPr>
            <xdr:cNvPr id="42" name="RENTAL_4_SECTION_SUBTITLE">
              <a:extLst>
                <a:ext uri="{FF2B5EF4-FFF2-40B4-BE49-F238E27FC236}">
                  <a16:creationId xmlns:a16="http://schemas.microsoft.com/office/drawing/2014/main" id="{00000000-0008-0000-0500-00002A000000}"/>
                </a:ext>
              </a:extLst>
            </xdr:cNvPr>
            <xdr:cNvSpPr/>
          </xdr:nvSpPr>
          <xdr:spPr>
            <a:xfrm>
              <a:off x="9372600" y="14297025"/>
              <a:ext cx="7351776" cy="252036"/>
            </a:xfrm>
            <a:prstGeom prst="rect">
              <a:avLst/>
            </a:prstGeom>
            <a:solidFill>
              <a:schemeClr val="accent1">
                <a:lumMod val="20000"/>
                <a:lumOff val="80000"/>
              </a:schemeClr>
            </a:solidFill>
            <a:ln>
              <a:noFill/>
            </a:ln>
            <a:effectLst/>
          </xdr:spPr>
          <xdr:style>
            <a:lnRef idx="1">
              <a:schemeClr val="accent1"/>
            </a:lnRef>
            <a:fillRef idx="2">
              <a:schemeClr val="accent1"/>
            </a:fillRef>
            <a:effectRef idx="1">
              <a:schemeClr val="accent1"/>
            </a:effectRef>
            <a:fontRef idx="minor">
              <a:schemeClr val="dk1"/>
            </a:fontRef>
          </xdr:style>
          <xdr:txBody>
            <a:bodyPr vertOverflow="clip" lIns="457200" rtlCol="0" anchor="ctr"/>
            <a:lstStyle/>
            <a:p>
              <a:pPr algn="l"/>
              <a:fld id="{4224E38E-FD2B-4D43-9985-507D8E54C645}" type="TxLink">
                <a:rPr lang="en-US" sz="900" b="0" i="0" u="none" strike="noStrike">
                  <a:solidFill>
                    <a:srgbClr val="000000"/>
                  </a:solidFill>
                  <a:latin typeface="Calibri"/>
                </a:rPr>
                <a:pPr algn="l"/>
                <a:t>Not Started</a:t>
              </a:fld>
              <a:endParaRPr lang="en-US" sz="1100" i="0"/>
            </a:p>
          </xdr:txBody>
        </xdr:sp>
        <xdr:sp macro="" textlink="">
          <xdr:nvSpPr>
            <xdr:cNvPr id="43" name="RENTAL_4_SECTION_SUBTITLE_LABEL">
              <a:extLst>
                <a:ext uri="{FF2B5EF4-FFF2-40B4-BE49-F238E27FC236}">
                  <a16:creationId xmlns:a16="http://schemas.microsoft.com/office/drawing/2014/main" id="{00000000-0008-0000-0500-00002B000000}"/>
                </a:ext>
              </a:extLst>
            </xdr:cNvPr>
            <xdr:cNvSpPr txBox="1"/>
          </xdr:nvSpPr>
          <xdr:spPr>
            <a:xfrm>
              <a:off x="9467852" y="14297025"/>
              <a:ext cx="476249" cy="252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tlCol="0" anchor="ctr">
              <a:noAutofit/>
            </a:bodyPr>
            <a:lstStyle/>
            <a:p>
              <a:r>
                <a:rPr lang="en-US" sz="900" b="1"/>
                <a:t>Status:</a:t>
              </a:r>
            </a:p>
          </xdr:txBody>
        </xdr:sp>
      </xdr:grpSp>
      <xdr:sp macro="" textlink="">
        <xdr:nvSpPr>
          <xdr:cNvPr id="39" name="LINK_RENTAL_TOC">
            <a:hlinkClick xmlns:r="http://schemas.openxmlformats.org/officeDocument/2006/relationships" r:id="rId6"/>
            <a:extLst>
              <a:ext uri="{FF2B5EF4-FFF2-40B4-BE49-F238E27FC236}">
                <a16:creationId xmlns:a16="http://schemas.microsoft.com/office/drawing/2014/main" id="{00000000-0008-0000-0500-000027000000}"/>
              </a:ext>
            </a:extLst>
          </xdr:cNvPr>
          <xdr:cNvSpPr/>
        </xdr:nvSpPr>
        <xdr:spPr>
          <a:xfrm>
            <a:off x="14525625" y="14973300"/>
            <a:ext cx="1028700" cy="30480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r"/>
            <a:r>
              <a:rPr lang="en-US" sz="1000" b="1" u="none">
                <a:solidFill>
                  <a:schemeClr val="bg1"/>
                </a:solidFill>
              </a:rPr>
              <a:t>Back</a:t>
            </a:r>
            <a:r>
              <a:rPr lang="en-US" sz="1000" b="1" u="none" baseline="0">
                <a:solidFill>
                  <a:schemeClr val="bg1"/>
                </a:solidFill>
              </a:rPr>
              <a:t> to Top ^</a:t>
            </a:r>
            <a:endParaRPr lang="en-US" sz="1000" b="1" u="none">
              <a:solidFill>
                <a:schemeClr val="bg1"/>
              </a:solidFill>
            </a:endParaRPr>
          </a:p>
        </xdr:txBody>
      </xdr:sp>
    </xdr:grpSp>
    <xdr:clientData fPrintsWithSheet="0"/>
  </xdr:twoCellAnchor>
  <xdr:twoCellAnchor editAs="oneCell">
    <xdr:from>
      <xdr:col>7</xdr:col>
      <xdr:colOff>66675</xdr:colOff>
      <xdr:row>69</xdr:row>
      <xdr:rowOff>279399</xdr:rowOff>
    </xdr:from>
    <xdr:to>
      <xdr:col>24</xdr:col>
      <xdr:colOff>104775</xdr:colOff>
      <xdr:row>87</xdr:row>
      <xdr:rowOff>133346</xdr:rowOff>
    </xdr:to>
    <xdr:grpSp>
      <xdr:nvGrpSpPr>
        <xdr:cNvPr id="44" name="Group 43">
          <a:extLst>
            <a:ext uri="{FF2B5EF4-FFF2-40B4-BE49-F238E27FC236}">
              <a16:creationId xmlns:a16="http://schemas.microsoft.com/office/drawing/2014/main" id="{00000000-0008-0000-0500-00002C000000}"/>
            </a:ext>
          </a:extLst>
        </xdr:cNvPr>
        <xdr:cNvGrpSpPr/>
      </xdr:nvGrpSpPr>
      <xdr:grpSpPr>
        <a:xfrm>
          <a:off x="66675" y="19157949"/>
          <a:ext cx="7362825" cy="4825997"/>
          <a:chOff x="8191500" y="18297525"/>
          <a:chExt cx="7362825" cy="4828701"/>
        </a:xfrm>
      </xdr:grpSpPr>
      <xdr:grpSp>
        <xdr:nvGrpSpPr>
          <xdr:cNvPr id="45" name="RENTAL_5">
            <a:extLst>
              <a:ext uri="{FF2B5EF4-FFF2-40B4-BE49-F238E27FC236}">
                <a16:creationId xmlns:a16="http://schemas.microsoft.com/office/drawing/2014/main" id="{00000000-0008-0000-0500-00002D000000}"/>
              </a:ext>
            </a:extLst>
          </xdr:cNvPr>
          <xdr:cNvGrpSpPr/>
        </xdr:nvGrpSpPr>
        <xdr:grpSpPr>
          <a:xfrm>
            <a:off x="8191500" y="18297526"/>
            <a:ext cx="7362825" cy="4828700"/>
            <a:chOff x="9363075" y="17297252"/>
            <a:chExt cx="7362825" cy="4948899"/>
          </a:xfrm>
        </xdr:grpSpPr>
        <xdr:sp macro="" textlink="">
          <xdr:nvSpPr>
            <xdr:cNvPr id="47" name="RENTAL_5_SECTION_FRAME">
              <a:extLst>
                <a:ext uri="{FF2B5EF4-FFF2-40B4-BE49-F238E27FC236}">
                  <a16:creationId xmlns:a16="http://schemas.microsoft.com/office/drawing/2014/main" id="{00000000-0008-0000-0500-00002F000000}"/>
                </a:ext>
              </a:extLst>
            </xdr:cNvPr>
            <xdr:cNvSpPr/>
          </xdr:nvSpPr>
          <xdr:spPr>
            <a:xfrm>
              <a:off x="9363075" y="17617604"/>
              <a:ext cx="7362825" cy="4628547"/>
            </a:xfrm>
            <a:prstGeom prst="rect">
              <a:avLst/>
            </a:prstGeom>
            <a:no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endParaRPr lang="en-US" sz="1100"/>
            </a:p>
          </xdr:txBody>
        </xdr:sp>
        <xdr:sp macro="" textlink="$B$92">
          <xdr:nvSpPr>
            <xdr:cNvPr id="48" name="RENTAL_5_SECTION_TITLE">
              <a:extLst>
                <a:ext uri="{FF2B5EF4-FFF2-40B4-BE49-F238E27FC236}">
                  <a16:creationId xmlns:a16="http://schemas.microsoft.com/office/drawing/2014/main" id="{00000000-0008-0000-0500-000030000000}"/>
                </a:ext>
              </a:extLst>
            </xdr:cNvPr>
            <xdr:cNvSpPr/>
          </xdr:nvSpPr>
          <xdr:spPr>
            <a:xfrm>
              <a:off x="9363075" y="17297252"/>
              <a:ext cx="7360920" cy="312329"/>
            </a:xfrm>
            <a:prstGeom prst="rect">
              <a:avLst/>
            </a:prstGeom>
            <a:solidFill>
              <a:srgbClr val="9CACB9"/>
            </a:solid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l"/>
              <a:fld id="{EFEBC25B-7A00-49A1-B18C-0C8499BCDCC4}" type="TxLink">
                <a:rPr lang="en-US" sz="1100" b="1" i="0" u="none" strike="noStrike">
                  <a:solidFill>
                    <a:schemeClr val="bg1"/>
                  </a:solidFill>
                  <a:latin typeface="Calibri"/>
                </a:rPr>
                <a:pPr algn="l"/>
                <a:t>Other Grants</a:t>
              </a:fld>
              <a:endParaRPr lang="en-US" sz="1100" b="1" i="0" u="none" strike="noStrike">
                <a:solidFill>
                  <a:schemeClr val="bg1"/>
                </a:solidFill>
                <a:latin typeface="Calibri"/>
              </a:endParaRPr>
            </a:p>
          </xdr:txBody>
        </xdr:sp>
        <xdr:sp macro="" textlink="$B$110">
          <xdr:nvSpPr>
            <xdr:cNvPr id="49" name="RENTAL_5_SECTION_SUBTITLE">
              <a:extLst>
                <a:ext uri="{FF2B5EF4-FFF2-40B4-BE49-F238E27FC236}">
                  <a16:creationId xmlns:a16="http://schemas.microsoft.com/office/drawing/2014/main" id="{00000000-0008-0000-0500-000031000000}"/>
                </a:ext>
              </a:extLst>
            </xdr:cNvPr>
            <xdr:cNvSpPr/>
          </xdr:nvSpPr>
          <xdr:spPr>
            <a:xfrm>
              <a:off x="9372598" y="17621098"/>
              <a:ext cx="7351776" cy="278553"/>
            </a:xfrm>
            <a:prstGeom prst="rect">
              <a:avLst/>
            </a:prstGeom>
            <a:solidFill>
              <a:schemeClr val="accent1">
                <a:lumMod val="20000"/>
                <a:lumOff val="80000"/>
              </a:schemeClr>
            </a:solidFill>
            <a:ln>
              <a:noFill/>
            </a:ln>
            <a:effectLst/>
          </xdr:spPr>
          <xdr:style>
            <a:lnRef idx="1">
              <a:schemeClr val="accent1"/>
            </a:lnRef>
            <a:fillRef idx="2">
              <a:schemeClr val="accent1"/>
            </a:fillRef>
            <a:effectRef idx="1">
              <a:schemeClr val="accent1"/>
            </a:effectRef>
            <a:fontRef idx="minor">
              <a:schemeClr val="dk1"/>
            </a:fontRef>
          </xdr:style>
          <xdr:txBody>
            <a:bodyPr vertOverflow="clip" lIns="457200" rtlCol="0" anchor="ctr"/>
            <a:lstStyle/>
            <a:p>
              <a:pPr algn="l"/>
              <a:fld id="{ADBC2A39-60A8-4CFF-858A-1F847464B22E}" type="TxLink">
                <a:rPr lang="en-US" sz="900" b="0" i="0" u="none" strike="noStrike">
                  <a:solidFill>
                    <a:srgbClr val="000000"/>
                  </a:solidFill>
                  <a:latin typeface="Calibri"/>
                </a:rPr>
                <a:pPr algn="l"/>
                <a:t>Not Started</a:t>
              </a:fld>
              <a:endParaRPr lang="en-US" sz="1100" i="0"/>
            </a:p>
          </xdr:txBody>
        </xdr:sp>
        <xdr:sp macro="" textlink="">
          <xdr:nvSpPr>
            <xdr:cNvPr id="50" name="RENTAL_5_SECTION_SUBTITLE_LABEL">
              <a:extLst>
                <a:ext uri="{FF2B5EF4-FFF2-40B4-BE49-F238E27FC236}">
                  <a16:creationId xmlns:a16="http://schemas.microsoft.com/office/drawing/2014/main" id="{00000000-0008-0000-0500-000032000000}"/>
                </a:ext>
              </a:extLst>
            </xdr:cNvPr>
            <xdr:cNvSpPr txBox="1"/>
          </xdr:nvSpPr>
          <xdr:spPr>
            <a:xfrm>
              <a:off x="9467850" y="17621098"/>
              <a:ext cx="476249" cy="2785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tlCol="0" anchor="ctr">
              <a:noAutofit/>
            </a:bodyPr>
            <a:lstStyle/>
            <a:p>
              <a:r>
                <a:rPr lang="en-US" sz="900" b="1"/>
                <a:t>Status:</a:t>
              </a:r>
            </a:p>
          </xdr:txBody>
        </xdr:sp>
      </xdr:grpSp>
      <xdr:sp macro="" textlink="">
        <xdr:nvSpPr>
          <xdr:cNvPr id="46" name="LINK_RENTAL_TOC">
            <a:hlinkClick xmlns:r="http://schemas.openxmlformats.org/officeDocument/2006/relationships" r:id="rId6"/>
            <a:extLst>
              <a:ext uri="{FF2B5EF4-FFF2-40B4-BE49-F238E27FC236}">
                <a16:creationId xmlns:a16="http://schemas.microsoft.com/office/drawing/2014/main" id="{00000000-0008-0000-0500-00002E000000}"/>
              </a:ext>
            </a:extLst>
          </xdr:cNvPr>
          <xdr:cNvSpPr/>
        </xdr:nvSpPr>
        <xdr:spPr>
          <a:xfrm>
            <a:off x="14525625" y="18297525"/>
            <a:ext cx="1028700" cy="30480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r"/>
            <a:r>
              <a:rPr lang="en-US" sz="1000" b="1" u="none">
                <a:solidFill>
                  <a:schemeClr val="bg1"/>
                </a:solidFill>
              </a:rPr>
              <a:t>Back</a:t>
            </a:r>
            <a:r>
              <a:rPr lang="en-US" sz="1000" b="1" u="none" baseline="0">
                <a:solidFill>
                  <a:schemeClr val="bg1"/>
                </a:solidFill>
              </a:rPr>
              <a:t> to Top ^</a:t>
            </a:r>
            <a:endParaRPr lang="en-US" sz="1000" b="1" u="none">
              <a:solidFill>
                <a:schemeClr val="bg1"/>
              </a:solidFill>
            </a:endParaRPr>
          </a:p>
        </xdr:txBody>
      </xdr:sp>
    </xdr:grpSp>
    <xdr:clientData fPrintsWithSheet="0"/>
  </xdr:twoCellAnchor>
  <xdr:twoCellAnchor editAs="oneCell">
    <xdr:from>
      <xdr:col>20</xdr:col>
      <xdr:colOff>66675</xdr:colOff>
      <xdr:row>2</xdr:row>
      <xdr:rowOff>9525</xdr:rowOff>
    </xdr:from>
    <xdr:to>
      <xdr:col>24</xdr:col>
      <xdr:colOff>109538</xdr:colOff>
      <xdr:row>3</xdr:row>
      <xdr:rowOff>1905</xdr:rowOff>
    </xdr:to>
    <xdr:sp macro="" textlink="$B$7">
      <xdr:nvSpPr>
        <xdr:cNvPr id="51" name="HEADER_BANNER_SUBTITLE">
          <a:extLst>
            <a:ext uri="{FF2B5EF4-FFF2-40B4-BE49-F238E27FC236}">
              <a16:creationId xmlns:a16="http://schemas.microsoft.com/office/drawing/2014/main" id="{00000000-0008-0000-0500-000033000000}"/>
            </a:ext>
          </a:extLst>
        </xdr:cNvPr>
        <xdr:cNvSpPr txBox="1"/>
      </xdr:nvSpPr>
      <xdr:spPr>
        <a:xfrm>
          <a:off x="5876925" y="561975"/>
          <a:ext cx="1922463" cy="182880"/>
        </a:xfrm>
        <a:prstGeom prst="rect">
          <a:avLst/>
        </a:prstGeom>
        <a:solidFill>
          <a:srgbClr val="00305E"/>
        </a:solidFill>
      </xdr:spPr>
      <xdr:style>
        <a:lnRef idx="0">
          <a:scrgbClr r="0" g="0" b="0"/>
        </a:lnRef>
        <a:fillRef idx="0">
          <a:scrgbClr r="0" g="0" b="0"/>
        </a:fillRef>
        <a:effectRef idx="0">
          <a:scrgbClr r="0" g="0" b="0"/>
        </a:effectRef>
        <a:fontRef idx="minor">
          <a:schemeClr val="tx1"/>
        </a:fontRef>
      </xdr:style>
      <xdr:txBody>
        <a:bodyPr vertOverflow="clip" wrap="square" rtlCol="0" anchor="ctr">
          <a:noAutofit/>
        </a:bodyPr>
        <a:lstStyle/>
        <a:p>
          <a:pPr algn="ctr"/>
          <a:fld id="{4B39128B-4B37-4567-8AC7-02473171A03C}" type="TxLink">
            <a:rPr lang="en-US" sz="800" b="1" i="0" u="none" strike="noStrike">
              <a:solidFill>
                <a:schemeClr val="bg1"/>
              </a:solidFill>
              <a:latin typeface="Calibri"/>
              <a:ea typeface="Calibri"/>
              <a:cs typeface="Calibri"/>
            </a:rPr>
            <a:pPr algn="ctr"/>
            <a:t>Funding Request</a:t>
          </a:fld>
          <a:endParaRPr lang="en-US" sz="800" b="1" i="0" u="none" strike="noStrike">
            <a:solidFill>
              <a:schemeClr val="bg1"/>
            </a:solidFill>
            <a:latin typeface="Calibri"/>
          </a:endParaRPr>
        </a:p>
      </xdr:txBody>
    </xdr:sp>
    <xdr:clientData/>
  </xdr:twoCellAnchor>
  <xdr:twoCellAnchor editAs="oneCell">
    <xdr:from>
      <xdr:col>7</xdr:col>
      <xdr:colOff>28574</xdr:colOff>
      <xdr:row>0</xdr:row>
      <xdr:rowOff>37735</xdr:rowOff>
    </xdr:from>
    <xdr:to>
      <xdr:col>10</xdr:col>
      <xdr:colOff>299467</xdr:colOff>
      <xdr:row>0</xdr:row>
      <xdr:rowOff>480458</xdr:rowOff>
    </xdr:to>
    <xdr:pic>
      <xdr:nvPicPr>
        <xdr:cNvPr id="52" name="FHLBNY_LOGO" descr="Medium.gif">
          <a:extLst>
            <a:ext uri="{FF2B5EF4-FFF2-40B4-BE49-F238E27FC236}">
              <a16:creationId xmlns:a16="http://schemas.microsoft.com/office/drawing/2014/main" id="{00000000-0008-0000-0500-000034000000}"/>
            </a:ext>
          </a:extLst>
        </xdr:cNvPr>
        <xdr:cNvPicPr>
          <a:picLocks noChangeAspect="1"/>
        </xdr:cNvPicPr>
      </xdr:nvPicPr>
      <xdr:blipFill>
        <a:blip xmlns:r="http://schemas.openxmlformats.org/officeDocument/2006/relationships" r:embed="rId7" cstate="print"/>
        <a:stretch>
          <a:fillRect/>
        </a:stretch>
      </xdr:blipFill>
      <xdr:spPr>
        <a:xfrm>
          <a:off x="28574" y="37735"/>
          <a:ext cx="1382143" cy="442723"/>
        </a:xfrm>
        <a:prstGeom prst="rect">
          <a:avLst/>
        </a:prstGeom>
      </xdr:spPr>
    </xdr:pic>
    <xdr:clientData/>
  </xdr:twoCellAnchor>
  <xdr:twoCellAnchor editAs="oneCell">
    <xdr:from>
      <xdr:col>7</xdr:col>
      <xdr:colOff>9526</xdr:colOff>
      <xdr:row>0</xdr:row>
      <xdr:rowOff>8595</xdr:rowOff>
    </xdr:from>
    <xdr:to>
      <xdr:col>25</xdr:col>
      <xdr:colOff>0</xdr:colOff>
      <xdr:row>4</xdr:row>
      <xdr:rowOff>4083</xdr:rowOff>
    </xdr:to>
    <xdr:sp macro="" textlink="">
      <xdr:nvSpPr>
        <xdr:cNvPr id="54" name="HEADER_SHORTCUT_TOP">
          <a:hlinkClick xmlns:r="http://schemas.openxmlformats.org/officeDocument/2006/relationships" r:id="rId6" tooltip="Jump to Top"/>
          <a:extLst>
            <a:ext uri="{FF2B5EF4-FFF2-40B4-BE49-F238E27FC236}">
              <a16:creationId xmlns:a16="http://schemas.microsoft.com/office/drawing/2014/main" id="{00000000-0008-0000-0500-000036000000}"/>
            </a:ext>
          </a:extLst>
        </xdr:cNvPr>
        <xdr:cNvSpPr/>
      </xdr:nvSpPr>
      <xdr:spPr>
        <a:xfrm>
          <a:off x="8524876" y="8595"/>
          <a:ext cx="7851774" cy="776538"/>
        </a:xfrm>
        <a:prstGeom prst="rect">
          <a:avLst/>
        </a:prstGeom>
        <a:solidFill>
          <a:schemeClr val="bg1">
            <a:alpha val="0"/>
          </a:schemeClr>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800"/>
        </a:p>
      </xdr:txBody>
    </xdr:sp>
    <xdr:clientData fPrintsWithSheet="0"/>
  </xdr:twoCellAnchor>
  <xdr:twoCellAnchor editAs="oneCell">
    <xdr:from>
      <xdr:col>7</xdr:col>
      <xdr:colOff>66675</xdr:colOff>
      <xdr:row>13</xdr:row>
      <xdr:rowOff>228603</xdr:rowOff>
    </xdr:from>
    <xdr:to>
      <xdr:col>24</xdr:col>
      <xdr:colOff>104777</xdr:colOff>
      <xdr:row>19</xdr:row>
      <xdr:rowOff>0</xdr:rowOff>
    </xdr:to>
    <xdr:grpSp>
      <xdr:nvGrpSpPr>
        <xdr:cNvPr id="55" name="TABLE_OF_CONTENTS_RENTAL">
          <a:extLst>
            <a:ext uri="{FF2B5EF4-FFF2-40B4-BE49-F238E27FC236}">
              <a16:creationId xmlns:a16="http://schemas.microsoft.com/office/drawing/2014/main" id="{00000000-0008-0000-0500-000037000000}"/>
            </a:ext>
          </a:extLst>
        </xdr:cNvPr>
        <xdr:cNvGrpSpPr/>
      </xdr:nvGrpSpPr>
      <xdr:grpSpPr>
        <a:xfrm>
          <a:off x="66675" y="3638553"/>
          <a:ext cx="7362827" cy="1428747"/>
          <a:chOff x="8191498" y="1276170"/>
          <a:chExt cx="7362827" cy="1414214"/>
        </a:xfrm>
      </xdr:grpSpPr>
      <xdr:grpSp>
        <xdr:nvGrpSpPr>
          <xdr:cNvPr id="56" name="RENTAL_TABLE_OF_CONTENTS">
            <a:extLst>
              <a:ext uri="{FF2B5EF4-FFF2-40B4-BE49-F238E27FC236}">
                <a16:creationId xmlns:a16="http://schemas.microsoft.com/office/drawing/2014/main" id="{00000000-0008-0000-0500-000038000000}"/>
              </a:ext>
            </a:extLst>
          </xdr:cNvPr>
          <xdr:cNvGrpSpPr/>
        </xdr:nvGrpSpPr>
        <xdr:grpSpPr>
          <a:xfrm>
            <a:off x="8191498" y="1276170"/>
            <a:ext cx="7362827" cy="1414214"/>
            <a:chOff x="8191498" y="1276170"/>
            <a:chExt cx="7362827" cy="1414214"/>
          </a:xfrm>
        </xdr:grpSpPr>
        <xdr:sp macro="" textlink="">
          <xdr:nvSpPr>
            <xdr:cNvPr id="61" name="TOC_HEADER_BG">
              <a:extLst>
                <a:ext uri="{FF2B5EF4-FFF2-40B4-BE49-F238E27FC236}">
                  <a16:creationId xmlns:a16="http://schemas.microsoft.com/office/drawing/2014/main" id="{00000000-0008-0000-0500-00003D000000}"/>
                </a:ext>
              </a:extLst>
            </xdr:cNvPr>
            <xdr:cNvSpPr/>
          </xdr:nvSpPr>
          <xdr:spPr>
            <a:xfrm>
              <a:off x="8191498" y="1592257"/>
              <a:ext cx="7360921" cy="275969"/>
            </a:xfrm>
            <a:prstGeom prst="rect">
              <a:avLst/>
            </a:prstGeom>
            <a:solidFill>
              <a:schemeClr val="accent1">
                <a:lumMod val="20000"/>
                <a:lumOff val="80000"/>
              </a:schemeClr>
            </a:solidFill>
            <a:ln>
              <a:no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endParaRPr lang="en-US" sz="1100"/>
            </a:p>
          </xdr:txBody>
        </xdr:sp>
        <xdr:grpSp>
          <xdr:nvGrpSpPr>
            <xdr:cNvPr id="62" name="TOC">
              <a:extLst>
                <a:ext uri="{FF2B5EF4-FFF2-40B4-BE49-F238E27FC236}">
                  <a16:creationId xmlns:a16="http://schemas.microsoft.com/office/drawing/2014/main" id="{00000000-0008-0000-0500-00003E000000}"/>
                </a:ext>
              </a:extLst>
            </xdr:cNvPr>
            <xdr:cNvGrpSpPr/>
          </xdr:nvGrpSpPr>
          <xdr:grpSpPr>
            <a:xfrm>
              <a:off x="8191500" y="1276170"/>
              <a:ext cx="7362825" cy="1414214"/>
              <a:chOff x="9239250" y="1816952"/>
              <a:chExt cx="7362825" cy="1090370"/>
            </a:xfrm>
            <a:effectLst/>
          </xdr:grpSpPr>
          <xdr:sp macro="" textlink="">
            <xdr:nvSpPr>
              <xdr:cNvPr id="67" name="Rectangle 66">
                <a:extLst>
                  <a:ext uri="{FF2B5EF4-FFF2-40B4-BE49-F238E27FC236}">
                    <a16:creationId xmlns:a16="http://schemas.microsoft.com/office/drawing/2014/main" id="{00000000-0008-0000-0500-000043000000}"/>
                  </a:ext>
                </a:extLst>
              </xdr:cNvPr>
              <xdr:cNvSpPr/>
            </xdr:nvSpPr>
            <xdr:spPr>
              <a:xfrm>
                <a:off x="9239250" y="2052093"/>
                <a:ext cx="7362825" cy="855229"/>
              </a:xfrm>
              <a:prstGeom prst="rect">
                <a:avLst/>
              </a:prstGeom>
              <a:no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endParaRPr lang="en-US" sz="1100"/>
              </a:p>
            </xdr:txBody>
          </xdr:sp>
          <xdr:sp macro="" textlink="">
            <xdr:nvSpPr>
              <xdr:cNvPr id="68" name="Rectangle 67">
                <a:extLst>
                  <a:ext uri="{FF2B5EF4-FFF2-40B4-BE49-F238E27FC236}">
                    <a16:creationId xmlns:a16="http://schemas.microsoft.com/office/drawing/2014/main" id="{00000000-0008-0000-0500-000044000000}"/>
                  </a:ext>
                </a:extLst>
              </xdr:cNvPr>
              <xdr:cNvSpPr/>
            </xdr:nvSpPr>
            <xdr:spPr>
              <a:xfrm>
                <a:off x="9239250" y="1816952"/>
                <a:ext cx="7360920" cy="237265"/>
              </a:xfrm>
              <a:prstGeom prst="rect">
                <a:avLst/>
              </a:prstGeom>
              <a:solidFill>
                <a:srgbClr val="9CACB9"/>
              </a:solid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l"/>
                <a:r>
                  <a:rPr lang="en-US" sz="1100" b="1">
                    <a:solidFill>
                      <a:schemeClr val="bg1"/>
                    </a:solidFill>
                  </a:rPr>
                  <a:t>Table of Contents</a:t>
                </a:r>
              </a:p>
            </xdr:txBody>
          </xdr:sp>
        </xdr:grpSp>
        <xdr:sp macro="" textlink="">
          <xdr:nvSpPr>
            <xdr:cNvPr id="63" name="TOC_HEADER_LABEL_1">
              <a:extLst>
                <a:ext uri="{FF2B5EF4-FFF2-40B4-BE49-F238E27FC236}">
                  <a16:creationId xmlns:a16="http://schemas.microsoft.com/office/drawing/2014/main" id="{00000000-0008-0000-0500-00003F000000}"/>
                </a:ext>
              </a:extLst>
            </xdr:cNvPr>
            <xdr:cNvSpPr txBox="1"/>
          </xdr:nvSpPr>
          <xdr:spPr>
            <a:xfrm>
              <a:off x="8302028" y="1630443"/>
              <a:ext cx="1226450" cy="2644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lIns="0" rtlCol="0" anchor="t">
              <a:noAutofit/>
            </a:bodyPr>
            <a:lstStyle/>
            <a:p>
              <a:r>
                <a:rPr lang="en-US" sz="1000" b="1"/>
                <a:t>Section</a:t>
              </a:r>
            </a:p>
          </xdr:txBody>
        </xdr:sp>
        <xdr:sp macro="" textlink="">
          <xdr:nvSpPr>
            <xdr:cNvPr id="64" name="TOC_HEADER_LABEL_1">
              <a:extLst>
                <a:ext uri="{FF2B5EF4-FFF2-40B4-BE49-F238E27FC236}">
                  <a16:creationId xmlns:a16="http://schemas.microsoft.com/office/drawing/2014/main" id="{00000000-0008-0000-0500-000040000000}"/>
                </a:ext>
              </a:extLst>
            </xdr:cNvPr>
            <xdr:cNvSpPr txBox="1"/>
          </xdr:nvSpPr>
          <xdr:spPr>
            <a:xfrm>
              <a:off x="10988755" y="1630443"/>
              <a:ext cx="876784" cy="2644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tlCol="0" anchor="t">
              <a:noAutofit/>
            </a:bodyPr>
            <a:lstStyle/>
            <a:p>
              <a:r>
                <a:rPr lang="en-US" sz="1000" b="1"/>
                <a:t>Progress</a:t>
              </a:r>
            </a:p>
          </xdr:txBody>
        </xdr:sp>
        <xdr:sp macro="" textlink="">
          <xdr:nvSpPr>
            <xdr:cNvPr id="65" name="TOC_HEADER_LABEL_3">
              <a:extLst>
                <a:ext uri="{FF2B5EF4-FFF2-40B4-BE49-F238E27FC236}">
                  <a16:creationId xmlns:a16="http://schemas.microsoft.com/office/drawing/2014/main" id="{00000000-0008-0000-0500-000041000000}"/>
                </a:ext>
              </a:extLst>
            </xdr:cNvPr>
            <xdr:cNvSpPr txBox="1"/>
          </xdr:nvSpPr>
          <xdr:spPr>
            <a:xfrm>
              <a:off x="11990098" y="1630443"/>
              <a:ext cx="1226450" cy="2644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lIns="0" rtlCol="0" anchor="t">
              <a:noAutofit/>
            </a:bodyPr>
            <a:lstStyle/>
            <a:p>
              <a:r>
                <a:rPr lang="en-US" sz="1000" b="1"/>
                <a:t>Section</a:t>
              </a:r>
            </a:p>
          </xdr:txBody>
        </xdr:sp>
        <xdr:sp macro="" textlink="">
          <xdr:nvSpPr>
            <xdr:cNvPr id="66" name="TOC_HEADER_LABEL_4">
              <a:extLst>
                <a:ext uri="{FF2B5EF4-FFF2-40B4-BE49-F238E27FC236}">
                  <a16:creationId xmlns:a16="http://schemas.microsoft.com/office/drawing/2014/main" id="{00000000-0008-0000-0500-000042000000}"/>
                </a:ext>
              </a:extLst>
            </xdr:cNvPr>
            <xdr:cNvSpPr txBox="1"/>
          </xdr:nvSpPr>
          <xdr:spPr>
            <a:xfrm>
              <a:off x="14554212" y="1630443"/>
              <a:ext cx="871248" cy="2644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tlCol="0" anchor="t">
              <a:noAutofit/>
            </a:bodyPr>
            <a:lstStyle/>
            <a:p>
              <a:r>
                <a:rPr lang="en-US" sz="1000" b="1"/>
                <a:t>Progress</a:t>
              </a:r>
            </a:p>
          </xdr:txBody>
        </xdr:sp>
      </xdr:grpSp>
      <xdr:cxnSp macro="">
        <xdr:nvCxnSpPr>
          <xdr:cNvPr id="57" name="TOC_HEADER_VLINE">
            <a:extLst>
              <a:ext uri="{FF2B5EF4-FFF2-40B4-BE49-F238E27FC236}">
                <a16:creationId xmlns:a16="http://schemas.microsoft.com/office/drawing/2014/main" id="{00000000-0008-0000-0500-000039000000}"/>
              </a:ext>
            </a:extLst>
          </xdr:cNvPr>
          <xdr:cNvCxnSpPr>
            <a:endCxn id="67" idx="2"/>
          </xdr:cNvCxnSpPr>
        </xdr:nvCxnSpPr>
        <xdr:spPr>
          <a:xfrm>
            <a:off x="11871960" y="1596774"/>
            <a:ext cx="953" cy="1093609"/>
          </a:xfrm>
          <a:prstGeom prst="line">
            <a:avLst/>
          </a:prstGeom>
          <a:ln>
            <a:solidFill>
              <a:schemeClr val="bg1">
                <a:lumMod val="85000"/>
              </a:schemeClr>
            </a:solidFill>
          </a:ln>
          <a:effectLst>
            <a:innerShdw blurRad="63500" dist="50800" dir="13500000">
              <a:prstClr val="black">
                <a:alpha val="50000"/>
              </a:prstClr>
            </a:innerShdw>
          </a:effectLst>
        </xdr:spPr>
        <xdr:style>
          <a:lnRef idx="1">
            <a:schemeClr val="accent1"/>
          </a:lnRef>
          <a:fillRef idx="0">
            <a:schemeClr val="accent1"/>
          </a:fillRef>
          <a:effectRef idx="0">
            <a:schemeClr val="accent1"/>
          </a:effectRef>
          <a:fontRef idx="minor">
            <a:schemeClr val="tx1"/>
          </a:fontRef>
        </xdr:style>
      </xdr:cxnSp>
      <xdr:grpSp>
        <xdr:nvGrpSpPr>
          <xdr:cNvPr id="58" name="TOC_HORIZONTAL_DIVIDERS">
            <a:extLst>
              <a:ext uri="{FF2B5EF4-FFF2-40B4-BE49-F238E27FC236}">
                <a16:creationId xmlns:a16="http://schemas.microsoft.com/office/drawing/2014/main" id="{00000000-0008-0000-0500-00003A000000}"/>
              </a:ext>
            </a:extLst>
          </xdr:cNvPr>
          <xdr:cNvGrpSpPr/>
        </xdr:nvGrpSpPr>
        <xdr:grpSpPr>
          <a:xfrm>
            <a:off x="8191498" y="2143319"/>
            <a:ext cx="7362825" cy="276504"/>
            <a:chOff x="8191498" y="2143319"/>
            <a:chExt cx="7362825" cy="276504"/>
          </a:xfrm>
        </xdr:grpSpPr>
        <xdr:cxnSp macro="">
          <xdr:nvCxnSpPr>
            <xdr:cNvPr id="59" name="DOTTED_LINE">
              <a:extLst>
                <a:ext uri="{FF2B5EF4-FFF2-40B4-BE49-F238E27FC236}">
                  <a16:creationId xmlns:a16="http://schemas.microsoft.com/office/drawing/2014/main" id="{00000000-0008-0000-0500-00003B000000}"/>
                </a:ext>
              </a:extLst>
            </xdr:cNvPr>
            <xdr:cNvCxnSpPr/>
          </xdr:nvCxnSpPr>
          <xdr:spPr>
            <a:xfrm flipH="1">
              <a:off x="8191498" y="2143319"/>
              <a:ext cx="7362825" cy="0"/>
            </a:xfrm>
            <a:prstGeom prst="line">
              <a:avLst/>
            </a:prstGeom>
            <a:ln w="9525" cap="rnd">
              <a:solidFill>
                <a:schemeClr val="bg1">
                  <a:lumMod val="85000"/>
                </a:schemeClr>
              </a:solidFill>
              <a:prstDash val="solid"/>
              <a:round/>
            </a:ln>
          </xdr:spPr>
          <xdr:style>
            <a:lnRef idx="1">
              <a:schemeClr val="dk1"/>
            </a:lnRef>
            <a:fillRef idx="0">
              <a:schemeClr val="dk1"/>
            </a:fillRef>
            <a:effectRef idx="0">
              <a:schemeClr val="dk1"/>
            </a:effectRef>
            <a:fontRef idx="minor">
              <a:schemeClr val="tx1"/>
            </a:fontRef>
          </xdr:style>
        </xdr:cxnSp>
        <xdr:cxnSp macro="">
          <xdr:nvCxnSpPr>
            <xdr:cNvPr id="60" name="DOTTED_LINE">
              <a:extLst>
                <a:ext uri="{FF2B5EF4-FFF2-40B4-BE49-F238E27FC236}">
                  <a16:creationId xmlns:a16="http://schemas.microsoft.com/office/drawing/2014/main" id="{00000000-0008-0000-0500-00003C000000}"/>
                </a:ext>
              </a:extLst>
            </xdr:cNvPr>
            <xdr:cNvCxnSpPr/>
          </xdr:nvCxnSpPr>
          <xdr:spPr>
            <a:xfrm flipH="1">
              <a:off x="8191498" y="2419823"/>
              <a:ext cx="7360920" cy="0"/>
            </a:xfrm>
            <a:prstGeom prst="line">
              <a:avLst/>
            </a:prstGeom>
            <a:ln w="9525" cap="rnd">
              <a:solidFill>
                <a:schemeClr val="bg1">
                  <a:lumMod val="85000"/>
                </a:schemeClr>
              </a:solidFill>
              <a:prstDash val="solid"/>
              <a:round/>
            </a:ln>
          </xdr:spPr>
          <xdr:style>
            <a:lnRef idx="1">
              <a:schemeClr val="dk1"/>
            </a:lnRef>
            <a:fillRef idx="0">
              <a:schemeClr val="dk1"/>
            </a:fillRef>
            <a:effectRef idx="0">
              <a:schemeClr val="dk1"/>
            </a:effectRef>
            <a:fontRef idx="minor">
              <a:schemeClr val="tx1"/>
            </a:fontRef>
          </xdr:style>
        </xdr:cxnSp>
      </xdr:grpSp>
    </xdr:grpSp>
    <xdr:clientData/>
  </xdr:twoCellAnchor>
  <xdr:twoCellAnchor>
    <xdr:from>
      <xdr:col>14</xdr:col>
      <xdr:colOff>285750</xdr:colOff>
      <xdr:row>33</xdr:row>
      <xdr:rowOff>142875</xdr:rowOff>
    </xdr:from>
    <xdr:to>
      <xdr:col>19</xdr:col>
      <xdr:colOff>104775</xdr:colOff>
      <xdr:row>33</xdr:row>
      <xdr:rowOff>142875</xdr:rowOff>
    </xdr:to>
    <xdr:cxnSp macro="">
      <xdr:nvCxnSpPr>
        <xdr:cNvPr id="69" name="DOTTED_LINE">
          <a:extLst>
            <a:ext uri="{FF2B5EF4-FFF2-40B4-BE49-F238E27FC236}">
              <a16:creationId xmlns:a16="http://schemas.microsoft.com/office/drawing/2014/main" id="{00000000-0008-0000-0500-000045000000}"/>
            </a:ext>
          </a:extLst>
        </xdr:cNvPr>
        <xdr:cNvCxnSpPr/>
      </xdr:nvCxnSpPr>
      <xdr:spPr>
        <a:xfrm>
          <a:off x="11791950" y="9153525"/>
          <a:ext cx="2447925"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38100</xdr:colOff>
      <xdr:row>35</xdr:row>
      <xdr:rowOff>152400</xdr:rowOff>
    </xdr:from>
    <xdr:to>
      <xdr:col>21</xdr:col>
      <xdr:colOff>104775</xdr:colOff>
      <xdr:row>35</xdr:row>
      <xdr:rowOff>152400</xdr:rowOff>
    </xdr:to>
    <xdr:cxnSp macro="">
      <xdr:nvCxnSpPr>
        <xdr:cNvPr id="72" name="DOTTED_LINE">
          <a:extLst>
            <a:ext uri="{FF2B5EF4-FFF2-40B4-BE49-F238E27FC236}">
              <a16:creationId xmlns:a16="http://schemas.microsoft.com/office/drawing/2014/main" id="{00000000-0008-0000-0500-000048000000}"/>
            </a:ext>
          </a:extLst>
        </xdr:cNvPr>
        <xdr:cNvCxnSpPr/>
      </xdr:nvCxnSpPr>
      <xdr:spPr>
        <a:xfrm>
          <a:off x="5657850" y="10560050"/>
          <a:ext cx="1006475"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304800</xdr:colOff>
      <xdr:row>48</xdr:row>
      <xdr:rowOff>142875</xdr:rowOff>
    </xdr:from>
    <xdr:to>
      <xdr:col>21</xdr:col>
      <xdr:colOff>133350</xdr:colOff>
      <xdr:row>48</xdr:row>
      <xdr:rowOff>142875</xdr:rowOff>
    </xdr:to>
    <xdr:cxnSp macro="">
      <xdr:nvCxnSpPr>
        <xdr:cNvPr id="73" name="DOTTED_LINE">
          <a:extLst>
            <a:ext uri="{FF2B5EF4-FFF2-40B4-BE49-F238E27FC236}">
              <a16:creationId xmlns:a16="http://schemas.microsoft.com/office/drawing/2014/main" id="{00000000-0008-0000-0500-000049000000}"/>
            </a:ext>
          </a:extLst>
        </xdr:cNvPr>
        <xdr:cNvCxnSpPr/>
      </xdr:nvCxnSpPr>
      <xdr:spPr>
        <a:xfrm>
          <a:off x="476250" y="13623925"/>
          <a:ext cx="6216650"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304800</xdr:colOff>
      <xdr:row>49</xdr:row>
      <xdr:rowOff>152400</xdr:rowOff>
    </xdr:from>
    <xdr:to>
      <xdr:col>21</xdr:col>
      <xdr:colOff>123825</xdr:colOff>
      <xdr:row>49</xdr:row>
      <xdr:rowOff>152400</xdr:rowOff>
    </xdr:to>
    <xdr:cxnSp macro="">
      <xdr:nvCxnSpPr>
        <xdr:cNvPr id="74" name="DOTTED_LINE">
          <a:extLst>
            <a:ext uri="{FF2B5EF4-FFF2-40B4-BE49-F238E27FC236}">
              <a16:creationId xmlns:a16="http://schemas.microsoft.com/office/drawing/2014/main" id="{00000000-0008-0000-0500-00004A000000}"/>
            </a:ext>
          </a:extLst>
        </xdr:cNvPr>
        <xdr:cNvCxnSpPr/>
      </xdr:nvCxnSpPr>
      <xdr:spPr>
        <a:xfrm>
          <a:off x="2355850" y="13912850"/>
          <a:ext cx="4327525"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28575</xdr:colOff>
      <xdr:row>50</xdr:row>
      <xdr:rowOff>152400</xdr:rowOff>
    </xdr:from>
    <xdr:to>
      <xdr:col>21</xdr:col>
      <xdr:colOff>123825</xdr:colOff>
      <xdr:row>50</xdr:row>
      <xdr:rowOff>152400</xdr:rowOff>
    </xdr:to>
    <xdr:cxnSp macro="">
      <xdr:nvCxnSpPr>
        <xdr:cNvPr id="75" name="DOTTED_LINE">
          <a:extLst>
            <a:ext uri="{FF2B5EF4-FFF2-40B4-BE49-F238E27FC236}">
              <a16:creationId xmlns:a16="http://schemas.microsoft.com/office/drawing/2014/main" id="{00000000-0008-0000-0500-00004B000000}"/>
            </a:ext>
          </a:extLst>
        </xdr:cNvPr>
        <xdr:cNvCxnSpPr/>
      </xdr:nvCxnSpPr>
      <xdr:spPr>
        <a:xfrm>
          <a:off x="1889125" y="14192250"/>
          <a:ext cx="4794250"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361950</xdr:colOff>
      <xdr:row>60</xdr:row>
      <xdr:rowOff>152400</xdr:rowOff>
    </xdr:from>
    <xdr:to>
      <xdr:col>19</xdr:col>
      <xdr:colOff>114300</xdr:colOff>
      <xdr:row>60</xdr:row>
      <xdr:rowOff>152400</xdr:rowOff>
    </xdr:to>
    <xdr:cxnSp macro="">
      <xdr:nvCxnSpPr>
        <xdr:cNvPr id="76" name="DOTTED_LINE">
          <a:extLst>
            <a:ext uri="{FF2B5EF4-FFF2-40B4-BE49-F238E27FC236}">
              <a16:creationId xmlns:a16="http://schemas.microsoft.com/office/drawing/2014/main" id="{00000000-0008-0000-0500-00004C000000}"/>
            </a:ext>
          </a:extLst>
        </xdr:cNvPr>
        <xdr:cNvCxnSpPr/>
      </xdr:nvCxnSpPr>
      <xdr:spPr>
        <a:xfrm>
          <a:off x="1473200" y="16706850"/>
          <a:ext cx="4260850"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209550</xdr:colOff>
      <xdr:row>61</xdr:row>
      <xdr:rowOff>152400</xdr:rowOff>
    </xdr:from>
    <xdr:to>
      <xdr:col>19</xdr:col>
      <xdr:colOff>114300</xdr:colOff>
      <xdr:row>61</xdr:row>
      <xdr:rowOff>152400</xdr:rowOff>
    </xdr:to>
    <xdr:cxnSp macro="">
      <xdr:nvCxnSpPr>
        <xdr:cNvPr id="77" name="DOTTED_LINE">
          <a:extLst>
            <a:ext uri="{FF2B5EF4-FFF2-40B4-BE49-F238E27FC236}">
              <a16:creationId xmlns:a16="http://schemas.microsoft.com/office/drawing/2014/main" id="{00000000-0008-0000-0500-00004D000000}"/>
            </a:ext>
          </a:extLst>
        </xdr:cNvPr>
        <xdr:cNvCxnSpPr/>
      </xdr:nvCxnSpPr>
      <xdr:spPr>
        <a:xfrm>
          <a:off x="2260600" y="16986250"/>
          <a:ext cx="3473450"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123825</xdr:colOff>
      <xdr:row>65</xdr:row>
      <xdr:rowOff>152400</xdr:rowOff>
    </xdr:from>
    <xdr:to>
      <xdr:col>21</xdr:col>
      <xdr:colOff>104775</xdr:colOff>
      <xdr:row>65</xdr:row>
      <xdr:rowOff>152400</xdr:rowOff>
    </xdr:to>
    <xdr:cxnSp macro="">
      <xdr:nvCxnSpPr>
        <xdr:cNvPr id="78" name="DOTTED_LINE">
          <a:extLst>
            <a:ext uri="{FF2B5EF4-FFF2-40B4-BE49-F238E27FC236}">
              <a16:creationId xmlns:a16="http://schemas.microsoft.com/office/drawing/2014/main" id="{00000000-0008-0000-0500-00004E000000}"/>
            </a:ext>
          </a:extLst>
        </xdr:cNvPr>
        <xdr:cNvCxnSpPr/>
      </xdr:nvCxnSpPr>
      <xdr:spPr>
        <a:xfrm>
          <a:off x="3114675" y="18103850"/>
          <a:ext cx="3549650"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161925</xdr:colOff>
      <xdr:row>80</xdr:row>
      <xdr:rowOff>152400</xdr:rowOff>
    </xdr:from>
    <xdr:to>
      <xdr:col>21</xdr:col>
      <xdr:colOff>104775</xdr:colOff>
      <xdr:row>80</xdr:row>
      <xdr:rowOff>152400</xdr:rowOff>
    </xdr:to>
    <xdr:cxnSp macro="">
      <xdr:nvCxnSpPr>
        <xdr:cNvPr id="79" name="DOTTED_LINE">
          <a:extLst>
            <a:ext uri="{FF2B5EF4-FFF2-40B4-BE49-F238E27FC236}">
              <a16:creationId xmlns:a16="http://schemas.microsoft.com/office/drawing/2014/main" id="{00000000-0008-0000-0500-00004F000000}"/>
            </a:ext>
          </a:extLst>
        </xdr:cNvPr>
        <xdr:cNvCxnSpPr/>
      </xdr:nvCxnSpPr>
      <xdr:spPr>
        <a:xfrm>
          <a:off x="3902075" y="22015450"/>
          <a:ext cx="2762250"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276225</xdr:colOff>
      <xdr:row>73</xdr:row>
      <xdr:rowOff>152400</xdr:rowOff>
    </xdr:from>
    <xdr:to>
      <xdr:col>21</xdr:col>
      <xdr:colOff>104775</xdr:colOff>
      <xdr:row>73</xdr:row>
      <xdr:rowOff>152400</xdr:rowOff>
    </xdr:to>
    <xdr:cxnSp macro="">
      <xdr:nvCxnSpPr>
        <xdr:cNvPr id="80" name="DOTTED_LINE">
          <a:extLst>
            <a:ext uri="{FF2B5EF4-FFF2-40B4-BE49-F238E27FC236}">
              <a16:creationId xmlns:a16="http://schemas.microsoft.com/office/drawing/2014/main" id="{00000000-0008-0000-0500-000050000000}"/>
            </a:ext>
          </a:extLst>
        </xdr:cNvPr>
        <xdr:cNvCxnSpPr/>
      </xdr:nvCxnSpPr>
      <xdr:spPr>
        <a:xfrm>
          <a:off x="3267075" y="20339050"/>
          <a:ext cx="3397250"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7</xdr:col>
      <xdr:colOff>66675</xdr:colOff>
      <xdr:row>87</xdr:row>
      <xdr:rowOff>247650</xdr:rowOff>
    </xdr:from>
    <xdr:to>
      <xdr:col>24</xdr:col>
      <xdr:colOff>104775</xdr:colOff>
      <xdr:row>118</xdr:row>
      <xdr:rowOff>57149</xdr:rowOff>
    </xdr:to>
    <xdr:grpSp>
      <xdr:nvGrpSpPr>
        <xdr:cNvPr id="81" name="Group 80">
          <a:extLst>
            <a:ext uri="{FF2B5EF4-FFF2-40B4-BE49-F238E27FC236}">
              <a16:creationId xmlns:a16="http://schemas.microsoft.com/office/drawing/2014/main" id="{00000000-0008-0000-0500-000051000000}"/>
            </a:ext>
          </a:extLst>
        </xdr:cNvPr>
        <xdr:cNvGrpSpPr/>
      </xdr:nvGrpSpPr>
      <xdr:grpSpPr>
        <a:xfrm>
          <a:off x="66675" y="24098250"/>
          <a:ext cx="7362825" cy="8372474"/>
          <a:chOff x="8191500" y="18297525"/>
          <a:chExt cx="7362825" cy="8372474"/>
        </a:xfrm>
      </xdr:grpSpPr>
      <xdr:grpSp>
        <xdr:nvGrpSpPr>
          <xdr:cNvPr id="82" name="RENTAL_5">
            <a:extLst>
              <a:ext uri="{FF2B5EF4-FFF2-40B4-BE49-F238E27FC236}">
                <a16:creationId xmlns:a16="http://schemas.microsoft.com/office/drawing/2014/main" id="{00000000-0008-0000-0500-000052000000}"/>
              </a:ext>
            </a:extLst>
          </xdr:cNvPr>
          <xdr:cNvGrpSpPr/>
        </xdr:nvGrpSpPr>
        <xdr:grpSpPr>
          <a:xfrm>
            <a:off x="8191500" y="18297525"/>
            <a:ext cx="7362825" cy="8372474"/>
            <a:chOff x="9363075" y="17297252"/>
            <a:chExt cx="7362825" cy="8580887"/>
          </a:xfrm>
        </xdr:grpSpPr>
        <xdr:sp macro="" textlink="">
          <xdr:nvSpPr>
            <xdr:cNvPr id="84" name="RENTAL_5_SECTION_FRAME">
              <a:extLst>
                <a:ext uri="{FF2B5EF4-FFF2-40B4-BE49-F238E27FC236}">
                  <a16:creationId xmlns:a16="http://schemas.microsoft.com/office/drawing/2014/main" id="{00000000-0008-0000-0500-000054000000}"/>
                </a:ext>
              </a:extLst>
            </xdr:cNvPr>
            <xdr:cNvSpPr/>
          </xdr:nvSpPr>
          <xdr:spPr>
            <a:xfrm>
              <a:off x="9363075" y="17617604"/>
              <a:ext cx="7362825" cy="8260535"/>
            </a:xfrm>
            <a:prstGeom prst="rect">
              <a:avLst/>
            </a:prstGeom>
            <a:no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endParaRPr lang="en-US" sz="1100"/>
            </a:p>
          </xdr:txBody>
        </xdr:sp>
        <xdr:sp macro="" textlink="$B$115">
          <xdr:nvSpPr>
            <xdr:cNvPr id="85" name="RENTAL_5_SECTION_TITLE">
              <a:extLst>
                <a:ext uri="{FF2B5EF4-FFF2-40B4-BE49-F238E27FC236}">
                  <a16:creationId xmlns:a16="http://schemas.microsoft.com/office/drawing/2014/main" id="{00000000-0008-0000-0500-000055000000}"/>
                </a:ext>
              </a:extLst>
            </xdr:cNvPr>
            <xdr:cNvSpPr/>
          </xdr:nvSpPr>
          <xdr:spPr>
            <a:xfrm>
              <a:off x="9363075" y="17297252"/>
              <a:ext cx="7360920" cy="312329"/>
            </a:xfrm>
            <a:prstGeom prst="rect">
              <a:avLst/>
            </a:prstGeom>
            <a:solidFill>
              <a:srgbClr val="9CACB9"/>
            </a:solid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l"/>
              <a:fld id="{3DCC70B4-8752-4930-A059-3BE28E7B735D}" type="TxLink">
                <a:rPr lang="en-US" sz="1100" b="1" i="0" u="none" strike="noStrike">
                  <a:solidFill>
                    <a:srgbClr val="FFFFFF"/>
                  </a:solidFill>
                  <a:latin typeface="Calibri"/>
                  <a:cs typeface="Calibri"/>
                </a:rPr>
                <a:pPr algn="l"/>
                <a:t>Member Certification</a:t>
              </a:fld>
              <a:endParaRPr lang="en-US" sz="1100" b="1" i="0" u="none" strike="noStrike">
                <a:solidFill>
                  <a:schemeClr val="bg1"/>
                </a:solidFill>
                <a:latin typeface="Calibri"/>
              </a:endParaRPr>
            </a:p>
          </xdr:txBody>
        </xdr:sp>
        <xdr:sp macro="" textlink="$B$126">
          <xdr:nvSpPr>
            <xdr:cNvPr id="86" name="RENTAL_5_SECTION_SUBTITLE">
              <a:extLst>
                <a:ext uri="{FF2B5EF4-FFF2-40B4-BE49-F238E27FC236}">
                  <a16:creationId xmlns:a16="http://schemas.microsoft.com/office/drawing/2014/main" id="{00000000-0008-0000-0500-000056000000}"/>
                </a:ext>
              </a:extLst>
            </xdr:cNvPr>
            <xdr:cNvSpPr/>
          </xdr:nvSpPr>
          <xdr:spPr>
            <a:xfrm>
              <a:off x="9372598" y="17621098"/>
              <a:ext cx="7351776" cy="278553"/>
            </a:xfrm>
            <a:prstGeom prst="rect">
              <a:avLst/>
            </a:prstGeom>
            <a:solidFill>
              <a:schemeClr val="accent1">
                <a:lumMod val="20000"/>
                <a:lumOff val="80000"/>
              </a:schemeClr>
            </a:solidFill>
            <a:ln>
              <a:noFill/>
            </a:ln>
            <a:effectLst/>
          </xdr:spPr>
          <xdr:style>
            <a:lnRef idx="1">
              <a:schemeClr val="accent1"/>
            </a:lnRef>
            <a:fillRef idx="2">
              <a:schemeClr val="accent1"/>
            </a:fillRef>
            <a:effectRef idx="1">
              <a:schemeClr val="accent1"/>
            </a:effectRef>
            <a:fontRef idx="minor">
              <a:schemeClr val="dk1"/>
            </a:fontRef>
          </xdr:style>
          <xdr:txBody>
            <a:bodyPr vertOverflow="clip" lIns="457200" rtlCol="0" anchor="ctr"/>
            <a:lstStyle/>
            <a:p>
              <a:pPr algn="l"/>
              <a:fld id="{69A48C51-483E-44C7-83B3-91C8F5CA2BC0}" type="TxLink">
                <a:rPr lang="en-US" sz="900" b="0" i="0" u="none" strike="noStrike">
                  <a:solidFill>
                    <a:srgbClr val="000000"/>
                  </a:solidFill>
                  <a:latin typeface="Calibri"/>
                  <a:cs typeface="Calibri"/>
                </a:rPr>
                <a:pPr algn="l"/>
                <a:t>Not Started</a:t>
              </a:fld>
              <a:endParaRPr lang="en-US" sz="1100" i="0"/>
            </a:p>
          </xdr:txBody>
        </xdr:sp>
        <xdr:sp macro="" textlink="">
          <xdr:nvSpPr>
            <xdr:cNvPr id="87" name="RENTAL_5_SECTION_SUBTITLE_LABEL">
              <a:extLst>
                <a:ext uri="{FF2B5EF4-FFF2-40B4-BE49-F238E27FC236}">
                  <a16:creationId xmlns:a16="http://schemas.microsoft.com/office/drawing/2014/main" id="{00000000-0008-0000-0500-000057000000}"/>
                </a:ext>
              </a:extLst>
            </xdr:cNvPr>
            <xdr:cNvSpPr txBox="1"/>
          </xdr:nvSpPr>
          <xdr:spPr>
            <a:xfrm>
              <a:off x="9467850" y="17621098"/>
              <a:ext cx="476249" cy="2785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tlCol="0" anchor="ctr">
              <a:noAutofit/>
            </a:bodyPr>
            <a:lstStyle/>
            <a:p>
              <a:r>
                <a:rPr lang="en-US" sz="900" b="1"/>
                <a:t>Status:</a:t>
              </a:r>
            </a:p>
          </xdr:txBody>
        </xdr:sp>
      </xdr:grpSp>
      <xdr:sp macro="" textlink="">
        <xdr:nvSpPr>
          <xdr:cNvPr id="83" name="LINK_RENTAL_TOC">
            <a:hlinkClick xmlns:r="http://schemas.openxmlformats.org/officeDocument/2006/relationships" r:id="rId6"/>
            <a:extLst>
              <a:ext uri="{FF2B5EF4-FFF2-40B4-BE49-F238E27FC236}">
                <a16:creationId xmlns:a16="http://schemas.microsoft.com/office/drawing/2014/main" id="{00000000-0008-0000-0500-000053000000}"/>
              </a:ext>
            </a:extLst>
          </xdr:cNvPr>
          <xdr:cNvSpPr/>
        </xdr:nvSpPr>
        <xdr:spPr>
          <a:xfrm>
            <a:off x="14525625" y="18297525"/>
            <a:ext cx="1028700" cy="30480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r"/>
            <a:r>
              <a:rPr lang="en-US" sz="1000" b="1" u="none">
                <a:solidFill>
                  <a:schemeClr val="bg1"/>
                </a:solidFill>
              </a:rPr>
              <a:t>Back</a:t>
            </a:r>
            <a:r>
              <a:rPr lang="en-US" sz="1000" b="1" u="none" baseline="0">
                <a:solidFill>
                  <a:schemeClr val="bg1"/>
                </a:solidFill>
              </a:rPr>
              <a:t> to Top ^</a:t>
            </a:r>
            <a:endParaRPr lang="en-US" sz="1000" b="1" u="none">
              <a:solidFill>
                <a:schemeClr val="bg1"/>
              </a:solidFill>
            </a:endParaRPr>
          </a:p>
        </xdr:txBody>
      </xdr:sp>
    </xdr:grpSp>
    <xdr:clientData fPrintsWithSheet="0"/>
  </xdr:twoCellAnchor>
  <xdr:oneCellAnchor>
    <xdr:from>
      <xdr:col>16</xdr:col>
      <xdr:colOff>295275</xdr:colOff>
      <xdr:row>18</xdr:row>
      <xdr:rowOff>9525</xdr:rowOff>
    </xdr:from>
    <xdr:ext cx="2200275" cy="264560"/>
    <xdr:sp macro="" textlink="$B$128">
      <xdr:nvSpPr>
        <xdr:cNvPr id="88" name="TOC_SECTION_10">
          <a:hlinkClick xmlns:r="http://schemas.openxmlformats.org/officeDocument/2006/relationships" r:id="rId8"/>
          <a:extLst>
            <a:ext uri="{FF2B5EF4-FFF2-40B4-BE49-F238E27FC236}">
              <a16:creationId xmlns:a16="http://schemas.microsoft.com/office/drawing/2014/main" id="{00000000-0008-0000-0500-000058000000}"/>
            </a:ext>
          </a:extLst>
        </xdr:cNvPr>
        <xdr:cNvSpPr txBox="1"/>
      </xdr:nvSpPr>
      <xdr:spPr>
        <a:xfrm>
          <a:off x="4225925" y="4829175"/>
          <a:ext cx="2200275" cy="2645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lIns="0" rtlCol="0" anchor="t">
          <a:noAutofit/>
        </a:bodyPr>
        <a:lstStyle/>
        <a:p>
          <a:pPr marL="0" indent="0" algn="l"/>
          <a:fld id="{499D75FF-2498-41B5-BB99-BB1A59806023}" type="TxLink">
            <a:rPr lang="en-US" sz="1000" b="1" i="0" u="sng" strike="noStrike">
              <a:solidFill>
                <a:schemeClr val="accent1">
                  <a:lumMod val="75000"/>
                </a:schemeClr>
              </a:solidFill>
              <a:latin typeface="Calibri"/>
              <a:ea typeface="+mn-ea"/>
              <a:cs typeface="Calibri"/>
            </a:rPr>
            <a:pPr marL="0" indent="0" algn="l"/>
            <a:t>Member Certification</a:t>
          </a:fld>
          <a:endParaRPr lang="en-US" sz="1000" b="1" i="0" u="sng" strike="noStrike">
            <a:solidFill>
              <a:schemeClr val="accent1">
                <a:lumMod val="75000"/>
              </a:schemeClr>
            </a:solidFill>
            <a:latin typeface="Calibri"/>
            <a:ea typeface="+mn-ea"/>
            <a:cs typeface="Calibri"/>
          </a:endParaRPr>
        </a:p>
      </xdr:txBody>
    </xdr:sp>
    <xdr:clientData fPrintsWithSheet="0"/>
  </xdr:oneCellAnchor>
</xdr:wsDr>
</file>

<file path=xl/drawings/drawing7.xml><?xml version="1.0" encoding="utf-8"?>
<xdr:wsDr xmlns:xdr="http://schemas.openxmlformats.org/drawingml/2006/spreadsheetDrawing" xmlns:a="http://schemas.openxmlformats.org/drawingml/2006/main">
  <xdr:oneCellAnchor>
    <xdr:from>
      <xdr:col>8</xdr:col>
      <xdr:colOff>200024</xdr:colOff>
      <xdr:row>16</xdr:row>
      <xdr:rowOff>9525</xdr:rowOff>
    </xdr:from>
    <xdr:ext cx="2295525" cy="264560"/>
    <xdr:sp macro="" textlink="$B$27">
      <xdr:nvSpPr>
        <xdr:cNvPr id="2" name="TOC_SECTION_1">
          <a:hlinkClick xmlns:r="http://schemas.openxmlformats.org/officeDocument/2006/relationships" r:id="rId1"/>
          <a:extLst>
            <a:ext uri="{FF2B5EF4-FFF2-40B4-BE49-F238E27FC236}">
              <a16:creationId xmlns:a16="http://schemas.microsoft.com/office/drawing/2014/main" id="{00000000-0008-0000-0600-000002000000}"/>
            </a:ext>
          </a:extLst>
        </xdr:cNvPr>
        <xdr:cNvSpPr txBox="1"/>
      </xdr:nvSpPr>
      <xdr:spPr>
        <a:xfrm>
          <a:off x="371474" y="4270375"/>
          <a:ext cx="2295525" cy="2645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lIns="0" rtlCol="0" anchor="t">
          <a:noAutofit/>
        </a:bodyPr>
        <a:lstStyle/>
        <a:p>
          <a:pPr marL="0" indent="0" algn="l"/>
          <a:fld id="{DA03C1FA-CA01-4B00-9243-F0FEF1FEBC7E}" type="TxLink">
            <a:rPr lang="en-US" sz="1000" b="1" i="0" u="sng" strike="noStrike">
              <a:solidFill>
                <a:schemeClr val="accent1">
                  <a:lumMod val="75000"/>
                </a:schemeClr>
              </a:solidFill>
              <a:latin typeface="Calibri"/>
              <a:ea typeface="+mn-ea"/>
              <a:cs typeface="Calibri"/>
            </a:rPr>
            <a:pPr marL="0" indent="0" algn="l"/>
            <a:t>FHLBNY Member</a:t>
          </a:fld>
          <a:endParaRPr lang="en-US" sz="1000" b="1" i="0" u="sng" strike="noStrike">
            <a:solidFill>
              <a:schemeClr val="accent1">
                <a:lumMod val="75000"/>
              </a:schemeClr>
            </a:solidFill>
            <a:latin typeface="Calibri"/>
            <a:ea typeface="+mn-ea"/>
            <a:cs typeface="Calibri"/>
          </a:endParaRPr>
        </a:p>
      </xdr:txBody>
    </xdr:sp>
    <xdr:clientData fPrintsWithSheet="0"/>
  </xdr:oneCellAnchor>
  <xdr:oneCellAnchor>
    <xdr:from>
      <xdr:col>16</xdr:col>
      <xdr:colOff>295275</xdr:colOff>
      <xdr:row>16</xdr:row>
      <xdr:rowOff>9525</xdr:rowOff>
    </xdr:from>
    <xdr:ext cx="2200275" cy="264560"/>
    <xdr:sp macro="" textlink="$B$69">
      <xdr:nvSpPr>
        <xdr:cNvPr id="3" name="TOC_SECTION_9">
          <a:hlinkClick xmlns:r="http://schemas.openxmlformats.org/officeDocument/2006/relationships" r:id="rId2"/>
          <a:extLst>
            <a:ext uri="{FF2B5EF4-FFF2-40B4-BE49-F238E27FC236}">
              <a16:creationId xmlns:a16="http://schemas.microsoft.com/office/drawing/2014/main" id="{00000000-0008-0000-0600-000003000000}"/>
            </a:ext>
          </a:extLst>
        </xdr:cNvPr>
        <xdr:cNvSpPr txBox="1"/>
      </xdr:nvSpPr>
      <xdr:spPr>
        <a:xfrm>
          <a:off x="4225925" y="4270375"/>
          <a:ext cx="2200275" cy="2645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lIns="0" rtlCol="0" anchor="t">
          <a:noAutofit/>
        </a:bodyPr>
        <a:lstStyle/>
        <a:p>
          <a:pPr marL="0" indent="0" algn="l"/>
          <a:fld id="{E9FE7D1D-73D2-4596-9122-036E6D096E77}" type="TxLink">
            <a:rPr lang="en-US" sz="1000" b="1" i="0" u="sng" strike="noStrike">
              <a:solidFill>
                <a:schemeClr val="accent1">
                  <a:lumMod val="75000"/>
                </a:schemeClr>
              </a:solidFill>
              <a:latin typeface="Calibri"/>
              <a:ea typeface="+mn-ea"/>
              <a:cs typeface="Calibri"/>
            </a:rPr>
            <a:pPr marL="0" indent="0" algn="l"/>
            <a:t>Member Certification</a:t>
          </a:fld>
          <a:endParaRPr lang="en-US" sz="1000" b="1" i="0" u="sng" strike="noStrike">
            <a:solidFill>
              <a:schemeClr val="accent1">
                <a:lumMod val="75000"/>
              </a:schemeClr>
            </a:solidFill>
            <a:latin typeface="Calibri"/>
            <a:ea typeface="+mn-ea"/>
            <a:cs typeface="Calibri"/>
          </a:endParaRPr>
        </a:p>
      </xdr:txBody>
    </xdr:sp>
    <xdr:clientData fPrintsWithSheet="0"/>
  </xdr:oneCellAnchor>
  <xdr:twoCellAnchor editAs="absolute">
    <xdr:from>
      <xdr:col>16384</xdr:col>
      <xdr:colOff>607578</xdr:colOff>
      <xdr:row>13</xdr:row>
      <xdr:rowOff>180975</xdr:rowOff>
    </xdr:from>
    <xdr:to>
      <xdr:col>16384</xdr:col>
      <xdr:colOff>607578</xdr:colOff>
      <xdr:row>15</xdr:row>
      <xdr:rowOff>228600</xdr:rowOff>
    </xdr:to>
    <xdr:sp macro="" textlink="">
      <xdr:nvSpPr>
        <xdr:cNvPr id="4" name="COVER_CELLS_01">
          <a:extLst>
            <a:ext uri="{FF2B5EF4-FFF2-40B4-BE49-F238E27FC236}">
              <a16:creationId xmlns:a16="http://schemas.microsoft.com/office/drawing/2014/main" id="{00000000-0008-0000-0600-000004000000}"/>
            </a:ext>
          </a:extLst>
        </xdr:cNvPr>
        <xdr:cNvSpPr/>
      </xdr:nvSpPr>
      <xdr:spPr>
        <a:xfrm>
          <a:off x="8468878" y="3603625"/>
          <a:ext cx="0" cy="606425"/>
        </a:xfrm>
        <a:prstGeom prst="rect">
          <a:avLst/>
        </a:prstGeom>
        <a:solidFill>
          <a:srgbClr val="FFFFFF">
            <a:alpha val="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fPrintsWithSheet="0"/>
  </xdr:twoCellAnchor>
  <xdr:twoCellAnchor>
    <xdr:from>
      <xdr:col>7</xdr:col>
      <xdr:colOff>24775</xdr:colOff>
      <xdr:row>88</xdr:row>
      <xdr:rowOff>228647</xdr:rowOff>
    </xdr:from>
    <xdr:to>
      <xdr:col>24</xdr:col>
      <xdr:colOff>152399</xdr:colOff>
      <xdr:row>89</xdr:row>
      <xdr:rowOff>263320</xdr:rowOff>
    </xdr:to>
    <xdr:grpSp>
      <xdr:nvGrpSpPr>
        <xdr:cNvPr id="5" name="Group 4">
          <a:extLst>
            <a:ext uri="{FF2B5EF4-FFF2-40B4-BE49-F238E27FC236}">
              <a16:creationId xmlns:a16="http://schemas.microsoft.com/office/drawing/2014/main" id="{00000000-0008-0000-0600-000005000000}"/>
            </a:ext>
          </a:extLst>
        </xdr:cNvPr>
        <xdr:cNvGrpSpPr/>
      </xdr:nvGrpSpPr>
      <xdr:grpSpPr>
        <a:xfrm>
          <a:off x="24775" y="24355472"/>
          <a:ext cx="7452349" cy="310898"/>
          <a:chOff x="9296399" y="16259174"/>
          <a:chExt cx="7452359" cy="269487"/>
        </a:xfrm>
      </xdr:grpSpPr>
      <xdr:sp macro="" textlink="CONFIG_EFORM_DOC_ID_NAME">
        <xdr:nvSpPr>
          <xdr:cNvPr id="6" name="FOOTER_BG">
            <a:extLst>
              <a:ext uri="{FF2B5EF4-FFF2-40B4-BE49-F238E27FC236}">
                <a16:creationId xmlns:a16="http://schemas.microsoft.com/office/drawing/2014/main" id="{00000000-0008-0000-0600-000006000000}"/>
              </a:ext>
            </a:extLst>
          </xdr:cNvPr>
          <xdr:cNvSpPr/>
        </xdr:nvSpPr>
        <xdr:spPr>
          <a:xfrm>
            <a:off x="9296399" y="16259174"/>
            <a:ext cx="7452359" cy="269486"/>
          </a:xfrm>
          <a:prstGeom prst="rect">
            <a:avLst/>
          </a:prstGeom>
          <a:solidFill>
            <a:srgbClr val="00305E"/>
          </a:solidFill>
          <a:ln>
            <a:noFill/>
          </a:ln>
          <a:effectLst/>
        </xdr:spPr>
        <xdr:style>
          <a:lnRef idx="1">
            <a:schemeClr val="accent1"/>
          </a:lnRef>
          <a:fillRef idx="3">
            <a:schemeClr val="accent1"/>
          </a:fillRef>
          <a:effectRef idx="2">
            <a:schemeClr val="accent1"/>
          </a:effectRef>
          <a:fontRef idx="minor">
            <a:schemeClr val="lt1"/>
          </a:fontRef>
        </xdr:style>
        <xdr:txBody>
          <a:bodyPr vertOverflow="clip" rtlCol="0" anchor="ctr"/>
          <a:lstStyle/>
          <a:p>
            <a:pPr marL="0" marR="0" indent="0" algn="r" defTabSz="914400" eaLnBrk="1" fontAlgn="auto" latinLnBrk="0" hangingPunct="1">
              <a:lnSpc>
                <a:spcPct val="100000"/>
              </a:lnSpc>
              <a:spcBef>
                <a:spcPts val="0"/>
              </a:spcBef>
              <a:spcAft>
                <a:spcPts val="0"/>
              </a:spcAft>
              <a:buClrTx/>
              <a:buSzTx/>
              <a:buFontTx/>
              <a:buNone/>
              <a:tabLst/>
              <a:defRPr/>
            </a:pPr>
            <a:fld id="{318D66D7-35C3-43A5-9A89-905D240885C5}" type="TxLink">
              <a:rPr lang="en-US" sz="1000" b="1" i="0" u="none" strike="noStrike">
                <a:solidFill>
                  <a:schemeClr val="bg1"/>
                </a:solidFill>
                <a:latin typeface="+mn-lt"/>
                <a:ea typeface="+mn-ea"/>
                <a:cs typeface="Calibri"/>
              </a:rPr>
              <a:pPr marL="0" marR="0" indent="0" algn="r" defTabSz="914400" eaLnBrk="1" fontAlgn="auto" latinLnBrk="0" hangingPunct="1">
                <a:lnSpc>
                  <a:spcPct val="100000"/>
                </a:lnSpc>
                <a:spcBef>
                  <a:spcPts val="0"/>
                </a:spcBef>
                <a:spcAft>
                  <a:spcPts val="0"/>
                </a:spcAft>
                <a:buClrTx/>
                <a:buSzTx/>
                <a:buFontTx/>
                <a:buNone/>
                <a:tabLst/>
                <a:defRPr/>
              </a:pPr>
              <a:t>HDP-005: Homebuyer Dream Program® Request Form</a:t>
            </a:fld>
            <a:endParaRPr lang="en-US" sz="1000" b="1">
              <a:solidFill>
                <a:schemeClr val="bg1"/>
              </a:solidFill>
              <a:latin typeface="+mn-lt"/>
            </a:endParaRPr>
          </a:p>
        </xdr:txBody>
      </xdr:sp>
      <xdr:sp macro="" textlink="">
        <xdr:nvSpPr>
          <xdr:cNvPr id="7" name="FOOTER_LINK_PAGETOP">
            <a:hlinkClick xmlns:r="http://schemas.openxmlformats.org/officeDocument/2006/relationships" r:id="rId3"/>
            <a:extLst>
              <a:ext uri="{FF2B5EF4-FFF2-40B4-BE49-F238E27FC236}">
                <a16:creationId xmlns:a16="http://schemas.microsoft.com/office/drawing/2014/main" id="{00000000-0008-0000-0600-000007000000}"/>
              </a:ext>
            </a:extLst>
          </xdr:cNvPr>
          <xdr:cNvSpPr/>
        </xdr:nvSpPr>
        <xdr:spPr>
          <a:xfrm>
            <a:off x="9296399" y="16259175"/>
            <a:ext cx="1126715" cy="269486"/>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u="none">
                <a:solidFill>
                  <a:schemeClr val="bg1"/>
                </a:solidFill>
                <a:latin typeface="+mn-lt"/>
              </a:rPr>
              <a:t>^ Back to Top</a:t>
            </a:r>
          </a:p>
        </xdr:txBody>
      </xdr:sp>
    </xdr:grpSp>
    <xdr:clientData fPrintsWithSheet="0"/>
  </xdr:twoCellAnchor>
  <xdr:oneCellAnchor>
    <xdr:from>
      <xdr:col>12</xdr:col>
      <xdr:colOff>1076325</xdr:colOff>
      <xdr:row>12</xdr:row>
      <xdr:rowOff>0</xdr:rowOff>
    </xdr:from>
    <xdr:ext cx="184731" cy="264560"/>
    <xdr:sp macro="" textlink="">
      <xdr:nvSpPr>
        <xdr:cNvPr id="8" name="TextBox 7">
          <a:extLst>
            <a:ext uri="{FF2B5EF4-FFF2-40B4-BE49-F238E27FC236}">
              <a16:creationId xmlns:a16="http://schemas.microsoft.com/office/drawing/2014/main" id="{00000000-0008-0000-0600-000008000000}"/>
            </a:ext>
          </a:extLst>
        </xdr:cNvPr>
        <xdr:cNvSpPr txBox="1"/>
      </xdr:nvSpPr>
      <xdr:spPr>
        <a:xfrm>
          <a:off x="27971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oneCellAnchor>
    <xdr:from>
      <xdr:col>16</xdr:col>
      <xdr:colOff>1076325</xdr:colOff>
      <xdr:row>12</xdr:row>
      <xdr:rowOff>0</xdr:rowOff>
    </xdr:from>
    <xdr:ext cx="184731" cy="264560"/>
    <xdr:sp macro="" textlink="">
      <xdr:nvSpPr>
        <xdr:cNvPr id="9" name="TextBox 8">
          <a:extLst>
            <a:ext uri="{FF2B5EF4-FFF2-40B4-BE49-F238E27FC236}">
              <a16:creationId xmlns:a16="http://schemas.microsoft.com/office/drawing/2014/main" id="{00000000-0008-0000-0600-000009000000}"/>
            </a:ext>
          </a:extLst>
        </xdr:cNvPr>
        <xdr:cNvSpPr txBox="1"/>
      </xdr:nvSpPr>
      <xdr:spPr>
        <a:xfrm>
          <a:off x="46767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oneCellAnchor>
    <xdr:from>
      <xdr:col>16</xdr:col>
      <xdr:colOff>1076325</xdr:colOff>
      <xdr:row>12</xdr:row>
      <xdr:rowOff>0</xdr:rowOff>
    </xdr:from>
    <xdr:ext cx="184731" cy="264560"/>
    <xdr:sp macro="" textlink="">
      <xdr:nvSpPr>
        <xdr:cNvPr id="10" name="TextBox 9">
          <a:extLst>
            <a:ext uri="{FF2B5EF4-FFF2-40B4-BE49-F238E27FC236}">
              <a16:creationId xmlns:a16="http://schemas.microsoft.com/office/drawing/2014/main" id="{00000000-0008-0000-0600-00000A000000}"/>
            </a:ext>
          </a:extLst>
        </xdr:cNvPr>
        <xdr:cNvSpPr txBox="1"/>
      </xdr:nvSpPr>
      <xdr:spPr>
        <a:xfrm>
          <a:off x="46767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oneCellAnchor>
    <xdr:from>
      <xdr:col>16</xdr:col>
      <xdr:colOff>1076325</xdr:colOff>
      <xdr:row>12</xdr:row>
      <xdr:rowOff>0</xdr:rowOff>
    </xdr:from>
    <xdr:ext cx="184731" cy="264560"/>
    <xdr:sp macro="" textlink="">
      <xdr:nvSpPr>
        <xdr:cNvPr id="11" name="TextBox 10">
          <a:extLst>
            <a:ext uri="{FF2B5EF4-FFF2-40B4-BE49-F238E27FC236}">
              <a16:creationId xmlns:a16="http://schemas.microsoft.com/office/drawing/2014/main" id="{00000000-0008-0000-0600-00000B000000}"/>
            </a:ext>
          </a:extLst>
        </xdr:cNvPr>
        <xdr:cNvSpPr txBox="1"/>
      </xdr:nvSpPr>
      <xdr:spPr>
        <a:xfrm>
          <a:off x="46767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twoCellAnchor editAs="oneCell">
    <xdr:from>
      <xdr:col>7</xdr:col>
      <xdr:colOff>66675</xdr:colOff>
      <xdr:row>18</xdr:row>
      <xdr:rowOff>180974</xdr:rowOff>
    </xdr:from>
    <xdr:to>
      <xdr:col>24</xdr:col>
      <xdr:colOff>104776</xdr:colOff>
      <xdr:row>23</xdr:row>
      <xdr:rowOff>95247</xdr:rowOff>
    </xdr:to>
    <xdr:grpSp>
      <xdr:nvGrpSpPr>
        <xdr:cNvPr id="12" name="Group 11">
          <a:extLst>
            <a:ext uri="{FF2B5EF4-FFF2-40B4-BE49-F238E27FC236}">
              <a16:creationId xmlns:a16="http://schemas.microsoft.com/office/drawing/2014/main" id="{00000000-0008-0000-0600-00000C000000}"/>
            </a:ext>
          </a:extLst>
        </xdr:cNvPr>
        <xdr:cNvGrpSpPr/>
      </xdr:nvGrpSpPr>
      <xdr:grpSpPr>
        <a:xfrm>
          <a:off x="66675" y="4972049"/>
          <a:ext cx="7362826" cy="1295398"/>
          <a:chOff x="8191500" y="5295900"/>
          <a:chExt cx="7362826" cy="1172027"/>
        </a:xfrm>
      </xdr:grpSpPr>
      <xdr:grpSp>
        <xdr:nvGrpSpPr>
          <xdr:cNvPr id="13" name="RENTAL_1">
            <a:extLst>
              <a:ext uri="{FF2B5EF4-FFF2-40B4-BE49-F238E27FC236}">
                <a16:creationId xmlns:a16="http://schemas.microsoft.com/office/drawing/2014/main" id="{00000000-0008-0000-0600-00000D000000}"/>
              </a:ext>
            </a:extLst>
          </xdr:cNvPr>
          <xdr:cNvGrpSpPr/>
        </xdr:nvGrpSpPr>
        <xdr:grpSpPr>
          <a:xfrm>
            <a:off x="8191500" y="5295901"/>
            <a:ext cx="7362825" cy="1172026"/>
            <a:chOff x="8191500" y="4057651"/>
            <a:chExt cx="7362825" cy="1172026"/>
          </a:xfrm>
        </xdr:grpSpPr>
        <xdr:sp macro="" textlink="">
          <xdr:nvSpPr>
            <xdr:cNvPr id="15" name="RENTAL_1_SECTION_FRAME">
              <a:extLst>
                <a:ext uri="{FF2B5EF4-FFF2-40B4-BE49-F238E27FC236}">
                  <a16:creationId xmlns:a16="http://schemas.microsoft.com/office/drawing/2014/main" id="{00000000-0008-0000-0600-00000F000000}"/>
                </a:ext>
              </a:extLst>
            </xdr:cNvPr>
            <xdr:cNvSpPr/>
          </xdr:nvSpPr>
          <xdr:spPr>
            <a:xfrm>
              <a:off x="8191500" y="4367099"/>
              <a:ext cx="7362825" cy="862578"/>
            </a:xfrm>
            <a:prstGeom prst="rect">
              <a:avLst/>
            </a:prstGeom>
            <a:no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endParaRPr lang="en-US" sz="1100"/>
            </a:p>
          </xdr:txBody>
        </xdr:sp>
        <xdr:sp macro="" textlink="B18">
          <xdr:nvSpPr>
            <xdr:cNvPr id="16" name="RENTAL_1_SECTION_TITLE">
              <a:extLst>
                <a:ext uri="{FF2B5EF4-FFF2-40B4-BE49-F238E27FC236}">
                  <a16:creationId xmlns:a16="http://schemas.microsoft.com/office/drawing/2014/main" id="{00000000-0008-0000-0600-000010000000}"/>
                </a:ext>
              </a:extLst>
            </xdr:cNvPr>
            <xdr:cNvSpPr/>
          </xdr:nvSpPr>
          <xdr:spPr>
            <a:xfrm>
              <a:off x="8191500" y="4057651"/>
              <a:ext cx="7360920" cy="311090"/>
            </a:xfrm>
            <a:prstGeom prst="rect">
              <a:avLst/>
            </a:prstGeom>
            <a:solidFill>
              <a:srgbClr val="9CACB9"/>
            </a:solid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l"/>
              <a:fld id="{41F85F06-3A35-4C2E-A513-A2CFAECED2A4}" type="TxLink">
                <a:rPr lang="en-US" sz="1100" b="1" i="0" u="none" strike="noStrike">
                  <a:solidFill>
                    <a:schemeClr val="bg1"/>
                  </a:solidFill>
                  <a:latin typeface="Calibri"/>
                </a:rPr>
                <a:pPr algn="l"/>
                <a:t>Federal Home Loan Bank of New York Member</a:t>
              </a:fld>
              <a:endParaRPr lang="en-US" sz="1100" b="1" i="0">
                <a:solidFill>
                  <a:schemeClr val="bg1"/>
                </a:solidFill>
              </a:endParaRPr>
            </a:p>
          </xdr:txBody>
        </xdr:sp>
        <xdr:sp macro="" textlink="$B$25">
          <xdr:nvSpPr>
            <xdr:cNvPr id="17" name="RENTAL_1_SECTION_SUBTITLE">
              <a:extLst>
                <a:ext uri="{FF2B5EF4-FFF2-40B4-BE49-F238E27FC236}">
                  <a16:creationId xmlns:a16="http://schemas.microsoft.com/office/drawing/2014/main" id="{00000000-0008-0000-0600-000011000000}"/>
                </a:ext>
              </a:extLst>
            </xdr:cNvPr>
            <xdr:cNvSpPr/>
          </xdr:nvSpPr>
          <xdr:spPr>
            <a:xfrm>
              <a:off x="8201025" y="4379110"/>
              <a:ext cx="7351776" cy="274320"/>
            </a:xfrm>
            <a:prstGeom prst="rect">
              <a:avLst/>
            </a:prstGeom>
            <a:solidFill>
              <a:schemeClr val="accent1">
                <a:lumMod val="20000"/>
                <a:lumOff val="80000"/>
              </a:schemeClr>
            </a:solidFill>
            <a:ln>
              <a:noFill/>
            </a:ln>
            <a:effectLst/>
          </xdr:spPr>
          <xdr:style>
            <a:lnRef idx="1">
              <a:schemeClr val="accent1"/>
            </a:lnRef>
            <a:fillRef idx="2">
              <a:schemeClr val="accent1"/>
            </a:fillRef>
            <a:effectRef idx="1">
              <a:schemeClr val="accent1"/>
            </a:effectRef>
            <a:fontRef idx="minor">
              <a:schemeClr val="dk1"/>
            </a:fontRef>
          </xdr:style>
          <xdr:txBody>
            <a:bodyPr vertOverflow="clip" lIns="457200" rtlCol="0" anchor="ctr"/>
            <a:lstStyle/>
            <a:p>
              <a:pPr algn="l"/>
              <a:fld id="{CCDC5A28-C611-4D0B-B4D7-393A7AD37E0E}" type="TxLink">
                <a:rPr lang="en-US" sz="900" b="0" i="0" u="none" strike="noStrike">
                  <a:solidFill>
                    <a:srgbClr val="000000"/>
                  </a:solidFill>
                  <a:latin typeface="Calibri"/>
                </a:rPr>
                <a:pPr algn="l"/>
                <a:t>Not Started</a:t>
              </a:fld>
              <a:endParaRPr lang="en-US" sz="1100" i="0"/>
            </a:p>
          </xdr:txBody>
        </xdr:sp>
        <xdr:sp macro="" textlink="">
          <xdr:nvSpPr>
            <xdr:cNvPr id="18" name="RENTAL_1_SECTION_SUBTITLE_LABEL">
              <a:extLst>
                <a:ext uri="{FF2B5EF4-FFF2-40B4-BE49-F238E27FC236}">
                  <a16:creationId xmlns:a16="http://schemas.microsoft.com/office/drawing/2014/main" id="{00000000-0008-0000-0600-000012000000}"/>
                </a:ext>
              </a:extLst>
            </xdr:cNvPr>
            <xdr:cNvSpPr txBox="1"/>
          </xdr:nvSpPr>
          <xdr:spPr>
            <a:xfrm>
              <a:off x="8296277" y="4379110"/>
              <a:ext cx="476249" cy="2743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tlCol="0" anchor="ctr">
              <a:noAutofit/>
            </a:bodyPr>
            <a:lstStyle/>
            <a:p>
              <a:r>
                <a:rPr lang="en-US" sz="900" b="1"/>
                <a:t>Status:</a:t>
              </a:r>
            </a:p>
          </xdr:txBody>
        </xdr:sp>
      </xdr:grpSp>
      <xdr:sp macro="" textlink="">
        <xdr:nvSpPr>
          <xdr:cNvPr id="14" name="LINK_RENTAL_TOC">
            <a:hlinkClick xmlns:r="http://schemas.openxmlformats.org/officeDocument/2006/relationships" r:id="rId3"/>
            <a:extLst>
              <a:ext uri="{FF2B5EF4-FFF2-40B4-BE49-F238E27FC236}">
                <a16:creationId xmlns:a16="http://schemas.microsoft.com/office/drawing/2014/main" id="{00000000-0008-0000-0600-00000E000000}"/>
              </a:ext>
            </a:extLst>
          </xdr:cNvPr>
          <xdr:cNvSpPr/>
        </xdr:nvSpPr>
        <xdr:spPr>
          <a:xfrm>
            <a:off x="14525626" y="5295900"/>
            <a:ext cx="1028700" cy="30480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r"/>
            <a:r>
              <a:rPr lang="en-US" sz="1000" b="1" u="none">
                <a:solidFill>
                  <a:schemeClr val="bg1"/>
                </a:solidFill>
              </a:rPr>
              <a:t>Back</a:t>
            </a:r>
            <a:r>
              <a:rPr lang="en-US" sz="1000" b="1" u="none" baseline="0">
                <a:solidFill>
                  <a:schemeClr val="bg1"/>
                </a:solidFill>
              </a:rPr>
              <a:t> to Top ^</a:t>
            </a:r>
            <a:endParaRPr lang="en-US" sz="1000" b="1" u="none">
              <a:solidFill>
                <a:schemeClr val="bg1"/>
              </a:solidFill>
            </a:endParaRPr>
          </a:p>
        </xdr:txBody>
      </xdr:sp>
    </xdr:grpSp>
    <xdr:clientData fPrintsWithSheet="0"/>
  </xdr:twoCellAnchor>
  <xdr:twoCellAnchor editAs="oneCell">
    <xdr:from>
      <xdr:col>14</xdr:col>
      <xdr:colOff>3398</xdr:colOff>
      <xdr:row>0</xdr:row>
      <xdr:rowOff>71440</xdr:rowOff>
    </xdr:from>
    <xdr:to>
      <xdr:col>24</xdr:col>
      <xdr:colOff>98648</xdr:colOff>
      <xdr:row>0</xdr:row>
      <xdr:rowOff>457200</xdr:rowOff>
    </xdr:to>
    <xdr:sp macro="" textlink="$B$6">
      <xdr:nvSpPr>
        <xdr:cNvPr id="19" name="HEADER_BANNER_TITLE">
          <a:extLst>
            <a:ext uri="{FF2B5EF4-FFF2-40B4-BE49-F238E27FC236}">
              <a16:creationId xmlns:a16="http://schemas.microsoft.com/office/drawing/2014/main" id="{00000000-0008-0000-0600-000013000000}"/>
            </a:ext>
          </a:extLst>
        </xdr:cNvPr>
        <xdr:cNvSpPr txBox="1"/>
      </xdr:nvSpPr>
      <xdr:spPr>
        <a:xfrm>
          <a:off x="11509598" y="71440"/>
          <a:ext cx="4794250" cy="3857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Ins="0" rtlCol="0" anchor="ctr">
          <a:noAutofit/>
        </a:bodyPr>
        <a:lstStyle/>
        <a:p>
          <a:pPr algn="r"/>
          <a:fld id="{EB7A598A-0828-4A2E-81B0-26C15BB3F65D}" type="TxLink">
            <a:rPr lang="en-US" sz="1200" b="1" i="0" u="none" strike="noStrike">
              <a:solidFill>
                <a:sysClr val="windowText" lastClr="000000"/>
              </a:solidFill>
              <a:latin typeface="Calibri"/>
              <a:ea typeface="Calibri"/>
              <a:cs typeface="Calibri"/>
            </a:rPr>
            <a:pPr algn="r"/>
            <a:t>Homebuyer Dream Program Plus - 2026 Round</a:t>
          </a:fld>
          <a:endParaRPr lang="en-US" sz="1200" b="1" i="0">
            <a:solidFill>
              <a:sysClr val="windowText" lastClr="000000"/>
            </a:solidFill>
          </a:endParaRPr>
        </a:p>
      </xdr:txBody>
    </xdr:sp>
    <xdr:clientData/>
  </xdr:twoCellAnchor>
  <xdr:twoCellAnchor editAs="oneCell">
    <xdr:from>
      <xdr:col>7</xdr:col>
      <xdr:colOff>66675</xdr:colOff>
      <xdr:row>23</xdr:row>
      <xdr:rowOff>238125</xdr:rowOff>
    </xdr:from>
    <xdr:to>
      <xdr:col>24</xdr:col>
      <xdr:colOff>104776</xdr:colOff>
      <xdr:row>57</xdr:row>
      <xdr:rowOff>114300</xdr:rowOff>
    </xdr:to>
    <xdr:grpSp>
      <xdr:nvGrpSpPr>
        <xdr:cNvPr id="20" name="Group 19">
          <a:extLst>
            <a:ext uri="{FF2B5EF4-FFF2-40B4-BE49-F238E27FC236}">
              <a16:creationId xmlns:a16="http://schemas.microsoft.com/office/drawing/2014/main" id="{00000000-0008-0000-0600-000014000000}"/>
            </a:ext>
          </a:extLst>
        </xdr:cNvPr>
        <xdr:cNvGrpSpPr/>
      </xdr:nvGrpSpPr>
      <xdr:grpSpPr>
        <a:xfrm>
          <a:off x="66675" y="6410325"/>
          <a:ext cx="7362826" cy="9267825"/>
          <a:chOff x="8191500" y="8343900"/>
          <a:chExt cx="7362826" cy="9010651"/>
        </a:xfrm>
      </xdr:grpSpPr>
      <xdr:grpSp>
        <xdr:nvGrpSpPr>
          <xdr:cNvPr id="21" name="RENTAL_2">
            <a:extLst>
              <a:ext uri="{FF2B5EF4-FFF2-40B4-BE49-F238E27FC236}">
                <a16:creationId xmlns:a16="http://schemas.microsoft.com/office/drawing/2014/main" id="{00000000-0008-0000-0600-000015000000}"/>
              </a:ext>
            </a:extLst>
          </xdr:cNvPr>
          <xdr:cNvGrpSpPr/>
        </xdr:nvGrpSpPr>
        <xdr:grpSpPr>
          <a:xfrm>
            <a:off x="8191500" y="8343902"/>
            <a:ext cx="7362825" cy="9010649"/>
            <a:chOff x="9353550" y="7334730"/>
            <a:chExt cx="7362825" cy="8558388"/>
          </a:xfrm>
        </xdr:grpSpPr>
        <xdr:sp macro="" textlink="">
          <xdr:nvSpPr>
            <xdr:cNvPr id="23" name="RENTAL_2_SECTION_FRAME">
              <a:extLst>
                <a:ext uri="{FF2B5EF4-FFF2-40B4-BE49-F238E27FC236}">
                  <a16:creationId xmlns:a16="http://schemas.microsoft.com/office/drawing/2014/main" id="{00000000-0008-0000-0600-000017000000}"/>
                </a:ext>
              </a:extLst>
            </xdr:cNvPr>
            <xdr:cNvSpPr/>
          </xdr:nvSpPr>
          <xdr:spPr>
            <a:xfrm>
              <a:off x="9353550" y="7632464"/>
              <a:ext cx="7362825" cy="8260654"/>
            </a:xfrm>
            <a:prstGeom prst="rect">
              <a:avLst/>
            </a:prstGeom>
            <a:no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endParaRPr lang="en-US" sz="1100"/>
            </a:p>
          </xdr:txBody>
        </xdr:sp>
        <xdr:sp macro="" textlink="B30">
          <xdr:nvSpPr>
            <xdr:cNvPr id="24" name="RENTAL_2_SECTION_TITLE">
              <a:extLst>
                <a:ext uri="{FF2B5EF4-FFF2-40B4-BE49-F238E27FC236}">
                  <a16:creationId xmlns:a16="http://schemas.microsoft.com/office/drawing/2014/main" id="{00000000-0008-0000-0600-000018000000}"/>
                </a:ext>
              </a:extLst>
            </xdr:cNvPr>
            <xdr:cNvSpPr/>
          </xdr:nvSpPr>
          <xdr:spPr>
            <a:xfrm>
              <a:off x="9353550" y="7334730"/>
              <a:ext cx="7360920" cy="291669"/>
            </a:xfrm>
            <a:prstGeom prst="rect">
              <a:avLst/>
            </a:prstGeom>
            <a:solidFill>
              <a:srgbClr val="9CACB9"/>
            </a:solid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l"/>
              <a:fld id="{F86A917A-A239-4A8F-B86B-B93056A9B8CA}" type="TxLink">
                <a:rPr lang="en-US" sz="1100" b="1" i="0" u="none" strike="noStrike">
                  <a:solidFill>
                    <a:srgbClr val="FFFFFF"/>
                  </a:solidFill>
                  <a:latin typeface="Calibri"/>
                  <a:cs typeface="Calibri"/>
                </a:rPr>
                <a:pPr algn="l"/>
                <a:t>Household &amp; Submission Details</a:t>
              </a:fld>
              <a:endParaRPr lang="en-US" sz="1100" b="1" i="0">
                <a:solidFill>
                  <a:schemeClr val="bg1"/>
                </a:solidFill>
              </a:endParaRPr>
            </a:p>
          </xdr:txBody>
        </xdr:sp>
        <xdr:sp macro="" textlink="$B$51">
          <xdr:nvSpPr>
            <xdr:cNvPr id="25" name="RENTAL_2_SECTION_SUBTITLE">
              <a:extLst>
                <a:ext uri="{FF2B5EF4-FFF2-40B4-BE49-F238E27FC236}">
                  <a16:creationId xmlns:a16="http://schemas.microsoft.com/office/drawing/2014/main" id="{00000000-0008-0000-0600-000019000000}"/>
                </a:ext>
              </a:extLst>
            </xdr:cNvPr>
            <xdr:cNvSpPr/>
          </xdr:nvSpPr>
          <xdr:spPr>
            <a:xfrm>
              <a:off x="9363075" y="7641569"/>
              <a:ext cx="7351776" cy="257355"/>
            </a:xfrm>
            <a:prstGeom prst="rect">
              <a:avLst/>
            </a:prstGeom>
            <a:solidFill>
              <a:schemeClr val="accent1">
                <a:lumMod val="20000"/>
                <a:lumOff val="80000"/>
              </a:schemeClr>
            </a:solidFill>
            <a:ln>
              <a:noFill/>
            </a:ln>
            <a:effectLst/>
          </xdr:spPr>
          <xdr:style>
            <a:lnRef idx="1">
              <a:schemeClr val="accent1"/>
            </a:lnRef>
            <a:fillRef idx="2">
              <a:schemeClr val="accent1"/>
            </a:fillRef>
            <a:effectRef idx="1">
              <a:schemeClr val="accent1"/>
            </a:effectRef>
            <a:fontRef idx="minor">
              <a:schemeClr val="dk1"/>
            </a:fontRef>
          </xdr:style>
          <xdr:txBody>
            <a:bodyPr vertOverflow="clip" lIns="457200" rtlCol="0" anchor="ctr"/>
            <a:lstStyle/>
            <a:p>
              <a:pPr algn="l"/>
              <a:fld id="{BEF70007-2BBB-4EA1-8334-9920191B3D48}" type="TxLink">
                <a:rPr lang="en-US" sz="900" b="0" i="0" u="none" strike="noStrike">
                  <a:solidFill>
                    <a:srgbClr val="000000"/>
                  </a:solidFill>
                  <a:latin typeface="Calibri"/>
                  <a:cs typeface="Calibri"/>
                </a:rPr>
                <a:pPr algn="l"/>
                <a:t>Not Started</a:t>
              </a:fld>
              <a:endParaRPr lang="en-US" sz="1100" i="0"/>
            </a:p>
          </xdr:txBody>
        </xdr:sp>
        <xdr:sp macro="" textlink="">
          <xdr:nvSpPr>
            <xdr:cNvPr id="26" name="RENTAL_2_SECTION_SUBTITLE_LABEL">
              <a:extLst>
                <a:ext uri="{FF2B5EF4-FFF2-40B4-BE49-F238E27FC236}">
                  <a16:creationId xmlns:a16="http://schemas.microsoft.com/office/drawing/2014/main" id="{00000000-0008-0000-0600-00001A000000}"/>
                </a:ext>
              </a:extLst>
            </xdr:cNvPr>
            <xdr:cNvSpPr txBox="1"/>
          </xdr:nvSpPr>
          <xdr:spPr>
            <a:xfrm>
              <a:off x="9458327" y="7641569"/>
              <a:ext cx="476249" cy="2573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tlCol="0" anchor="ctr">
              <a:noAutofit/>
            </a:bodyPr>
            <a:lstStyle/>
            <a:p>
              <a:r>
                <a:rPr lang="en-US" sz="900" b="1"/>
                <a:t>Status:</a:t>
              </a:r>
            </a:p>
          </xdr:txBody>
        </xdr:sp>
      </xdr:grpSp>
      <xdr:sp macro="" textlink="">
        <xdr:nvSpPr>
          <xdr:cNvPr id="22" name="LINK_RENTAL_TOC">
            <a:hlinkClick xmlns:r="http://schemas.openxmlformats.org/officeDocument/2006/relationships" r:id="rId3"/>
            <a:extLst>
              <a:ext uri="{FF2B5EF4-FFF2-40B4-BE49-F238E27FC236}">
                <a16:creationId xmlns:a16="http://schemas.microsoft.com/office/drawing/2014/main" id="{00000000-0008-0000-0600-000016000000}"/>
              </a:ext>
            </a:extLst>
          </xdr:cNvPr>
          <xdr:cNvSpPr/>
        </xdr:nvSpPr>
        <xdr:spPr>
          <a:xfrm>
            <a:off x="14525626" y="8343900"/>
            <a:ext cx="1028700" cy="30480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r"/>
            <a:r>
              <a:rPr lang="en-US" sz="1000" b="1" u="none">
                <a:solidFill>
                  <a:schemeClr val="bg1"/>
                </a:solidFill>
              </a:rPr>
              <a:t>Back</a:t>
            </a:r>
            <a:r>
              <a:rPr lang="en-US" sz="1000" b="1" u="none" baseline="0">
                <a:solidFill>
                  <a:schemeClr val="bg1"/>
                </a:solidFill>
              </a:rPr>
              <a:t> to Top ^</a:t>
            </a:r>
            <a:endParaRPr lang="en-US" sz="1000" b="1" u="none">
              <a:solidFill>
                <a:schemeClr val="bg1"/>
              </a:solidFill>
            </a:endParaRPr>
          </a:p>
        </xdr:txBody>
      </xdr:sp>
    </xdr:grpSp>
    <xdr:clientData fPrintsWithSheet="0"/>
  </xdr:twoCellAnchor>
  <xdr:twoCellAnchor editAs="oneCell">
    <xdr:from>
      <xdr:col>20</xdr:col>
      <xdr:colOff>66675</xdr:colOff>
      <xdr:row>2</xdr:row>
      <xdr:rowOff>9525</xdr:rowOff>
    </xdr:from>
    <xdr:to>
      <xdr:col>24</xdr:col>
      <xdr:colOff>109538</xdr:colOff>
      <xdr:row>3</xdr:row>
      <xdr:rowOff>1905</xdr:rowOff>
    </xdr:to>
    <xdr:sp macro="" textlink="$B$7">
      <xdr:nvSpPr>
        <xdr:cNvPr id="27" name="HEADER_BANNER_SUBTITLE">
          <a:extLst>
            <a:ext uri="{FF2B5EF4-FFF2-40B4-BE49-F238E27FC236}">
              <a16:creationId xmlns:a16="http://schemas.microsoft.com/office/drawing/2014/main" id="{00000000-0008-0000-0600-00001B000000}"/>
            </a:ext>
          </a:extLst>
        </xdr:cNvPr>
        <xdr:cNvSpPr txBox="1"/>
      </xdr:nvSpPr>
      <xdr:spPr>
        <a:xfrm>
          <a:off x="5876925" y="561975"/>
          <a:ext cx="1922463" cy="182880"/>
        </a:xfrm>
        <a:prstGeom prst="rect">
          <a:avLst/>
        </a:prstGeom>
        <a:solidFill>
          <a:srgbClr val="00305E"/>
        </a:solidFill>
      </xdr:spPr>
      <xdr:style>
        <a:lnRef idx="0">
          <a:scrgbClr r="0" g="0" b="0"/>
        </a:lnRef>
        <a:fillRef idx="0">
          <a:scrgbClr r="0" g="0" b="0"/>
        </a:fillRef>
        <a:effectRef idx="0">
          <a:scrgbClr r="0" g="0" b="0"/>
        </a:effectRef>
        <a:fontRef idx="minor">
          <a:schemeClr val="tx1"/>
        </a:fontRef>
      </xdr:style>
      <xdr:txBody>
        <a:bodyPr vertOverflow="clip" wrap="square" rtlCol="0" anchor="ctr">
          <a:noAutofit/>
        </a:bodyPr>
        <a:lstStyle/>
        <a:p>
          <a:pPr algn="ctr"/>
          <a:fld id="{4B39128B-4B37-4567-8AC7-02473171A03C}" type="TxLink">
            <a:rPr lang="en-US" sz="800" b="1" i="0" u="none" strike="noStrike">
              <a:solidFill>
                <a:schemeClr val="bg1"/>
              </a:solidFill>
              <a:latin typeface="Calibri"/>
              <a:ea typeface="Calibri"/>
              <a:cs typeface="Calibri"/>
            </a:rPr>
            <a:pPr algn="ctr"/>
            <a:t>Other Documentation Request </a:t>
          </a:fld>
          <a:endParaRPr lang="en-US" sz="800" b="1" i="0" u="none" strike="noStrike">
            <a:solidFill>
              <a:schemeClr val="bg1"/>
            </a:solidFill>
            <a:latin typeface="Calibri"/>
          </a:endParaRPr>
        </a:p>
      </xdr:txBody>
    </xdr:sp>
    <xdr:clientData/>
  </xdr:twoCellAnchor>
  <xdr:twoCellAnchor editAs="oneCell">
    <xdr:from>
      <xdr:col>7</xdr:col>
      <xdr:colOff>28574</xdr:colOff>
      <xdr:row>0</xdr:row>
      <xdr:rowOff>37735</xdr:rowOff>
    </xdr:from>
    <xdr:to>
      <xdr:col>10</xdr:col>
      <xdr:colOff>299467</xdr:colOff>
      <xdr:row>0</xdr:row>
      <xdr:rowOff>480458</xdr:rowOff>
    </xdr:to>
    <xdr:pic>
      <xdr:nvPicPr>
        <xdr:cNvPr id="28" name="FHLBNY_LOGO" descr="Medium.gif">
          <a:extLst>
            <a:ext uri="{FF2B5EF4-FFF2-40B4-BE49-F238E27FC236}">
              <a16:creationId xmlns:a16="http://schemas.microsoft.com/office/drawing/2014/main" id="{00000000-0008-0000-0600-00001C000000}"/>
            </a:ext>
          </a:extLst>
        </xdr:cNvPr>
        <xdr:cNvPicPr>
          <a:picLocks noChangeAspect="1"/>
        </xdr:cNvPicPr>
      </xdr:nvPicPr>
      <xdr:blipFill>
        <a:blip xmlns:r="http://schemas.openxmlformats.org/officeDocument/2006/relationships" r:embed="rId4" cstate="print"/>
        <a:stretch>
          <a:fillRect/>
        </a:stretch>
      </xdr:blipFill>
      <xdr:spPr>
        <a:xfrm>
          <a:off x="28574" y="37735"/>
          <a:ext cx="1382143" cy="442723"/>
        </a:xfrm>
        <a:prstGeom prst="rect">
          <a:avLst/>
        </a:prstGeom>
      </xdr:spPr>
    </xdr:pic>
    <xdr:clientData/>
  </xdr:twoCellAnchor>
  <xdr:twoCellAnchor editAs="oneCell">
    <xdr:from>
      <xdr:col>7</xdr:col>
      <xdr:colOff>9526</xdr:colOff>
      <xdr:row>0</xdr:row>
      <xdr:rowOff>5420</xdr:rowOff>
    </xdr:from>
    <xdr:to>
      <xdr:col>25</xdr:col>
      <xdr:colOff>0</xdr:colOff>
      <xdr:row>4</xdr:row>
      <xdr:rowOff>908</xdr:rowOff>
    </xdr:to>
    <xdr:sp macro="" textlink="">
      <xdr:nvSpPr>
        <xdr:cNvPr id="30" name="HEADER_SHORTCUT_TOP">
          <a:hlinkClick xmlns:r="http://schemas.openxmlformats.org/officeDocument/2006/relationships" r:id="rId3" tooltip="Jump to Top"/>
          <a:extLst>
            <a:ext uri="{FF2B5EF4-FFF2-40B4-BE49-F238E27FC236}">
              <a16:creationId xmlns:a16="http://schemas.microsoft.com/office/drawing/2014/main" id="{00000000-0008-0000-0600-00001E000000}"/>
            </a:ext>
          </a:extLst>
        </xdr:cNvPr>
        <xdr:cNvSpPr/>
      </xdr:nvSpPr>
      <xdr:spPr>
        <a:xfrm>
          <a:off x="8524876" y="5420"/>
          <a:ext cx="7851774" cy="776538"/>
        </a:xfrm>
        <a:prstGeom prst="rect">
          <a:avLst/>
        </a:prstGeom>
        <a:solidFill>
          <a:schemeClr val="bg1">
            <a:alpha val="0"/>
          </a:schemeClr>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800"/>
        </a:p>
      </xdr:txBody>
    </xdr:sp>
    <xdr:clientData fPrintsWithSheet="0"/>
  </xdr:twoCellAnchor>
  <xdr:twoCellAnchor>
    <xdr:from>
      <xdr:col>19</xdr:col>
      <xdr:colOff>38100</xdr:colOff>
      <xdr:row>37</xdr:row>
      <xdr:rowOff>152400</xdr:rowOff>
    </xdr:from>
    <xdr:to>
      <xdr:col>21</xdr:col>
      <xdr:colOff>104775</xdr:colOff>
      <xdr:row>37</xdr:row>
      <xdr:rowOff>152400</xdr:rowOff>
    </xdr:to>
    <xdr:cxnSp macro="">
      <xdr:nvCxnSpPr>
        <xdr:cNvPr id="31" name="DOTTED_LINE">
          <a:extLst>
            <a:ext uri="{FF2B5EF4-FFF2-40B4-BE49-F238E27FC236}">
              <a16:creationId xmlns:a16="http://schemas.microsoft.com/office/drawing/2014/main" id="{00000000-0008-0000-0600-00001F000000}"/>
            </a:ext>
          </a:extLst>
        </xdr:cNvPr>
        <xdr:cNvCxnSpPr/>
      </xdr:nvCxnSpPr>
      <xdr:spPr>
        <a:xfrm>
          <a:off x="5657850" y="10280650"/>
          <a:ext cx="1006475"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161925</xdr:colOff>
      <xdr:row>42</xdr:row>
      <xdr:rowOff>152400</xdr:rowOff>
    </xdr:from>
    <xdr:to>
      <xdr:col>21</xdr:col>
      <xdr:colOff>104775</xdr:colOff>
      <xdr:row>42</xdr:row>
      <xdr:rowOff>152400</xdr:rowOff>
    </xdr:to>
    <xdr:cxnSp macro="">
      <xdr:nvCxnSpPr>
        <xdr:cNvPr id="32" name="DOTTED_LINE">
          <a:extLst>
            <a:ext uri="{FF2B5EF4-FFF2-40B4-BE49-F238E27FC236}">
              <a16:creationId xmlns:a16="http://schemas.microsoft.com/office/drawing/2014/main" id="{00000000-0008-0000-0600-000020000000}"/>
            </a:ext>
          </a:extLst>
        </xdr:cNvPr>
        <xdr:cNvCxnSpPr/>
      </xdr:nvCxnSpPr>
      <xdr:spPr>
        <a:xfrm>
          <a:off x="5781675" y="11677650"/>
          <a:ext cx="882650"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12</xdr:col>
          <xdr:colOff>190500</xdr:colOff>
          <xdr:row>55</xdr:row>
          <xdr:rowOff>19050</xdr:rowOff>
        </xdr:from>
        <xdr:to>
          <xdr:col>18</xdr:col>
          <xdr:colOff>552450</xdr:colOff>
          <xdr:row>55</xdr:row>
          <xdr:rowOff>266700</xdr:rowOff>
        </xdr:to>
        <xdr:sp macro="" textlink="">
          <xdr:nvSpPr>
            <xdr:cNvPr id="35841" name="ICW_COMPLETE_FLAG" hidden="1">
              <a:extLst>
                <a:ext uri="{63B3BB69-23CF-44E3-9099-C40C66FF867C}">
                  <a14:compatExt spid="_x0000_s35841"/>
                </a:ext>
                <a:ext uri="{FF2B5EF4-FFF2-40B4-BE49-F238E27FC236}">
                  <a16:creationId xmlns:a16="http://schemas.microsoft.com/office/drawing/2014/main" id="{00000000-0008-0000-0600-00000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The Income Calculation Worksheet has been fully completed</a:t>
              </a:r>
            </a:p>
          </xdr:txBody>
        </xdr:sp>
        <xdr:clientData/>
      </xdr:twoCellAnchor>
    </mc:Choice>
    <mc:Fallback/>
  </mc:AlternateContent>
  <xdr:twoCellAnchor>
    <xdr:from>
      <xdr:col>12</xdr:col>
      <xdr:colOff>419100</xdr:colOff>
      <xdr:row>52</xdr:row>
      <xdr:rowOff>95250</xdr:rowOff>
    </xdr:from>
    <xdr:to>
      <xdr:col>18</xdr:col>
      <xdr:colOff>485775</xdr:colOff>
      <xdr:row>53</xdr:row>
      <xdr:rowOff>171450</xdr:rowOff>
    </xdr:to>
    <xdr:sp macro="" textlink="">
      <xdr:nvSpPr>
        <xdr:cNvPr id="33" name="Rounded Rectangle 44">
          <a:hlinkClick xmlns:r="http://schemas.openxmlformats.org/officeDocument/2006/relationships" r:id="rId5"/>
          <a:extLst>
            <a:ext uri="{FF2B5EF4-FFF2-40B4-BE49-F238E27FC236}">
              <a16:creationId xmlns:a16="http://schemas.microsoft.com/office/drawing/2014/main" id="{00000000-0008-0000-0600-000021000000}"/>
            </a:ext>
          </a:extLst>
        </xdr:cNvPr>
        <xdr:cNvSpPr/>
      </xdr:nvSpPr>
      <xdr:spPr>
        <a:xfrm>
          <a:off x="2470150" y="14414500"/>
          <a:ext cx="2886075" cy="355600"/>
        </a:xfrm>
        <a:prstGeom prst="roundRect">
          <a:avLst/>
        </a:prstGeom>
        <a:gradFill>
          <a:gsLst>
            <a:gs pos="0">
              <a:srgbClr val="8EB149"/>
            </a:gs>
            <a:gs pos="100000">
              <a:srgbClr val="708B39"/>
            </a:gs>
          </a:gsLst>
          <a:lin ang="5400000" scaled="1"/>
        </a:gra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baseline="0">
              <a:latin typeface="Arial" panose="020B0604020202020204" pitchFamily="34" charset="0"/>
              <a:cs typeface="Arial" panose="020B0604020202020204" pitchFamily="34" charset="0"/>
            </a:rPr>
            <a:t>Open Income Calculation Worksheet </a:t>
          </a:r>
        </a:p>
      </xdr:txBody>
    </xdr:sp>
    <xdr:clientData/>
  </xdr:twoCellAnchor>
  <xdr:twoCellAnchor editAs="oneCell">
    <xdr:from>
      <xdr:col>7</xdr:col>
      <xdr:colOff>66675</xdr:colOff>
      <xdr:row>57</xdr:row>
      <xdr:rowOff>247650</xdr:rowOff>
    </xdr:from>
    <xdr:to>
      <xdr:col>24</xdr:col>
      <xdr:colOff>104775</xdr:colOff>
      <xdr:row>88</xdr:row>
      <xdr:rowOff>114301</xdr:rowOff>
    </xdr:to>
    <xdr:grpSp>
      <xdr:nvGrpSpPr>
        <xdr:cNvPr id="34" name="Group 33">
          <a:extLst>
            <a:ext uri="{FF2B5EF4-FFF2-40B4-BE49-F238E27FC236}">
              <a16:creationId xmlns:a16="http://schemas.microsoft.com/office/drawing/2014/main" id="{00000000-0008-0000-0600-000022000000}"/>
            </a:ext>
          </a:extLst>
        </xdr:cNvPr>
        <xdr:cNvGrpSpPr/>
      </xdr:nvGrpSpPr>
      <xdr:grpSpPr>
        <a:xfrm>
          <a:off x="66675" y="15811500"/>
          <a:ext cx="7362825" cy="8429626"/>
          <a:chOff x="8191500" y="18297525"/>
          <a:chExt cx="7362825" cy="8429626"/>
        </a:xfrm>
      </xdr:grpSpPr>
      <xdr:grpSp>
        <xdr:nvGrpSpPr>
          <xdr:cNvPr id="35" name="RENTAL_5">
            <a:extLst>
              <a:ext uri="{FF2B5EF4-FFF2-40B4-BE49-F238E27FC236}">
                <a16:creationId xmlns:a16="http://schemas.microsoft.com/office/drawing/2014/main" id="{00000000-0008-0000-0600-000023000000}"/>
              </a:ext>
            </a:extLst>
          </xdr:cNvPr>
          <xdr:cNvGrpSpPr/>
        </xdr:nvGrpSpPr>
        <xdr:grpSpPr>
          <a:xfrm>
            <a:off x="8191500" y="18297527"/>
            <a:ext cx="7362825" cy="8429624"/>
            <a:chOff x="9363075" y="17297252"/>
            <a:chExt cx="7362825" cy="8639459"/>
          </a:xfrm>
        </xdr:grpSpPr>
        <xdr:sp macro="" textlink="">
          <xdr:nvSpPr>
            <xdr:cNvPr id="37" name="RENTAL_5_SECTION_FRAME">
              <a:extLst>
                <a:ext uri="{FF2B5EF4-FFF2-40B4-BE49-F238E27FC236}">
                  <a16:creationId xmlns:a16="http://schemas.microsoft.com/office/drawing/2014/main" id="{00000000-0008-0000-0600-000025000000}"/>
                </a:ext>
              </a:extLst>
            </xdr:cNvPr>
            <xdr:cNvSpPr/>
          </xdr:nvSpPr>
          <xdr:spPr>
            <a:xfrm>
              <a:off x="9363075" y="17617605"/>
              <a:ext cx="7362825" cy="8319106"/>
            </a:xfrm>
            <a:prstGeom prst="rect">
              <a:avLst/>
            </a:prstGeom>
            <a:no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endParaRPr lang="en-US" sz="1100"/>
            </a:p>
          </xdr:txBody>
        </xdr:sp>
        <xdr:sp macro="" textlink="$B$56">
          <xdr:nvSpPr>
            <xdr:cNvPr id="38" name="RENTAL_5_SECTION_TITLE">
              <a:extLst>
                <a:ext uri="{FF2B5EF4-FFF2-40B4-BE49-F238E27FC236}">
                  <a16:creationId xmlns:a16="http://schemas.microsoft.com/office/drawing/2014/main" id="{00000000-0008-0000-0600-000026000000}"/>
                </a:ext>
              </a:extLst>
            </xdr:cNvPr>
            <xdr:cNvSpPr/>
          </xdr:nvSpPr>
          <xdr:spPr>
            <a:xfrm>
              <a:off x="9363075" y="17297252"/>
              <a:ext cx="7360920" cy="312329"/>
            </a:xfrm>
            <a:prstGeom prst="rect">
              <a:avLst/>
            </a:prstGeom>
            <a:solidFill>
              <a:srgbClr val="9CACB9"/>
            </a:solid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l"/>
              <a:fld id="{9DF9BA25-05A3-4920-BA1B-8A0AAD6FE00E}" type="TxLink">
                <a:rPr lang="en-US" sz="1100" b="1" i="0" u="none" strike="noStrike">
                  <a:solidFill>
                    <a:srgbClr val="FFFFFF"/>
                  </a:solidFill>
                  <a:latin typeface="Calibri"/>
                  <a:cs typeface="Calibri"/>
                </a:rPr>
                <a:pPr algn="l"/>
                <a:t>Member Certification</a:t>
              </a:fld>
              <a:endParaRPr lang="en-US" sz="1100" b="1" i="0" u="none" strike="noStrike">
                <a:solidFill>
                  <a:schemeClr val="bg1"/>
                </a:solidFill>
                <a:latin typeface="Calibri"/>
              </a:endParaRPr>
            </a:p>
          </xdr:txBody>
        </xdr:sp>
        <xdr:sp macro="" textlink="$B$67">
          <xdr:nvSpPr>
            <xdr:cNvPr id="39" name="RENTAL_5_SECTION_SUBTITLE">
              <a:extLst>
                <a:ext uri="{FF2B5EF4-FFF2-40B4-BE49-F238E27FC236}">
                  <a16:creationId xmlns:a16="http://schemas.microsoft.com/office/drawing/2014/main" id="{00000000-0008-0000-0600-000027000000}"/>
                </a:ext>
              </a:extLst>
            </xdr:cNvPr>
            <xdr:cNvSpPr/>
          </xdr:nvSpPr>
          <xdr:spPr>
            <a:xfrm>
              <a:off x="9372598" y="17621098"/>
              <a:ext cx="7351776" cy="278553"/>
            </a:xfrm>
            <a:prstGeom prst="rect">
              <a:avLst/>
            </a:prstGeom>
            <a:solidFill>
              <a:schemeClr val="accent1">
                <a:lumMod val="20000"/>
                <a:lumOff val="80000"/>
              </a:schemeClr>
            </a:solidFill>
            <a:ln>
              <a:noFill/>
            </a:ln>
            <a:effectLst/>
          </xdr:spPr>
          <xdr:style>
            <a:lnRef idx="1">
              <a:schemeClr val="accent1"/>
            </a:lnRef>
            <a:fillRef idx="2">
              <a:schemeClr val="accent1"/>
            </a:fillRef>
            <a:effectRef idx="1">
              <a:schemeClr val="accent1"/>
            </a:effectRef>
            <a:fontRef idx="minor">
              <a:schemeClr val="dk1"/>
            </a:fontRef>
          </xdr:style>
          <xdr:txBody>
            <a:bodyPr vertOverflow="clip" lIns="457200" rtlCol="0" anchor="ctr"/>
            <a:lstStyle/>
            <a:p>
              <a:pPr algn="l"/>
              <a:fld id="{762594DE-3823-4529-9D07-42BEED13138B}" type="TxLink">
                <a:rPr lang="en-US" sz="900" b="0" i="0" u="none" strike="noStrike">
                  <a:solidFill>
                    <a:srgbClr val="000000"/>
                  </a:solidFill>
                  <a:latin typeface="Calibri"/>
                  <a:cs typeface="Calibri"/>
                </a:rPr>
                <a:pPr algn="l"/>
                <a:t>Not Started</a:t>
              </a:fld>
              <a:endParaRPr lang="en-US" sz="1100" i="0"/>
            </a:p>
          </xdr:txBody>
        </xdr:sp>
        <xdr:sp macro="" textlink="">
          <xdr:nvSpPr>
            <xdr:cNvPr id="40" name="RENTAL_5_SECTION_SUBTITLE_LABEL">
              <a:extLst>
                <a:ext uri="{FF2B5EF4-FFF2-40B4-BE49-F238E27FC236}">
                  <a16:creationId xmlns:a16="http://schemas.microsoft.com/office/drawing/2014/main" id="{00000000-0008-0000-0600-000028000000}"/>
                </a:ext>
              </a:extLst>
            </xdr:cNvPr>
            <xdr:cNvSpPr txBox="1"/>
          </xdr:nvSpPr>
          <xdr:spPr>
            <a:xfrm>
              <a:off x="9467850" y="17621098"/>
              <a:ext cx="476249" cy="2785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tlCol="0" anchor="ctr">
              <a:noAutofit/>
            </a:bodyPr>
            <a:lstStyle/>
            <a:p>
              <a:r>
                <a:rPr lang="en-US" sz="900" b="1"/>
                <a:t>Status:</a:t>
              </a:r>
            </a:p>
          </xdr:txBody>
        </xdr:sp>
      </xdr:grpSp>
      <xdr:sp macro="" textlink="">
        <xdr:nvSpPr>
          <xdr:cNvPr id="36" name="LINK_RENTAL_TOC">
            <a:hlinkClick xmlns:r="http://schemas.openxmlformats.org/officeDocument/2006/relationships" r:id="rId3"/>
            <a:extLst>
              <a:ext uri="{FF2B5EF4-FFF2-40B4-BE49-F238E27FC236}">
                <a16:creationId xmlns:a16="http://schemas.microsoft.com/office/drawing/2014/main" id="{00000000-0008-0000-0600-000024000000}"/>
              </a:ext>
            </a:extLst>
          </xdr:cNvPr>
          <xdr:cNvSpPr/>
        </xdr:nvSpPr>
        <xdr:spPr>
          <a:xfrm>
            <a:off x="14525625" y="18297525"/>
            <a:ext cx="1028700" cy="30480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r"/>
            <a:r>
              <a:rPr lang="en-US" sz="1000" b="1" u="none">
                <a:solidFill>
                  <a:schemeClr val="bg1"/>
                </a:solidFill>
              </a:rPr>
              <a:t>Back</a:t>
            </a:r>
            <a:r>
              <a:rPr lang="en-US" sz="1000" b="1" u="none" baseline="0">
                <a:solidFill>
                  <a:schemeClr val="bg1"/>
                </a:solidFill>
              </a:rPr>
              <a:t> to Top ^</a:t>
            </a:r>
            <a:endParaRPr lang="en-US" sz="1000" b="1" u="none">
              <a:solidFill>
                <a:schemeClr val="bg1"/>
              </a:solidFill>
            </a:endParaRPr>
          </a:p>
        </xdr:txBody>
      </xdr:sp>
    </xdr:grpSp>
    <xdr:clientData fPrintsWithSheet="0"/>
  </xdr:twoCellAnchor>
  <xdr:oneCellAnchor>
    <xdr:from>
      <xdr:col>8</xdr:col>
      <xdr:colOff>200024</xdr:colOff>
      <xdr:row>17</xdr:row>
      <xdr:rowOff>9525</xdr:rowOff>
    </xdr:from>
    <xdr:ext cx="2200275" cy="264560"/>
    <xdr:sp macro="" textlink="$B$53">
      <xdr:nvSpPr>
        <xdr:cNvPr id="41" name="TOC_SECTION_9">
          <a:hlinkClick xmlns:r="http://schemas.openxmlformats.org/officeDocument/2006/relationships" r:id="rId6"/>
          <a:extLst>
            <a:ext uri="{FF2B5EF4-FFF2-40B4-BE49-F238E27FC236}">
              <a16:creationId xmlns:a16="http://schemas.microsoft.com/office/drawing/2014/main" id="{00000000-0008-0000-0600-000029000000}"/>
            </a:ext>
          </a:extLst>
        </xdr:cNvPr>
        <xdr:cNvSpPr txBox="1"/>
      </xdr:nvSpPr>
      <xdr:spPr>
        <a:xfrm>
          <a:off x="371474" y="4549775"/>
          <a:ext cx="2200275" cy="2645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lIns="0" rtlCol="0" anchor="t">
          <a:noAutofit/>
        </a:bodyPr>
        <a:lstStyle/>
        <a:p>
          <a:pPr marL="0" indent="0" algn="l"/>
          <a:fld id="{9FA7E1F7-4F86-4A36-97C4-40980C6555E4}" type="TxLink">
            <a:rPr lang="en-US" sz="1000" b="1" i="0" u="sng" strike="noStrike">
              <a:solidFill>
                <a:schemeClr val="accent1">
                  <a:lumMod val="75000"/>
                </a:schemeClr>
              </a:solidFill>
              <a:latin typeface="Calibri"/>
              <a:ea typeface="+mn-ea"/>
              <a:cs typeface="Calibri"/>
            </a:rPr>
            <a:pPr marL="0" indent="0" algn="l"/>
            <a:t>Household &amp; Submission Details</a:t>
          </a:fld>
          <a:endParaRPr lang="en-US" sz="1000" b="1" i="0" u="sng" strike="noStrike">
            <a:solidFill>
              <a:schemeClr val="accent1">
                <a:lumMod val="75000"/>
              </a:schemeClr>
            </a:solidFill>
            <a:latin typeface="Calibri"/>
            <a:ea typeface="+mn-ea"/>
            <a:cs typeface="Calibri"/>
          </a:endParaRPr>
        </a:p>
      </xdr:txBody>
    </xdr:sp>
    <xdr:clientData fPrintsWithSheet="0"/>
  </xdr:oneCellAnchor>
  <xdr:twoCellAnchor>
    <xdr:from>
      <xdr:col>7</xdr:col>
      <xdr:colOff>66675</xdr:colOff>
      <xdr:row>13</xdr:row>
      <xdr:rowOff>228603</xdr:rowOff>
    </xdr:from>
    <xdr:to>
      <xdr:col>24</xdr:col>
      <xdr:colOff>104777</xdr:colOff>
      <xdr:row>18</xdr:row>
      <xdr:rowOff>0</xdr:rowOff>
    </xdr:to>
    <xdr:grpSp>
      <xdr:nvGrpSpPr>
        <xdr:cNvPr id="42" name="Group 41">
          <a:extLst>
            <a:ext uri="{FF2B5EF4-FFF2-40B4-BE49-F238E27FC236}">
              <a16:creationId xmlns:a16="http://schemas.microsoft.com/office/drawing/2014/main" id="{00000000-0008-0000-0600-00002A000000}"/>
            </a:ext>
          </a:extLst>
        </xdr:cNvPr>
        <xdr:cNvGrpSpPr/>
      </xdr:nvGrpSpPr>
      <xdr:grpSpPr>
        <a:xfrm>
          <a:off x="66675" y="3638553"/>
          <a:ext cx="7362827" cy="1152522"/>
          <a:chOff x="8191500" y="3638553"/>
          <a:chExt cx="7362827" cy="1152522"/>
        </a:xfrm>
      </xdr:grpSpPr>
      <xdr:grpSp>
        <xdr:nvGrpSpPr>
          <xdr:cNvPr id="43" name="TABLE_OF_CONTENTS_RENTAL">
            <a:extLst>
              <a:ext uri="{FF2B5EF4-FFF2-40B4-BE49-F238E27FC236}">
                <a16:creationId xmlns:a16="http://schemas.microsoft.com/office/drawing/2014/main" id="{00000000-0008-0000-0600-00002B000000}"/>
              </a:ext>
            </a:extLst>
          </xdr:cNvPr>
          <xdr:cNvGrpSpPr/>
        </xdr:nvGrpSpPr>
        <xdr:grpSpPr>
          <a:xfrm>
            <a:off x="8191500" y="3638553"/>
            <a:ext cx="7362827" cy="1152522"/>
            <a:chOff x="8191498" y="1276170"/>
            <a:chExt cx="7362827" cy="1140799"/>
          </a:xfrm>
        </xdr:grpSpPr>
        <xdr:grpSp>
          <xdr:nvGrpSpPr>
            <xdr:cNvPr id="45" name="RENTAL_TABLE_OF_CONTENTS">
              <a:extLst>
                <a:ext uri="{FF2B5EF4-FFF2-40B4-BE49-F238E27FC236}">
                  <a16:creationId xmlns:a16="http://schemas.microsoft.com/office/drawing/2014/main" id="{00000000-0008-0000-0600-00002D000000}"/>
                </a:ext>
              </a:extLst>
            </xdr:cNvPr>
            <xdr:cNvGrpSpPr/>
          </xdr:nvGrpSpPr>
          <xdr:grpSpPr>
            <a:xfrm>
              <a:off x="8191498" y="1276170"/>
              <a:ext cx="7362827" cy="1140799"/>
              <a:chOff x="8191498" y="1276170"/>
              <a:chExt cx="7362827" cy="1140799"/>
            </a:xfrm>
          </xdr:grpSpPr>
          <xdr:sp macro="" textlink="">
            <xdr:nvSpPr>
              <xdr:cNvPr id="47" name="TOC_HEADER_BG">
                <a:extLst>
                  <a:ext uri="{FF2B5EF4-FFF2-40B4-BE49-F238E27FC236}">
                    <a16:creationId xmlns:a16="http://schemas.microsoft.com/office/drawing/2014/main" id="{00000000-0008-0000-0600-00002F000000}"/>
                  </a:ext>
                </a:extLst>
              </xdr:cNvPr>
              <xdr:cNvSpPr/>
            </xdr:nvSpPr>
            <xdr:spPr>
              <a:xfrm>
                <a:off x="8191498" y="1592257"/>
                <a:ext cx="7360921" cy="275969"/>
              </a:xfrm>
              <a:prstGeom prst="rect">
                <a:avLst/>
              </a:prstGeom>
              <a:solidFill>
                <a:schemeClr val="accent1">
                  <a:lumMod val="20000"/>
                  <a:lumOff val="80000"/>
                </a:schemeClr>
              </a:solidFill>
              <a:ln>
                <a:no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endParaRPr lang="en-US" sz="1100"/>
              </a:p>
            </xdr:txBody>
          </xdr:sp>
          <xdr:grpSp>
            <xdr:nvGrpSpPr>
              <xdr:cNvPr id="48" name="TOC">
                <a:extLst>
                  <a:ext uri="{FF2B5EF4-FFF2-40B4-BE49-F238E27FC236}">
                    <a16:creationId xmlns:a16="http://schemas.microsoft.com/office/drawing/2014/main" id="{00000000-0008-0000-0600-000030000000}"/>
                  </a:ext>
                </a:extLst>
              </xdr:cNvPr>
              <xdr:cNvGrpSpPr/>
            </xdr:nvGrpSpPr>
            <xdr:grpSpPr>
              <a:xfrm>
                <a:off x="8191500" y="1276170"/>
                <a:ext cx="7362825" cy="1140799"/>
                <a:chOff x="9239250" y="1816952"/>
                <a:chExt cx="7362825" cy="879565"/>
              </a:xfrm>
              <a:effectLst/>
            </xdr:grpSpPr>
            <xdr:sp macro="" textlink="">
              <xdr:nvSpPr>
                <xdr:cNvPr id="53" name="Rectangle 52">
                  <a:extLst>
                    <a:ext uri="{FF2B5EF4-FFF2-40B4-BE49-F238E27FC236}">
                      <a16:creationId xmlns:a16="http://schemas.microsoft.com/office/drawing/2014/main" id="{00000000-0008-0000-0600-000035000000}"/>
                    </a:ext>
                  </a:extLst>
                </xdr:cNvPr>
                <xdr:cNvSpPr/>
              </xdr:nvSpPr>
              <xdr:spPr>
                <a:xfrm>
                  <a:off x="9239250" y="2052094"/>
                  <a:ext cx="7362825" cy="644423"/>
                </a:xfrm>
                <a:prstGeom prst="rect">
                  <a:avLst/>
                </a:prstGeom>
                <a:no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endParaRPr lang="en-US" sz="1100"/>
                </a:p>
              </xdr:txBody>
            </xdr:sp>
            <xdr:sp macro="" textlink="">
              <xdr:nvSpPr>
                <xdr:cNvPr id="54" name="Rectangle 53">
                  <a:extLst>
                    <a:ext uri="{FF2B5EF4-FFF2-40B4-BE49-F238E27FC236}">
                      <a16:creationId xmlns:a16="http://schemas.microsoft.com/office/drawing/2014/main" id="{00000000-0008-0000-0600-000036000000}"/>
                    </a:ext>
                  </a:extLst>
                </xdr:cNvPr>
                <xdr:cNvSpPr/>
              </xdr:nvSpPr>
              <xdr:spPr>
                <a:xfrm>
                  <a:off x="9239250" y="1816952"/>
                  <a:ext cx="7360920" cy="237265"/>
                </a:xfrm>
                <a:prstGeom prst="rect">
                  <a:avLst/>
                </a:prstGeom>
                <a:solidFill>
                  <a:srgbClr val="9CACB9"/>
                </a:solid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l"/>
                  <a:r>
                    <a:rPr lang="en-US" sz="1100" b="1">
                      <a:solidFill>
                        <a:schemeClr val="bg1"/>
                      </a:solidFill>
                    </a:rPr>
                    <a:t>Table of Contents</a:t>
                  </a:r>
                </a:p>
              </xdr:txBody>
            </xdr:sp>
          </xdr:grpSp>
          <xdr:sp macro="" textlink="">
            <xdr:nvSpPr>
              <xdr:cNvPr id="49" name="TOC_HEADER_LABEL_1">
                <a:extLst>
                  <a:ext uri="{FF2B5EF4-FFF2-40B4-BE49-F238E27FC236}">
                    <a16:creationId xmlns:a16="http://schemas.microsoft.com/office/drawing/2014/main" id="{00000000-0008-0000-0600-000031000000}"/>
                  </a:ext>
                </a:extLst>
              </xdr:cNvPr>
              <xdr:cNvSpPr txBox="1"/>
            </xdr:nvSpPr>
            <xdr:spPr>
              <a:xfrm>
                <a:off x="8302028" y="1630443"/>
                <a:ext cx="1226450" cy="2644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lIns="0" rtlCol="0" anchor="t">
                <a:noAutofit/>
              </a:bodyPr>
              <a:lstStyle/>
              <a:p>
                <a:r>
                  <a:rPr lang="en-US" sz="1000" b="1"/>
                  <a:t>Section</a:t>
                </a:r>
              </a:p>
            </xdr:txBody>
          </xdr:sp>
          <xdr:sp macro="" textlink="">
            <xdr:nvSpPr>
              <xdr:cNvPr id="50" name="TOC_HEADER_LABEL_1">
                <a:extLst>
                  <a:ext uri="{FF2B5EF4-FFF2-40B4-BE49-F238E27FC236}">
                    <a16:creationId xmlns:a16="http://schemas.microsoft.com/office/drawing/2014/main" id="{00000000-0008-0000-0600-000032000000}"/>
                  </a:ext>
                </a:extLst>
              </xdr:cNvPr>
              <xdr:cNvSpPr txBox="1"/>
            </xdr:nvSpPr>
            <xdr:spPr>
              <a:xfrm>
                <a:off x="10988755" y="1630443"/>
                <a:ext cx="876784" cy="2644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tlCol="0" anchor="t">
                <a:noAutofit/>
              </a:bodyPr>
              <a:lstStyle/>
              <a:p>
                <a:r>
                  <a:rPr lang="en-US" sz="1000" b="1"/>
                  <a:t>Progress</a:t>
                </a:r>
              </a:p>
            </xdr:txBody>
          </xdr:sp>
          <xdr:sp macro="" textlink="">
            <xdr:nvSpPr>
              <xdr:cNvPr id="51" name="TOC_HEADER_LABEL_3">
                <a:extLst>
                  <a:ext uri="{FF2B5EF4-FFF2-40B4-BE49-F238E27FC236}">
                    <a16:creationId xmlns:a16="http://schemas.microsoft.com/office/drawing/2014/main" id="{00000000-0008-0000-0600-000033000000}"/>
                  </a:ext>
                </a:extLst>
              </xdr:cNvPr>
              <xdr:cNvSpPr txBox="1"/>
            </xdr:nvSpPr>
            <xdr:spPr>
              <a:xfrm>
                <a:off x="11990098" y="1630443"/>
                <a:ext cx="1226450" cy="2644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lIns="0" rtlCol="0" anchor="t">
                <a:noAutofit/>
              </a:bodyPr>
              <a:lstStyle/>
              <a:p>
                <a:r>
                  <a:rPr lang="en-US" sz="1000" b="1"/>
                  <a:t>Section</a:t>
                </a:r>
              </a:p>
            </xdr:txBody>
          </xdr:sp>
          <xdr:sp macro="" textlink="">
            <xdr:nvSpPr>
              <xdr:cNvPr id="52" name="TOC_HEADER_LABEL_4">
                <a:extLst>
                  <a:ext uri="{FF2B5EF4-FFF2-40B4-BE49-F238E27FC236}">
                    <a16:creationId xmlns:a16="http://schemas.microsoft.com/office/drawing/2014/main" id="{00000000-0008-0000-0600-000034000000}"/>
                  </a:ext>
                </a:extLst>
              </xdr:cNvPr>
              <xdr:cNvSpPr txBox="1"/>
            </xdr:nvSpPr>
            <xdr:spPr>
              <a:xfrm>
                <a:off x="14554212" y="1630443"/>
                <a:ext cx="871248" cy="2644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tlCol="0" anchor="t">
                <a:noAutofit/>
              </a:bodyPr>
              <a:lstStyle/>
              <a:p>
                <a:r>
                  <a:rPr lang="en-US" sz="1000" b="1"/>
                  <a:t>Progress</a:t>
                </a:r>
              </a:p>
            </xdr:txBody>
          </xdr:sp>
        </xdr:grpSp>
        <xdr:cxnSp macro="">
          <xdr:nvCxnSpPr>
            <xdr:cNvPr id="46" name="TOC_HEADER_VLINE">
              <a:extLst>
                <a:ext uri="{FF2B5EF4-FFF2-40B4-BE49-F238E27FC236}">
                  <a16:creationId xmlns:a16="http://schemas.microsoft.com/office/drawing/2014/main" id="{00000000-0008-0000-0600-00002E000000}"/>
                </a:ext>
              </a:extLst>
            </xdr:cNvPr>
            <xdr:cNvCxnSpPr>
              <a:endCxn id="53" idx="2"/>
            </xdr:cNvCxnSpPr>
          </xdr:nvCxnSpPr>
          <xdr:spPr>
            <a:xfrm>
              <a:off x="11871960" y="1596774"/>
              <a:ext cx="953" cy="820195"/>
            </a:xfrm>
            <a:prstGeom prst="line">
              <a:avLst/>
            </a:prstGeom>
            <a:ln>
              <a:solidFill>
                <a:schemeClr val="bg1">
                  <a:lumMod val="85000"/>
                </a:schemeClr>
              </a:solidFill>
            </a:ln>
            <a:effectLst>
              <a:innerShdw blurRad="63500" dist="50800" dir="13500000">
                <a:prstClr val="black">
                  <a:alpha val="50000"/>
                </a:prstClr>
              </a:innerShdw>
            </a:effectLst>
          </xdr:spPr>
          <xdr:style>
            <a:lnRef idx="1">
              <a:schemeClr val="accent1"/>
            </a:lnRef>
            <a:fillRef idx="0">
              <a:schemeClr val="accent1"/>
            </a:fillRef>
            <a:effectRef idx="0">
              <a:schemeClr val="accent1"/>
            </a:effectRef>
            <a:fontRef idx="minor">
              <a:schemeClr val="tx1"/>
            </a:fontRef>
          </xdr:style>
        </xdr:cxnSp>
      </xdr:grpSp>
      <xdr:cxnSp macro="">
        <xdr:nvCxnSpPr>
          <xdr:cNvPr id="44" name="DOTTED_LINE">
            <a:extLst>
              <a:ext uri="{FF2B5EF4-FFF2-40B4-BE49-F238E27FC236}">
                <a16:creationId xmlns:a16="http://schemas.microsoft.com/office/drawing/2014/main" id="{00000000-0008-0000-0600-00002C000000}"/>
              </a:ext>
            </a:extLst>
          </xdr:cNvPr>
          <xdr:cNvCxnSpPr/>
        </xdr:nvCxnSpPr>
        <xdr:spPr>
          <a:xfrm flipH="1">
            <a:off x="8191500" y="4514853"/>
            <a:ext cx="7362825" cy="0"/>
          </a:xfrm>
          <a:prstGeom prst="line">
            <a:avLst/>
          </a:prstGeom>
          <a:ln w="9525" cap="rnd">
            <a:solidFill>
              <a:schemeClr val="bg1">
                <a:lumMod val="85000"/>
              </a:schemeClr>
            </a:solidFill>
            <a:prstDash val="solid"/>
            <a:round/>
          </a:ln>
        </xdr:spPr>
        <xdr:style>
          <a:lnRef idx="1">
            <a:schemeClr val="dk1"/>
          </a:lnRef>
          <a:fillRef idx="0">
            <a:schemeClr val="dk1"/>
          </a:fillRef>
          <a:effectRef idx="0">
            <a:schemeClr val="dk1"/>
          </a:effectRef>
          <a:fontRef idx="minor">
            <a:schemeClr val="tx1"/>
          </a:fontRef>
        </xdr:style>
      </xdr:cxnSp>
    </xdr:grpSp>
    <xdr:clientData/>
  </xdr:twoCellAnchor>
</xdr:wsDr>
</file>

<file path=xl/drawings/drawing8.xml><?xml version="1.0" encoding="utf-8"?>
<xdr:wsDr xmlns:xdr="http://schemas.openxmlformats.org/drawingml/2006/spreadsheetDrawing" xmlns:a="http://schemas.openxmlformats.org/drawingml/2006/main">
  <xdr:oneCellAnchor>
    <xdr:from>
      <xdr:col>16</xdr:col>
      <xdr:colOff>295275</xdr:colOff>
      <xdr:row>17</xdr:row>
      <xdr:rowOff>9525</xdr:rowOff>
    </xdr:from>
    <xdr:ext cx="2200275" cy="264560"/>
    <xdr:sp macro="" textlink="$B$139">
      <xdr:nvSpPr>
        <xdr:cNvPr id="2" name="TOC_SECTION_10">
          <a:hlinkClick xmlns:r="http://schemas.openxmlformats.org/officeDocument/2006/relationships" r:id="rId1"/>
          <a:extLst>
            <a:ext uri="{FF2B5EF4-FFF2-40B4-BE49-F238E27FC236}">
              <a16:creationId xmlns:a16="http://schemas.microsoft.com/office/drawing/2014/main" id="{00000000-0008-0000-0700-000002000000}"/>
            </a:ext>
          </a:extLst>
        </xdr:cNvPr>
        <xdr:cNvSpPr txBox="1"/>
      </xdr:nvSpPr>
      <xdr:spPr>
        <a:xfrm>
          <a:off x="4225925" y="4549775"/>
          <a:ext cx="2200275" cy="2645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lIns="0" rtlCol="0" anchor="t">
          <a:noAutofit/>
        </a:bodyPr>
        <a:lstStyle/>
        <a:p>
          <a:pPr algn="l"/>
          <a:fld id="{BFAA168D-172E-4430-9045-F99273F30A4A}" type="TxLink">
            <a:rPr lang="en-US" sz="1000" b="1" i="0" u="sng" strike="noStrike">
              <a:solidFill>
                <a:schemeClr val="accent1">
                  <a:lumMod val="75000"/>
                </a:schemeClr>
              </a:solidFill>
              <a:latin typeface="Calibri"/>
              <a:ea typeface="Calibri"/>
              <a:cs typeface="Calibri"/>
            </a:rPr>
            <a:pPr algn="l"/>
            <a:t>Household Qualification</a:t>
          </a:fld>
          <a:endParaRPr lang="en-US" sz="1000" b="1" i="0" u="sng">
            <a:solidFill>
              <a:schemeClr val="accent1">
                <a:lumMod val="75000"/>
              </a:schemeClr>
            </a:solidFill>
          </a:endParaRPr>
        </a:p>
      </xdr:txBody>
    </xdr:sp>
    <xdr:clientData fPrintsWithSheet="0"/>
  </xdr:oneCellAnchor>
  <xdr:oneCellAnchor>
    <xdr:from>
      <xdr:col>8</xdr:col>
      <xdr:colOff>200024</xdr:colOff>
      <xdr:row>16</xdr:row>
      <xdr:rowOff>9525</xdr:rowOff>
    </xdr:from>
    <xdr:ext cx="2295525" cy="264560"/>
    <xdr:sp macro="" textlink="$B$27">
      <xdr:nvSpPr>
        <xdr:cNvPr id="3" name="TOC_SECTION_1">
          <a:hlinkClick xmlns:r="http://schemas.openxmlformats.org/officeDocument/2006/relationships" r:id="rId2"/>
          <a:extLst>
            <a:ext uri="{FF2B5EF4-FFF2-40B4-BE49-F238E27FC236}">
              <a16:creationId xmlns:a16="http://schemas.microsoft.com/office/drawing/2014/main" id="{00000000-0008-0000-0700-000003000000}"/>
            </a:ext>
          </a:extLst>
        </xdr:cNvPr>
        <xdr:cNvSpPr txBox="1"/>
      </xdr:nvSpPr>
      <xdr:spPr>
        <a:xfrm>
          <a:off x="371474" y="4270375"/>
          <a:ext cx="2295525" cy="2645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lIns="0" rtlCol="0" anchor="t">
          <a:noAutofit/>
        </a:bodyPr>
        <a:lstStyle/>
        <a:p>
          <a:pPr marL="0" indent="0" algn="l"/>
          <a:fld id="{F6F54798-E607-4CA9-99FB-B3AB05C568D1}" type="TxLink">
            <a:rPr lang="en-US" sz="1000" b="1" i="0" u="sng" strike="noStrike">
              <a:solidFill>
                <a:schemeClr val="accent1">
                  <a:lumMod val="75000"/>
                </a:schemeClr>
              </a:solidFill>
              <a:latin typeface="Calibri"/>
              <a:ea typeface="+mn-ea"/>
              <a:cs typeface="+mn-cs"/>
            </a:rPr>
            <a:pPr marL="0" indent="0" algn="l"/>
            <a:t>FHLBNY Member</a:t>
          </a:fld>
          <a:endParaRPr lang="en-US" sz="1000" b="1" i="0" u="sng" strike="noStrike">
            <a:solidFill>
              <a:schemeClr val="accent1">
                <a:lumMod val="75000"/>
              </a:schemeClr>
            </a:solidFill>
            <a:latin typeface="Calibri"/>
            <a:ea typeface="+mn-ea"/>
            <a:cs typeface="+mn-cs"/>
          </a:endParaRPr>
        </a:p>
      </xdr:txBody>
    </xdr:sp>
    <xdr:clientData fPrintsWithSheet="0"/>
  </xdr:oneCellAnchor>
  <xdr:oneCellAnchor>
    <xdr:from>
      <xdr:col>8</xdr:col>
      <xdr:colOff>200024</xdr:colOff>
      <xdr:row>17</xdr:row>
      <xdr:rowOff>9525</xdr:rowOff>
    </xdr:from>
    <xdr:ext cx="2295525" cy="264560"/>
    <xdr:sp macro="" textlink="$B$64">
      <xdr:nvSpPr>
        <xdr:cNvPr id="4" name="TOC_SECTION_2">
          <a:hlinkClick xmlns:r="http://schemas.openxmlformats.org/officeDocument/2006/relationships" r:id="rId3"/>
          <a:extLst>
            <a:ext uri="{FF2B5EF4-FFF2-40B4-BE49-F238E27FC236}">
              <a16:creationId xmlns:a16="http://schemas.microsoft.com/office/drawing/2014/main" id="{00000000-0008-0000-0700-000004000000}"/>
            </a:ext>
          </a:extLst>
        </xdr:cNvPr>
        <xdr:cNvSpPr txBox="1"/>
      </xdr:nvSpPr>
      <xdr:spPr>
        <a:xfrm>
          <a:off x="371474" y="4549775"/>
          <a:ext cx="2295525" cy="2645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lIns="0" rtlCol="0" anchor="t">
          <a:noAutofit/>
        </a:bodyPr>
        <a:lstStyle/>
        <a:p>
          <a:pPr marL="0" indent="0" algn="l"/>
          <a:fld id="{60896E56-02AF-450F-83A0-DE79B7AE6E83}" type="TxLink">
            <a:rPr lang="en-US" sz="1000" b="1" i="0" u="sng" strike="noStrike">
              <a:solidFill>
                <a:schemeClr val="accent1">
                  <a:lumMod val="75000"/>
                </a:schemeClr>
              </a:solidFill>
              <a:latin typeface="Calibri"/>
              <a:ea typeface="+mn-ea"/>
              <a:cs typeface="+mn-cs"/>
            </a:rPr>
            <a:pPr marL="0" indent="0" algn="l"/>
            <a:t>Household Information</a:t>
          </a:fld>
          <a:endParaRPr lang="en-US" sz="1000" b="1" i="0" u="sng" strike="noStrike">
            <a:solidFill>
              <a:schemeClr val="accent1">
                <a:lumMod val="75000"/>
              </a:schemeClr>
            </a:solidFill>
            <a:latin typeface="Calibri"/>
            <a:ea typeface="+mn-ea"/>
            <a:cs typeface="+mn-cs"/>
          </a:endParaRPr>
        </a:p>
      </xdr:txBody>
    </xdr:sp>
    <xdr:clientData fPrintsWithSheet="0"/>
  </xdr:oneCellAnchor>
  <xdr:oneCellAnchor>
    <xdr:from>
      <xdr:col>8</xdr:col>
      <xdr:colOff>200024</xdr:colOff>
      <xdr:row>18</xdr:row>
      <xdr:rowOff>9525</xdr:rowOff>
    </xdr:from>
    <xdr:ext cx="2295525" cy="264560"/>
    <xdr:sp macro="" textlink="$B$90">
      <xdr:nvSpPr>
        <xdr:cNvPr id="5" name="TOC_SECTION_3">
          <a:hlinkClick xmlns:r="http://schemas.openxmlformats.org/officeDocument/2006/relationships" r:id="rId4"/>
          <a:extLst>
            <a:ext uri="{FF2B5EF4-FFF2-40B4-BE49-F238E27FC236}">
              <a16:creationId xmlns:a16="http://schemas.microsoft.com/office/drawing/2014/main" id="{00000000-0008-0000-0700-000005000000}"/>
            </a:ext>
          </a:extLst>
        </xdr:cNvPr>
        <xdr:cNvSpPr txBox="1"/>
      </xdr:nvSpPr>
      <xdr:spPr>
        <a:xfrm>
          <a:off x="371474" y="4829175"/>
          <a:ext cx="2295525" cy="2645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lIns="0" rtlCol="0" anchor="t">
          <a:noAutofit/>
        </a:bodyPr>
        <a:lstStyle/>
        <a:p>
          <a:pPr algn="l"/>
          <a:fld id="{F3897FBB-DF3B-4B73-902D-D31EFF95B025}" type="TxLink">
            <a:rPr lang="en-US" sz="1000" b="1" i="0" u="sng" strike="noStrike">
              <a:solidFill>
                <a:schemeClr val="accent1">
                  <a:lumMod val="75000"/>
                </a:schemeClr>
              </a:solidFill>
              <a:latin typeface="Calibri"/>
              <a:ea typeface="Calibri"/>
              <a:cs typeface="Calibri"/>
            </a:rPr>
            <a:pPr algn="l"/>
            <a:t>Grant Summary</a:t>
          </a:fld>
          <a:endParaRPr lang="en-US" sz="1000" b="1" i="0" u="sng">
            <a:solidFill>
              <a:schemeClr val="accent1">
                <a:lumMod val="75000"/>
              </a:schemeClr>
            </a:solidFill>
          </a:endParaRPr>
        </a:p>
      </xdr:txBody>
    </xdr:sp>
    <xdr:clientData fPrintsWithSheet="0"/>
  </xdr:oneCellAnchor>
  <xdr:oneCellAnchor>
    <xdr:from>
      <xdr:col>16</xdr:col>
      <xdr:colOff>295275</xdr:colOff>
      <xdr:row>16</xdr:row>
      <xdr:rowOff>9525</xdr:rowOff>
    </xdr:from>
    <xdr:ext cx="2200275" cy="264560"/>
    <xdr:sp macro="" textlink="$B$114">
      <xdr:nvSpPr>
        <xdr:cNvPr id="6" name="TOC_SECTION_9">
          <a:hlinkClick xmlns:r="http://schemas.openxmlformats.org/officeDocument/2006/relationships" r:id="rId5"/>
          <a:extLst>
            <a:ext uri="{FF2B5EF4-FFF2-40B4-BE49-F238E27FC236}">
              <a16:creationId xmlns:a16="http://schemas.microsoft.com/office/drawing/2014/main" id="{00000000-0008-0000-0700-000006000000}"/>
            </a:ext>
          </a:extLst>
        </xdr:cNvPr>
        <xdr:cNvSpPr txBox="1"/>
      </xdr:nvSpPr>
      <xdr:spPr>
        <a:xfrm>
          <a:off x="4225925" y="4270375"/>
          <a:ext cx="2200275" cy="2645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lIns="0" rtlCol="0" anchor="t">
          <a:noAutofit/>
        </a:bodyPr>
        <a:lstStyle/>
        <a:p>
          <a:pPr algn="l"/>
          <a:fld id="{177A4A5A-073A-414A-AACE-C550FFAA6913}" type="TxLink">
            <a:rPr lang="en-US" sz="1000" b="1" i="0" u="sng" strike="noStrike">
              <a:solidFill>
                <a:schemeClr val="accent1">
                  <a:lumMod val="75000"/>
                </a:schemeClr>
              </a:solidFill>
              <a:latin typeface="Calibri"/>
              <a:ea typeface="Calibri"/>
              <a:cs typeface="Calibri"/>
            </a:rPr>
            <a:pPr algn="l"/>
            <a:t>Purchase Property</a:t>
          </a:fld>
          <a:endParaRPr lang="en-US" sz="1000" b="1" i="0" u="sng">
            <a:solidFill>
              <a:schemeClr val="accent1">
                <a:lumMod val="75000"/>
              </a:schemeClr>
            </a:solidFill>
          </a:endParaRPr>
        </a:p>
      </xdr:txBody>
    </xdr:sp>
    <xdr:clientData fPrintsWithSheet="0"/>
  </xdr:oneCellAnchor>
  <xdr:twoCellAnchor editAs="absolute">
    <xdr:from>
      <xdr:col>16384</xdr:col>
      <xdr:colOff>607578</xdr:colOff>
      <xdr:row>13</xdr:row>
      <xdr:rowOff>79375</xdr:rowOff>
    </xdr:from>
    <xdr:to>
      <xdr:col>16384</xdr:col>
      <xdr:colOff>607578</xdr:colOff>
      <xdr:row>15</xdr:row>
      <xdr:rowOff>127000</xdr:rowOff>
    </xdr:to>
    <xdr:sp macro="" textlink="">
      <xdr:nvSpPr>
        <xdr:cNvPr id="7" name="COVER_CELLS_01">
          <a:extLst>
            <a:ext uri="{FF2B5EF4-FFF2-40B4-BE49-F238E27FC236}">
              <a16:creationId xmlns:a16="http://schemas.microsoft.com/office/drawing/2014/main" id="{00000000-0008-0000-0700-000007000000}"/>
            </a:ext>
          </a:extLst>
        </xdr:cNvPr>
        <xdr:cNvSpPr/>
      </xdr:nvSpPr>
      <xdr:spPr>
        <a:xfrm>
          <a:off x="8468878" y="3603625"/>
          <a:ext cx="0" cy="606425"/>
        </a:xfrm>
        <a:prstGeom prst="rect">
          <a:avLst/>
        </a:prstGeom>
        <a:solidFill>
          <a:srgbClr val="FFFFFF">
            <a:alpha val="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fPrintsWithSheet="0"/>
  </xdr:twoCellAnchor>
  <xdr:twoCellAnchor>
    <xdr:from>
      <xdr:col>7</xdr:col>
      <xdr:colOff>24775</xdr:colOff>
      <xdr:row>139</xdr:row>
      <xdr:rowOff>190501</xdr:rowOff>
    </xdr:from>
    <xdr:to>
      <xdr:col>24</xdr:col>
      <xdr:colOff>152399</xdr:colOff>
      <xdr:row>141</xdr:row>
      <xdr:rowOff>0</xdr:rowOff>
    </xdr:to>
    <xdr:grpSp>
      <xdr:nvGrpSpPr>
        <xdr:cNvPr id="8" name="Group 7">
          <a:extLst>
            <a:ext uri="{FF2B5EF4-FFF2-40B4-BE49-F238E27FC236}">
              <a16:creationId xmlns:a16="http://schemas.microsoft.com/office/drawing/2014/main" id="{00000000-0008-0000-0700-000008000000}"/>
            </a:ext>
          </a:extLst>
        </xdr:cNvPr>
        <xdr:cNvGrpSpPr/>
      </xdr:nvGrpSpPr>
      <xdr:grpSpPr>
        <a:xfrm>
          <a:off x="24775" y="38500051"/>
          <a:ext cx="7452349" cy="361949"/>
          <a:chOff x="9296399" y="16259175"/>
          <a:chExt cx="7452359" cy="371473"/>
        </a:xfrm>
      </xdr:grpSpPr>
      <xdr:sp macro="" textlink="CONFIG_EFORM_DOC_ID_NAME">
        <xdr:nvSpPr>
          <xdr:cNvPr id="9" name="FOOTER_BG">
            <a:extLst>
              <a:ext uri="{FF2B5EF4-FFF2-40B4-BE49-F238E27FC236}">
                <a16:creationId xmlns:a16="http://schemas.microsoft.com/office/drawing/2014/main" id="{00000000-0008-0000-0700-000009000000}"/>
              </a:ext>
            </a:extLst>
          </xdr:cNvPr>
          <xdr:cNvSpPr/>
        </xdr:nvSpPr>
        <xdr:spPr>
          <a:xfrm>
            <a:off x="9296399" y="16259175"/>
            <a:ext cx="7452359" cy="371473"/>
          </a:xfrm>
          <a:prstGeom prst="rect">
            <a:avLst/>
          </a:prstGeom>
          <a:solidFill>
            <a:srgbClr val="00305E"/>
          </a:solidFill>
          <a:ln>
            <a:noFill/>
          </a:ln>
          <a:effectLst/>
        </xdr:spPr>
        <xdr:style>
          <a:lnRef idx="1">
            <a:schemeClr val="accent1"/>
          </a:lnRef>
          <a:fillRef idx="3">
            <a:schemeClr val="accent1"/>
          </a:fillRef>
          <a:effectRef idx="2">
            <a:schemeClr val="accent1"/>
          </a:effectRef>
          <a:fontRef idx="minor">
            <a:schemeClr val="lt1"/>
          </a:fontRef>
        </xdr:style>
        <xdr:txBody>
          <a:bodyPr vertOverflow="clip" rtlCol="0" anchor="ctr"/>
          <a:lstStyle/>
          <a:p>
            <a:pPr marL="0" marR="0" indent="0" algn="r" defTabSz="914400" eaLnBrk="1" fontAlgn="auto" latinLnBrk="0" hangingPunct="1">
              <a:lnSpc>
                <a:spcPct val="100000"/>
              </a:lnSpc>
              <a:spcBef>
                <a:spcPts val="0"/>
              </a:spcBef>
              <a:spcAft>
                <a:spcPts val="0"/>
              </a:spcAft>
              <a:buClrTx/>
              <a:buSzTx/>
              <a:buFontTx/>
              <a:buNone/>
              <a:tabLst/>
              <a:defRPr/>
            </a:pPr>
            <a:fld id="{318D66D7-35C3-43A5-9A89-905D240885C5}" type="TxLink">
              <a:rPr lang="en-US" sz="1000" b="1" i="0" u="none" strike="noStrike">
                <a:solidFill>
                  <a:schemeClr val="bg1"/>
                </a:solidFill>
                <a:latin typeface="+mn-lt"/>
                <a:ea typeface="+mn-ea"/>
                <a:cs typeface="Calibri"/>
              </a:rPr>
              <a:pPr marL="0" marR="0" indent="0" algn="r" defTabSz="914400" eaLnBrk="1" fontAlgn="auto" latinLnBrk="0" hangingPunct="1">
                <a:lnSpc>
                  <a:spcPct val="100000"/>
                </a:lnSpc>
                <a:spcBef>
                  <a:spcPts val="0"/>
                </a:spcBef>
                <a:spcAft>
                  <a:spcPts val="0"/>
                </a:spcAft>
                <a:buClrTx/>
                <a:buSzTx/>
                <a:buFontTx/>
                <a:buNone/>
                <a:tabLst/>
                <a:defRPr/>
              </a:pPr>
              <a:t>HDP-005: Homebuyer Dream Program® Request Form</a:t>
            </a:fld>
            <a:endParaRPr lang="en-US" sz="1000" b="1">
              <a:solidFill>
                <a:schemeClr val="bg1"/>
              </a:solidFill>
              <a:latin typeface="+mn-lt"/>
            </a:endParaRPr>
          </a:p>
        </xdr:txBody>
      </xdr:sp>
      <xdr:sp macro="" textlink="">
        <xdr:nvSpPr>
          <xdr:cNvPr id="10" name="FOOTER_LINK_PAGETOP">
            <a:hlinkClick xmlns:r="http://schemas.openxmlformats.org/officeDocument/2006/relationships" r:id="rId6"/>
            <a:extLst>
              <a:ext uri="{FF2B5EF4-FFF2-40B4-BE49-F238E27FC236}">
                <a16:creationId xmlns:a16="http://schemas.microsoft.com/office/drawing/2014/main" id="{00000000-0008-0000-0700-00000A000000}"/>
              </a:ext>
            </a:extLst>
          </xdr:cNvPr>
          <xdr:cNvSpPr/>
        </xdr:nvSpPr>
        <xdr:spPr>
          <a:xfrm>
            <a:off x="9296399" y="16259175"/>
            <a:ext cx="1126715" cy="36195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u="none">
                <a:solidFill>
                  <a:schemeClr val="bg1"/>
                </a:solidFill>
                <a:latin typeface="+mn-lt"/>
              </a:rPr>
              <a:t>^ Back to Top</a:t>
            </a:r>
          </a:p>
        </xdr:txBody>
      </xdr:sp>
    </xdr:grpSp>
    <xdr:clientData fPrintsWithSheet="0"/>
  </xdr:twoCellAnchor>
  <xdr:oneCellAnchor>
    <xdr:from>
      <xdr:col>12</xdr:col>
      <xdr:colOff>1076325</xdr:colOff>
      <xdr:row>12</xdr:row>
      <xdr:rowOff>0</xdr:rowOff>
    </xdr:from>
    <xdr:ext cx="184731" cy="264560"/>
    <xdr:sp macro="" textlink="">
      <xdr:nvSpPr>
        <xdr:cNvPr id="11" name="TextBox 10">
          <a:extLst>
            <a:ext uri="{FF2B5EF4-FFF2-40B4-BE49-F238E27FC236}">
              <a16:creationId xmlns:a16="http://schemas.microsoft.com/office/drawing/2014/main" id="{00000000-0008-0000-0700-00000B000000}"/>
            </a:ext>
          </a:extLst>
        </xdr:cNvPr>
        <xdr:cNvSpPr txBox="1"/>
      </xdr:nvSpPr>
      <xdr:spPr>
        <a:xfrm>
          <a:off x="27971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oneCellAnchor>
    <xdr:from>
      <xdr:col>16</xdr:col>
      <xdr:colOff>1076325</xdr:colOff>
      <xdr:row>12</xdr:row>
      <xdr:rowOff>0</xdr:rowOff>
    </xdr:from>
    <xdr:ext cx="184731" cy="264560"/>
    <xdr:sp macro="" textlink="">
      <xdr:nvSpPr>
        <xdr:cNvPr id="12" name="TextBox 11">
          <a:extLst>
            <a:ext uri="{FF2B5EF4-FFF2-40B4-BE49-F238E27FC236}">
              <a16:creationId xmlns:a16="http://schemas.microsoft.com/office/drawing/2014/main" id="{00000000-0008-0000-0700-00000C000000}"/>
            </a:ext>
          </a:extLst>
        </xdr:cNvPr>
        <xdr:cNvSpPr txBox="1"/>
      </xdr:nvSpPr>
      <xdr:spPr>
        <a:xfrm>
          <a:off x="46767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oneCellAnchor>
    <xdr:from>
      <xdr:col>16</xdr:col>
      <xdr:colOff>1076325</xdr:colOff>
      <xdr:row>12</xdr:row>
      <xdr:rowOff>0</xdr:rowOff>
    </xdr:from>
    <xdr:ext cx="184731" cy="264560"/>
    <xdr:sp macro="" textlink="">
      <xdr:nvSpPr>
        <xdr:cNvPr id="13" name="TextBox 12">
          <a:extLst>
            <a:ext uri="{FF2B5EF4-FFF2-40B4-BE49-F238E27FC236}">
              <a16:creationId xmlns:a16="http://schemas.microsoft.com/office/drawing/2014/main" id="{00000000-0008-0000-0700-00000D000000}"/>
            </a:ext>
          </a:extLst>
        </xdr:cNvPr>
        <xdr:cNvSpPr txBox="1"/>
      </xdr:nvSpPr>
      <xdr:spPr>
        <a:xfrm>
          <a:off x="46767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oneCellAnchor>
    <xdr:from>
      <xdr:col>16</xdr:col>
      <xdr:colOff>1076325</xdr:colOff>
      <xdr:row>12</xdr:row>
      <xdr:rowOff>0</xdr:rowOff>
    </xdr:from>
    <xdr:ext cx="184731" cy="264560"/>
    <xdr:sp macro="" textlink="">
      <xdr:nvSpPr>
        <xdr:cNvPr id="14" name="TextBox 13">
          <a:extLst>
            <a:ext uri="{FF2B5EF4-FFF2-40B4-BE49-F238E27FC236}">
              <a16:creationId xmlns:a16="http://schemas.microsoft.com/office/drawing/2014/main" id="{00000000-0008-0000-0700-00000E000000}"/>
            </a:ext>
          </a:extLst>
        </xdr:cNvPr>
        <xdr:cNvSpPr txBox="1"/>
      </xdr:nvSpPr>
      <xdr:spPr>
        <a:xfrm>
          <a:off x="46767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twoCellAnchor editAs="oneCell">
    <xdr:from>
      <xdr:col>7</xdr:col>
      <xdr:colOff>66675</xdr:colOff>
      <xdr:row>19</xdr:row>
      <xdr:rowOff>180976</xdr:rowOff>
    </xdr:from>
    <xdr:to>
      <xdr:col>24</xdr:col>
      <xdr:colOff>104776</xdr:colOff>
      <xdr:row>24</xdr:row>
      <xdr:rowOff>123827</xdr:rowOff>
    </xdr:to>
    <xdr:grpSp>
      <xdr:nvGrpSpPr>
        <xdr:cNvPr id="15" name="Group 14">
          <a:extLst>
            <a:ext uri="{FF2B5EF4-FFF2-40B4-BE49-F238E27FC236}">
              <a16:creationId xmlns:a16="http://schemas.microsoft.com/office/drawing/2014/main" id="{00000000-0008-0000-0700-00000F000000}"/>
            </a:ext>
          </a:extLst>
        </xdr:cNvPr>
        <xdr:cNvGrpSpPr/>
      </xdr:nvGrpSpPr>
      <xdr:grpSpPr>
        <a:xfrm>
          <a:off x="66675" y="5343526"/>
          <a:ext cx="7362826" cy="1323976"/>
          <a:chOff x="8191500" y="5295900"/>
          <a:chExt cx="7362826" cy="1197883"/>
        </a:xfrm>
      </xdr:grpSpPr>
      <xdr:grpSp>
        <xdr:nvGrpSpPr>
          <xdr:cNvPr id="16" name="RENTAL_1">
            <a:extLst>
              <a:ext uri="{FF2B5EF4-FFF2-40B4-BE49-F238E27FC236}">
                <a16:creationId xmlns:a16="http://schemas.microsoft.com/office/drawing/2014/main" id="{00000000-0008-0000-0700-000010000000}"/>
              </a:ext>
            </a:extLst>
          </xdr:cNvPr>
          <xdr:cNvGrpSpPr/>
        </xdr:nvGrpSpPr>
        <xdr:grpSpPr>
          <a:xfrm>
            <a:off x="8191500" y="5295901"/>
            <a:ext cx="7362825" cy="1197882"/>
            <a:chOff x="8191500" y="4057651"/>
            <a:chExt cx="7362825" cy="1197882"/>
          </a:xfrm>
        </xdr:grpSpPr>
        <xdr:sp macro="" textlink="">
          <xdr:nvSpPr>
            <xdr:cNvPr id="18" name="RENTAL_1_SECTION_FRAME">
              <a:extLst>
                <a:ext uri="{FF2B5EF4-FFF2-40B4-BE49-F238E27FC236}">
                  <a16:creationId xmlns:a16="http://schemas.microsoft.com/office/drawing/2014/main" id="{00000000-0008-0000-0700-000012000000}"/>
                </a:ext>
              </a:extLst>
            </xdr:cNvPr>
            <xdr:cNvSpPr/>
          </xdr:nvSpPr>
          <xdr:spPr>
            <a:xfrm>
              <a:off x="8191500" y="4367099"/>
              <a:ext cx="7362825" cy="888434"/>
            </a:xfrm>
            <a:prstGeom prst="rect">
              <a:avLst/>
            </a:prstGeom>
            <a:no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endParaRPr lang="en-US" sz="1100"/>
            </a:p>
          </xdr:txBody>
        </xdr:sp>
        <xdr:sp macro="" textlink="B18">
          <xdr:nvSpPr>
            <xdr:cNvPr id="19" name="RENTAL_1_SECTION_TITLE">
              <a:extLst>
                <a:ext uri="{FF2B5EF4-FFF2-40B4-BE49-F238E27FC236}">
                  <a16:creationId xmlns:a16="http://schemas.microsoft.com/office/drawing/2014/main" id="{00000000-0008-0000-0700-000013000000}"/>
                </a:ext>
              </a:extLst>
            </xdr:cNvPr>
            <xdr:cNvSpPr/>
          </xdr:nvSpPr>
          <xdr:spPr>
            <a:xfrm>
              <a:off x="8191500" y="4057651"/>
              <a:ext cx="7360920" cy="311090"/>
            </a:xfrm>
            <a:prstGeom prst="rect">
              <a:avLst/>
            </a:prstGeom>
            <a:solidFill>
              <a:srgbClr val="9CACB9"/>
            </a:solid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l"/>
              <a:fld id="{41F85F06-3A35-4C2E-A513-A2CFAECED2A4}" type="TxLink">
                <a:rPr lang="en-US" sz="1100" b="1" i="0" u="none" strike="noStrike">
                  <a:solidFill>
                    <a:schemeClr val="bg1"/>
                  </a:solidFill>
                  <a:latin typeface="Calibri"/>
                </a:rPr>
                <a:pPr algn="l"/>
                <a:t>Federal Home Loan Bank of New York Member</a:t>
              </a:fld>
              <a:endParaRPr lang="en-US" sz="1100" b="1" i="0">
                <a:solidFill>
                  <a:schemeClr val="bg1"/>
                </a:solidFill>
              </a:endParaRPr>
            </a:p>
          </xdr:txBody>
        </xdr:sp>
        <xdr:sp macro="" textlink="$B$25">
          <xdr:nvSpPr>
            <xdr:cNvPr id="20" name="RENTAL_1_SECTION_SUBTITLE">
              <a:extLst>
                <a:ext uri="{FF2B5EF4-FFF2-40B4-BE49-F238E27FC236}">
                  <a16:creationId xmlns:a16="http://schemas.microsoft.com/office/drawing/2014/main" id="{00000000-0008-0000-0700-000014000000}"/>
                </a:ext>
              </a:extLst>
            </xdr:cNvPr>
            <xdr:cNvSpPr/>
          </xdr:nvSpPr>
          <xdr:spPr>
            <a:xfrm>
              <a:off x="8201025" y="4379110"/>
              <a:ext cx="7351776" cy="274320"/>
            </a:xfrm>
            <a:prstGeom prst="rect">
              <a:avLst/>
            </a:prstGeom>
            <a:solidFill>
              <a:schemeClr val="accent1">
                <a:lumMod val="20000"/>
                <a:lumOff val="80000"/>
              </a:schemeClr>
            </a:solidFill>
            <a:ln>
              <a:noFill/>
            </a:ln>
            <a:effectLst/>
          </xdr:spPr>
          <xdr:style>
            <a:lnRef idx="1">
              <a:schemeClr val="accent1"/>
            </a:lnRef>
            <a:fillRef idx="2">
              <a:schemeClr val="accent1"/>
            </a:fillRef>
            <a:effectRef idx="1">
              <a:schemeClr val="accent1"/>
            </a:effectRef>
            <a:fontRef idx="minor">
              <a:schemeClr val="dk1"/>
            </a:fontRef>
          </xdr:style>
          <xdr:txBody>
            <a:bodyPr vertOverflow="clip" lIns="457200" rtlCol="0" anchor="ctr"/>
            <a:lstStyle/>
            <a:p>
              <a:pPr algn="l"/>
              <a:fld id="{CCDC5A28-C611-4D0B-B4D7-393A7AD37E0E}" type="TxLink">
                <a:rPr lang="en-US" sz="900" b="0" i="0" u="none" strike="noStrike">
                  <a:solidFill>
                    <a:srgbClr val="000000"/>
                  </a:solidFill>
                  <a:latin typeface="Calibri"/>
                </a:rPr>
                <a:pPr algn="l"/>
                <a:t>Not Started</a:t>
              </a:fld>
              <a:endParaRPr lang="en-US" sz="1100" i="0"/>
            </a:p>
          </xdr:txBody>
        </xdr:sp>
        <xdr:sp macro="" textlink="">
          <xdr:nvSpPr>
            <xdr:cNvPr id="21" name="RENTAL_1_SECTION_SUBTITLE_LABEL">
              <a:extLst>
                <a:ext uri="{FF2B5EF4-FFF2-40B4-BE49-F238E27FC236}">
                  <a16:creationId xmlns:a16="http://schemas.microsoft.com/office/drawing/2014/main" id="{00000000-0008-0000-0700-000015000000}"/>
                </a:ext>
              </a:extLst>
            </xdr:cNvPr>
            <xdr:cNvSpPr txBox="1"/>
          </xdr:nvSpPr>
          <xdr:spPr>
            <a:xfrm>
              <a:off x="8296277" y="4379110"/>
              <a:ext cx="476249" cy="2743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tlCol="0" anchor="ctr">
              <a:noAutofit/>
            </a:bodyPr>
            <a:lstStyle/>
            <a:p>
              <a:r>
                <a:rPr lang="en-US" sz="900" b="1"/>
                <a:t>Status:</a:t>
              </a:r>
            </a:p>
          </xdr:txBody>
        </xdr:sp>
      </xdr:grpSp>
      <xdr:sp macro="" textlink="">
        <xdr:nvSpPr>
          <xdr:cNvPr id="17" name="LINK_RENTAL_TOC">
            <a:hlinkClick xmlns:r="http://schemas.openxmlformats.org/officeDocument/2006/relationships" r:id="rId6"/>
            <a:extLst>
              <a:ext uri="{FF2B5EF4-FFF2-40B4-BE49-F238E27FC236}">
                <a16:creationId xmlns:a16="http://schemas.microsoft.com/office/drawing/2014/main" id="{00000000-0008-0000-0700-000011000000}"/>
              </a:ext>
            </a:extLst>
          </xdr:cNvPr>
          <xdr:cNvSpPr/>
        </xdr:nvSpPr>
        <xdr:spPr>
          <a:xfrm>
            <a:off x="14525626" y="5295900"/>
            <a:ext cx="1028700" cy="30480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r"/>
            <a:r>
              <a:rPr lang="en-US" sz="1000" b="1" u="none">
                <a:solidFill>
                  <a:schemeClr val="bg1"/>
                </a:solidFill>
              </a:rPr>
              <a:t>Back</a:t>
            </a:r>
            <a:r>
              <a:rPr lang="en-US" sz="1000" b="1" u="none" baseline="0">
                <a:solidFill>
                  <a:schemeClr val="bg1"/>
                </a:solidFill>
              </a:rPr>
              <a:t> to Top ^</a:t>
            </a:r>
            <a:endParaRPr lang="en-US" sz="1000" b="1" u="none">
              <a:solidFill>
                <a:schemeClr val="bg1"/>
              </a:solidFill>
            </a:endParaRPr>
          </a:p>
        </xdr:txBody>
      </xdr:sp>
    </xdr:grpSp>
    <xdr:clientData fPrintsWithSheet="0"/>
  </xdr:twoCellAnchor>
  <xdr:twoCellAnchor editAs="oneCell">
    <xdr:from>
      <xdr:col>14</xdr:col>
      <xdr:colOff>3398</xdr:colOff>
      <xdr:row>0</xdr:row>
      <xdr:rowOff>71440</xdr:rowOff>
    </xdr:from>
    <xdr:to>
      <xdr:col>24</xdr:col>
      <xdr:colOff>98648</xdr:colOff>
      <xdr:row>0</xdr:row>
      <xdr:rowOff>469900</xdr:rowOff>
    </xdr:to>
    <xdr:sp macro="" textlink="$B$6">
      <xdr:nvSpPr>
        <xdr:cNvPr id="22" name="HEADER_BANNER_TITLE">
          <a:extLst>
            <a:ext uri="{FF2B5EF4-FFF2-40B4-BE49-F238E27FC236}">
              <a16:creationId xmlns:a16="http://schemas.microsoft.com/office/drawing/2014/main" id="{00000000-0008-0000-0700-000016000000}"/>
            </a:ext>
          </a:extLst>
        </xdr:cNvPr>
        <xdr:cNvSpPr txBox="1"/>
      </xdr:nvSpPr>
      <xdr:spPr>
        <a:xfrm>
          <a:off x="2994248" y="71440"/>
          <a:ext cx="4794250" cy="3984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Ins="0" rtlCol="0" anchor="ctr">
          <a:noAutofit/>
        </a:bodyPr>
        <a:lstStyle/>
        <a:p>
          <a:pPr algn="r"/>
          <a:fld id="{EB7A598A-0828-4A2E-81B0-26C15BB3F65D}" type="TxLink">
            <a:rPr lang="en-US" sz="1200" b="1" i="0" u="none" strike="noStrike">
              <a:solidFill>
                <a:sysClr val="windowText" lastClr="000000"/>
              </a:solidFill>
              <a:latin typeface="Calibri"/>
              <a:ea typeface="Calibri"/>
              <a:cs typeface="Calibri"/>
            </a:rPr>
            <a:pPr algn="r"/>
            <a:t>Homebuyer Dream Program Wealth Builder - 2026 Round</a:t>
          </a:fld>
          <a:endParaRPr lang="en-US" sz="1200" b="1" i="0">
            <a:solidFill>
              <a:sysClr val="windowText" lastClr="000000"/>
            </a:solidFill>
          </a:endParaRPr>
        </a:p>
      </xdr:txBody>
    </xdr:sp>
    <xdr:clientData/>
  </xdr:twoCellAnchor>
  <xdr:twoCellAnchor editAs="oneCell">
    <xdr:from>
      <xdr:col>7</xdr:col>
      <xdr:colOff>66675</xdr:colOff>
      <xdr:row>25</xdr:row>
      <xdr:rowOff>0</xdr:rowOff>
    </xdr:from>
    <xdr:to>
      <xdr:col>24</xdr:col>
      <xdr:colOff>104776</xdr:colOff>
      <xdr:row>47</xdr:row>
      <xdr:rowOff>114301</xdr:rowOff>
    </xdr:to>
    <xdr:grpSp>
      <xdr:nvGrpSpPr>
        <xdr:cNvPr id="23" name="Group 22">
          <a:extLst>
            <a:ext uri="{FF2B5EF4-FFF2-40B4-BE49-F238E27FC236}">
              <a16:creationId xmlns:a16="http://schemas.microsoft.com/office/drawing/2014/main" id="{00000000-0008-0000-0700-000017000000}"/>
            </a:ext>
          </a:extLst>
        </xdr:cNvPr>
        <xdr:cNvGrpSpPr/>
      </xdr:nvGrpSpPr>
      <xdr:grpSpPr>
        <a:xfrm>
          <a:off x="66675" y="6819900"/>
          <a:ext cx="7362826" cy="6191251"/>
          <a:chOff x="8191500" y="8343900"/>
          <a:chExt cx="7362826" cy="6705545"/>
        </a:xfrm>
      </xdr:grpSpPr>
      <xdr:grpSp>
        <xdr:nvGrpSpPr>
          <xdr:cNvPr id="24" name="RENTAL_2">
            <a:extLst>
              <a:ext uri="{FF2B5EF4-FFF2-40B4-BE49-F238E27FC236}">
                <a16:creationId xmlns:a16="http://schemas.microsoft.com/office/drawing/2014/main" id="{00000000-0008-0000-0700-000018000000}"/>
              </a:ext>
            </a:extLst>
          </xdr:cNvPr>
          <xdr:cNvGrpSpPr/>
        </xdr:nvGrpSpPr>
        <xdr:grpSpPr>
          <a:xfrm>
            <a:off x="8191500" y="8343901"/>
            <a:ext cx="7362825" cy="6705544"/>
            <a:chOff x="9353550" y="7334730"/>
            <a:chExt cx="7362825" cy="6368982"/>
          </a:xfrm>
        </xdr:grpSpPr>
        <xdr:sp macro="" textlink="">
          <xdr:nvSpPr>
            <xdr:cNvPr id="26" name="RENTAL_2_SECTION_FRAME">
              <a:extLst>
                <a:ext uri="{FF2B5EF4-FFF2-40B4-BE49-F238E27FC236}">
                  <a16:creationId xmlns:a16="http://schemas.microsoft.com/office/drawing/2014/main" id="{00000000-0008-0000-0700-00001A000000}"/>
                </a:ext>
              </a:extLst>
            </xdr:cNvPr>
            <xdr:cNvSpPr/>
          </xdr:nvSpPr>
          <xdr:spPr>
            <a:xfrm>
              <a:off x="9353550" y="7632465"/>
              <a:ext cx="7362825" cy="6071247"/>
            </a:xfrm>
            <a:prstGeom prst="rect">
              <a:avLst/>
            </a:prstGeom>
            <a:no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endParaRPr lang="en-US" sz="1100"/>
            </a:p>
          </xdr:txBody>
        </xdr:sp>
        <xdr:sp macro="" textlink="B30">
          <xdr:nvSpPr>
            <xdr:cNvPr id="27" name="RENTAL_2_SECTION_TITLE">
              <a:extLst>
                <a:ext uri="{FF2B5EF4-FFF2-40B4-BE49-F238E27FC236}">
                  <a16:creationId xmlns:a16="http://schemas.microsoft.com/office/drawing/2014/main" id="{00000000-0008-0000-0700-00001B000000}"/>
                </a:ext>
              </a:extLst>
            </xdr:cNvPr>
            <xdr:cNvSpPr/>
          </xdr:nvSpPr>
          <xdr:spPr>
            <a:xfrm>
              <a:off x="9353550" y="7334730"/>
              <a:ext cx="7360920" cy="338634"/>
            </a:xfrm>
            <a:prstGeom prst="rect">
              <a:avLst/>
            </a:prstGeom>
            <a:solidFill>
              <a:srgbClr val="9CACB9"/>
            </a:solid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l"/>
              <a:fld id="{F7EBC575-AB48-40AE-B3DF-C45D66875040}" type="TxLink">
                <a:rPr lang="en-US" sz="1100" b="1" i="0" u="none" strike="noStrike">
                  <a:solidFill>
                    <a:schemeClr val="bg1"/>
                  </a:solidFill>
                  <a:latin typeface="Calibri"/>
                </a:rPr>
                <a:pPr algn="l"/>
                <a:t>Household Information</a:t>
              </a:fld>
              <a:endParaRPr lang="en-US" sz="1100" b="1" i="0">
                <a:solidFill>
                  <a:schemeClr val="bg1"/>
                </a:solidFill>
              </a:endParaRPr>
            </a:p>
          </xdr:txBody>
        </xdr:sp>
        <xdr:sp macro="" textlink="$B$62">
          <xdr:nvSpPr>
            <xdr:cNvPr id="28" name="RENTAL_2_SECTION_SUBTITLE">
              <a:extLst>
                <a:ext uri="{FF2B5EF4-FFF2-40B4-BE49-F238E27FC236}">
                  <a16:creationId xmlns:a16="http://schemas.microsoft.com/office/drawing/2014/main" id="{00000000-0008-0000-0700-00001C000000}"/>
                </a:ext>
              </a:extLst>
            </xdr:cNvPr>
            <xdr:cNvSpPr/>
          </xdr:nvSpPr>
          <xdr:spPr>
            <a:xfrm>
              <a:off x="9363075" y="7690561"/>
              <a:ext cx="7351776" cy="257355"/>
            </a:xfrm>
            <a:prstGeom prst="rect">
              <a:avLst/>
            </a:prstGeom>
            <a:solidFill>
              <a:schemeClr val="accent1">
                <a:lumMod val="20000"/>
                <a:lumOff val="80000"/>
              </a:schemeClr>
            </a:solidFill>
            <a:ln>
              <a:noFill/>
            </a:ln>
            <a:effectLst/>
          </xdr:spPr>
          <xdr:style>
            <a:lnRef idx="1">
              <a:schemeClr val="accent1"/>
            </a:lnRef>
            <a:fillRef idx="2">
              <a:schemeClr val="accent1"/>
            </a:fillRef>
            <a:effectRef idx="1">
              <a:schemeClr val="accent1"/>
            </a:effectRef>
            <a:fontRef idx="minor">
              <a:schemeClr val="dk1"/>
            </a:fontRef>
          </xdr:style>
          <xdr:txBody>
            <a:bodyPr vertOverflow="clip" lIns="457200" rtlCol="0" anchor="ctr"/>
            <a:lstStyle/>
            <a:p>
              <a:pPr algn="l"/>
              <a:fld id="{105E12F8-653C-4DF9-8753-A54BD8A3A967}" type="TxLink">
                <a:rPr lang="en-US" sz="900" b="0" i="0" u="none" strike="noStrike">
                  <a:solidFill>
                    <a:srgbClr val="000000"/>
                  </a:solidFill>
                  <a:latin typeface="Calibri"/>
                </a:rPr>
                <a:pPr algn="l"/>
                <a:t>Not Started</a:t>
              </a:fld>
              <a:endParaRPr lang="en-US" sz="1100" i="0"/>
            </a:p>
          </xdr:txBody>
        </xdr:sp>
        <xdr:sp macro="" textlink="">
          <xdr:nvSpPr>
            <xdr:cNvPr id="29" name="RENTAL_2_SECTION_SUBTITLE_LABEL">
              <a:extLst>
                <a:ext uri="{FF2B5EF4-FFF2-40B4-BE49-F238E27FC236}">
                  <a16:creationId xmlns:a16="http://schemas.microsoft.com/office/drawing/2014/main" id="{00000000-0008-0000-0700-00001D000000}"/>
                </a:ext>
              </a:extLst>
            </xdr:cNvPr>
            <xdr:cNvSpPr txBox="1"/>
          </xdr:nvSpPr>
          <xdr:spPr>
            <a:xfrm>
              <a:off x="9458327" y="7690561"/>
              <a:ext cx="476249" cy="2573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tlCol="0" anchor="ctr">
              <a:noAutofit/>
            </a:bodyPr>
            <a:lstStyle/>
            <a:p>
              <a:r>
                <a:rPr lang="en-US" sz="900" b="1"/>
                <a:t>Status:</a:t>
              </a:r>
            </a:p>
          </xdr:txBody>
        </xdr:sp>
      </xdr:grpSp>
      <xdr:sp macro="" textlink="">
        <xdr:nvSpPr>
          <xdr:cNvPr id="25" name="LINK_RENTAL_TOC">
            <a:hlinkClick xmlns:r="http://schemas.openxmlformats.org/officeDocument/2006/relationships" r:id="rId6"/>
            <a:extLst>
              <a:ext uri="{FF2B5EF4-FFF2-40B4-BE49-F238E27FC236}">
                <a16:creationId xmlns:a16="http://schemas.microsoft.com/office/drawing/2014/main" id="{00000000-0008-0000-0700-000019000000}"/>
              </a:ext>
            </a:extLst>
          </xdr:cNvPr>
          <xdr:cNvSpPr/>
        </xdr:nvSpPr>
        <xdr:spPr>
          <a:xfrm>
            <a:off x="14525626" y="8343900"/>
            <a:ext cx="1028700" cy="30480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r"/>
            <a:r>
              <a:rPr lang="en-US" sz="1000" b="1" u="none">
                <a:solidFill>
                  <a:schemeClr val="bg1"/>
                </a:solidFill>
              </a:rPr>
              <a:t>Back</a:t>
            </a:r>
            <a:r>
              <a:rPr lang="en-US" sz="1000" b="1" u="none" baseline="0">
                <a:solidFill>
                  <a:schemeClr val="bg1"/>
                </a:solidFill>
              </a:rPr>
              <a:t> to Top ^</a:t>
            </a:r>
            <a:endParaRPr lang="en-US" sz="1000" b="1" u="none">
              <a:solidFill>
                <a:schemeClr val="bg1"/>
              </a:solidFill>
            </a:endParaRPr>
          </a:p>
        </xdr:txBody>
      </xdr:sp>
    </xdr:grpSp>
    <xdr:clientData fPrintsWithSheet="0"/>
  </xdr:twoCellAnchor>
  <xdr:twoCellAnchor editAs="oneCell">
    <xdr:from>
      <xdr:col>7</xdr:col>
      <xdr:colOff>66675</xdr:colOff>
      <xdr:row>47</xdr:row>
      <xdr:rowOff>238125</xdr:rowOff>
    </xdr:from>
    <xdr:to>
      <xdr:col>24</xdr:col>
      <xdr:colOff>114300</xdr:colOff>
      <xdr:row>68</xdr:row>
      <xdr:rowOff>63501</xdr:rowOff>
    </xdr:to>
    <xdr:grpSp>
      <xdr:nvGrpSpPr>
        <xdr:cNvPr id="30" name="Group 29">
          <a:extLst>
            <a:ext uri="{FF2B5EF4-FFF2-40B4-BE49-F238E27FC236}">
              <a16:creationId xmlns:a16="http://schemas.microsoft.com/office/drawing/2014/main" id="{00000000-0008-0000-0700-00001E000000}"/>
            </a:ext>
          </a:extLst>
        </xdr:cNvPr>
        <xdr:cNvGrpSpPr/>
      </xdr:nvGrpSpPr>
      <xdr:grpSpPr>
        <a:xfrm>
          <a:off x="66675" y="13134975"/>
          <a:ext cx="7372350" cy="5626101"/>
          <a:chOff x="8191500" y="11668127"/>
          <a:chExt cx="7372350" cy="5304254"/>
        </a:xfrm>
      </xdr:grpSpPr>
      <xdr:grpSp>
        <xdr:nvGrpSpPr>
          <xdr:cNvPr id="31" name="RENTAL_3">
            <a:extLst>
              <a:ext uri="{FF2B5EF4-FFF2-40B4-BE49-F238E27FC236}">
                <a16:creationId xmlns:a16="http://schemas.microsoft.com/office/drawing/2014/main" id="{00000000-0008-0000-0700-00001F000000}"/>
              </a:ext>
            </a:extLst>
          </xdr:cNvPr>
          <xdr:cNvGrpSpPr/>
        </xdr:nvGrpSpPr>
        <xdr:grpSpPr>
          <a:xfrm>
            <a:off x="8191500" y="11668127"/>
            <a:ext cx="7362825" cy="5304254"/>
            <a:chOff x="9353550" y="10677527"/>
            <a:chExt cx="7362825" cy="4991699"/>
          </a:xfrm>
        </xdr:grpSpPr>
        <xdr:sp macro="" textlink="">
          <xdr:nvSpPr>
            <xdr:cNvPr id="33" name="RENTAL_3_SECTION_FRAME">
              <a:extLst>
                <a:ext uri="{FF2B5EF4-FFF2-40B4-BE49-F238E27FC236}">
                  <a16:creationId xmlns:a16="http://schemas.microsoft.com/office/drawing/2014/main" id="{00000000-0008-0000-0700-000021000000}"/>
                </a:ext>
              </a:extLst>
            </xdr:cNvPr>
            <xdr:cNvSpPr/>
          </xdr:nvSpPr>
          <xdr:spPr>
            <a:xfrm>
              <a:off x="9353550" y="10971290"/>
              <a:ext cx="7362825" cy="4697936"/>
            </a:xfrm>
            <a:prstGeom prst="rect">
              <a:avLst/>
            </a:prstGeom>
            <a:no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endParaRPr lang="en-US" sz="1100"/>
            </a:p>
          </xdr:txBody>
        </xdr:sp>
        <xdr:sp macro="" textlink="$B$69">
          <xdr:nvSpPr>
            <xdr:cNvPr id="34" name="RENTAL_3_SECTION_TITLE">
              <a:extLst>
                <a:ext uri="{FF2B5EF4-FFF2-40B4-BE49-F238E27FC236}">
                  <a16:creationId xmlns:a16="http://schemas.microsoft.com/office/drawing/2014/main" id="{00000000-0008-0000-0700-000022000000}"/>
                </a:ext>
              </a:extLst>
            </xdr:cNvPr>
            <xdr:cNvSpPr/>
          </xdr:nvSpPr>
          <xdr:spPr>
            <a:xfrm>
              <a:off x="9353550" y="10677527"/>
              <a:ext cx="7360920" cy="289884"/>
            </a:xfrm>
            <a:prstGeom prst="rect">
              <a:avLst/>
            </a:prstGeom>
            <a:solidFill>
              <a:srgbClr val="9CACB9"/>
            </a:solid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l"/>
              <a:fld id="{E5F0481B-FAA3-4CC6-BC46-194342DDD317}" type="TxLink">
                <a:rPr lang="en-US" sz="1100" b="1" i="0" u="none" strike="noStrike">
                  <a:solidFill>
                    <a:schemeClr val="bg1"/>
                  </a:solidFill>
                  <a:latin typeface="Calibri"/>
                </a:rPr>
                <a:pPr algn="l"/>
                <a:t>Grant Summary</a:t>
              </a:fld>
              <a:endParaRPr lang="en-US" sz="1100" b="1" i="0" u="none" strike="noStrike">
                <a:solidFill>
                  <a:schemeClr val="bg1"/>
                </a:solidFill>
                <a:latin typeface="Calibri"/>
              </a:endParaRPr>
            </a:p>
          </xdr:txBody>
        </xdr:sp>
        <xdr:sp macro="" textlink="$B$88">
          <xdr:nvSpPr>
            <xdr:cNvPr id="35" name="RENTAL_3_SECTION_SUBTITLE">
              <a:extLst>
                <a:ext uri="{FF2B5EF4-FFF2-40B4-BE49-F238E27FC236}">
                  <a16:creationId xmlns:a16="http://schemas.microsoft.com/office/drawing/2014/main" id="{00000000-0008-0000-0700-000023000000}"/>
                </a:ext>
              </a:extLst>
            </xdr:cNvPr>
            <xdr:cNvSpPr/>
          </xdr:nvSpPr>
          <xdr:spPr>
            <a:xfrm>
              <a:off x="9363075" y="10973444"/>
              <a:ext cx="7351776" cy="255780"/>
            </a:xfrm>
            <a:prstGeom prst="rect">
              <a:avLst/>
            </a:prstGeom>
            <a:solidFill>
              <a:schemeClr val="accent1">
                <a:lumMod val="20000"/>
                <a:lumOff val="80000"/>
              </a:schemeClr>
            </a:solidFill>
            <a:ln>
              <a:noFill/>
            </a:ln>
            <a:effectLst/>
          </xdr:spPr>
          <xdr:style>
            <a:lnRef idx="1">
              <a:schemeClr val="accent1"/>
            </a:lnRef>
            <a:fillRef idx="2">
              <a:schemeClr val="accent1"/>
            </a:fillRef>
            <a:effectRef idx="1">
              <a:schemeClr val="accent1"/>
            </a:effectRef>
            <a:fontRef idx="minor">
              <a:schemeClr val="dk1"/>
            </a:fontRef>
          </xdr:style>
          <xdr:txBody>
            <a:bodyPr vertOverflow="clip" lIns="457200" rtlCol="0" anchor="ctr"/>
            <a:lstStyle/>
            <a:p>
              <a:pPr algn="l"/>
              <a:fld id="{AC7DE13B-4CF9-4B53-B058-CF26A2B7D8EE}" type="TxLink">
                <a:rPr lang="en-US" sz="900" b="0" i="0" u="none" strike="noStrike">
                  <a:solidFill>
                    <a:srgbClr val="000000"/>
                  </a:solidFill>
                  <a:latin typeface="Calibri"/>
                </a:rPr>
                <a:pPr algn="l"/>
                <a:t>Not Started</a:t>
              </a:fld>
              <a:endParaRPr lang="en-US" sz="1100" i="0"/>
            </a:p>
          </xdr:txBody>
        </xdr:sp>
        <xdr:sp macro="" textlink="">
          <xdr:nvSpPr>
            <xdr:cNvPr id="36" name="RENTAL_3_SECTION_SUBTITLE_LABEL">
              <a:extLst>
                <a:ext uri="{FF2B5EF4-FFF2-40B4-BE49-F238E27FC236}">
                  <a16:creationId xmlns:a16="http://schemas.microsoft.com/office/drawing/2014/main" id="{00000000-0008-0000-0700-000024000000}"/>
                </a:ext>
              </a:extLst>
            </xdr:cNvPr>
            <xdr:cNvSpPr txBox="1"/>
          </xdr:nvSpPr>
          <xdr:spPr>
            <a:xfrm>
              <a:off x="9458327" y="10973444"/>
              <a:ext cx="476249" cy="2557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tlCol="0" anchor="ctr">
              <a:noAutofit/>
            </a:bodyPr>
            <a:lstStyle/>
            <a:p>
              <a:r>
                <a:rPr lang="en-US" sz="900" b="1"/>
                <a:t>Status:</a:t>
              </a:r>
            </a:p>
          </xdr:txBody>
        </xdr:sp>
      </xdr:grpSp>
      <xdr:sp macro="" textlink="">
        <xdr:nvSpPr>
          <xdr:cNvPr id="32" name="LINK_RENTAL_TOC">
            <a:hlinkClick xmlns:r="http://schemas.openxmlformats.org/officeDocument/2006/relationships" r:id="rId6"/>
            <a:extLst>
              <a:ext uri="{FF2B5EF4-FFF2-40B4-BE49-F238E27FC236}">
                <a16:creationId xmlns:a16="http://schemas.microsoft.com/office/drawing/2014/main" id="{00000000-0008-0000-0700-000020000000}"/>
              </a:ext>
            </a:extLst>
          </xdr:cNvPr>
          <xdr:cNvSpPr/>
        </xdr:nvSpPr>
        <xdr:spPr>
          <a:xfrm>
            <a:off x="14535150" y="11677650"/>
            <a:ext cx="1028700" cy="30480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r"/>
            <a:r>
              <a:rPr lang="en-US" sz="1000" b="1" u="none">
                <a:solidFill>
                  <a:schemeClr val="bg1"/>
                </a:solidFill>
              </a:rPr>
              <a:t>Back</a:t>
            </a:r>
            <a:r>
              <a:rPr lang="en-US" sz="1000" b="1" u="none" baseline="0">
                <a:solidFill>
                  <a:schemeClr val="bg1"/>
                </a:solidFill>
              </a:rPr>
              <a:t> to Top ^</a:t>
            </a:r>
            <a:endParaRPr lang="en-US" sz="1000" b="1" u="none">
              <a:solidFill>
                <a:schemeClr val="bg1"/>
              </a:solidFill>
            </a:endParaRPr>
          </a:p>
        </xdr:txBody>
      </xdr:sp>
    </xdr:grpSp>
    <xdr:clientData fPrintsWithSheet="0"/>
  </xdr:twoCellAnchor>
  <xdr:twoCellAnchor editAs="oneCell">
    <xdr:from>
      <xdr:col>7</xdr:col>
      <xdr:colOff>66675</xdr:colOff>
      <xdr:row>68</xdr:row>
      <xdr:rowOff>228598</xdr:rowOff>
    </xdr:from>
    <xdr:to>
      <xdr:col>24</xdr:col>
      <xdr:colOff>104775</xdr:colOff>
      <xdr:row>79</xdr:row>
      <xdr:rowOff>85728</xdr:rowOff>
    </xdr:to>
    <xdr:grpSp>
      <xdr:nvGrpSpPr>
        <xdr:cNvPr id="37" name="Group 36">
          <a:extLst>
            <a:ext uri="{FF2B5EF4-FFF2-40B4-BE49-F238E27FC236}">
              <a16:creationId xmlns:a16="http://schemas.microsoft.com/office/drawing/2014/main" id="{00000000-0008-0000-0700-000025000000}"/>
            </a:ext>
          </a:extLst>
        </xdr:cNvPr>
        <xdr:cNvGrpSpPr/>
      </xdr:nvGrpSpPr>
      <xdr:grpSpPr>
        <a:xfrm>
          <a:off x="66675" y="18926173"/>
          <a:ext cx="7362825" cy="2895605"/>
          <a:chOff x="8191500" y="14963771"/>
          <a:chExt cx="7362825" cy="2895605"/>
        </a:xfrm>
      </xdr:grpSpPr>
      <xdr:grpSp>
        <xdr:nvGrpSpPr>
          <xdr:cNvPr id="38" name="RENTAL_4">
            <a:extLst>
              <a:ext uri="{FF2B5EF4-FFF2-40B4-BE49-F238E27FC236}">
                <a16:creationId xmlns:a16="http://schemas.microsoft.com/office/drawing/2014/main" id="{00000000-0008-0000-0700-000026000000}"/>
              </a:ext>
            </a:extLst>
          </xdr:cNvPr>
          <xdr:cNvGrpSpPr/>
        </xdr:nvGrpSpPr>
        <xdr:grpSpPr>
          <a:xfrm>
            <a:off x="8191500" y="14963771"/>
            <a:ext cx="7362825" cy="2895605"/>
            <a:chOff x="9363075" y="13992996"/>
            <a:chExt cx="7362825" cy="2660388"/>
          </a:xfrm>
        </xdr:grpSpPr>
        <xdr:sp macro="" textlink="">
          <xdr:nvSpPr>
            <xdr:cNvPr id="40" name="RENTAL_4_SECTION_FRAME">
              <a:extLst>
                <a:ext uri="{FF2B5EF4-FFF2-40B4-BE49-F238E27FC236}">
                  <a16:creationId xmlns:a16="http://schemas.microsoft.com/office/drawing/2014/main" id="{00000000-0008-0000-0700-000028000000}"/>
                </a:ext>
              </a:extLst>
            </xdr:cNvPr>
            <xdr:cNvSpPr/>
          </xdr:nvSpPr>
          <xdr:spPr>
            <a:xfrm>
              <a:off x="9363075" y="14291730"/>
              <a:ext cx="7362825" cy="2361654"/>
            </a:xfrm>
            <a:prstGeom prst="rect">
              <a:avLst/>
            </a:prstGeom>
            <a:no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endParaRPr lang="en-US" sz="1100"/>
            </a:p>
          </xdr:txBody>
        </xdr:sp>
        <xdr:sp macro="" textlink="$B$94">
          <xdr:nvSpPr>
            <xdr:cNvPr id="41" name="RENTAL_4_SECTION_TITLE">
              <a:extLst>
                <a:ext uri="{FF2B5EF4-FFF2-40B4-BE49-F238E27FC236}">
                  <a16:creationId xmlns:a16="http://schemas.microsoft.com/office/drawing/2014/main" id="{00000000-0008-0000-0700-000029000000}"/>
                </a:ext>
              </a:extLst>
            </xdr:cNvPr>
            <xdr:cNvSpPr/>
          </xdr:nvSpPr>
          <xdr:spPr>
            <a:xfrm>
              <a:off x="9363075" y="13992996"/>
              <a:ext cx="7360920" cy="285641"/>
            </a:xfrm>
            <a:prstGeom prst="rect">
              <a:avLst/>
            </a:prstGeom>
            <a:solidFill>
              <a:srgbClr val="9CACB9"/>
            </a:solid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l"/>
              <a:fld id="{1C87D710-882F-4EA8-810D-76AA4F2BFC65}" type="TxLink">
                <a:rPr lang="en-US" sz="1100" b="1" i="0" u="none" strike="noStrike">
                  <a:solidFill>
                    <a:schemeClr val="bg1"/>
                  </a:solidFill>
                  <a:latin typeface="Calibri"/>
                </a:rPr>
                <a:pPr algn="l"/>
                <a:t>Purchase Property</a:t>
              </a:fld>
              <a:endParaRPr lang="en-US" sz="1100" b="1" i="0" u="none" strike="noStrike">
                <a:solidFill>
                  <a:schemeClr val="bg1"/>
                </a:solidFill>
                <a:latin typeface="Calibri"/>
              </a:endParaRPr>
            </a:p>
          </xdr:txBody>
        </xdr:sp>
        <xdr:sp macro="" textlink="$B$112">
          <xdr:nvSpPr>
            <xdr:cNvPr id="42" name="RENTAL_4_SECTION_SUBTITLE">
              <a:extLst>
                <a:ext uri="{FF2B5EF4-FFF2-40B4-BE49-F238E27FC236}">
                  <a16:creationId xmlns:a16="http://schemas.microsoft.com/office/drawing/2014/main" id="{00000000-0008-0000-0700-00002A000000}"/>
                </a:ext>
              </a:extLst>
            </xdr:cNvPr>
            <xdr:cNvSpPr/>
          </xdr:nvSpPr>
          <xdr:spPr>
            <a:xfrm>
              <a:off x="9372600" y="14297025"/>
              <a:ext cx="7351776" cy="252036"/>
            </a:xfrm>
            <a:prstGeom prst="rect">
              <a:avLst/>
            </a:prstGeom>
            <a:solidFill>
              <a:schemeClr val="accent1">
                <a:lumMod val="20000"/>
                <a:lumOff val="80000"/>
              </a:schemeClr>
            </a:solidFill>
            <a:ln>
              <a:noFill/>
            </a:ln>
            <a:effectLst/>
          </xdr:spPr>
          <xdr:style>
            <a:lnRef idx="1">
              <a:schemeClr val="accent1"/>
            </a:lnRef>
            <a:fillRef idx="2">
              <a:schemeClr val="accent1"/>
            </a:fillRef>
            <a:effectRef idx="1">
              <a:schemeClr val="accent1"/>
            </a:effectRef>
            <a:fontRef idx="minor">
              <a:schemeClr val="dk1"/>
            </a:fontRef>
          </xdr:style>
          <xdr:txBody>
            <a:bodyPr vertOverflow="clip" lIns="457200" rtlCol="0" anchor="ctr"/>
            <a:lstStyle/>
            <a:p>
              <a:pPr algn="l"/>
              <a:fld id="{4224E38E-FD2B-4D43-9985-507D8E54C645}" type="TxLink">
                <a:rPr lang="en-US" sz="900" b="0" i="0" u="none" strike="noStrike">
                  <a:solidFill>
                    <a:srgbClr val="000000"/>
                  </a:solidFill>
                  <a:latin typeface="Calibri"/>
                </a:rPr>
                <a:pPr algn="l"/>
                <a:t>Not Started</a:t>
              </a:fld>
              <a:endParaRPr lang="en-US" sz="1100" i="0"/>
            </a:p>
          </xdr:txBody>
        </xdr:sp>
        <xdr:sp macro="" textlink="">
          <xdr:nvSpPr>
            <xdr:cNvPr id="43" name="RENTAL_4_SECTION_SUBTITLE_LABEL">
              <a:extLst>
                <a:ext uri="{FF2B5EF4-FFF2-40B4-BE49-F238E27FC236}">
                  <a16:creationId xmlns:a16="http://schemas.microsoft.com/office/drawing/2014/main" id="{00000000-0008-0000-0700-00002B000000}"/>
                </a:ext>
              </a:extLst>
            </xdr:cNvPr>
            <xdr:cNvSpPr txBox="1"/>
          </xdr:nvSpPr>
          <xdr:spPr>
            <a:xfrm>
              <a:off x="9467852" y="14297025"/>
              <a:ext cx="476249" cy="252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tlCol="0" anchor="ctr">
              <a:noAutofit/>
            </a:bodyPr>
            <a:lstStyle/>
            <a:p>
              <a:r>
                <a:rPr lang="en-US" sz="900" b="1"/>
                <a:t>Status:</a:t>
              </a:r>
            </a:p>
          </xdr:txBody>
        </xdr:sp>
      </xdr:grpSp>
      <xdr:sp macro="" textlink="">
        <xdr:nvSpPr>
          <xdr:cNvPr id="39" name="LINK_RENTAL_TOC">
            <a:hlinkClick xmlns:r="http://schemas.openxmlformats.org/officeDocument/2006/relationships" r:id="rId6"/>
            <a:extLst>
              <a:ext uri="{FF2B5EF4-FFF2-40B4-BE49-F238E27FC236}">
                <a16:creationId xmlns:a16="http://schemas.microsoft.com/office/drawing/2014/main" id="{00000000-0008-0000-0700-000027000000}"/>
              </a:ext>
            </a:extLst>
          </xdr:cNvPr>
          <xdr:cNvSpPr/>
        </xdr:nvSpPr>
        <xdr:spPr>
          <a:xfrm>
            <a:off x="14525625" y="14973300"/>
            <a:ext cx="1028700" cy="30480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r"/>
            <a:r>
              <a:rPr lang="en-US" sz="1000" b="1" u="none">
                <a:solidFill>
                  <a:schemeClr val="bg1"/>
                </a:solidFill>
              </a:rPr>
              <a:t>Back</a:t>
            </a:r>
            <a:r>
              <a:rPr lang="en-US" sz="1000" b="1" u="none" baseline="0">
                <a:solidFill>
                  <a:schemeClr val="bg1"/>
                </a:solidFill>
              </a:rPr>
              <a:t> to Top ^</a:t>
            </a:r>
            <a:endParaRPr lang="en-US" sz="1000" b="1" u="none">
              <a:solidFill>
                <a:schemeClr val="bg1"/>
              </a:solidFill>
            </a:endParaRPr>
          </a:p>
        </xdr:txBody>
      </xdr:sp>
    </xdr:grpSp>
    <xdr:clientData fPrintsWithSheet="0"/>
  </xdr:twoCellAnchor>
  <xdr:twoCellAnchor editAs="oneCell">
    <xdr:from>
      <xdr:col>7</xdr:col>
      <xdr:colOff>66675</xdr:colOff>
      <xdr:row>79</xdr:row>
      <xdr:rowOff>247650</xdr:rowOff>
    </xdr:from>
    <xdr:to>
      <xdr:col>24</xdr:col>
      <xdr:colOff>104775</xdr:colOff>
      <xdr:row>105</xdr:row>
      <xdr:rowOff>85725</xdr:rowOff>
    </xdr:to>
    <xdr:grpSp>
      <xdr:nvGrpSpPr>
        <xdr:cNvPr id="44" name="Group 43">
          <a:extLst>
            <a:ext uri="{FF2B5EF4-FFF2-40B4-BE49-F238E27FC236}">
              <a16:creationId xmlns:a16="http://schemas.microsoft.com/office/drawing/2014/main" id="{00000000-0008-0000-0700-00002C000000}"/>
            </a:ext>
          </a:extLst>
        </xdr:cNvPr>
        <xdr:cNvGrpSpPr/>
      </xdr:nvGrpSpPr>
      <xdr:grpSpPr>
        <a:xfrm>
          <a:off x="66675" y="21983700"/>
          <a:ext cx="7362825" cy="7019925"/>
          <a:chOff x="8191500" y="18297525"/>
          <a:chExt cx="7362825" cy="7019925"/>
        </a:xfrm>
      </xdr:grpSpPr>
      <xdr:grpSp>
        <xdr:nvGrpSpPr>
          <xdr:cNvPr id="45" name="RENTAL_5">
            <a:extLst>
              <a:ext uri="{FF2B5EF4-FFF2-40B4-BE49-F238E27FC236}">
                <a16:creationId xmlns:a16="http://schemas.microsoft.com/office/drawing/2014/main" id="{00000000-0008-0000-0700-00002D000000}"/>
              </a:ext>
            </a:extLst>
          </xdr:cNvPr>
          <xdr:cNvGrpSpPr/>
        </xdr:nvGrpSpPr>
        <xdr:grpSpPr>
          <a:xfrm>
            <a:off x="8191500" y="18297527"/>
            <a:ext cx="7362825" cy="7019923"/>
            <a:chOff x="9363075" y="17297252"/>
            <a:chExt cx="7362825" cy="7194667"/>
          </a:xfrm>
        </xdr:grpSpPr>
        <xdr:sp macro="" textlink="">
          <xdr:nvSpPr>
            <xdr:cNvPr id="47" name="RENTAL_5_SECTION_FRAME">
              <a:extLst>
                <a:ext uri="{FF2B5EF4-FFF2-40B4-BE49-F238E27FC236}">
                  <a16:creationId xmlns:a16="http://schemas.microsoft.com/office/drawing/2014/main" id="{00000000-0008-0000-0700-00002F000000}"/>
                </a:ext>
              </a:extLst>
            </xdr:cNvPr>
            <xdr:cNvSpPr/>
          </xdr:nvSpPr>
          <xdr:spPr>
            <a:xfrm>
              <a:off x="9363075" y="17617605"/>
              <a:ext cx="7362825" cy="6874314"/>
            </a:xfrm>
            <a:prstGeom prst="rect">
              <a:avLst/>
            </a:prstGeom>
            <a:no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endParaRPr lang="en-US" sz="1100"/>
            </a:p>
          </xdr:txBody>
        </xdr:sp>
        <xdr:sp macro="" textlink="$B$118">
          <xdr:nvSpPr>
            <xdr:cNvPr id="48" name="RENTAL_5_SECTION_TITLE">
              <a:extLst>
                <a:ext uri="{FF2B5EF4-FFF2-40B4-BE49-F238E27FC236}">
                  <a16:creationId xmlns:a16="http://schemas.microsoft.com/office/drawing/2014/main" id="{00000000-0008-0000-0700-000030000000}"/>
                </a:ext>
              </a:extLst>
            </xdr:cNvPr>
            <xdr:cNvSpPr/>
          </xdr:nvSpPr>
          <xdr:spPr>
            <a:xfrm>
              <a:off x="9363075" y="17297252"/>
              <a:ext cx="7360920" cy="312329"/>
            </a:xfrm>
            <a:prstGeom prst="rect">
              <a:avLst/>
            </a:prstGeom>
            <a:solidFill>
              <a:srgbClr val="9CACB9"/>
            </a:solid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l"/>
              <a:fld id="{EFEBC25B-7A00-49A1-B18C-0C8499BCDCC4}" type="TxLink">
                <a:rPr lang="en-US" sz="1100" b="1" i="0" u="none" strike="noStrike">
                  <a:solidFill>
                    <a:schemeClr val="bg1"/>
                  </a:solidFill>
                  <a:latin typeface="Calibri"/>
                </a:rPr>
                <a:pPr algn="l"/>
                <a:t>Household Qualification</a:t>
              </a:fld>
              <a:endParaRPr lang="en-US" sz="1100" b="1" i="0" u="none" strike="noStrike">
                <a:solidFill>
                  <a:schemeClr val="bg1"/>
                </a:solidFill>
                <a:latin typeface="Calibri"/>
              </a:endParaRPr>
            </a:p>
          </xdr:txBody>
        </xdr:sp>
        <xdr:sp macro="" textlink="$B$137">
          <xdr:nvSpPr>
            <xdr:cNvPr id="49" name="RENTAL_5_SECTION_SUBTITLE">
              <a:extLst>
                <a:ext uri="{FF2B5EF4-FFF2-40B4-BE49-F238E27FC236}">
                  <a16:creationId xmlns:a16="http://schemas.microsoft.com/office/drawing/2014/main" id="{00000000-0008-0000-0700-000031000000}"/>
                </a:ext>
              </a:extLst>
            </xdr:cNvPr>
            <xdr:cNvSpPr/>
          </xdr:nvSpPr>
          <xdr:spPr>
            <a:xfrm>
              <a:off x="9372598" y="17621098"/>
              <a:ext cx="7351776" cy="278553"/>
            </a:xfrm>
            <a:prstGeom prst="rect">
              <a:avLst/>
            </a:prstGeom>
            <a:solidFill>
              <a:schemeClr val="accent1">
                <a:lumMod val="20000"/>
                <a:lumOff val="80000"/>
              </a:schemeClr>
            </a:solidFill>
            <a:ln>
              <a:noFill/>
            </a:ln>
            <a:effectLst/>
          </xdr:spPr>
          <xdr:style>
            <a:lnRef idx="1">
              <a:schemeClr val="accent1"/>
            </a:lnRef>
            <a:fillRef idx="2">
              <a:schemeClr val="accent1"/>
            </a:fillRef>
            <a:effectRef idx="1">
              <a:schemeClr val="accent1"/>
            </a:effectRef>
            <a:fontRef idx="minor">
              <a:schemeClr val="dk1"/>
            </a:fontRef>
          </xdr:style>
          <xdr:txBody>
            <a:bodyPr vertOverflow="clip" lIns="457200" rtlCol="0" anchor="ctr"/>
            <a:lstStyle/>
            <a:p>
              <a:pPr algn="l"/>
              <a:fld id="{ADBC2A39-60A8-4CFF-858A-1F847464B22E}" type="TxLink">
                <a:rPr lang="en-US" sz="900" b="0" i="0" u="none" strike="noStrike">
                  <a:solidFill>
                    <a:srgbClr val="000000"/>
                  </a:solidFill>
                  <a:latin typeface="Calibri"/>
                </a:rPr>
                <a:pPr algn="l"/>
                <a:t>Not Started</a:t>
              </a:fld>
              <a:endParaRPr lang="en-US" sz="1100" i="0"/>
            </a:p>
          </xdr:txBody>
        </xdr:sp>
        <xdr:sp macro="" textlink="">
          <xdr:nvSpPr>
            <xdr:cNvPr id="50" name="RENTAL_5_SECTION_SUBTITLE_LABEL">
              <a:extLst>
                <a:ext uri="{FF2B5EF4-FFF2-40B4-BE49-F238E27FC236}">
                  <a16:creationId xmlns:a16="http://schemas.microsoft.com/office/drawing/2014/main" id="{00000000-0008-0000-0700-000032000000}"/>
                </a:ext>
              </a:extLst>
            </xdr:cNvPr>
            <xdr:cNvSpPr txBox="1"/>
          </xdr:nvSpPr>
          <xdr:spPr>
            <a:xfrm>
              <a:off x="9467850" y="17621098"/>
              <a:ext cx="476249" cy="2785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tlCol="0" anchor="ctr">
              <a:noAutofit/>
            </a:bodyPr>
            <a:lstStyle/>
            <a:p>
              <a:r>
                <a:rPr lang="en-US" sz="900" b="1"/>
                <a:t>Status:</a:t>
              </a:r>
            </a:p>
          </xdr:txBody>
        </xdr:sp>
      </xdr:grpSp>
      <xdr:sp macro="" textlink="">
        <xdr:nvSpPr>
          <xdr:cNvPr id="46" name="LINK_RENTAL_TOC">
            <a:hlinkClick xmlns:r="http://schemas.openxmlformats.org/officeDocument/2006/relationships" r:id="rId6"/>
            <a:extLst>
              <a:ext uri="{FF2B5EF4-FFF2-40B4-BE49-F238E27FC236}">
                <a16:creationId xmlns:a16="http://schemas.microsoft.com/office/drawing/2014/main" id="{00000000-0008-0000-0700-00002E000000}"/>
              </a:ext>
            </a:extLst>
          </xdr:cNvPr>
          <xdr:cNvSpPr/>
        </xdr:nvSpPr>
        <xdr:spPr>
          <a:xfrm>
            <a:off x="14525625" y="18297525"/>
            <a:ext cx="1028700" cy="30480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r"/>
            <a:r>
              <a:rPr lang="en-US" sz="1000" b="1" u="none">
                <a:solidFill>
                  <a:schemeClr val="bg1"/>
                </a:solidFill>
              </a:rPr>
              <a:t>Back</a:t>
            </a:r>
            <a:r>
              <a:rPr lang="en-US" sz="1000" b="1" u="none" baseline="0">
                <a:solidFill>
                  <a:schemeClr val="bg1"/>
                </a:solidFill>
              </a:rPr>
              <a:t> to Top ^</a:t>
            </a:r>
            <a:endParaRPr lang="en-US" sz="1000" b="1" u="none">
              <a:solidFill>
                <a:schemeClr val="bg1"/>
              </a:solidFill>
            </a:endParaRPr>
          </a:p>
        </xdr:txBody>
      </xdr:sp>
    </xdr:grpSp>
    <xdr:clientData fPrintsWithSheet="0"/>
  </xdr:twoCellAnchor>
  <xdr:twoCellAnchor editAs="oneCell">
    <xdr:from>
      <xdr:col>20</xdr:col>
      <xdr:colOff>66675</xdr:colOff>
      <xdr:row>2</xdr:row>
      <xdr:rowOff>9525</xdr:rowOff>
    </xdr:from>
    <xdr:to>
      <xdr:col>24</xdr:col>
      <xdr:colOff>109538</xdr:colOff>
      <xdr:row>3</xdr:row>
      <xdr:rowOff>1905</xdr:rowOff>
    </xdr:to>
    <xdr:sp macro="" textlink="$B$7">
      <xdr:nvSpPr>
        <xdr:cNvPr id="51" name="HEADER_BANNER_SUBTITLE">
          <a:extLst>
            <a:ext uri="{FF2B5EF4-FFF2-40B4-BE49-F238E27FC236}">
              <a16:creationId xmlns:a16="http://schemas.microsoft.com/office/drawing/2014/main" id="{00000000-0008-0000-0700-000033000000}"/>
            </a:ext>
          </a:extLst>
        </xdr:cNvPr>
        <xdr:cNvSpPr txBox="1"/>
      </xdr:nvSpPr>
      <xdr:spPr>
        <a:xfrm>
          <a:off x="5876925" y="561975"/>
          <a:ext cx="1922463" cy="182880"/>
        </a:xfrm>
        <a:prstGeom prst="rect">
          <a:avLst/>
        </a:prstGeom>
        <a:solidFill>
          <a:srgbClr val="00305E"/>
        </a:solidFill>
      </xdr:spPr>
      <xdr:style>
        <a:lnRef idx="0">
          <a:scrgbClr r="0" g="0" b="0"/>
        </a:lnRef>
        <a:fillRef idx="0">
          <a:scrgbClr r="0" g="0" b="0"/>
        </a:fillRef>
        <a:effectRef idx="0">
          <a:scrgbClr r="0" g="0" b="0"/>
        </a:effectRef>
        <a:fontRef idx="minor">
          <a:schemeClr val="tx1"/>
        </a:fontRef>
      </xdr:style>
      <xdr:txBody>
        <a:bodyPr vertOverflow="clip" wrap="square" rtlCol="0" anchor="ctr">
          <a:noAutofit/>
        </a:bodyPr>
        <a:lstStyle/>
        <a:p>
          <a:pPr algn="ctr"/>
          <a:fld id="{4B39128B-4B37-4567-8AC7-02473171A03C}" type="TxLink">
            <a:rPr lang="en-US" sz="800" b="1" i="0" u="none" strike="noStrike">
              <a:solidFill>
                <a:schemeClr val="bg1"/>
              </a:solidFill>
              <a:latin typeface="Calibri"/>
              <a:ea typeface="Calibri"/>
              <a:cs typeface="Calibri"/>
            </a:rPr>
            <a:pPr algn="ctr"/>
            <a:t>New Household Reservation Request</a:t>
          </a:fld>
          <a:endParaRPr lang="en-US" sz="800" b="1" i="0" u="none" strike="noStrike">
            <a:solidFill>
              <a:schemeClr val="bg1"/>
            </a:solidFill>
            <a:latin typeface="Calibri"/>
          </a:endParaRPr>
        </a:p>
      </xdr:txBody>
    </xdr:sp>
    <xdr:clientData/>
  </xdr:twoCellAnchor>
  <xdr:twoCellAnchor editAs="oneCell">
    <xdr:from>
      <xdr:col>7</xdr:col>
      <xdr:colOff>28574</xdr:colOff>
      <xdr:row>0</xdr:row>
      <xdr:rowOff>37735</xdr:rowOff>
    </xdr:from>
    <xdr:to>
      <xdr:col>10</xdr:col>
      <xdr:colOff>299467</xdr:colOff>
      <xdr:row>0</xdr:row>
      <xdr:rowOff>480458</xdr:rowOff>
    </xdr:to>
    <xdr:pic>
      <xdr:nvPicPr>
        <xdr:cNvPr id="52" name="FHLBNY_LOGO" descr="Medium.gif">
          <a:extLst>
            <a:ext uri="{FF2B5EF4-FFF2-40B4-BE49-F238E27FC236}">
              <a16:creationId xmlns:a16="http://schemas.microsoft.com/office/drawing/2014/main" id="{00000000-0008-0000-0700-000034000000}"/>
            </a:ext>
          </a:extLst>
        </xdr:cNvPr>
        <xdr:cNvPicPr>
          <a:picLocks noChangeAspect="1"/>
        </xdr:cNvPicPr>
      </xdr:nvPicPr>
      <xdr:blipFill>
        <a:blip xmlns:r="http://schemas.openxmlformats.org/officeDocument/2006/relationships" r:embed="rId7" cstate="print"/>
        <a:stretch>
          <a:fillRect/>
        </a:stretch>
      </xdr:blipFill>
      <xdr:spPr>
        <a:xfrm>
          <a:off x="28574" y="37735"/>
          <a:ext cx="1382143" cy="442723"/>
        </a:xfrm>
        <a:prstGeom prst="rect">
          <a:avLst/>
        </a:prstGeom>
      </xdr:spPr>
    </xdr:pic>
    <xdr:clientData/>
  </xdr:twoCellAnchor>
  <xdr:twoCellAnchor editAs="oneCell">
    <xdr:from>
      <xdr:col>7</xdr:col>
      <xdr:colOff>9526</xdr:colOff>
      <xdr:row>0</xdr:row>
      <xdr:rowOff>5420</xdr:rowOff>
    </xdr:from>
    <xdr:to>
      <xdr:col>25</xdr:col>
      <xdr:colOff>0</xdr:colOff>
      <xdr:row>4</xdr:row>
      <xdr:rowOff>908</xdr:rowOff>
    </xdr:to>
    <xdr:sp macro="" textlink="">
      <xdr:nvSpPr>
        <xdr:cNvPr id="53" name="HEADER_SHORTCUT_TOP">
          <a:hlinkClick xmlns:r="http://schemas.openxmlformats.org/officeDocument/2006/relationships" r:id="rId6" tooltip="Jump to Top"/>
          <a:extLst>
            <a:ext uri="{FF2B5EF4-FFF2-40B4-BE49-F238E27FC236}">
              <a16:creationId xmlns:a16="http://schemas.microsoft.com/office/drawing/2014/main" id="{00000000-0008-0000-0700-000035000000}"/>
            </a:ext>
          </a:extLst>
        </xdr:cNvPr>
        <xdr:cNvSpPr/>
      </xdr:nvSpPr>
      <xdr:spPr>
        <a:xfrm>
          <a:off x="9526" y="5420"/>
          <a:ext cx="7851774" cy="776538"/>
        </a:xfrm>
        <a:prstGeom prst="rect">
          <a:avLst/>
        </a:prstGeom>
        <a:solidFill>
          <a:schemeClr val="bg1">
            <a:alpha val="0"/>
          </a:schemeClr>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800"/>
        </a:p>
      </xdr:txBody>
    </xdr:sp>
    <xdr:clientData fPrintsWithSheet="0"/>
  </xdr:twoCellAnchor>
  <xdr:twoCellAnchor editAs="oneCell">
    <xdr:from>
      <xdr:col>7</xdr:col>
      <xdr:colOff>66675</xdr:colOff>
      <xdr:row>13</xdr:row>
      <xdr:rowOff>228603</xdr:rowOff>
    </xdr:from>
    <xdr:to>
      <xdr:col>24</xdr:col>
      <xdr:colOff>104777</xdr:colOff>
      <xdr:row>19</xdr:row>
      <xdr:rowOff>0</xdr:rowOff>
    </xdr:to>
    <xdr:grpSp>
      <xdr:nvGrpSpPr>
        <xdr:cNvPr id="54" name="TABLE_OF_CONTENTS_RENTAL">
          <a:extLst>
            <a:ext uri="{FF2B5EF4-FFF2-40B4-BE49-F238E27FC236}">
              <a16:creationId xmlns:a16="http://schemas.microsoft.com/office/drawing/2014/main" id="{00000000-0008-0000-0700-000036000000}"/>
            </a:ext>
          </a:extLst>
        </xdr:cNvPr>
        <xdr:cNvGrpSpPr/>
      </xdr:nvGrpSpPr>
      <xdr:grpSpPr>
        <a:xfrm>
          <a:off x="66675" y="3733803"/>
          <a:ext cx="7362827" cy="1428747"/>
          <a:chOff x="8191498" y="1276170"/>
          <a:chExt cx="7362827" cy="1414214"/>
        </a:xfrm>
      </xdr:grpSpPr>
      <xdr:grpSp>
        <xdr:nvGrpSpPr>
          <xdr:cNvPr id="55" name="RENTAL_TABLE_OF_CONTENTS">
            <a:extLst>
              <a:ext uri="{FF2B5EF4-FFF2-40B4-BE49-F238E27FC236}">
                <a16:creationId xmlns:a16="http://schemas.microsoft.com/office/drawing/2014/main" id="{00000000-0008-0000-0700-000037000000}"/>
              </a:ext>
            </a:extLst>
          </xdr:cNvPr>
          <xdr:cNvGrpSpPr/>
        </xdr:nvGrpSpPr>
        <xdr:grpSpPr>
          <a:xfrm>
            <a:off x="8191498" y="1276170"/>
            <a:ext cx="7362827" cy="1414214"/>
            <a:chOff x="8191498" y="1276170"/>
            <a:chExt cx="7362827" cy="1414214"/>
          </a:xfrm>
        </xdr:grpSpPr>
        <xdr:sp macro="" textlink="">
          <xdr:nvSpPr>
            <xdr:cNvPr id="60" name="TOC_HEADER_BG">
              <a:extLst>
                <a:ext uri="{FF2B5EF4-FFF2-40B4-BE49-F238E27FC236}">
                  <a16:creationId xmlns:a16="http://schemas.microsoft.com/office/drawing/2014/main" id="{00000000-0008-0000-0700-00003C000000}"/>
                </a:ext>
              </a:extLst>
            </xdr:cNvPr>
            <xdr:cNvSpPr/>
          </xdr:nvSpPr>
          <xdr:spPr>
            <a:xfrm>
              <a:off x="8191498" y="1592257"/>
              <a:ext cx="7360921" cy="275969"/>
            </a:xfrm>
            <a:prstGeom prst="rect">
              <a:avLst/>
            </a:prstGeom>
            <a:solidFill>
              <a:schemeClr val="accent1">
                <a:lumMod val="20000"/>
                <a:lumOff val="80000"/>
              </a:schemeClr>
            </a:solidFill>
            <a:ln>
              <a:no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endParaRPr lang="en-US" sz="1100"/>
            </a:p>
          </xdr:txBody>
        </xdr:sp>
        <xdr:grpSp>
          <xdr:nvGrpSpPr>
            <xdr:cNvPr id="61" name="TOC">
              <a:extLst>
                <a:ext uri="{FF2B5EF4-FFF2-40B4-BE49-F238E27FC236}">
                  <a16:creationId xmlns:a16="http://schemas.microsoft.com/office/drawing/2014/main" id="{00000000-0008-0000-0700-00003D000000}"/>
                </a:ext>
              </a:extLst>
            </xdr:cNvPr>
            <xdr:cNvGrpSpPr/>
          </xdr:nvGrpSpPr>
          <xdr:grpSpPr>
            <a:xfrm>
              <a:off x="8191500" y="1276170"/>
              <a:ext cx="7362825" cy="1414214"/>
              <a:chOff x="9239250" y="1816952"/>
              <a:chExt cx="7362825" cy="1090370"/>
            </a:xfrm>
            <a:effectLst/>
          </xdr:grpSpPr>
          <xdr:sp macro="" textlink="">
            <xdr:nvSpPr>
              <xdr:cNvPr id="66" name="Rectangle 65">
                <a:extLst>
                  <a:ext uri="{FF2B5EF4-FFF2-40B4-BE49-F238E27FC236}">
                    <a16:creationId xmlns:a16="http://schemas.microsoft.com/office/drawing/2014/main" id="{00000000-0008-0000-0700-000042000000}"/>
                  </a:ext>
                </a:extLst>
              </xdr:cNvPr>
              <xdr:cNvSpPr/>
            </xdr:nvSpPr>
            <xdr:spPr>
              <a:xfrm>
                <a:off x="9239250" y="2052093"/>
                <a:ext cx="7362825" cy="855229"/>
              </a:xfrm>
              <a:prstGeom prst="rect">
                <a:avLst/>
              </a:prstGeom>
              <a:no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endParaRPr lang="en-US" sz="1100"/>
              </a:p>
            </xdr:txBody>
          </xdr:sp>
          <xdr:sp macro="" textlink="">
            <xdr:nvSpPr>
              <xdr:cNvPr id="67" name="Rectangle 66">
                <a:extLst>
                  <a:ext uri="{FF2B5EF4-FFF2-40B4-BE49-F238E27FC236}">
                    <a16:creationId xmlns:a16="http://schemas.microsoft.com/office/drawing/2014/main" id="{00000000-0008-0000-0700-000043000000}"/>
                  </a:ext>
                </a:extLst>
              </xdr:cNvPr>
              <xdr:cNvSpPr/>
            </xdr:nvSpPr>
            <xdr:spPr>
              <a:xfrm>
                <a:off x="9239250" y="1816952"/>
                <a:ext cx="7360920" cy="237265"/>
              </a:xfrm>
              <a:prstGeom prst="rect">
                <a:avLst/>
              </a:prstGeom>
              <a:solidFill>
                <a:srgbClr val="9CACB9"/>
              </a:solid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l"/>
                <a:r>
                  <a:rPr lang="en-US" sz="1100" b="1">
                    <a:solidFill>
                      <a:schemeClr val="bg1"/>
                    </a:solidFill>
                  </a:rPr>
                  <a:t>Table of Contents</a:t>
                </a:r>
              </a:p>
            </xdr:txBody>
          </xdr:sp>
        </xdr:grpSp>
        <xdr:sp macro="" textlink="">
          <xdr:nvSpPr>
            <xdr:cNvPr id="62" name="TOC_HEADER_LABEL_1">
              <a:extLst>
                <a:ext uri="{FF2B5EF4-FFF2-40B4-BE49-F238E27FC236}">
                  <a16:creationId xmlns:a16="http://schemas.microsoft.com/office/drawing/2014/main" id="{00000000-0008-0000-0700-00003E000000}"/>
                </a:ext>
              </a:extLst>
            </xdr:cNvPr>
            <xdr:cNvSpPr txBox="1"/>
          </xdr:nvSpPr>
          <xdr:spPr>
            <a:xfrm>
              <a:off x="8302028" y="1630443"/>
              <a:ext cx="1226450" cy="2644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lIns="0" rtlCol="0" anchor="t">
              <a:noAutofit/>
            </a:bodyPr>
            <a:lstStyle/>
            <a:p>
              <a:r>
                <a:rPr lang="en-US" sz="1000" b="1"/>
                <a:t>Section</a:t>
              </a:r>
            </a:p>
          </xdr:txBody>
        </xdr:sp>
        <xdr:sp macro="" textlink="">
          <xdr:nvSpPr>
            <xdr:cNvPr id="63" name="TOC_HEADER_LABEL_1">
              <a:extLst>
                <a:ext uri="{FF2B5EF4-FFF2-40B4-BE49-F238E27FC236}">
                  <a16:creationId xmlns:a16="http://schemas.microsoft.com/office/drawing/2014/main" id="{00000000-0008-0000-0700-00003F000000}"/>
                </a:ext>
              </a:extLst>
            </xdr:cNvPr>
            <xdr:cNvSpPr txBox="1"/>
          </xdr:nvSpPr>
          <xdr:spPr>
            <a:xfrm>
              <a:off x="10988755" y="1630443"/>
              <a:ext cx="876784" cy="2644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tlCol="0" anchor="t">
              <a:noAutofit/>
            </a:bodyPr>
            <a:lstStyle/>
            <a:p>
              <a:r>
                <a:rPr lang="en-US" sz="1000" b="1"/>
                <a:t>Progress</a:t>
              </a:r>
            </a:p>
          </xdr:txBody>
        </xdr:sp>
        <xdr:sp macro="" textlink="">
          <xdr:nvSpPr>
            <xdr:cNvPr id="64" name="TOC_HEADER_LABEL_3">
              <a:extLst>
                <a:ext uri="{FF2B5EF4-FFF2-40B4-BE49-F238E27FC236}">
                  <a16:creationId xmlns:a16="http://schemas.microsoft.com/office/drawing/2014/main" id="{00000000-0008-0000-0700-000040000000}"/>
                </a:ext>
              </a:extLst>
            </xdr:cNvPr>
            <xdr:cNvSpPr txBox="1"/>
          </xdr:nvSpPr>
          <xdr:spPr>
            <a:xfrm>
              <a:off x="11990098" y="1630443"/>
              <a:ext cx="1226450" cy="2644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lIns="0" rtlCol="0" anchor="t">
              <a:noAutofit/>
            </a:bodyPr>
            <a:lstStyle/>
            <a:p>
              <a:r>
                <a:rPr lang="en-US" sz="1000" b="1"/>
                <a:t>Section</a:t>
              </a:r>
            </a:p>
          </xdr:txBody>
        </xdr:sp>
        <xdr:sp macro="" textlink="">
          <xdr:nvSpPr>
            <xdr:cNvPr id="65" name="TOC_HEADER_LABEL_4">
              <a:extLst>
                <a:ext uri="{FF2B5EF4-FFF2-40B4-BE49-F238E27FC236}">
                  <a16:creationId xmlns:a16="http://schemas.microsoft.com/office/drawing/2014/main" id="{00000000-0008-0000-0700-000041000000}"/>
                </a:ext>
              </a:extLst>
            </xdr:cNvPr>
            <xdr:cNvSpPr txBox="1"/>
          </xdr:nvSpPr>
          <xdr:spPr>
            <a:xfrm>
              <a:off x="14554212" y="1630443"/>
              <a:ext cx="871248" cy="2644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tlCol="0" anchor="t">
              <a:noAutofit/>
            </a:bodyPr>
            <a:lstStyle/>
            <a:p>
              <a:r>
                <a:rPr lang="en-US" sz="1000" b="1"/>
                <a:t>Progress</a:t>
              </a:r>
            </a:p>
          </xdr:txBody>
        </xdr:sp>
      </xdr:grpSp>
      <xdr:cxnSp macro="">
        <xdr:nvCxnSpPr>
          <xdr:cNvPr id="56" name="TOC_HEADER_VLINE">
            <a:extLst>
              <a:ext uri="{FF2B5EF4-FFF2-40B4-BE49-F238E27FC236}">
                <a16:creationId xmlns:a16="http://schemas.microsoft.com/office/drawing/2014/main" id="{00000000-0008-0000-0700-000038000000}"/>
              </a:ext>
            </a:extLst>
          </xdr:cNvPr>
          <xdr:cNvCxnSpPr>
            <a:endCxn id="66" idx="2"/>
          </xdr:cNvCxnSpPr>
        </xdr:nvCxnSpPr>
        <xdr:spPr>
          <a:xfrm>
            <a:off x="11871960" y="1596774"/>
            <a:ext cx="953" cy="1093609"/>
          </a:xfrm>
          <a:prstGeom prst="line">
            <a:avLst/>
          </a:prstGeom>
          <a:ln>
            <a:solidFill>
              <a:schemeClr val="bg1">
                <a:lumMod val="85000"/>
              </a:schemeClr>
            </a:solidFill>
          </a:ln>
          <a:effectLst>
            <a:innerShdw blurRad="63500" dist="50800" dir="13500000">
              <a:prstClr val="black">
                <a:alpha val="50000"/>
              </a:prstClr>
            </a:innerShdw>
          </a:effectLst>
        </xdr:spPr>
        <xdr:style>
          <a:lnRef idx="1">
            <a:schemeClr val="accent1"/>
          </a:lnRef>
          <a:fillRef idx="0">
            <a:schemeClr val="accent1"/>
          </a:fillRef>
          <a:effectRef idx="0">
            <a:schemeClr val="accent1"/>
          </a:effectRef>
          <a:fontRef idx="minor">
            <a:schemeClr val="tx1"/>
          </a:fontRef>
        </xdr:style>
      </xdr:cxnSp>
      <xdr:grpSp>
        <xdr:nvGrpSpPr>
          <xdr:cNvPr id="57" name="TOC_HORIZONTAL_DIVIDERS">
            <a:extLst>
              <a:ext uri="{FF2B5EF4-FFF2-40B4-BE49-F238E27FC236}">
                <a16:creationId xmlns:a16="http://schemas.microsoft.com/office/drawing/2014/main" id="{00000000-0008-0000-0700-000039000000}"/>
              </a:ext>
            </a:extLst>
          </xdr:cNvPr>
          <xdr:cNvGrpSpPr/>
        </xdr:nvGrpSpPr>
        <xdr:grpSpPr>
          <a:xfrm>
            <a:off x="8191498" y="2143319"/>
            <a:ext cx="7362825" cy="276504"/>
            <a:chOff x="8191498" y="2143319"/>
            <a:chExt cx="7362825" cy="276504"/>
          </a:xfrm>
        </xdr:grpSpPr>
        <xdr:cxnSp macro="">
          <xdr:nvCxnSpPr>
            <xdr:cNvPr id="58" name="DOTTED_LINE">
              <a:extLst>
                <a:ext uri="{FF2B5EF4-FFF2-40B4-BE49-F238E27FC236}">
                  <a16:creationId xmlns:a16="http://schemas.microsoft.com/office/drawing/2014/main" id="{00000000-0008-0000-0700-00003A000000}"/>
                </a:ext>
              </a:extLst>
            </xdr:cNvPr>
            <xdr:cNvCxnSpPr/>
          </xdr:nvCxnSpPr>
          <xdr:spPr>
            <a:xfrm flipH="1">
              <a:off x="8191498" y="2143319"/>
              <a:ext cx="7362825" cy="0"/>
            </a:xfrm>
            <a:prstGeom prst="line">
              <a:avLst/>
            </a:prstGeom>
            <a:ln w="9525" cap="rnd">
              <a:solidFill>
                <a:schemeClr val="bg1">
                  <a:lumMod val="85000"/>
                </a:schemeClr>
              </a:solidFill>
              <a:prstDash val="solid"/>
              <a:round/>
            </a:ln>
          </xdr:spPr>
          <xdr:style>
            <a:lnRef idx="1">
              <a:schemeClr val="dk1"/>
            </a:lnRef>
            <a:fillRef idx="0">
              <a:schemeClr val="dk1"/>
            </a:fillRef>
            <a:effectRef idx="0">
              <a:schemeClr val="dk1"/>
            </a:effectRef>
            <a:fontRef idx="minor">
              <a:schemeClr val="tx1"/>
            </a:fontRef>
          </xdr:style>
        </xdr:cxnSp>
        <xdr:cxnSp macro="">
          <xdr:nvCxnSpPr>
            <xdr:cNvPr id="59" name="DOTTED_LINE">
              <a:extLst>
                <a:ext uri="{FF2B5EF4-FFF2-40B4-BE49-F238E27FC236}">
                  <a16:creationId xmlns:a16="http://schemas.microsoft.com/office/drawing/2014/main" id="{00000000-0008-0000-0700-00003B000000}"/>
                </a:ext>
              </a:extLst>
            </xdr:cNvPr>
            <xdr:cNvCxnSpPr/>
          </xdr:nvCxnSpPr>
          <xdr:spPr>
            <a:xfrm flipH="1">
              <a:off x="8191498" y="2419823"/>
              <a:ext cx="7360920" cy="0"/>
            </a:xfrm>
            <a:prstGeom prst="line">
              <a:avLst/>
            </a:prstGeom>
            <a:ln w="9525" cap="rnd">
              <a:solidFill>
                <a:schemeClr val="bg1">
                  <a:lumMod val="85000"/>
                </a:schemeClr>
              </a:solidFill>
              <a:prstDash val="solid"/>
              <a:round/>
            </a:ln>
          </xdr:spPr>
          <xdr:style>
            <a:lnRef idx="1">
              <a:schemeClr val="dk1"/>
            </a:lnRef>
            <a:fillRef idx="0">
              <a:schemeClr val="dk1"/>
            </a:fillRef>
            <a:effectRef idx="0">
              <a:schemeClr val="dk1"/>
            </a:effectRef>
            <a:fontRef idx="minor">
              <a:schemeClr val="tx1"/>
            </a:fontRef>
          </xdr:style>
        </xdr:cxnSp>
      </xdr:grpSp>
    </xdr:grpSp>
    <xdr:clientData/>
  </xdr:twoCellAnchor>
  <xdr:twoCellAnchor>
    <xdr:from>
      <xdr:col>14</xdr:col>
      <xdr:colOff>695325</xdr:colOff>
      <xdr:row>28</xdr:row>
      <xdr:rowOff>152400</xdr:rowOff>
    </xdr:from>
    <xdr:to>
      <xdr:col>21</xdr:col>
      <xdr:colOff>104775</xdr:colOff>
      <xdr:row>28</xdr:row>
      <xdr:rowOff>152400</xdr:rowOff>
    </xdr:to>
    <xdr:cxnSp macro="">
      <xdr:nvCxnSpPr>
        <xdr:cNvPr id="68" name="DOTTED_LINE">
          <a:extLst>
            <a:ext uri="{FF2B5EF4-FFF2-40B4-BE49-F238E27FC236}">
              <a16:creationId xmlns:a16="http://schemas.microsoft.com/office/drawing/2014/main" id="{00000000-0008-0000-0700-000044000000}"/>
            </a:ext>
          </a:extLst>
        </xdr:cNvPr>
        <xdr:cNvCxnSpPr/>
      </xdr:nvCxnSpPr>
      <xdr:spPr>
        <a:xfrm>
          <a:off x="3686175" y="7766050"/>
          <a:ext cx="2978150"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381000</xdr:colOff>
      <xdr:row>51</xdr:row>
      <xdr:rowOff>142875</xdr:rowOff>
    </xdr:from>
    <xdr:to>
      <xdr:col>19</xdr:col>
      <xdr:colOff>104775</xdr:colOff>
      <xdr:row>51</xdr:row>
      <xdr:rowOff>142875</xdr:rowOff>
    </xdr:to>
    <xdr:cxnSp macro="">
      <xdr:nvCxnSpPr>
        <xdr:cNvPr id="69" name="DOTTED_LINE">
          <a:extLst>
            <a:ext uri="{FF2B5EF4-FFF2-40B4-BE49-F238E27FC236}">
              <a16:creationId xmlns:a16="http://schemas.microsoft.com/office/drawing/2014/main" id="{00000000-0008-0000-0700-000045000000}"/>
            </a:ext>
          </a:extLst>
        </xdr:cNvPr>
        <xdr:cNvCxnSpPr/>
      </xdr:nvCxnSpPr>
      <xdr:spPr>
        <a:xfrm>
          <a:off x="11887200" y="15300325"/>
          <a:ext cx="2352675"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38100</xdr:colOff>
      <xdr:row>66</xdr:row>
      <xdr:rowOff>152400</xdr:rowOff>
    </xdr:from>
    <xdr:to>
      <xdr:col>21</xdr:col>
      <xdr:colOff>104775</xdr:colOff>
      <xdr:row>66</xdr:row>
      <xdr:rowOff>152400</xdr:rowOff>
    </xdr:to>
    <xdr:cxnSp macro="">
      <xdr:nvCxnSpPr>
        <xdr:cNvPr id="72" name="DOTTED_LINE">
          <a:extLst>
            <a:ext uri="{FF2B5EF4-FFF2-40B4-BE49-F238E27FC236}">
              <a16:creationId xmlns:a16="http://schemas.microsoft.com/office/drawing/2014/main" id="{00000000-0008-0000-0700-000048000000}"/>
            </a:ext>
          </a:extLst>
        </xdr:cNvPr>
        <xdr:cNvCxnSpPr/>
      </xdr:nvCxnSpPr>
      <xdr:spPr>
        <a:xfrm>
          <a:off x="5657850" y="16706850"/>
          <a:ext cx="1006475"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419100</xdr:colOff>
      <xdr:row>92</xdr:row>
      <xdr:rowOff>95250</xdr:rowOff>
    </xdr:from>
    <xdr:to>
      <xdr:col>18</xdr:col>
      <xdr:colOff>485775</xdr:colOff>
      <xdr:row>93</xdr:row>
      <xdr:rowOff>171450</xdr:rowOff>
    </xdr:to>
    <xdr:sp macro="" textlink="">
      <xdr:nvSpPr>
        <xdr:cNvPr id="73" name="Rounded Rectangle 84">
          <a:hlinkClick xmlns:r="http://schemas.openxmlformats.org/officeDocument/2006/relationships" r:id="rId8"/>
          <a:extLst>
            <a:ext uri="{FF2B5EF4-FFF2-40B4-BE49-F238E27FC236}">
              <a16:creationId xmlns:a16="http://schemas.microsoft.com/office/drawing/2014/main" id="{00000000-0008-0000-0700-000049000000}"/>
            </a:ext>
          </a:extLst>
        </xdr:cNvPr>
        <xdr:cNvSpPr/>
      </xdr:nvSpPr>
      <xdr:spPr>
        <a:xfrm>
          <a:off x="2470150" y="23914100"/>
          <a:ext cx="2886075" cy="355600"/>
        </a:xfrm>
        <a:prstGeom prst="roundRect">
          <a:avLst/>
        </a:prstGeom>
        <a:gradFill>
          <a:gsLst>
            <a:gs pos="0">
              <a:srgbClr val="8EB149"/>
            </a:gs>
            <a:gs pos="100000">
              <a:srgbClr val="708B39"/>
            </a:gs>
          </a:gsLst>
          <a:lin ang="5400000" scaled="1"/>
        </a:gra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baseline="0">
              <a:latin typeface="Arial" panose="020B0604020202020204" pitchFamily="34" charset="0"/>
              <a:cs typeface="Arial" panose="020B0604020202020204" pitchFamily="34" charset="0"/>
            </a:rPr>
            <a:t>Open Income Calculation Worksheet </a:t>
          </a:r>
        </a:p>
      </xdr:txBody>
    </xdr:sp>
    <xdr:clientData/>
  </xdr:twoCellAnchor>
  <xdr:twoCellAnchor editAs="oneCell">
    <xdr:from>
      <xdr:col>7</xdr:col>
      <xdr:colOff>66675</xdr:colOff>
      <xdr:row>105</xdr:row>
      <xdr:rowOff>238125</xdr:rowOff>
    </xdr:from>
    <xdr:to>
      <xdr:col>24</xdr:col>
      <xdr:colOff>104775</xdr:colOff>
      <xdr:row>139</xdr:row>
      <xdr:rowOff>76201</xdr:rowOff>
    </xdr:to>
    <xdr:grpSp>
      <xdr:nvGrpSpPr>
        <xdr:cNvPr id="74" name="Group 73">
          <a:extLst>
            <a:ext uri="{FF2B5EF4-FFF2-40B4-BE49-F238E27FC236}">
              <a16:creationId xmlns:a16="http://schemas.microsoft.com/office/drawing/2014/main" id="{00000000-0008-0000-0700-00004A000000}"/>
            </a:ext>
          </a:extLst>
        </xdr:cNvPr>
        <xdr:cNvGrpSpPr/>
      </xdr:nvGrpSpPr>
      <xdr:grpSpPr>
        <a:xfrm>
          <a:off x="66675" y="29156025"/>
          <a:ext cx="7362825" cy="9229726"/>
          <a:chOff x="8191500" y="18297525"/>
          <a:chExt cx="7362825" cy="9229725"/>
        </a:xfrm>
      </xdr:grpSpPr>
      <xdr:grpSp>
        <xdr:nvGrpSpPr>
          <xdr:cNvPr id="75" name="RENTAL_5">
            <a:extLst>
              <a:ext uri="{FF2B5EF4-FFF2-40B4-BE49-F238E27FC236}">
                <a16:creationId xmlns:a16="http://schemas.microsoft.com/office/drawing/2014/main" id="{00000000-0008-0000-0700-00004B000000}"/>
              </a:ext>
            </a:extLst>
          </xdr:cNvPr>
          <xdr:cNvGrpSpPr/>
        </xdr:nvGrpSpPr>
        <xdr:grpSpPr>
          <a:xfrm>
            <a:off x="8191500" y="18297525"/>
            <a:ext cx="7362825" cy="9229725"/>
            <a:chOff x="9363075" y="17297253"/>
            <a:chExt cx="7362825" cy="9459477"/>
          </a:xfrm>
        </xdr:grpSpPr>
        <xdr:sp macro="" textlink="">
          <xdr:nvSpPr>
            <xdr:cNvPr id="77" name="RENTAL_5_SECTION_FRAME">
              <a:extLst>
                <a:ext uri="{FF2B5EF4-FFF2-40B4-BE49-F238E27FC236}">
                  <a16:creationId xmlns:a16="http://schemas.microsoft.com/office/drawing/2014/main" id="{00000000-0008-0000-0700-00004D000000}"/>
                </a:ext>
              </a:extLst>
            </xdr:cNvPr>
            <xdr:cNvSpPr/>
          </xdr:nvSpPr>
          <xdr:spPr>
            <a:xfrm>
              <a:off x="9363075" y="17617604"/>
              <a:ext cx="7362825" cy="9139126"/>
            </a:xfrm>
            <a:prstGeom prst="rect">
              <a:avLst/>
            </a:prstGeom>
            <a:no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endParaRPr lang="en-US" sz="1100"/>
            </a:p>
          </xdr:txBody>
        </xdr:sp>
        <xdr:sp macro="" textlink="$B$143">
          <xdr:nvSpPr>
            <xdr:cNvPr id="78" name="RENTAL_5_SECTION_TITLE">
              <a:extLst>
                <a:ext uri="{FF2B5EF4-FFF2-40B4-BE49-F238E27FC236}">
                  <a16:creationId xmlns:a16="http://schemas.microsoft.com/office/drawing/2014/main" id="{00000000-0008-0000-0700-00004E000000}"/>
                </a:ext>
              </a:extLst>
            </xdr:cNvPr>
            <xdr:cNvSpPr/>
          </xdr:nvSpPr>
          <xdr:spPr>
            <a:xfrm>
              <a:off x="9363075" y="17297253"/>
              <a:ext cx="7360920" cy="312329"/>
            </a:xfrm>
            <a:prstGeom prst="rect">
              <a:avLst/>
            </a:prstGeom>
            <a:solidFill>
              <a:srgbClr val="9CACB9"/>
            </a:solid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l"/>
              <a:fld id="{D88E3CCE-11D7-4A89-B55B-0F85F8F00C5D}" type="TxLink">
                <a:rPr lang="en-US" sz="1100" b="1" i="0" u="none" strike="noStrike">
                  <a:solidFill>
                    <a:srgbClr val="FFFFFF"/>
                  </a:solidFill>
                  <a:latin typeface="Calibri"/>
                  <a:cs typeface="Calibri"/>
                </a:rPr>
                <a:pPr algn="l"/>
                <a:t>Member Certification</a:t>
              </a:fld>
              <a:endParaRPr lang="en-US" sz="1100" b="1" i="0" u="none" strike="noStrike">
                <a:solidFill>
                  <a:schemeClr val="bg1"/>
                </a:solidFill>
                <a:latin typeface="Calibri"/>
              </a:endParaRPr>
            </a:p>
          </xdr:txBody>
        </xdr:sp>
        <xdr:sp macro="" textlink="$B$154">
          <xdr:nvSpPr>
            <xdr:cNvPr id="79" name="RENTAL_5_SECTION_SUBTITLE">
              <a:extLst>
                <a:ext uri="{FF2B5EF4-FFF2-40B4-BE49-F238E27FC236}">
                  <a16:creationId xmlns:a16="http://schemas.microsoft.com/office/drawing/2014/main" id="{00000000-0008-0000-0700-00004F000000}"/>
                </a:ext>
              </a:extLst>
            </xdr:cNvPr>
            <xdr:cNvSpPr/>
          </xdr:nvSpPr>
          <xdr:spPr>
            <a:xfrm>
              <a:off x="9372598" y="17621099"/>
              <a:ext cx="7351776" cy="278552"/>
            </a:xfrm>
            <a:prstGeom prst="rect">
              <a:avLst/>
            </a:prstGeom>
            <a:solidFill>
              <a:schemeClr val="accent1">
                <a:lumMod val="20000"/>
                <a:lumOff val="80000"/>
              </a:schemeClr>
            </a:solidFill>
            <a:ln>
              <a:noFill/>
            </a:ln>
            <a:effectLst/>
          </xdr:spPr>
          <xdr:style>
            <a:lnRef idx="1">
              <a:schemeClr val="accent1"/>
            </a:lnRef>
            <a:fillRef idx="2">
              <a:schemeClr val="accent1"/>
            </a:fillRef>
            <a:effectRef idx="1">
              <a:schemeClr val="accent1"/>
            </a:effectRef>
            <a:fontRef idx="minor">
              <a:schemeClr val="dk1"/>
            </a:fontRef>
          </xdr:style>
          <xdr:txBody>
            <a:bodyPr vertOverflow="clip" lIns="457200" rtlCol="0" anchor="ctr"/>
            <a:lstStyle/>
            <a:p>
              <a:pPr algn="l"/>
              <a:fld id="{FB26CD53-0FF5-4F12-AFE7-DB5492936A6A}" type="TxLink">
                <a:rPr lang="en-US" sz="900" b="0" i="0" u="none" strike="noStrike">
                  <a:solidFill>
                    <a:srgbClr val="000000"/>
                  </a:solidFill>
                  <a:latin typeface="Calibri"/>
                  <a:cs typeface="Calibri"/>
                </a:rPr>
                <a:pPr algn="l"/>
                <a:t>Not Started</a:t>
              </a:fld>
              <a:endParaRPr lang="en-US" sz="1100" i="0"/>
            </a:p>
          </xdr:txBody>
        </xdr:sp>
        <xdr:sp macro="" textlink="">
          <xdr:nvSpPr>
            <xdr:cNvPr id="80" name="RENTAL_5_SECTION_SUBTITLE_LABEL">
              <a:extLst>
                <a:ext uri="{FF2B5EF4-FFF2-40B4-BE49-F238E27FC236}">
                  <a16:creationId xmlns:a16="http://schemas.microsoft.com/office/drawing/2014/main" id="{00000000-0008-0000-0700-000050000000}"/>
                </a:ext>
              </a:extLst>
            </xdr:cNvPr>
            <xdr:cNvSpPr txBox="1"/>
          </xdr:nvSpPr>
          <xdr:spPr>
            <a:xfrm>
              <a:off x="9467850" y="17621098"/>
              <a:ext cx="476249" cy="2785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tlCol="0" anchor="ctr">
              <a:noAutofit/>
            </a:bodyPr>
            <a:lstStyle/>
            <a:p>
              <a:r>
                <a:rPr lang="en-US" sz="900" b="1"/>
                <a:t>Status:</a:t>
              </a:r>
            </a:p>
          </xdr:txBody>
        </xdr:sp>
      </xdr:grpSp>
      <xdr:sp macro="" textlink="">
        <xdr:nvSpPr>
          <xdr:cNvPr id="76" name="LINK_RENTAL_TOC">
            <a:hlinkClick xmlns:r="http://schemas.openxmlformats.org/officeDocument/2006/relationships" r:id="rId6"/>
            <a:extLst>
              <a:ext uri="{FF2B5EF4-FFF2-40B4-BE49-F238E27FC236}">
                <a16:creationId xmlns:a16="http://schemas.microsoft.com/office/drawing/2014/main" id="{00000000-0008-0000-0700-00004C000000}"/>
              </a:ext>
            </a:extLst>
          </xdr:cNvPr>
          <xdr:cNvSpPr/>
        </xdr:nvSpPr>
        <xdr:spPr>
          <a:xfrm>
            <a:off x="14525625" y="18297525"/>
            <a:ext cx="1028700" cy="30480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r"/>
            <a:r>
              <a:rPr lang="en-US" sz="1000" b="1" u="none">
                <a:solidFill>
                  <a:schemeClr val="bg1"/>
                </a:solidFill>
              </a:rPr>
              <a:t>Back</a:t>
            </a:r>
            <a:r>
              <a:rPr lang="en-US" sz="1000" b="1" u="none" baseline="0">
                <a:solidFill>
                  <a:schemeClr val="bg1"/>
                </a:solidFill>
              </a:rPr>
              <a:t> to Top ^</a:t>
            </a:r>
            <a:endParaRPr lang="en-US" sz="1000" b="1" u="none">
              <a:solidFill>
                <a:schemeClr val="bg1"/>
              </a:solidFill>
            </a:endParaRPr>
          </a:p>
        </xdr:txBody>
      </xdr:sp>
    </xdr:grpSp>
    <xdr:clientData fPrintsWithSheet="0"/>
  </xdr:twoCellAnchor>
  <xdr:oneCellAnchor>
    <xdr:from>
      <xdr:col>16</xdr:col>
      <xdr:colOff>295275</xdr:colOff>
      <xdr:row>18</xdr:row>
      <xdr:rowOff>9525</xdr:rowOff>
    </xdr:from>
    <xdr:ext cx="2200275" cy="264560"/>
    <xdr:sp macro="" textlink="$B$156">
      <xdr:nvSpPr>
        <xdr:cNvPr id="81" name="TOC_SECTION_10">
          <a:hlinkClick xmlns:r="http://schemas.openxmlformats.org/officeDocument/2006/relationships" r:id="rId9"/>
          <a:extLst>
            <a:ext uri="{FF2B5EF4-FFF2-40B4-BE49-F238E27FC236}">
              <a16:creationId xmlns:a16="http://schemas.microsoft.com/office/drawing/2014/main" id="{00000000-0008-0000-0700-000051000000}"/>
            </a:ext>
          </a:extLst>
        </xdr:cNvPr>
        <xdr:cNvSpPr txBox="1"/>
      </xdr:nvSpPr>
      <xdr:spPr>
        <a:xfrm>
          <a:off x="4225925" y="4829175"/>
          <a:ext cx="2200275" cy="2645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lIns="0" rtlCol="0" anchor="t">
          <a:noAutofit/>
        </a:bodyPr>
        <a:lstStyle/>
        <a:p>
          <a:pPr marL="0" indent="0" algn="l"/>
          <a:fld id="{6135BE1B-C9D2-4812-82E5-8EBB27621EE9}" type="TxLink">
            <a:rPr lang="en-US" sz="1000" b="1" i="0" u="sng" strike="noStrike">
              <a:solidFill>
                <a:schemeClr val="accent1">
                  <a:lumMod val="75000"/>
                </a:schemeClr>
              </a:solidFill>
              <a:latin typeface="Calibri"/>
              <a:ea typeface="+mn-ea"/>
              <a:cs typeface="Calibri"/>
            </a:rPr>
            <a:pPr marL="0" indent="0" algn="l"/>
            <a:t>Member Certification</a:t>
          </a:fld>
          <a:endParaRPr lang="en-US" sz="1000" b="1" i="0" u="sng" strike="noStrike">
            <a:solidFill>
              <a:schemeClr val="accent1">
                <a:lumMod val="75000"/>
              </a:schemeClr>
            </a:solidFill>
            <a:latin typeface="Calibri"/>
            <a:ea typeface="+mn-ea"/>
            <a:cs typeface="Calibri"/>
          </a:endParaRPr>
        </a:p>
      </xdr:txBody>
    </xdr:sp>
    <xdr:clientData fPrintsWithSheet="0"/>
  </xdr:oneCellAnchor>
  <xdr:twoCellAnchor>
    <xdr:from>
      <xdr:col>8</xdr:col>
      <xdr:colOff>19049</xdr:colOff>
      <xdr:row>103</xdr:row>
      <xdr:rowOff>123825</xdr:rowOff>
    </xdr:from>
    <xdr:to>
      <xdr:col>11</xdr:col>
      <xdr:colOff>9524</xdr:colOff>
      <xdr:row>104</xdr:row>
      <xdr:rowOff>200025</xdr:rowOff>
    </xdr:to>
    <xdr:sp macro="" textlink="">
      <xdr:nvSpPr>
        <xdr:cNvPr id="82" name="Rounded Rectangle 84">
          <a:hlinkClick xmlns:r="http://schemas.openxmlformats.org/officeDocument/2006/relationships" r:id="rId10"/>
          <a:extLst>
            <a:ext uri="{FF2B5EF4-FFF2-40B4-BE49-F238E27FC236}">
              <a16:creationId xmlns:a16="http://schemas.microsoft.com/office/drawing/2014/main" id="{00000000-0008-0000-0700-000052000000}"/>
            </a:ext>
          </a:extLst>
        </xdr:cNvPr>
        <xdr:cNvSpPr/>
      </xdr:nvSpPr>
      <xdr:spPr>
        <a:xfrm>
          <a:off x="190499" y="27016075"/>
          <a:ext cx="1679575" cy="355600"/>
        </a:xfrm>
        <a:prstGeom prst="roundRect">
          <a:avLst/>
        </a:prstGeom>
        <a:gradFill>
          <a:gsLst>
            <a:gs pos="0">
              <a:srgbClr val="8EB149"/>
            </a:gs>
            <a:gs pos="100000">
              <a:srgbClr val="708B39"/>
            </a:gs>
          </a:gsLst>
          <a:lin ang="5400000" scaled="1"/>
        </a:gra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baseline="0">
              <a:latin typeface="Arial" panose="020B0604020202020204" pitchFamily="34" charset="0"/>
              <a:cs typeface="Arial" panose="020B0604020202020204" pitchFamily="34" charset="0"/>
            </a:rPr>
            <a:t>New Jersey</a:t>
          </a:r>
        </a:p>
      </xdr:txBody>
    </xdr:sp>
    <xdr:clientData/>
  </xdr:twoCellAnchor>
  <xdr:twoCellAnchor>
    <xdr:from>
      <xdr:col>12</xdr:col>
      <xdr:colOff>104775</xdr:colOff>
      <xdr:row>103</xdr:row>
      <xdr:rowOff>123825</xdr:rowOff>
    </xdr:from>
    <xdr:to>
      <xdr:col>15</xdr:col>
      <xdr:colOff>95250</xdr:colOff>
      <xdr:row>104</xdr:row>
      <xdr:rowOff>200025</xdr:rowOff>
    </xdr:to>
    <xdr:sp macro="" textlink="">
      <xdr:nvSpPr>
        <xdr:cNvPr id="83" name="Rounded Rectangle 84">
          <a:hlinkClick xmlns:r="http://schemas.openxmlformats.org/officeDocument/2006/relationships" r:id="rId11"/>
          <a:extLst>
            <a:ext uri="{FF2B5EF4-FFF2-40B4-BE49-F238E27FC236}">
              <a16:creationId xmlns:a16="http://schemas.microsoft.com/office/drawing/2014/main" id="{00000000-0008-0000-0700-000053000000}"/>
            </a:ext>
          </a:extLst>
        </xdr:cNvPr>
        <xdr:cNvSpPr/>
      </xdr:nvSpPr>
      <xdr:spPr>
        <a:xfrm>
          <a:off x="2155825" y="27016075"/>
          <a:ext cx="1679575" cy="355600"/>
        </a:xfrm>
        <a:prstGeom prst="roundRect">
          <a:avLst/>
        </a:prstGeom>
        <a:gradFill>
          <a:gsLst>
            <a:gs pos="0">
              <a:srgbClr val="8EB149"/>
            </a:gs>
            <a:gs pos="100000">
              <a:srgbClr val="708B39"/>
            </a:gs>
          </a:gsLst>
          <a:lin ang="5400000" scaled="1"/>
        </a:gra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baseline="0">
              <a:latin typeface="Arial" panose="020B0604020202020204" pitchFamily="34" charset="0"/>
              <a:cs typeface="Arial" panose="020B0604020202020204" pitchFamily="34" charset="0"/>
            </a:rPr>
            <a:t>New York</a:t>
          </a:r>
        </a:p>
      </xdr:txBody>
    </xdr:sp>
    <xdr:clientData/>
  </xdr:twoCellAnchor>
  <xdr:twoCellAnchor>
    <xdr:from>
      <xdr:col>16</xdr:col>
      <xdr:colOff>171449</xdr:colOff>
      <xdr:row>103</xdr:row>
      <xdr:rowOff>123825</xdr:rowOff>
    </xdr:from>
    <xdr:to>
      <xdr:col>19</xdr:col>
      <xdr:colOff>161924</xdr:colOff>
      <xdr:row>104</xdr:row>
      <xdr:rowOff>200025</xdr:rowOff>
    </xdr:to>
    <xdr:sp macro="" textlink="">
      <xdr:nvSpPr>
        <xdr:cNvPr id="84" name="Rounded Rectangle 84">
          <a:hlinkClick xmlns:r="http://schemas.openxmlformats.org/officeDocument/2006/relationships" r:id="rId12"/>
          <a:extLst>
            <a:ext uri="{FF2B5EF4-FFF2-40B4-BE49-F238E27FC236}">
              <a16:creationId xmlns:a16="http://schemas.microsoft.com/office/drawing/2014/main" id="{00000000-0008-0000-0700-000054000000}"/>
            </a:ext>
          </a:extLst>
        </xdr:cNvPr>
        <xdr:cNvSpPr/>
      </xdr:nvSpPr>
      <xdr:spPr>
        <a:xfrm>
          <a:off x="4102099" y="27016075"/>
          <a:ext cx="1679575" cy="355600"/>
        </a:xfrm>
        <a:prstGeom prst="roundRect">
          <a:avLst/>
        </a:prstGeom>
        <a:gradFill>
          <a:gsLst>
            <a:gs pos="0">
              <a:srgbClr val="8EB149"/>
            </a:gs>
            <a:gs pos="100000">
              <a:srgbClr val="708B39"/>
            </a:gs>
          </a:gsLst>
          <a:lin ang="5400000" scaled="1"/>
        </a:gra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baseline="0">
              <a:latin typeface="Arial" panose="020B0604020202020204" pitchFamily="34" charset="0"/>
              <a:cs typeface="Arial" panose="020B0604020202020204" pitchFamily="34" charset="0"/>
            </a:rPr>
            <a:t>Puerto Rico</a:t>
          </a:r>
        </a:p>
      </xdr:txBody>
    </xdr:sp>
    <xdr:clientData/>
  </xdr:twoCellAnchor>
  <xdr:twoCellAnchor>
    <xdr:from>
      <xdr:col>20</xdr:col>
      <xdr:colOff>180974</xdr:colOff>
      <xdr:row>103</xdr:row>
      <xdr:rowOff>123825</xdr:rowOff>
    </xdr:from>
    <xdr:to>
      <xdr:col>23</xdr:col>
      <xdr:colOff>171449</xdr:colOff>
      <xdr:row>104</xdr:row>
      <xdr:rowOff>200025</xdr:rowOff>
    </xdr:to>
    <xdr:sp macro="" textlink="">
      <xdr:nvSpPr>
        <xdr:cNvPr id="85" name="Rounded Rectangle 84">
          <a:hlinkClick xmlns:r="http://schemas.openxmlformats.org/officeDocument/2006/relationships" r:id="rId13"/>
          <a:extLst>
            <a:ext uri="{FF2B5EF4-FFF2-40B4-BE49-F238E27FC236}">
              <a16:creationId xmlns:a16="http://schemas.microsoft.com/office/drawing/2014/main" id="{00000000-0008-0000-0700-000055000000}"/>
            </a:ext>
          </a:extLst>
        </xdr:cNvPr>
        <xdr:cNvSpPr/>
      </xdr:nvSpPr>
      <xdr:spPr>
        <a:xfrm>
          <a:off x="5991224" y="27016075"/>
          <a:ext cx="1679575" cy="355600"/>
        </a:xfrm>
        <a:prstGeom prst="roundRect">
          <a:avLst/>
        </a:prstGeom>
        <a:gradFill>
          <a:gsLst>
            <a:gs pos="0">
              <a:srgbClr val="8EB149"/>
            </a:gs>
            <a:gs pos="100000">
              <a:srgbClr val="708B39"/>
            </a:gs>
          </a:gsLst>
          <a:lin ang="5400000" scaled="1"/>
        </a:gra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baseline="0">
              <a:latin typeface="Arial" panose="020B0604020202020204" pitchFamily="34" charset="0"/>
              <a:cs typeface="Arial" panose="020B0604020202020204" pitchFamily="34" charset="0"/>
            </a:rPr>
            <a:t>US Virgin Islands</a:t>
          </a:r>
        </a:p>
      </xdr:txBody>
    </xdr:sp>
    <xdr:clientData/>
  </xdr:twoCellAnchor>
  <mc:AlternateContent xmlns:mc="http://schemas.openxmlformats.org/markup-compatibility/2006">
    <mc:Choice xmlns:a14="http://schemas.microsoft.com/office/drawing/2010/main" Requires="a14">
      <xdr:twoCellAnchor editAs="oneCell">
        <xdr:from>
          <xdr:col>12</xdr:col>
          <xdr:colOff>190500</xdr:colOff>
          <xdr:row>95</xdr:row>
          <xdr:rowOff>19050</xdr:rowOff>
        </xdr:from>
        <xdr:to>
          <xdr:col>18</xdr:col>
          <xdr:colOff>552450</xdr:colOff>
          <xdr:row>95</xdr:row>
          <xdr:rowOff>266700</xdr:rowOff>
        </xdr:to>
        <xdr:sp macro="" textlink="">
          <xdr:nvSpPr>
            <xdr:cNvPr id="49153" name="ICW_COMPLETE_FLAG" hidden="1">
              <a:extLst>
                <a:ext uri="{63B3BB69-23CF-44E3-9099-C40C66FF867C}">
                  <a14:compatExt spid="_x0000_s49153"/>
                </a:ext>
                <a:ext uri="{FF2B5EF4-FFF2-40B4-BE49-F238E27FC236}">
                  <a16:creationId xmlns:a16="http://schemas.microsoft.com/office/drawing/2014/main" id="{00000000-0008-0000-0700-000001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The Income Calculation Worksheet has been fully completed</a:t>
              </a:r>
            </a:p>
          </xdr:txBody>
        </xdr:sp>
        <xdr:clientData/>
      </xdr:twoCellAnchor>
    </mc:Choice>
    <mc:Fallback/>
  </mc:AlternateContent>
  <xdr:twoCellAnchor>
    <xdr:from>
      <xdr:col>16</xdr:col>
      <xdr:colOff>590550</xdr:colOff>
      <xdr:row>53</xdr:row>
      <xdr:rowOff>152400</xdr:rowOff>
    </xdr:from>
    <xdr:to>
      <xdr:col>21</xdr:col>
      <xdr:colOff>82550</xdr:colOff>
      <xdr:row>53</xdr:row>
      <xdr:rowOff>152400</xdr:rowOff>
    </xdr:to>
    <xdr:cxnSp macro="">
      <xdr:nvCxnSpPr>
        <xdr:cNvPr id="86" name="DOTTED_LINE">
          <a:extLst>
            <a:ext uri="{FF2B5EF4-FFF2-40B4-BE49-F238E27FC236}">
              <a16:creationId xmlns:a16="http://schemas.microsoft.com/office/drawing/2014/main" id="{00000000-0008-0000-0700-000056000000}"/>
            </a:ext>
          </a:extLst>
        </xdr:cNvPr>
        <xdr:cNvCxnSpPr/>
      </xdr:nvCxnSpPr>
      <xdr:spPr>
        <a:xfrm>
          <a:off x="4521200" y="14192250"/>
          <a:ext cx="2120900"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590550</xdr:colOff>
      <xdr:row>53</xdr:row>
      <xdr:rowOff>152400</xdr:rowOff>
    </xdr:from>
    <xdr:to>
      <xdr:col>21</xdr:col>
      <xdr:colOff>82550</xdr:colOff>
      <xdr:row>53</xdr:row>
      <xdr:rowOff>152400</xdr:rowOff>
    </xdr:to>
    <xdr:cxnSp macro="">
      <xdr:nvCxnSpPr>
        <xdr:cNvPr id="87" name="DOTTED_LINE">
          <a:extLst>
            <a:ext uri="{FF2B5EF4-FFF2-40B4-BE49-F238E27FC236}">
              <a16:creationId xmlns:a16="http://schemas.microsoft.com/office/drawing/2014/main" id="{00000000-0008-0000-0700-000057000000}"/>
            </a:ext>
          </a:extLst>
        </xdr:cNvPr>
        <xdr:cNvCxnSpPr/>
      </xdr:nvCxnSpPr>
      <xdr:spPr>
        <a:xfrm>
          <a:off x="4521200" y="14192250"/>
          <a:ext cx="2120900"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165100</xdr:colOff>
      <xdr:row>46</xdr:row>
      <xdr:rowOff>152400</xdr:rowOff>
    </xdr:from>
    <xdr:to>
      <xdr:col>21</xdr:col>
      <xdr:colOff>104775</xdr:colOff>
      <xdr:row>46</xdr:row>
      <xdr:rowOff>152400</xdr:rowOff>
    </xdr:to>
    <xdr:cxnSp macro="">
      <xdr:nvCxnSpPr>
        <xdr:cNvPr id="92" name="DOTTED_LINE">
          <a:extLst>
            <a:ext uri="{FF2B5EF4-FFF2-40B4-BE49-F238E27FC236}">
              <a16:creationId xmlns:a16="http://schemas.microsoft.com/office/drawing/2014/main" id="{00000000-0008-0000-0700-00005C000000}"/>
            </a:ext>
          </a:extLst>
        </xdr:cNvPr>
        <xdr:cNvCxnSpPr/>
      </xdr:nvCxnSpPr>
      <xdr:spPr>
        <a:xfrm>
          <a:off x="11671300" y="13354050"/>
          <a:ext cx="3508375"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oneCellAnchor>
    <xdr:from>
      <xdr:col>16</xdr:col>
      <xdr:colOff>295275</xdr:colOff>
      <xdr:row>17</xdr:row>
      <xdr:rowOff>9525</xdr:rowOff>
    </xdr:from>
    <xdr:ext cx="2200275" cy="264560"/>
    <xdr:sp macro="" textlink="$B$112">
      <xdr:nvSpPr>
        <xdr:cNvPr id="2" name="TOC_SECTION_10">
          <a:hlinkClick xmlns:r="http://schemas.openxmlformats.org/officeDocument/2006/relationships" r:id="rId1"/>
          <a:extLst>
            <a:ext uri="{FF2B5EF4-FFF2-40B4-BE49-F238E27FC236}">
              <a16:creationId xmlns:a16="http://schemas.microsoft.com/office/drawing/2014/main" id="{00000000-0008-0000-0800-000002000000}"/>
            </a:ext>
          </a:extLst>
        </xdr:cNvPr>
        <xdr:cNvSpPr txBox="1"/>
      </xdr:nvSpPr>
      <xdr:spPr>
        <a:xfrm>
          <a:off x="4225925" y="4549775"/>
          <a:ext cx="2200275" cy="2645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lIns="0" rtlCol="0" anchor="t">
          <a:noAutofit/>
        </a:bodyPr>
        <a:lstStyle/>
        <a:p>
          <a:pPr algn="l"/>
          <a:fld id="{BFAA168D-172E-4430-9045-F99273F30A4A}" type="TxLink">
            <a:rPr lang="en-US" sz="1000" b="1" i="0" u="sng" strike="noStrike">
              <a:solidFill>
                <a:schemeClr val="accent1">
                  <a:lumMod val="75000"/>
                </a:schemeClr>
              </a:solidFill>
              <a:latin typeface="Calibri"/>
              <a:ea typeface="Calibri"/>
              <a:cs typeface="Calibri"/>
            </a:rPr>
            <a:pPr algn="l"/>
            <a:t>Other Grants</a:t>
          </a:fld>
          <a:endParaRPr lang="en-US" sz="1000" b="1" i="0" u="sng">
            <a:solidFill>
              <a:schemeClr val="accent1">
                <a:lumMod val="75000"/>
              </a:schemeClr>
            </a:solidFill>
          </a:endParaRPr>
        </a:p>
      </xdr:txBody>
    </xdr:sp>
    <xdr:clientData fPrintsWithSheet="0"/>
  </xdr:oneCellAnchor>
  <xdr:oneCellAnchor>
    <xdr:from>
      <xdr:col>8</xdr:col>
      <xdr:colOff>200024</xdr:colOff>
      <xdr:row>16</xdr:row>
      <xdr:rowOff>9525</xdr:rowOff>
    </xdr:from>
    <xdr:ext cx="2295525" cy="264560"/>
    <xdr:sp macro="" textlink="$B$28">
      <xdr:nvSpPr>
        <xdr:cNvPr id="3" name="TOC_SECTION_1">
          <a:hlinkClick xmlns:r="http://schemas.openxmlformats.org/officeDocument/2006/relationships" r:id="rId2"/>
          <a:extLst>
            <a:ext uri="{FF2B5EF4-FFF2-40B4-BE49-F238E27FC236}">
              <a16:creationId xmlns:a16="http://schemas.microsoft.com/office/drawing/2014/main" id="{00000000-0008-0000-0800-000003000000}"/>
            </a:ext>
          </a:extLst>
        </xdr:cNvPr>
        <xdr:cNvSpPr txBox="1"/>
      </xdr:nvSpPr>
      <xdr:spPr>
        <a:xfrm>
          <a:off x="371474" y="4270375"/>
          <a:ext cx="2295525" cy="2645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lIns="0" rtlCol="0" anchor="t">
          <a:noAutofit/>
        </a:bodyPr>
        <a:lstStyle/>
        <a:p>
          <a:pPr marL="0" indent="0" algn="l"/>
          <a:fld id="{B912DCB3-33D0-4DE5-9CF9-E2B978CDACDE}" type="TxLink">
            <a:rPr lang="en-US" sz="1000" b="1" i="0" u="sng" strike="noStrike">
              <a:solidFill>
                <a:schemeClr val="accent1">
                  <a:lumMod val="75000"/>
                </a:schemeClr>
              </a:solidFill>
              <a:latin typeface="Calibri"/>
              <a:ea typeface="+mn-ea"/>
              <a:cs typeface="Calibri"/>
            </a:rPr>
            <a:pPr marL="0" indent="0" algn="l"/>
            <a:t>FHLBNY Member</a:t>
          </a:fld>
          <a:endParaRPr lang="en-US" sz="1000" b="1" i="0" u="sng" strike="noStrike">
            <a:solidFill>
              <a:schemeClr val="accent1">
                <a:lumMod val="75000"/>
              </a:schemeClr>
            </a:solidFill>
            <a:latin typeface="Calibri"/>
            <a:ea typeface="+mn-ea"/>
            <a:cs typeface="Calibri"/>
          </a:endParaRPr>
        </a:p>
      </xdr:txBody>
    </xdr:sp>
    <xdr:clientData fPrintsWithSheet="0"/>
  </xdr:oneCellAnchor>
  <xdr:oneCellAnchor>
    <xdr:from>
      <xdr:col>8</xdr:col>
      <xdr:colOff>200024</xdr:colOff>
      <xdr:row>17</xdr:row>
      <xdr:rowOff>9525</xdr:rowOff>
    </xdr:from>
    <xdr:ext cx="2295525" cy="264560"/>
    <xdr:sp macro="" textlink="$B$42">
      <xdr:nvSpPr>
        <xdr:cNvPr id="4" name="TOC_SECTION_2">
          <a:hlinkClick xmlns:r="http://schemas.openxmlformats.org/officeDocument/2006/relationships" r:id="rId3"/>
          <a:extLst>
            <a:ext uri="{FF2B5EF4-FFF2-40B4-BE49-F238E27FC236}">
              <a16:creationId xmlns:a16="http://schemas.microsoft.com/office/drawing/2014/main" id="{00000000-0008-0000-0800-000004000000}"/>
            </a:ext>
          </a:extLst>
        </xdr:cNvPr>
        <xdr:cNvSpPr txBox="1"/>
      </xdr:nvSpPr>
      <xdr:spPr>
        <a:xfrm>
          <a:off x="371474" y="4549775"/>
          <a:ext cx="2295525" cy="2645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lIns="0" rtlCol="0" anchor="t">
          <a:noAutofit/>
        </a:bodyPr>
        <a:lstStyle/>
        <a:p>
          <a:pPr marL="0" indent="0" algn="l"/>
          <a:fld id="{60896E56-02AF-450F-83A0-DE79B7AE6E83}" type="TxLink">
            <a:rPr lang="en-US" sz="1000" b="1" i="0" u="sng" strike="noStrike">
              <a:solidFill>
                <a:schemeClr val="accent1">
                  <a:lumMod val="75000"/>
                </a:schemeClr>
              </a:solidFill>
              <a:latin typeface="Calibri"/>
              <a:ea typeface="+mn-ea"/>
              <a:cs typeface="Calibri"/>
            </a:rPr>
            <a:pPr marL="0" indent="0" algn="l"/>
            <a:t>Household Information</a:t>
          </a:fld>
          <a:endParaRPr lang="en-US" sz="1000" b="1" i="0" u="sng" strike="noStrike">
            <a:solidFill>
              <a:schemeClr val="accent1">
                <a:lumMod val="75000"/>
              </a:schemeClr>
            </a:solidFill>
            <a:latin typeface="Calibri"/>
            <a:ea typeface="+mn-ea"/>
            <a:cs typeface="Calibri"/>
          </a:endParaRPr>
        </a:p>
      </xdr:txBody>
    </xdr:sp>
    <xdr:clientData fPrintsWithSheet="0"/>
  </xdr:oneCellAnchor>
  <xdr:oneCellAnchor>
    <xdr:from>
      <xdr:col>8</xdr:col>
      <xdr:colOff>200024</xdr:colOff>
      <xdr:row>18</xdr:row>
      <xdr:rowOff>9525</xdr:rowOff>
    </xdr:from>
    <xdr:ext cx="2295525" cy="264560"/>
    <xdr:sp macro="" textlink="$B$57">
      <xdr:nvSpPr>
        <xdr:cNvPr id="5" name="TOC_SECTION_3">
          <a:hlinkClick xmlns:r="http://schemas.openxmlformats.org/officeDocument/2006/relationships" r:id="rId4"/>
          <a:extLst>
            <a:ext uri="{FF2B5EF4-FFF2-40B4-BE49-F238E27FC236}">
              <a16:creationId xmlns:a16="http://schemas.microsoft.com/office/drawing/2014/main" id="{00000000-0008-0000-0800-000005000000}"/>
            </a:ext>
          </a:extLst>
        </xdr:cNvPr>
        <xdr:cNvSpPr txBox="1"/>
      </xdr:nvSpPr>
      <xdr:spPr>
        <a:xfrm>
          <a:off x="371474" y="4829175"/>
          <a:ext cx="2295525" cy="2645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lIns="0" rtlCol="0" anchor="t">
          <a:noAutofit/>
        </a:bodyPr>
        <a:lstStyle/>
        <a:p>
          <a:pPr algn="l"/>
          <a:fld id="{F3897FBB-DF3B-4B73-902D-D31EFF95B025}" type="TxLink">
            <a:rPr lang="en-US" sz="1000" b="1" i="0" u="sng" strike="noStrike">
              <a:solidFill>
                <a:schemeClr val="accent1">
                  <a:lumMod val="75000"/>
                </a:schemeClr>
              </a:solidFill>
              <a:latin typeface="Calibri"/>
              <a:ea typeface="Calibri"/>
              <a:cs typeface="Calibri"/>
            </a:rPr>
            <a:pPr algn="l"/>
            <a:t>Grant Summary</a:t>
          </a:fld>
          <a:endParaRPr lang="en-US" sz="1000" b="1" i="0" u="sng">
            <a:solidFill>
              <a:schemeClr val="accent1">
                <a:lumMod val="75000"/>
              </a:schemeClr>
            </a:solidFill>
          </a:endParaRPr>
        </a:p>
      </xdr:txBody>
    </xdr:sp>
    <xdr:clientData fPrintsWithSheet="0"/>
  </xdr:oneCellAnchor>
  <xdr:oneCellAnchor>
    <xdr:from>
      <xdr:col>16</xdr:col>
      <xdr:colOff>295275</xdr:colOff>
      <xdr:row>16</xdr:row>
      <xdr:rowOff>9525</xdr:rowOff>
    </xdr:from>
    <xdr:ext cx="2200275" cy="264560"/>
    <xdr:sp macro="" textlink="$B$85">
      <xdr:nvSpPr>
        <xdr:cNvPr id="6" name="TOC_SECTION_9">
          <a:hlinkClick xmlns:r="http://schemas.openxmlformats.org/officeDocument/2006/relationships" r:id="rId5"/>
          <a:extLst>
            <a:ext uri="{FF2B5EF4-FFF2-40B4-BE49-F238E27FC236}">
              <a16:creationId xmlns:a16="http://schemas.microsoft.com/office/drawing/2014/main" id="{00000000-0008-0000-0800-000006000000}"/>
            </a:ext>
          </a:extLst>
        </xdr:cNvPr>
        <xdr:cNvSpPr txBox="1"/>
      </xdr:nvSpPr>
      <xdr:spPr>
        <a:xfrm>
          <a:off x="4225925" y="4270375"/>
          <a:ext cx="2200275" cy="2645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lIns="0" rtlCol="0" anchor="t">
          <a:noAutofit/>
        </a:bodyPr>
        <a:lstStyle/>
        <a:p>
          <a:pPr algn="l"/>
          <a:fld id="{177A4A5A-073A-414A-AACE-C550FFAA6913}" type="TxLink">
            <a:rPr lang="en-US" sz="1000" b="1" i="0" u="sng" strike="noStrike">
              <a:solidFill>
                <a:schemeClr val="accent1">
                  <a:lumMod val="75000"/>
                </a:schemeClr>
              </a:solidFill>
              <a:latin typeface="Calibri"/>
              <a:ea typeface="Calibri"/>
              <a:cs typeface="Calibri"/>
            </a:rPr>
            <a:pPr algn="l"/>
            <a:t>Mortgage Information</a:t>
          </a:fld>
          <a:endParaRPr lang="en-US" sz="1000" b="1" i="0" u="sng">
            <a:solidFill>
              <a:schemeClr val="accent1">
                <a:lumMod val="75000"/>
              </a:schemeClr>
            </a:solidFill>
          </a:endParaRPr>
        </a:p>
      </xdr:txBody>
    </xdr:sp>
    <xdr:clientData fPrintsWithSheet="0"/>
  </xdr:oneCellAnchor>
  <xdr:twoCellAnchor editAs="absolute">
    <xdr:from>
      <xdr:col>16384</xdr:col>
      <xdr:colOff>607578</xdr:colOff>
      <xdr:row>13</xdr:row>
      <xdr:rowOff>34925</xdr:rowOff>
    </xdr:from>
    <xdr:to>
      <xdr:col>16384</xdr:col>
      <xdr:colOff>607578</xdr:colOff>
      <xdr:row>15</xdr:row>
      <xdr:rowOff>82550</xdr:rowOff>
    </xdr:to>
    <xdr:sp macro="" textlink="">
      <xdr:nvSpPr>
        <xdr:cNvPr id="7" name="COVER_CELLS_01">
          <a:extLst>
            <a:ext uri="{FF2B5EF4-FFF2-40B4-BE49-F238E27FC236}">
              <a16:creationId xmlns:a16="http://schemas.microsoft.com/office/drawing/2014/main" id="{00000000-0008-0000-0800-000007000000}"/>
            </a:ext>
          </a:extLst>
        </xdr:cNvPr>
        <xdr:cNvSpPr/>
      </xdr:nvSpPr>
      <xdr:spPr>
        <a:xfrm>
          <a:off x="8468878" y="3603625"/>
          <a:ext cx="0" cy="606425"/>
        </a:xfrm>
        <a:prstGeom prst="rect">
          <a:avLst/>
        </a:prstGeom>
        <a:solidFill>
          <a:srgbClr val="FFFFFF">
            <a:alpha val="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fPrintsWithSheet="0"/>
  </xdr:twoCellAnchor>
  <xdr:twoCellAnchor editAs="oneCell">
    <xdr:from>
      <xdr:col>7</xdr:col>
      <xdr:colOff>24775</xdr:colOff>
      <xdr:row>118</xdr:row>
      <xdr:rowOff>149226</xdr:rowOff>
    </xdr:from>
    <xdr:to>
      <xdr:col>24</xdr:col>
      <xdr:colOff>152399</xdr:colOff>
      <xdr:row>119</xdr:row>
      <xdr:rowOff>234950</xdr:rowOff>
    </xdr:to>
    <xdr:grpSp>
      <xdr:nvGrpSpPr>
        <xdr:cNvPr id="8" name="Group 7">
          <a:extLst>
            <a:ext uri="{FF2B5EF4-FFF2-40B4-BE49-F238E27FC236}">
              <a16:creationId xmlns:a16="http://schemas.microsoft.com/office/drawing/2014/main" id="{00000000-0008-0000-0800-000008000000}"/>
            </a:ext>
          </a:extLst>
        </xdr:cNvPr>
        <xdr:cNvGrpSpPr/>
      </xdr:nvGrpSpPr>
      <xdr:grpSpPr>
        <a:xfrm>
          <a:off x="24775" y="32705676"/>
          <a:ext cx="7452349" cy="361949"/>
          <a:chOff x="9296399" y="16259175"/>
          <a:chExt cx="7452359" cy="371473"/>
        </a:xfrm>
      </xdr:grpSpPr>
      <xdr:sp macro="" textlink="CONFIG_EFORM_DOC_ID_NAME">
        <xdr:nvSpPr>
          <xdr:cNvPr id="9" name="FOOTER_BG">
            <a:extLst>
              <a:ext uri="{FF2B5EF4-FFF2-40B4-BE49-F238E27FC236}">
                <a16:creationId xmlns:a16="http://schemas.microsoft.com/office/drawing/2014/main" id="{00000000-0008-0000-0800-000009000000}"/>
              </a:ext>
            </a:extLst>
          </xdr:cNvPr>
          <xdr:cNvSpPr/>
        </xdr:nvSpPr>
        <xdr:spPr>
          <a:xfrm>
            <a:off x="9296399" y="16259175"/>
            <a:ext cx="7452359" cy="371473"/>
          </a:xfrm>
          <a:prstGeom prst="rect">
            <a:avLst/>
          </a:prstGeom>
          <a:solidFill>
            <a:srgbClr val="00305E"/>
          </a:solidFill>
          <a:ln>
            <a:noFill/>
          </a:ln>
          <a:effectLst/>
        </xdr:spPr>
        <xdr:style>
          <a:lnRef idx="1">
            <a:schemeClr val="accent1"/>
          </a:lnRef>
          <a:fillRef idx="3">
            <a:schemeClr val="accent1"/>
          </a:fillRef>
          <a:effectRef idx="2">
            <a:schemeClr val="accent1"/>
          </a:effectRef>
          <a:fontRef idx="minor">
            <a:schemeClr val="lt1"/>
          </a:fontRef>
        </xdr:style>
        <xdr:txBody>
          <a:bodyPr vertOverflow="clip" rtlCol="0" anchor="ctr"/>
          <a:lstStyle/>
          <a:p>
            <a:pPr marL="0" marR="0" indent="0" algn="r" defTabSz="914400" eaLnBrk="1" fontAlgn="auto" latinLnBrk="0" hangingPunct="1">
              <a:lnSpc>
                <a:spcPct val="100000"/>
              </a:lnSpc>
              <a:spcBef>
                <a:spcPts val="0"/>
              </a:spcBef>
              <a:spcAft>
                <a:spcPts val="0"/>
              </a:spcAft>
              <a:buClrTx/>
              <a:buSzTx/>
              <a:buFontTx/>
              <a:buNone/>
              <a:tabLst/>
              <a:defRPr/>
            </a:pPr>
            <a:fld id="{318D66D7-35C3-43A5-9A89-905D240885C5}" type="TxLink">
              <a:rPr lang="en-US" sz="1000" b="1" i="0" u="none" strike="noStrike">
                <a:solidFill>
                  <a:schemeClr val="bg1"/>
                </a:solidFill>
                <a:latin typeface="+mn-lt"/>
                <a:ea typeface="+mn-ea"/>
                <a:cs typeface="Calibri"/>
              </a:rPr>
              <a:pPr marL="0" marR="0" indent="0" algn="r" defTabSz="914400" eaLnBrk="1" fontAlgn="auto" latinLnBrk="0" hangingPunct="1">
                <a:lnSpc>
                  <a:spcPct val="100000"/>
                </a:lnSpc>
                <a:spcBef>
                  <a:spcPts val="0"/>
                </a:spcBef>
                <a:spcAft>
                  <a:spcPts val="0"/>
                </a:spcAft>
                <a:buClrTx/>
                <a:buSzTx/>
                <a:buFontTx/>
                <a:buNone/>
                <a:tabLst/>
                <a:defRPr/>
              </a:pPr>
              <a:t>HDP-005: Homebuyer Dream Program® Request Form</a:t>
            </a:fld>
            <a:endParaRPr lang="en-US" sz="1000" b="1">
              <a:solidFill>
                <a:schemeClr val="bg1"/>
              </a:solidFill>
              <a:latin typeface="+mn-lt"/>
            </a:endParaRPr>
          </a:p>
        </xdr:txBody>
      </xdr:sp>
      <xdr:sp macro="" textlink="">
        <xdr:nvSpPr>
          <xdr:cNvPr id="10" name="FOOTER_LINK_PAGETOP">
            <a:hlinkClick xmlns:r="http://schemas.openxmlformats.org/officeDocument/2006/relationships" r:id="rId6"/>
            <a:extLst>
              <a:ext uri="{FF2B5EF4-FFF2-40B4-BE49-F238E27FC236}">
                <a16:creationId xmlns:a16="http://schemas.microsoft.com/office/drawing/2014/main" id="{00000000-0008-0000-0800-00000A000000}"/>
              </a:ext>
            </a:extLst>
          </xdr:cNvPr>
          <xdr:cNvSpPr/>
        </xdr:nvSpPr>
        <xdr:spPr>
          <a:xfrm>
            <a:off x="9296399" y="16259175"/>
            <a:ext cx="1126715" cy="36195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u="none">
                <a:solidFill>
                  <a:schemeClr val="bg1"/>
                </a:solidFill>
                <a:latin typeface="+mn-lt"/>
              </a:rPr>
              <a:t>^ Back to Top</a:t>
            </a:r>
          </a:p>
        </xdr:txBody>
      </xdr:sp>
    </xdr:grpSp>
    <xdr:clientData fPrintsWithSheet="0"/>
  </xdr:twoCellAnchor>
  <xdr:oneCellAnchor>
    <xdr:from>
      <xdr:col>12</xdr:col>
      <xdr:colOff>1076325</xdr:colOff>
      <xdr:row>12</xdr:row>
      <xdr:rowOff>0</xdr:rowOff>
    </xdr:from>
    <xdr:ext cx="184731" cy="264560"/>
    <xdr:sp macro="" textlink="">
      <xdr:nvSpPr>
        <xdr:cNvPr id="11" name="TextBox 10">
          <a:extLst>
            <a:ext uri="{FF2B5EF4-FFF2-40B4-BE49-F238E27FC236}">
              <a16:creationId xmlns:a16="http://schemas.microsoft.com/office/drawing/2014/main" id="{00000000-0008-0000-0800-00000B000000}"/>
            </a:ext>
          </a:extLst>
        </xdr:cNvPr>
        <xdr:cNvSpPr txBox="1"/>
      </xdr:nvSpPr>
      <xdr:spPr>
        <a:xfrm>
          <a:off x="27971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oneCellAnchor>
    <xdr:from>
      <xdr:col>16</xdr:col>
      <xdr:colOff>1076325</xdr:colOff>
      <xdr:row>12</xdr:row>
      <xdr:rowOff>0</xdr:rowOff>
    </xdr:from>
    <xdr:ext cx="184731" cy="264560"/>
    <xdr:sp macro="" textlink="">
      <xdr:nvSpPr>
        <xdr:cNvPr id="12" name="TextBox 11">
          <a:extLst>
            <a:ext uri="{FF2B5EF4-FFF2-40B4-BE49-F238E27FC236}">
              <a16:creationId xmlns:a16="http://schemas.microsoft.com/office/drawing/2014/main" id="{00000000-0008-0000-0800-00000C000000}"/>
            </a:ext>
          </a:extLst>
        </xdr:cNvPr>
        <xdr:cNvSpPr txBox="1"/>
      </xdr:nvSpPr>
      <xdr:spPr>
        <a:xfrm>
          <a:off x="46767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oneCellAnchor>
    <xdr:from>
      <xdr:col>16</xdr:col>
      <xdr:colOff>1076325</xdr:colOff>
      <xdr:row>12</xdr:row>
      <xdr:rowOff>0</xdr:rowOff>
    </xdr:from>
    <xdr:ext cx="184731" cy="264560"/>
    <xdr:sp macro="" textlink="">
      <xdr:nvSpPr>
        <xdr:cNvPr id="13" name="TextBox 12">
          <a:extLst>
            <a:ext uri="{FF2B5EF4-FFF2-40B4-BE49-F238E27FC236}">
              <a16:creationId xmlns:a16="http://schemas.microsoft.com/office/drawing/2014/main" id="{00000000-0008-0000-0800-00000D000000}"/>
            </a:ext>
          </a:extLst>
        </xdr:cNvPr>
        <xdr:cNvSpPr txBox="1"/>
      </xdr:nvSpPr>
      <xdr:spPr>
        <a:xfrm>
          <a:off x="46767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oneCellAnchor>
    <xdr:from>
      <xdr:col>16</xdr:col>
      <xdr:colOff>1076325</xdr:colOff>
      <xdr:row>12</xdr:row>
      <xdr:rowOff>0</xdr:rowOff>
    </xdr:from>
    <xdr:ext cx="184731" cy="264560"/>
    <xdr:sp macro="" textlink="">
      <xdr:nvSpPr>
        <xdr:cNvPr id="14" name="TextBox 13">
          <a:extLst>
            <a:ext uri="{FF2B5EF4-FFF2-40B4-BE49-F238E27FC236}">
              <a16:creationId xmlns:a16="http://schemas.microsoft.com/office/drawing/2014/main" id="{00000000-0008-0000-0800-00000E000000}"/>
            </a:ext>
          </a:extLst>
        </xdr:cNvPr>
        <xdr:cNvSpPr txBox="1"/>
      </xdr:nvSpPr>
      <xdr:spPr>
        <a:xfrm>
          <a:off x="46767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twoCellAnchor editAs="oneCell">
    <xdr:from>
      <xdr:col>7</xdr:col>
      <xdr:colOff>66675</xdr:colOff>
      <xdr:row>19</xdr:row>
      <xdr:rowOff>180974</xdr:rowOff>
    </xdr:from>
    <xdr:to>
      <xdr:col>24</xdr:col>
      <xdr:colOff>104776</xdr:colOff>
      <xdr:row>24</xdr:row>
      <xdr:rowOff>95248</xdr:rowOff>
    </xdr:to>
    <xdr:grpSp>
      <xdr:nvGrpSpPr>
        <xdr:cNvPr id="15" name="Group 14">
          <a:extLst>
            <a:ext uri="{FF2B5EF4-FFF2-40B4-BE49-F238E27FC236}">
              <a16:creationId xmlns:a16="http://schemas.microsoft.com/office/drawing/2014/main" id="{00000000-0008-0000-0800-00000F000000}"/>
            </a:ext>
          </a:extLst>
        </xdr:cNvPr>
        <xdr:cNvGrpSpPr/>
      </xdr:nvGrpSpPr>
      <xdr:grpSpPr>
        <a:xfrm>
          <a:off x="66675" y="5391149"/>
          <a:ext cx="7362826" cy="1295399"/>
          <a:chOff x="8191500" y="5295900"/>
          <a:chExt cx="7362826" cy="1172028"/>
        </a:xfrm>
      </xdr:grpSpPr>
      <xdr:grpSp>
        <xdr:nvGrpSpPr>
          <xdr:cNvPr id="16" name="RENTAL_1">
            <a:extLst>
              <a:ext uri="{FF2B5EF4-FFF2-40B4-BE49-F238E27FC236}">
                <a16:creationId xmlns:a16="http://schemas.microsoft.com/office/drawing/2014/main" id="{00000000-0008-0000-0800-000010000000}"/>
              </a:ext>
            </a:extLst>
          </xdr:cNvPr>
          <xdr:cNvGrpSpPr/>
        </xdr:nvGrpSpPr>
        <xdr:grpSpPr>
          <a:xfrm>
            <a:off x="8191500" y="5295901"/>
            <a:ext cx="7362825" cy="1172027"/>
            <a:chOff x="8191500" y="4057651"/>
            <a:chExt cx="7362825" cy="1172027"/>
          </a:xfrm>
        </xdr:grpSpPr>
        <xdr:sp macro="" textlink="">
          <xdr:nvSpPr>
            <xdr:cNvPr id="18" name="RENTAL_1_SECTION_FRAME">
              <a:extLst>
                <a:ext uri="{FF2B5EF4-FFF2-40B4-BE49-F238E27FC236}">
                  <a16:creationId xmlns:a16="http://schemas.microsoft.com/office/drawing/2014/main" id="{00000000-0008-0000-0800-000012000000}"/>
                </a:ext>
              </a:extLst>
            </xdr:cNvPr>
            <xdr:cNvSpPr/>
          </xdr:nvSpPr>
          <xdr:spPr>
            <a:xfrm>
              <a:off x="8191500" y="4367099"/>
              <a:ext cx="7362825" cy="862579"/>
            </a:xfrm>
            <a:prstGeom prst="rect">
              <a:avLst/>
            </a:prstGeom>
            <a:no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endParaRPr lang="en-US" sz="1100"/>
            </a:p>
          </xdr:txBody>
        </xdr:sp>
        <xdr:sp macro="" textlink="B18">
          <xdr:nvSpPr>
            <xdr:cNvPr id="19" name="RENTAL_1_SECTION_TITLE">
              <a:extLst>
                <a:ext uri="{FF2B5EF4-FFF2-40B4-BE49-F238E27FC236}">
                  <a16:creationId xmlns:a16="http://schemas.microsoft.com/office/drawing/2014/main" id="{00000000-0008-0000-0800-000013000000}"/>
                </a:ext>
              </a:extLst>
            </xdr:cNvPr>
            <xdr:cNvSpPr/>
          </xdr:nvSpPr>
          <xdr:spPr>
            <a:xfrm>
              <a:off x="8191500" y="4057651"/>
              <a:ext cx="7360920" cy="311090"/>
            </a:xfrm>
            <a:prstGeom prst="rect">
              <a:avLst/>
            </a:prstGeom>
            <a:solidFill>
              <a:srgbClr val="9CACB9"/>
            </a:solid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l"/>
              <a:fld id="{41F85F06-3A35-4C2E-A513-A2CFAECED2A4}" type="TxLink">
                <a:rPr lang="en-US" sz="1100" b="1" i="0" u="none" strike="noStrike">
                  <a:solidFill>
                    <a:schemeClr val="bg1"/>
                  </a:solidFill>
                  <a:latin typeface="Calibri"/>
                </a:rPr>
                <a:pPr algn="l"/>
                <a:t>Federal Home Loan Bank of New York Member</a:t>
              </a:fld>
              <a:endParaRPr lang="en-US" sz="1100" b="1" i="0">
                <a:solidFill>
                  <a:schemeClr val="bg1"/>
                </a:solidFill>
              </a:endParaRPr>
            </a:p>
          </xdr:txBody>
        </xdr:sp>
        <xdr:sp macro="" textlink="$B$26">
          <xdr:nvSpPr>
            <xdr:cNvPr id="20" name="RENTAL_1_SECTION_SUBTITLE">
              <a:extLst>
                <a:ext uri="{FF2B5EF4-FFF2-40B4-BE49-F238E27FC236}">
                  <a16:creationId xmlns:a16="http://schemas.microsoft.com/office/drawing/2014/main" id="{00000000-0008-0000-0800-000014000000}"/>
                </a:ext>
              </a:extLst>
            </xdr:cNvPr>
            <xdr:cNvSpPr/>
          </xdr:nvSpPr>
          <xdr:spPr>
            <a:xfrm>
              <a:off x="8201025" y="4379110"/>
              <a:ext cx="7351776" cy="274320"/>
            </a:xfrm>
            <a:prstGeom prst="rect">
              <a:avLst/>
            </a:prstGeom>
            <a:solidFill>
              <a:schemeClr val="accent1">
                <a:lumMod val="20000"/>
                <a:lumOff val="80000"/>
              </a:schemeClr>
            </a:solidFill>
            <a:ln>
              <a:noFill/>
            </a:ln>
            <a:effectLst/>
          </xdr:spPr>
          <xdr:style>
            <a:lnRef idx="1">
              <a:schemeClr val="accent1"/>
            </a:lnRef>
            <a:fillRef idx="2">
              <a:schemeClr val="accent1"/>
            </a:fillRef>
            <a:effectRef idx="1">
              <a:schemeClr val="accent1"/>
            </a:effectRef>
            <a:fontRef idx="minor">
              <a:schemeClr val="dk1"/>
            </a:fontRef>
          </xdr:style>
          <xdr:txBody>
            <a:bodyPr vertOverflow="clip" lIns="457200" rtlCol="0" anchor="ctr"/>
            <a:lstStyle/>
            <a:p>
              <a:pPr algn="l"/>
              <a:fld id="{CCDC5A28-C611-4D0B-B4D7-393A7AD37E0E}" type="TxLink">
                <a:rPr lang="en-US" sz="900" b="0" i="0" u="none" strike="noStrike">
                  <a:solidFill>
                    <a:srgbClr val="000000"/>
                  </a:solidFill>
                  <a:latin typeface="Calibri"/>
                </a:rPr>
                <a:pPr algn="l"/>
                <a:t>Not Started</a:t>
              </a:fld>
              <a:endParaRPr lang="en-US" sz="1100" i="0"/>
            </a:p>
          </xdr:txBody>
        </xdr:sp>
        <xdr:sp macro="" textlink="">
          <xdr:nvSpPr>
            <xdr:cNvPr id="21" name="RENTAL_1_SECTION_SUBTITLE_LABEL">
              <a:extLst>
                <a:ext uri="{FF2B5EF4-FFF2-40B4-BE49-F238E27FC236}">
                  <a16:creationId xmlns:a16="http://schemas.microsoft.com/office/drawing/2014/main" id="{00000000-0008-0000-0800-000015000000}"/>
                </a:ext>
              </a:extLst>
            </xdr:cNvPr>
            <xdr:cNvSpPr txBox="1"/>
          </xdr:nvSpPr>
          <xdr:spPr>
            <a:xfrm>
              <a:off x="8296277" y="4379110"/>
              <a:ext cx="476249" cy="2743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tlCol="0" anchor="ctr">
              <a:noAutofit/>
            </a:bodyPr>
            <a:lstStyle/>
            <a:p>
              <a:r>
                <a:rPr lang="en-US" sz="900" b="1"/>
                <a:t>Status:</a:t>
              </a:r>
            </a:p>
          </xdr:txBody>
        </xdr:sp>
      </xdr:grpSp>
      <xdr:sp macro="" textlink="">
        <xdr:nvSpPr>
          <xdr:cNvPr id="17" name="LINK_RENTAL_TOC">
            <a:hlinkClick xmlns:r="http://schemas.openxmlformats.org/officeDocument/2006/relationships" r:id="rId6"/>
            <a:extLst>
              <a:ext uri="{FF2B5EF4-FFF2-40B4-BE49-F238E27FC236}">
                <a16:creationId xmlns:a16="http://schemas.microsoft.com/office/drawing/2014/main" id="{00000000-0008-0000-0800-000011000000}"/>
              </a:ext>
            </a:extLst>
          </xdr:cNvPr>
          <xdr:cNvSpPr/>
        </xdr:nvSpPr>
        <xdr:spPr>
          <a:xfrm>
            <a:off x="14525626" y="5295900"/>
            <a:ext cx="1028700" cy="30480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r"/>
            <a:r>
              <a:rPr lang="en-US" sz="1000" b="1" u="none">
                <a:solidFill>
                  <a:schemeClr val="bg1"/>
                </a:solidFill>
              </a:rPr>
              <a:t>Back</a:t>
            </a:r>
            <a:r>
              <a:rPr lang="en-US" sz="1000" b="1" u="none" baseline="0">
                <a:solidFill>
                  <a:schemeClr val="bg1"/>
                </a:solidFill>
              </a:rPr>
              <a:t> to Top ^</a:t>
            </a:r>
            <a:endParaRPr lang="en-US" sz="1000" b="1" u="none">
              <a:solidFill>
                <a:schemeClr val="bg1"/>
              </a:solidFill>
            </a:endParaRPr>
          </a:p>
        </xdr:txBody>
      </xdr:sp>
    </xdr:grpSp>
    <xdr:clientData fPrintsWithSheet="0"/>
  </xdr:twoCellAnchor>
  <xdr:twoCellAnchor editAs="oneCell">
    <xdr:from>
      <xdr:col>14</xdr:col>
      <xdr:colOff>3398</xdr:colOff>
      <xdr:row>0</xdr:row>
      <xdr:rowOff>71440</xdr:rowOff>
    </xdr:from>
    <xdr:to>
      <xdr:col>24</xdr:col>
      <xdr:colOff>98648</xdr:colOff>
      <xdr:row>0</xdr:row>
      <xdr:rowOff>482600</xdr:rowOff>
    </xdr:to>
    <xdr:sp macro="" textlink="$B$6">
      <xdr:nvSpPr>
        <xdr:cNvPr id="22" name="HEADER_BANNER_TITLE">
          <a:extLst>
            <a:ext uri="{FF2B5EF4-FFF2-40B4-BE49-F238E27FC236}">
              <a16:creationId xmlns:a16="http://schemas.microsoft.com/office/drawing/2014/main" id="{00000000-0008-0000-0800-000016000000}"/>
            </a:ext>
          </a:extLst>
        </xdr:cNvPr>
        <xdr:cNvSpPr txBox="1"/>
      </xdr:nvSpPr>
      <xdr:spPr>
        <a:xfrm>
          <a:off x="2994248" y="71440"/>
          <a:ext cx="4794250" cy="411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Ins="0" rtlCol="0" anchor="ctr">
          <a:noAutofit/>
        </a:bodyPr>
        <a:lstStyle/>
        <a:p>
          <a:pPr algn="r"/>
          <a:fld id="{EB7A598A-0828-4A2E-81B0-26C15BB3F65D}" type="TxLink">
            <a:rPr lang="en-US" sz="1200" b="1" i="0" u="none" strike="noStrike">
              <a:solidFill>
                <a:sysClr val="windowText" lastClr="000000"/>
              </a:solidFill>
              <a:latin typeface="Calibri"/>
              <a:ea typeface="Calibri"/>
              <a:cs typeface="Calibri"/>
            </a:rPr>
            <a:pPr algn="r"/>
            <a:t>Homebuyer Dream Program Wealth Builder - 2026 Round</a:t>
          </a:fld>
          <a:endParaRPr lang="en-US" sz="1200" b="1" i="0">
            <a:solidFill>
              <a:sysClr val="windowText" lastClr="000000"/>
            </a:solidFill>
          </a:endParaRPr>
        </a:p>
      </xdr:txBody>
    </xdr:sp>
    <xdr:clientData/>
  </xdr:twoCellAnchor>
  <xdr:twoCellAnchor editAs="oneCell">
    <xdr:from>
      <xdr:col>7</xdr:col>
      <xdr:colOff>66675</xdr:colOff>
      <xdr:row>24</xdr:row>
      <xdr:rowOff>250825</xdr:rowOff>
    </xdr:from>
    <xdr:to>
      <xdr:col>24</xdr:col>
      <xdr:colOff>104776</xdr:colOff>
      <xdr:row>29</xdr:row>
      <xdr:rowOff>107952</xdr:rowOff>
    </xdr:to>
    <xdr:grpSp>
      <xdr:nvGrpSpPr>
        <xdr:cNvPr id="23" name="Group 22">
          <a:extLst>
            <a:ext uri="{FF2B5EF4-FFF2-40B4-BE49-F238E27FC236}">
              <a16:creationId xmlns:a16="http://schemas.microsoft.com/office/drawing/2014/main" id="{00000000-0008-0000-0800-000017000000}"/>
            </a:ext>
          </a:extLst>
        </xdr:cNvPr>
        <xdr:cNvGrpSpPr/>
      </xdr:nvGrpSpPr>
      <xdr:grpSpPr>
        <a:xfrm>
          <a:off x="66675" y="6842125"/>
          <a:ext cx="7362826" cy="1238252"/>
          <a:chOff x="8191500" y="8343900"/>
          <a:chExt cx="7362826" cy="1238252"/>
        </a:xfrm>
      </xdr:grpSpPr>
      <xdr:grpSp>
        <xdr:nvGrpSpPr>
          <xdr:cNvPr id="24" name="RENTAL_2">
            <a:extLst>
              <a:ext uri="{FF2B5EF4-FFF2-40B4-BE49-F238E27FC236}">
                <a16:creationId xmlns:a16="http://schemas.microsoft.com/office/drawing/2014/main" id="{00000000-0008-0000-0800-000018000000}"/>
              </a:ext>
            </a:extLst>
          </xdr:cNvPr>
          <xdr:cNvGrpSpPr/>
        </xdr:nvGrpSpPr>
        <xdr:grpSpPr>
          <a:xfrm>
            <a:off x="8191500" y="8343902"/>
            <a:ext cx="7362825" cy="1238250"/>
            <a:chOff x="9353550" y="7334730"/>
            <a:chExt cx="7362825" cy="1176100"/>
          </a:xfrm>
        </xdr:grpSpPr>
        <xdr:sp macro="" textlink="">
          <xdr:nvSpPr>
            <xdr:cNvPr id="26" name="RENTAL_2_SECTION_FRAME">
              <a:extLst>
                <a:ext uri="{FF2B5EF4-FFF2-40B4-BE49-F238E27FC236}">
                  <a16:creationId xmlns:a16="http://schemas.microsoft.com/office/drawing/2014/main" id="{00000000-0008-0000-0800-00001A000000}"/>
                </a:ext>
              </a:extLst>
            </xdr:cNvPr>
            <xdr:cNvSpPr/>
          </xdr:nvSpPr>
          <xdr:spPr>
            <a:xfrm>
              <a:off x="9353550" y="7632465"/>
              <a:ext cx="7362825" cy="878365"/>
            </a:xfrm>
            <a:prstGeom prst="rect">
              <a:avLst/>
            </a:prstGeom>
            <a:no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endParaRPr lang="en-US" sz="1100"/>
            </a:p>
          </xdr:txBody>
        </xdr:sp>
        <xdr:sp macro="" textlink="B31">
          <xdr:nvSpPr>
            <xdr:cNvPr id="27" name="RENTAL_2_SECTION_TITLE">
              <a:extLst>
                <a:ext uri="{FF2B5EF4-FFF2-40B4-BE49-F238E27FC236}">
                  <a16:creationId xmlns:a16="http://schemas.microsoft.com/office/drawing/2014/main" id="{00000000-0008-0000-0800-00001B000000}"/>
                </a:ext>
              </a:extLst>
            </xdr:cNvPr>
            <xdr:cNvSpPr/>
          </xdr:nvSpPr>
          <xdr:spPr>
            <a:xfrm>
              <a:off x="9353550" y="7334730"/>
              <a:ext cx="7360920" cy="291669"/>
            </a:xfrm>
            <a:prstGeom prst="rect">
              <a:avLst/>
            </a:prstGeom>
            <a:solidFill>
              <a:srgbClr val="9CACB9"/>
            </a:solid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l"/>
              <a:fld id="{F7EBC575-AB48-40AE-B3DF-C45D66875040}" type="TxLink">
                <a:rPr lang="en-US" sz="1100" b="1" i="0" u="none" strike="noStrike">
                  <a:solidFill>
                    <a:schemeClr val="bg1"/>
                  </a:solidFill>
                  <a:latin typeface="Calibri"/>
                </a:rPr>
                <a:pPr algn="l"/>
                <a:t>Household Information</a:t>
              </a:fld>
              <a:endParaRPr lang="en-US" sz="1100" b="1" i="0">
                <a:solidFill>
                  <a:schemeClr val="bg1"/>
                </a:solidFill>
              </a:endParaRPr>
            </a:p>
          </xdr:txBody>
        </xdr:sp>
        <xdr:sp macro="" textlink="$B$40">
          <xdr:nvSpPr>
            <xdr:cNvPr id="28" name="RENTAL_2_SECTION_SUBTITLE">
              <a:extLst>
                <a:ext uri="{FF2B5EF4-FFF2-40B4-BE49-F238E27FC236}">
                  <a16:creationId xmlns:a16="http://schemas.microsoft.com/office/drawing/2014/main" id="{00000000-0008-0000-0800-00001C000000}"/>
                </a:ext>
              </a:extLst>
            </xdr:cNvPr>
            <xdr:cNvSpPr/>
          </xdr:nvSpPr>
          <xdr:spPr>
            <a:xfrm>
              <a:off x="9363075" y="7641569"/>
              <a:ext cx="7351776" cy="257355"/>
            </a:xfrm>
            <a:prstGeom prst="rect">
              <a:avLst/>
            </a:prstGeom>
            <a:solidFill>
              <a:schemeClr val="accent1">
                <a:lumMod val="20000"/>
                <a:lumOff val="80000"/>
              </a:schemeClr>
            </a:solidFill>
            <a:ln>
              <a:noFill/>
            </a:ln>
            <a:effectLst/>
          </xdr:spPr>
          <xdr:style>
            <a:lnRef idx="1">
              <a:schemeClr val="accent1"/>
            </a:lnRef>
            <a:fillRef idx="2">
              <a:schemeClr val="accent1"/>
            </a:fillRef>
            <a:effectRef idx="1">
              <a:schemeClr val="accent1"/>
            </a:effectRef>
            <a:fontRef idx="minor">
              <a:schemeClr val="dk1"/>
            </a:fontRef>
          </xdr:style>
          <xdr:txBody>
            <a:bodyPr vertOverflow="clip" lIns="457200" rtlCol="0" anchor="ctr"/>
            <a:lstStyle/>
            <a:p>
              <a:pPr algn="l"/>
              <a:fld id="{105E12F8-653C-4DF9-8753-A54BD8A3A967}" type="TxLink">
                <a:rPr lang="en-US" sz="900" b="0" i="0" u="none" strike="noStrike">
                  <a:solidFill>
                    <a:srgbClr val="000000"/>
                  </a:solidFill>
                  <a:latin typeface="Calibri"/>
                </a:rPr>
                <a:pPr algn="l"/>
                <a:t>Not Started</a:t>
              </a:fld>
              <a:endParaRPr lang="en-US" sz="1100" i="0"/>
            </a:p>
          </xdr:txBody>
        </xdr:sp>
        <xdr:sp macro="" textlink="">
          <xdr:nvSpPr>
            <xdr:cNvPr id="29" name="RENTAL_2_SECTION_SUBTITLE_LABEL">
              <a:extLst>
                <a:ext uri="{FF2B5EF4-FFF2-40B4-BE49-F238E27FC236}">
                  <a16:creationId xmlns:a16="http://schemas.microsoft.com/office/drawing/2014/main" id="{00000000-0008-0000-0800-00001D000000}"/>
                </a:ext>
              </a:extLst>
            </xdr:cNvPr>
            <xdr:cNvSpPr txBox="1"/>
          </xdr:nvSpPr>
          <xdr:spPr>
            <a:xfrm>
              <a:off x="9458327" y="7641569"/>
              <a:ext cx="476249" cy="2573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tlCol="0" anchor="ctr">
              <a:noAutofit/>
            </a:bodyPr>
            <a:lstStyle/>
            <a:p>
              <a:r>
                <a:rPr lang="en-US" sz="900" b="1"/>
                <a:t>Status:</a:t>
              </a:r>
            </a:p>
          </xdr:txBody>
        </xdr:sp>
      </xdr:grpSp>
      <xdr:sp macro="" textlink="">
        <xdr:nvSpPr>
          <xdr:cNvPr id="25" name="LINK_RENTAL_TOC">
            <a:hlinkClick xmlns:r="http://schemas.openxmlformats.org/officeDocument/2006/relationships" r:id="rId6"/>
            <a:extLst>
              <a:ext uri="{FF2B5EF4-FFF2-40B4-BE49-F238E27FC236}">
                <a16:creationId xmlns:a16="http://schemas.microsoft.com/office/drawing/2014/main" id="{00000000-0008-0000-0800-000019000000}"/>
              </a:ext>
            </a:extLst>
          </xdr:cNvPr>
          <xdr:cNvSpPr/>
        </xdr:nvSpPr>
        <xdr:spPr>
          <a:xfrm>
            <a:off x="14525626" y="8343900"/>
            <a:ext cx="1028700" cy="30480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r"/>
            <a:r>
              <a:rPr lang="en-US" sz="1000" b="1" u="none">
                <a:solidFill>
                  <a:schemeClr val="bg1"/>
                </a:solidFill>
              </a:rPr>
              <a:t>Back</a:t>
            </a:r>
            <a:r>
              <a:rPr lang="en-US" sz="1000" b="1" u="none" baseline="0">
                <a:solidFill>
                  <a:schemeClr val="bg1"/>
                </a:solidFill>
              </a:rPr>
              <a:t> to Top ^</a:t>
            </a:r>
            <a:endParaRPr lang="en-US" sz="1000" b="1" u="none">
              <a:solidFill>
                <a:schemeClr val="bg1"/>
              </a:solidFill>
            </a:endParaRPr>
          </a:p>
        </xdr:txBody>
      </xdr:sp>
    </xdr:grpSp>
    <xdr:clientData fPrintsWithSheet="0"/>
  </xdr:twoCellAnchor>
  <xdr:twoCellAnchor editAs="oneCell">
    <xdr:from>
      <xdr:col>7</xdr:col>
      <xdr:colOff>66675</xdr:colOff>
      <xdr:row>29</xdr:row>
      <xdr:rowOff>276220</xdr:rowOff>
    </xdr:from>
    <xdr:to>
      <xdr:col>24</xdr:col>
      <xdr:colOff>114300</xdr:colOff>
      <xdr:row>37</xdr:row>
      <xdr:rowOff>76197</xdr:rowOff>
    </xdr:to>
    <xdr:grpSp>
      <xdr:nvGrpSpPr>
        <xdr:cNvPr id="30" name="Group 29">
          <a:extLst>
            <a:ext uri="{FF2B5EF4-FFF2-40B4-BE49-F238E27FC236}">
              <a16:creationId xmlns:a16="http://schemas.microsoft.com/office/drawing/2014/main" id="{00000000-0008-0000-0800-00001E000000}"/>
            </a:ext>
          </a:extLst>
        </xdr:cNvPr>
        <xdr:cNvGrpSpPr/>
      </xdr:nvGrpSpPr>
      <xdr:grpSpPr>
        <a:xfrm>
          <a:off x="66675" y="8248645"/>
          <a:ext cx="7372350" cy="2009777"/>
          <a:chOff x="8191500" y="11668120"/>
          <a:chExt cx="7372350" cy="2010275"/>
        </a:xfrm>
      </xdr:grpSpPr>
      <xdr:grpSp>
        <xdr:nvGrpSpPr>
          <xdr:cNvPr id="31" name="RENTAL_3">
            <a:extLst>
              <a:ext uri="{FF2B5EF4-FFF2-40B4-BE49-F238E27FC236}">
                <a16:creationId xmlns:a16="http://schemas.microsoft.com/office/drawing/2014/main" id="{00000000-0008-0000-0800-00001F000000}"/>
              </a:ext>
            </a:extLst>
          </xdr:cNvPr>
          <xdr:cNvGrpSpPr/>
        </xdr:nvGrpSpPr>
        <xdr:grpSpPr>
          <a:xfrm>
            <a:off x="8191500" y="11668120"/>
            <a:ext cx="7362825" cy="2010275"/>
            <a:chOff x="9353550" y="10677527"/>
            <a:chExt cx="7362825" cy="1891820"/>
          </a:xfrm>
        </xdr:grpSpPr>
        <xdr:sp macro="" textlink="">
          <xdr:nvSpPr>
            <xdr:cNvPr id="33" name="RENTAL_3_SECTION_FRAME">
              <a:extLst>
                <a:ext uri="{FF2B5EF4-FFF2-40B4-BE49-F238E27FC236}">
                  <a16:creationId xmlns:a16="http://schemas.microsoft.com/office/drawing/2014/main" id="{00000000-0008-0000-0800-000021000000}"/>
                </a:ext>
              </a:extLst>
            </xdr:cNvPr>
            <xdr:cNvSpPr/>
          </xdr:nvSpPr>
          <xdr:spPr>
            <a:xfrm>
              <a:off x="9353550" y="10971289"/>
              <a:ext cx="7362825" cy="1598058"/>
            </a:xfrm>
            <a:prstGeom prst="rect">
              <a:avLst/>
            </a:prstGeom>
            <a:no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endParaRPr lang="en-US" sz="1100"/>
            </a:p>
          </xdr:txBody>
        </xdr:sp>
        <xdr:sp macro="" textlink="$B$45">
          <xdr:nvSpPr>
            <xdr:cNvPr id="34" name="RENTAL_3_SECTION_TITLE">
              <a:extLst>
                <a:ext uri="{FF2B5EF4-FFF2-40B4-BE49-F238E27FC236}">
                  <a16:creationId xmlns:a16="http://schemas.microsoft.com/office/drawing/2014/main" id="{00000000-0008-0000-0800-000022000000}"/>
                </a:ext>
              </a:extLst>
            </xdr:cNvPr>
            <xdr:cNvSpPr/>
          </xdr:nvSpPr>
          <xdr:spPr>
            <a:xfrm>
              <a:off x="9353550" y="10677527"/>
              <a:ext cx="7360920" cy="289884"/>
            </a:xfrm>
            <a:prstGeom prst="rect">
              <a:avLst/>
            </a:prstGeom>
            <a:solidFill>
              <a:srgbClr val="9CACB9"/>
            </a:solid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l"/>
              <a:fld id="{E5F0481B-FAA3-4CC6-BC46-194342DDD317}" type="TxLink">
                <a:rPr lang="en-US" sz="1100" b="1" i="0" u="none" strike="noStrike">
                  <a:solidFill>
                    <a:schemeClr val="bg1"/>
                  </a:solidFill>
                  <a:latin typeface="Calibri"/>
                </a:rPr>
                <a:pPr algn="l"/>
                <a:t>Grant Summary</a:t>
              </a:fld>
              <a:endParaRPr lang="en-US" sz="1100" b="1" i="0" u="none" strike="noStrike">
                <a:solidFill>
                  <a:schemeClr val="bg1"/>
                </a:solidFill>
                <a:latin typeface="Calibri"/>
              </a:endParaRPr>
            </a:p>
          </xdr:txBody>
        </xdr:sp>
        <xdr:sp macro="" textlink="$B$55">
          <xdr:nvSpPr>
            <xdr:cNvPr id="35" name="RENTAL_3_SECTION_SUBTITLE">
              <a:extLst>
                <a:ext uri="{FF2B5EF4-FFF2-40B4-BE49-F238E27FC236}">
                  <a16:creationId xmlns:a16="http://schemas.microsoft.com/office/drawing/2014/main" id="{00000000-0008-0000-0800-000023000000}"/>
                </a:ext>
              </a:extLst>
            </xdr:cNvPr>
            <xdr:cNvSpPr/>
          </xdr:nvSpPr>
          <xdr:spPr>
            <a:xfrm>
              <a:off x="9363075" y="10973444"/>
              <a:ext cx="7351776" cy="255780"/>
            </a:xfrm>
            <a:prstGeom prst="rect">
              <a:avLst/>
            </a:prstGeom>
            <a:solidFill>
              <a:schemeClr val="accent1">
                <a:lumMod val="20000"/>
                <a:lumOff val="80000"/>
              </a:schemeClr>
            </a:solidFill>
            <a:ln>
              <a:noFill/>
            </a:ln>
            <a:effectLst/>
          </xdr:spPr>
          <xdr:style>
            <a:lnRef idx="1">
              <a:schemeClr val="accent1"/>
            </a:lnRef>
            <a:fillRef idx="2">
              <a:schemeClr val="accent1"/>
            </a:fillRef>
            <a:effectRef idx="1">
              <a:schemeClr val="accent1"/>
            </a:effectRef>
            <a:fontRef idx="minor">
              <a:schemeClr val="dk1"/>
            </a:fontRef>
          </xdr:style>
          <xdr:txBody>
            <a:bodyPr vertOverflow="clip" lIns="457200" rtlCol="0" anchor="ctr"/>
            <a:lstStyle/>
            <a:p>
              <a:pPr algn="l"/>
              <a:fld id="{AC7DE13B-4CF9-4B53-B058-CF26A2B7D8EE}" type="TxLink">
                <a:rPr lang="en-US" sz="900" b="0" i="0" u="none" strike="noStrike">
                  <a:solidFill>
                    <a:srgbClr val="000000"/>
                  </a:solidFill>
                  <a:latin typeface="Calibri"/>
                </a:rPr>
                <a:pPr algn="l"/>
                <a:t>Not Started</a:t>
              </a:fld>
              <a:endParaRPr lang="en-US" sz="1100" i="0"/>
            </a:p>
          </xdr:txBody>
        </xdr:sp>
        <xdr:sp macro="" textlink="">
          <xdr:nvSpPr>
            <xdr:cNvPr id="36" name="RENTAL_3_SECTION_SUBTITLE_LABEL">
              <a:extLst>
                <a:ext uri="{FF2B5EF4-FFF2-40B4-BE49-F238E27FC236}">
                  <a16:creationId xmlns:a16="http://schemas.microsoft.com/office/drawing/2014/main" id="{00000000-0008-0000-0800-000024000000}"/>
                </a:ext>
              </a:extLst>
            </xdr:cNvPr>
            <xdr:cNvSpPr txBox="1"/>
          </xdr:nvSpPr>
          <xdr:spPr>
            <a:xfrm>
              <a:off x="9458327" y="10973444"/>
              <a:ext cx="476249" cy="2557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tlCol="0" anchor="ctr">
              <a:noAutofit/>
            </a:bodyPr>
            <a:lstStyle/>
            <a:p>
              <a:r>
                <a:rPr lang="en-US" sz="900" b="1"/>
                <a:t>Status:</a:t>
              </a:r>
            </a:p>
          </xdr:txBody>
        </xdr:sp>
      </xdr:grpSp>
      <xdr:sp macro="" textlink="">
        <xdr:nvSpPr>
          <xdr:cNvPr id="32" name="LINK_RENTAL_TOC">
            <a:hlinkClick xmlns:r="http://schemas.openxmlformats.org/officeDocument/2006/relationships" r:id="rId6"/>
            <a:extLst>
              <a:ext uri="{FF2B5EF4-FFF2-40B4-BE49-F238E27FC236}">
                <a16:creationId xmlns:a16="http://schemas.microsoft.com/office/drawing/2014/main" id="{00000000-0008-0000-0800-000020000000}"/>
              </a:ext>
            </a:extLst>
          </xdr:cNvPr>
          <xdr:cNvSpPr/>
        </xdr:nvSpPr>
        <xdr:spPr>
          <a:xfrm>
            <a:off x="14535150" y="11677650"/>
            <a:ext cx="1028700" cy="30480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r"/>
            <a:r>
              <a:rPr lang="en-US" sz="1000" b="1" u="none">
                <a:solidFill>
                  <a:schemeClr val="bg1"/>
                </a:solidFill>
              </a:rPr>
              <a:t>Back</a:t>
            </a:r>
            <a:r>
              <a:rPr lang="en-US" sz="1000" b="1" u="none" baseline="0">
                <a:solidFill>
                  <a:schemeClr val="bg1"/>
                </a:solidFill>
              </a:rPr>
              <a:t> to Top ^</a:t>
            </a:r>
            <a:endParaRPr lang="en-US" sz="1000" b="1" u="none">
              <a:solidFill>
                <a:schemeClr val="bg1"/>
              </a:solidFill>
            </a:endParaRPr>
          </a:p>
        </xdr:txBody>
      </xdr:sp>
    </xdr:grpSp>
    <xdr:clientData fPrintsWithSheet="0"/>
  </xdr:twoCellAnchor>
  <xdr:twoCellAnchor editAs="oneCell">
    <xdr:from>
      <xdr:col>7</xdr:col>
      <xdr:colOff>66675</xdr:colOff>
      <xdr:row>37</xdr:row>
      <xdr:rowOff>228600</xdr:rowOff>
    </xdr:from>
    <xdr:to>
      <xdr:col>24</xdr:col>
      <xdr:colOff>104775</xdr:colOff>
      <xdr:row>69</xdr:row>
      <xdr:rowOff>114301</xdr:rowOff>
    </xdr:to>
    <xdr:grpSp>
      <xdr:nvGrpSpPr>
        <xdr:cNvPr id="37" name="Group 36">
          <a:extLst>
            <a:ext uri="{FF2B5EF4-FFF2-40B4-BE49-F238E27FC236}">
              <a16:creationId xmlns:a16="http://schemas.microsoft.com/office/drawing/2014/main" id="{00000000-0008-0000-0800-000025000000}"/>
            </a:ext>
          </a:extLst>
        </xdr:cNvPr>
        <xdr:cNvGrpSpPr/>
      </xdr:nvGrpSpPr>
      <xdr:grpSpPr>
        <a:xfrm>
          <a:off x="66675" y="10410825"/>
          <a:ext cx="7362825" cy="8724901"/>
          <a:chOff x="8191500" y="14963772"/>
          <a:chExt cx="7362825" cy="8724277"/>
        </a:xfrm>
      </xdr:grpSpPr>
      <xdr:grpSp>
        <xdr:nvGrpSpPr>
          <xdr:cNvPr id="38" name="RENTAL_4">
            <a:extLst>
              <a:ext uri="{FF2B5EF4-FFF2-40B4-BE49-F238E27FC236}">
                <a16:creationId xmlns:a16="http://schemas.microsoft.com/office/drawing/2014/main" id="{00000000-0008-0000-0800-000026000000}"/>
              </a:ext>
            </a:extLst>
          </xdr:cNvPr>
          <xdr:cNvGrpSpPr/>
        </xdr:nvGrpSpPr>
        <xdr:grpSpPr>
          <a:xfrm>
            <a:off x="8191500" y="14963772"/>
            <a:ext cx="7362825" cy="8724277"/>
            <a:chOff x="9363075" y="13992996"/>
            <a:chExt cx="7362825" cy="8015583"/>
          </a:xfrm>
        </xdr:grpSpPr>
        <xdr:sp macro="" textlink="">
          <xdr:nvSpPr>
            <xdr:cNvPr id="40" name="RENTAL_4_SECTION_FRAME">
              <a:extLst>
                <a:ext uri="{FF2B5EF4-FFF2-40B4-BE49-F238E27FC236}">
                  <a16:creationId xmlns:a16="http://schemas.microsoft.com/office/drawing/2014/main" id="{00000000-0008-0000-0800-000028000000}"/>
                </a:ext>
              </a:extLst>
            </xdr:cNvPr>
            <xdr:cNvSpPr/>
          </xdr:nvSpPr>
          <xdr:spPr>
            <a:xfrm>
              <a:off x="9363075" y="14291730"/>
              <a:ext cx="7362825" cy="7716849"/>
            </a:xfrm>
            <a:prstGeom prst="rect">
              <a:avLst/>
            </a:prstGeom>
            <a:no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endParaRPr lang="en-US" sz="1100"/>
            </a:p>
          </xdr:txBody>
        </xdr:sp>
        <xdr:sp macro="" textlink="$B$60">
          <xdr:nvSpPr>
            <xdr:cNvPr id="41" name="RENTAL_4_SECTION_TITLE">
              <a:extLst>
                <a:ext uri="{FF2B5EF4-FFF2-40B4-BE49-F238E27FC236}">
                  <a16:creationId xmlns:a16="http://schemas.microsoft.com/office/drawing/2014/main" id="{00000000-0008-0000-0800-000029000000}"/>
                </a:ext>
              </a:extLst>
            </xdr:cNvPr>
            <xdr:cNvSpPr/>
          </xdr:nvSpPr>
          <xdr:spPr>
            <a:xfrm>
              <a:off x="9363075" y="13992996"/>
              <a:ext cx="7360920" cy="285641"/>
            </a:xfrm>
            <a:prstGeom prst="rect">
              <a:avLst/>
            </a:prstGeom>
            <a:solidFill>
              <a:srgbClr val="9CACB9"/>
            </a:solid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l"/>
              <a:fld id="{1C87D710-882F-4EA8-810D-76AA4F2BFC65}" type="TxLink">
                <a:rPr lang="en-US" sz="1100" b="1" i="0" u="none" strike="noStrike">
                  <a:solidFill>
                    <a:schemeClr val="bg1"/>
                  </a:solidFill>
                  <a:latin typeface="Calibri"/>
                </a:rPr>
                <a:pPr algn="l"/>
                <a:t>Mortgage Information</a:t>
              </a:fld>
              <a:endParaRPr lang="en-US" sz="1100" b="1" i="0" u="none" strike="noStrike">
                <a:solidFill>
                  <a:schemeClr val="bg1"/>
                </a:solidFill>
                <a:latin typeface="Calibri"/>
              </a:endParaRPr>
            </a:p>
          </xdr:txBody>
        </xdr:sp>
        <xdr:sp macro="" textlink="$B$83">
          <xdr:nvSpPr>
            <xdr:cNvPr id="42" name="RENTAL_4_SECTION_SUBTITLE">
              <a:extLst>
                <a:ext uri="{FF2B5EF4-FFF2-40B4-BE49-F238E27FC236}">
                  <a16:creationId xmlns:a16="http://schemas.microsoft.com/office/drawing/2014/main" id="{00000000-0008-0000-0800-00002A000000}"/>
                </a:ext>
              </a:extLst>
            </xdr:cNvPr>
            <xdr:cNvSpPr/>
          </xdr:nvSpPr>
          <xdr:spPr>
            <a:xfrm>
              <a:off x="9372600" y="14297025"/>
              <a:ext cx="7351776" cy="252036"/>
            </a:xfrm>
            <a:prstGeom prst="rect">
              <a:avLst/>
            </a:prstGeom>
            <a:solidFill>
              <a:schemeClr val="accent1">
                <a:lumMod val="20000"/>
                <a:lumOff val="80000"/>
              </a:schemeClr>
            </a:solidFill>
            <a:ln>
              <a:noFill/>
            </a:ln>
            <a:effectLst/>
          </xdr:spPr>
          <xdr:style>
            <a:lnRef idx="1">
              <a:schemeClr val="accent1"/>
            </a:lnRef>
            <a:fillRef idx="2">
              <a:schemeClr val="accent1"/>
            </a:fillRef>
            <a:effectRef idx="1">
              <a:schemeClr val="accent1"/>
            </a:effectRef>
            <a:fontRef idx="minor">
              <a:schemeClr val="dk1"/>
            </a:fontRef>
          </xdr:style>
          <xdr:txBody>
            <a:bodyPr vertOverflow="clip" lIns="457200" rtlCol="0" anchor="ctr"/>
            <a:lstStyle/>
            <a:p>
              <a:pPr algn="l"/>
              <a:fld id="{4224E38E-FD2B-4D43-9985-507D8E54C645}" type="TxLink">
                <a:rPr lang="en-US" sz="900" b="0" i="0" u="none" strike="noStrike">
                  <a:solidFill>
                    <a:srgbClr val="000000"/>
                  </a:solidFill>
                  <a:latin typeface="Calibri"/>
                </a:rPr>
                <a:pPr algn="l"/>
                <a:t>Not Started</a:t>
              </a:fld>
              <a:endParaRPr lang="en-US" sz="1100" i="0"/>
            </a:p>
          </xdr:txBody>
        </xdr:sp>
        <xdr:sp macro="" textlink="">
          <xdr:nvSpPr>
            <xdr:cNvPr id="43" name="RENTAL_4_SECTION_SUBTITLE_LABEL">
              <a:extLst>
                <a:ext uri="{FF2B5EF4-FFF2-40B4-BE49-F238E27FC236}">
                  <a16:creationId xmlns:a16="http://schemas.microsoft.com/office/drawing/2014/main" id="{00000000-0008-0000-0800-00002B000000}"/>
                </a:ext>
              </a:extLst>
            </xdr:cNvPr>
            <xdr:cNvSpPr txBox="1"/>
          </xdr:nvSpPr>
          <xdr:spPr>
            <a:xfrm>
              <a:off x="9467852" y="14297025"/>
              <a:ext cx="476249" cy="252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tlCol="0" anchor="ctr">
              <a:noAutofit/>
            </a:bodyPr>
            <a:lstStyle/>
            <a:p>
              <a:r>
                <a:rPr lang="en-US" sz="900" b="1"/>
                <a:t>Status:</a:t>
              </a:r>
            </a:p>
          </xdr:txBody>
        </xdr:sp>
      </xdr:grpSp>
      <xdr:sp macro="" textlink="">
        <xdr:nvSpPr>
          <xdr:cNvPr id="39" name="LINK_RENTAL_TOC">
            <a:hlinkClick xmlns:r="http://schemas.openxmlformats.org/officeDocument/2006/relationships" r:id="rId6"/>
            <a:extLst>
              <a:ext uri="{FF2B5EF4-FFF2-40B4-BE49-F238E27FC236}">
                <a16:creationId xmlns:a16="http://schemas.microsoft.com/office/drawing/2014/main" id="{00000000-0008-0000-0800-000027000000}"/>
              </a:ext>
            </a:extLst>
          </xdr:cNvPr>
          <xdr:cNvSpPr/>
        </xdr:nvSpPr>
        <xdr:spPr>
          <a:xfrm>
            <a:off x="14525625" y="14973300"/>
            <a:ext cx="1028700" cy="30480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r"/>
            <a:r>
              <a:rPr lang="en-US" sz="1000" b="1" u="none">
                <a:solidFill>
                  <a:schemeClr val="bg1"/>
                </a:solidFill>
              </a:rPr>
              <a:t>Back</a:t>
            </a:r>
            <a:r>
              <a:rPr lang="en-US" sz="1000" b="1" u="none" baseline="0">
                <a:solidFill>
                  <a:schemeClr val="bg1"/>
                </a:solidFill>
              </a:rPr>
              <a:t> to Top ^</a:t>
            </a:r>
            <a:endParaRPr lang="en-US" sz="1000" b="1" u="none">
              <a:solidFill>
                <a:schemeClr val="bg1"/>
              </a:solidFill>
            </a:endParaRPr>
          </a:p>
        </xdr:txBody>
      </xdr:sp>
    </xdr:grpSp>
    <xdr:clientData fPrintsWithSheet="0"/>
  </xdr:twoCellAnchor>
  <xdr:twoCellAnchor editAs="oneCell">
    <xdr:from>
      <xdr:col>7</xdr:col>
      <xdr:colOff>66675</xdr:colOff>
      <xdr:row>69</xdr:row>
      <xdr:rowOff>279399</xdr:rowOff>
    </xdr:from>
    <xdr:to>
      <xdr:col>24</xdr:col>
      <xdr:colOff>104775</xdr:colOff>
      <xdr:row>87</xdr:row>
      <xdr:rowOff>133346</xdr:rowOff>
    </xdr:to>
    <xdr:grpSp>
      <xdr:nvGrpSpPr>
        <xdr:cNvPr id="44" name="Group 43">
          <a:extLst>
            <a:ext uri="{FF2B5EF4-FFF2-40B4-BE49-F238E27FC236}">
              <a16:creationId xmlns:a16="http://schemas.microsoft.com/office/drawing/2014/main" id="{00000000-0008-0000-0800-00002C000000}"/>
            </a:ext>
          </a:extLst>
        </xdr:cNvPr>
        <xdr:cNvGrpSpPr/>
      </xdr:nvGrpSpPr>
      <xdr:grpSpPr>
        <a:xfrm>
          <a:off x="66675" y="19300824"/>
          <a:ext cx="7362825" cy="4825997"/>
          <a:chOff x="8191500" y="18297525"/>
          <a:chExt cx="7362825" cy="4828701"/>
        </a:xfrm>
      </xdr:grpSpPr>
      <xdr:grpSp>
        <xdr:nvGrpSpPr>
          <xdr:cNvPr id="45" name="RENTAL_5">
            <a:extLst>
              <a:ext uri="{FF2B5EF4-FFF2-40B4-BE49-F238E27FC236}">
                <a16:creationId xmlns:a16="http://schemas.microsoft.com/office/drawing/2014/main" id="{00000000-0008-0000-0800-00002D000000}"/>
              </a:ext>
            </a:extLst>
          </xdr:cNvPr>
          <xdr:cNvGrpSpPr/>
        </xdr:nvGrpSpPr>
        <xdr:grpSpPr>
          <a:xfrm>
            <a:off x="8191500" y="18297526"/>
            <a:ext cx="7362825" cy="4828700"/>
            <a:chOff x="9363075" y="17297252"/>
            <a:chExt cx="7362825" cy="4948899"/>
          </a:xfrm>
        </xdr:grpSpPr>
        <xdr:sp macro="" textlink="">
          <xdr:nvSpPr>
            <xdr:cNvPr id="47" name="RENTAL_5_SECTION_FRAME">
              <a:extLst>
                <a:ext uri="{FF2B5EF4-FFF2-40B4-BE49-F238E27FC236}">
                  <a16:creationId xmlns:a16="http://schemas.microsoft.com/office/drawing/2014/main" id="{00000000-0008-0000-0800-00002F000000}"/>
                </a:ext>
              </a:extLst>
            </xdr:cNvPr>
            <xdr:cNvSpPr/>
          </xdr:nvSpPr>
          <xdr:spPr>
            <a:xfrm>
              <a:off x="9363075" y="17617604"/>
              <a:ext cx="7362825" cy="4628547"/>
            </a:xfrm>
            <a:prstGeom prst="rect">
              <a:avLst/>
            </a:prstGeom>
            <a:no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endParaRPr lang="en-US" sz="1100"/>
            </a:p>
          </xdr:txBody>
        </xdr:sp>
        <xdr:sp macro="" textlink="$B$92">
          <xdr:nvSpPr>
            <xdr:cNvPr id="48" name="RENTAL_5_SECTION_TITLE">
              <a:extLst>
                <a:ext uri="{FF2B5EF4-FFF2-40B4-BE49-F238E27FC236}">
                  <a16:creationId xmlns:a16="http://schemas.microsoft.com/office/drawing/2014/main" id="{00000000-0008-0000-0800-000030000000}"/>
                </a:ext>
              </a:extLst>
            </xdr:cNvPr>
            <xdr:cNvSpPr/>
          </xdr:nvSpPr>
          <xdr:spPr>
            <a:xfrm>
              <a:off x="9363075" y="17297252"/>
              <a:ext cx="7360920" cy="312329"/>
            </a:xfrm>
            <a:prstGeom prst="rect">
              <a:avLst/>
            </a:prstGeom>
            <a:solidFill>
              <a:srgbClr val="9CACB9"/>
            </a:solid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l"/>
              <a:fld id="{EFEBC25B-7A00-49A1-B18C-0C8499BCDCC4}" type="TxLink">
                <a:rPr lang="en-US" sz="1100" b="1" i="0" u="none" strike="noStrike">
                  <a:solidFill>
                    <a:schemeClr val="bg1"/>
                  </a:solidFill>
                  <a:latin typeface="Calibri"/>
                </a:rPr>
                <a:pPr algn="l"/>
                <a:t>Other Grants</a:t>
              </a:fld>
              <a:endParaRPr lang="en-US" sz="1100" b="1" i="0" u="none" strike="noStrike">
                <a:solidFill>
                  <a:schemeClr val="bg1"/>
                </a:solidFill>
                <a:latin typeface="Calibri"/>
              </a:endParaRPr>
            </a:p>
          </xdr:txBody>
        </xdr:sp>
        <xdr:sp macro="" textlink="$B$110">
          <xdr:nvSpPr>
            <xdr:cNvPr id="49" name="RENTAL_5_SECTION_SUBTITLE">
              <a:extLst>
                <a:ext uri="{FF2B5EF4-FFF2-40B4-BE49-F238E27FC236}">
                  <a16:creationId xmlns:a16="http://schemas.microsoft.com/office/drawing/2014/main" id="{00000000-0008-0000-0800-000031000000}"/>
                </a:ext>
              </a:extLst>
            </xdr:cNvPr>
            <xdr:cNvSpPr/>
          </xdr:nvSpPr>
          <xdr:spPr>
            <a:xfrm>
              <a:off x="9372598" y="17621098"/>
              <a:ext cx="7351776" cy="278553"/>
            </a:xfrm>
            <a:prstGeom prst="rect">
              <a:avLst/>
            </a:prstGeom>
            <a:solidFill>
              <a:schemeClr val="accent1">
                <a:lumMod val="20000"/>
                <a:lumOff val="80000"/>
              </a:schemeClr>
            </a:solidFill>
            <a:ln>
              <a:noFill/>
            </a:ln>
            <a:effectLst/>
          </xdr:spPr>
          <xdr:style>
            <a:lnRef idx="1">
              <a:schemeClr val="accent1"/>
            </a:lnRef>
            <a:fillRef idx="2">
              <a:schemeClr val="accent1"/>
            </a:fillRef>
            <a:effectRef idx="1">
              <a:schemeClr val="accent1"/>
            </a:effectRef>
            <a:fontRef idx="minor">
              <a:schemeClr val="dk1"/>
            </a:fontRef>
          </xdr:style>
          <xdr:txBody>
            <a:bodyPr vertOverflow="clip" lIns="457200" rtlCol="0" anchor="ctr"/>
            <a:lstStyle/>
            <a:p>
              <a:pPr algn="l"/>
              <a:fld id="{ADBC2A39-60A8-4CFF-858A-1F847464B22E}" type="TxLink">
                <a:rPr lang="en-US" sz="900" b="0" i="0" u="none" strike="noStrike">
                  <a:solidFill>
                    <a:srgbClr val="000000"/>
                  </a:solidFill>
                  <a:latin typeface="Calibri"/>
                </a:rPr>
                <a:pPr algn="l"/>
                <a:t>Not Started</a:t>
              </a:fld>
              <a:endParaRPr lang="en-US" sz="1100" i="0"/>
            </a:p>
          </xdr:txBody>
        </xdr:sp>
        <xdr:sp macro="" textlink="">
          <xdr:nvSpPr>
            <xdr:cNvPr id="50" name="RENTAL_5_SECTION_SUBTITLE_LABEL">
              <a:extLst>
                <a:ext uri="{FF2B5EF4-FFF2-40B4-BE49-F238E27FC236}">
                  <a16:creationId xmlns:a16="http://schemas.microsoft.com/office/drawing/2014/main" id="{00000000-0008-0000-0800-000032000000}"/>
                </a:ext>
              </a:extLst>
            </xdr:cNvPr>
            <xdr:cNvSpPr txBox="1"/>
          </xdr:nvSpPr>
          <xdr:spPr>
            <a:xfrm>
              <a:off x="9467850" y="17621098"/>
              <a:ext cx="476249" cy="2785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tlCol="0" anchor="ctr">
              <a:noAutofit/>
            </a:bodyPr>
            <a:lstStyle/>
            <a:p>
              <a:r>
                <a:rPr lang="en-US" sz="900" b="1"/>
                <a:t>Status:</a:t>
              </a:r>
            </a:p>
          </xdr:txBody>
        </xdr:sp>
      </xdr:grpSp>
      <xdr:sp macro="" textlink="">
        <xdr:nvSpPr>
          <xdr:cNvPr id="46" name="LINK_RENTAL_TOC">
            <a:hlinkClick xmlns:r="http://schemas.openxmlformats.org/officeDocument/2006/relationships" r:id="rId6"/>
            <a:extLst>
              <a:ext uri="{FF2B5EF4-FFF2-40B4-BE49-F238E27FC236}">
                <a16:creationId xmlns:a16="http://schemas.microsoft.com/office/drawing/2014/main" id="{00000000-0008-0000-0800-00002E000000}"/>
              </a:ext>
            </a:extLst>
          </xdr:cNvPr>
          <xdr:cNvSpPr/>
        </xdr:nvSpPr>
        <xdr:spPr>
          <a:xfrm>
            <a:off x="14525625" y="18297525"/>
            <a:ext cx="1028700" cy="30480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r"/>
            <a:r>
              <a:rPr lang="en-US" sz="1000" b="1" u="none">
                <a:solidFill>
                  <a:schemeClr val="bg1"/>
                </a:solidFill>
              </a:rPr>
              <a:t>Back</a:t>
            </a:r>
            <a:r>
              <a:rPr lang="en-US" sz="1000" b="1" u="none" baseline="0">
                <a:solidFill>
                  <a:schemeClr val="bg1"/>
                </a:solidFill>
              </a:rPr>
              <a:t> to Top ^</a:t>
            </a:r>
            <a:endParaRPr lang="en-US" sz="1000" b="1" u="none">
              <a:solidFill>
                <a:schemeClr val="bg1"/>
              </a:solidFill>
            </a:endParaRPr>
          </a:p>
        </xdr:txBody>
      </xdr:sp>
    </xdr:grpSp>
    <xdr:clientData fPrintsWithSheet="0"/>
  </xdr:twoCellAnchor>
  <xdr:twoCellAnchor editAs="oneCell">
    <xdr:from>
      <xdr:col>20</xdr:col>
      <xdr:colOff>66675</xdr:colOff>
      <xdr:row>2</xdr:row>
      <xdr:rowOff>9525</xdr:rowOff>
    </xdr:from>
    <xdr:to>
      <xdr:col>24</xdr:col>
      <xdr:colOff>109538</xdr:colOff>
      <xdr:row>3</xdr:row>
      <xdr:rowOff>1905</xdr:rowOff>
    </xdr:to>
    <xdr:sp macro="" textlink="$B$7">
      <xdr:nvSpPr>
        <xdr:cNvPr id="51" name="HEADER_BANNER_SUBTITLE">
          <a:extLst>
            <a:ext uri="{FF2B5EF4-FFF2-40B4-BE49-F238E27FC236}">
              <a16:creationId xmlns:a16="http://schemas.microsoft.com/office/drawing/2014/main" id="{00000000-0008-0000-0800-000033000000}"/>
            </a:ext>
          </a:extLst>
        </xdr:cNvPr>
        <xdr:cNvSpPr txBox="1"/>
      </xdr:nvSpPr>
      <xdr:spPr>
        <a:xfrm>
          <a:off x="5876925" y="561975"/>
          <a:ext cx="1922463" cy="182880"/>
        </a:xfrm>
        <a:prstGeom prst="rect">
          <a:avLst/>
        </a:prstGeom>
        <a:solidFill>
          <a:srgbClr val="00305E"/>
        </a:solidFill>
      </xdr:spPr>
      <xdr:style>
        <a:lnRef idx="0">
          <a:scrgbClr r="0" g="0" b="0"/>
        </a:lnRef>
        <a:fillRef idx="0">
          <a:scrgbClr r="0" g="0" b="0"/>
        </a:fillRef>
        <a:effectRef idx="0">
          <a:scrgbClr r="0" g="0" b="0"/>
        </a:effectRef>
        <a:fontRef idx="minor">
          <a:schemeClr val="tx1"/>
        </a:fontRef>
      </xdr:style>
      <xdr:txBody>
        <a:bodyPr vertOverflow="clip" wrap="square" rtlCol="0" anchor="ctr">
          <a:noAutofit/>
        </a:bodyPr>
        <a:lstStyle/>
        <a:p>
          <a:pPr algn="ctr"/>
          <a:fld id="{4B39128B-4B37-4567-8AC7-02473171A03C}" type="TxLink">
            <a:rPr lang="en-US" sz="800" b="1" i="0" u="none" strike="noStrike">
              <a:solidFill>
                <a:schemeClr val="bg1"/>
              </a:solidFill>
              <a:latin typeface="Calibri"/>
              <a:ea typeface="Calibri"/>
              <a:cs typeface="Calibri"/>
            </a:rPr>
            <a:pPr algn="ctr"/>
            <a:t>Funding Request</a:t>
          </a:fld>
          <a:endParaRPr lang="en-US" sz="800" b="1" i="0" u="none" strike="noStrike">
            <a:solidFill>
              <a:schemeClr val="bg1"/>
            </a:solidFill>
            <a:latin typeface="Calibri"/>
          </a:endParaRPr>
        </a:p>
      </xdr:txBody>
    </xdr:sp>
    <xdr:clientData/>
  </xdr:twoCellAnchor>
  <xdr:twoCellAnchor editAs="oneCell">
    <xdr:from>
      <xdr:col>7</xdr:col>
      <xdr:colOff>28574</xdr:colOff>
      <xdr:row>0</xdr:row>
      <xdr:rowOff>37735</xdr:rowOff>
    </xdr:from>
    <xdr:to>
      <xdr:col>10</xdr:col>
      <xdr:colOff>299467</xdr:colOff>
      <xdr:row>0</xdr:row>
      <xdr:rowOff>480458</xdr:rowOff>
    </xdr:to>
    <xdr:pic>
      <xdr:nvPicPr>
        <xdr:cNvPr id="52" name="FHLBNY_LOGO" descr="Medium.gif">
          <a:extLst>
            <a:ext uri="{FF2B5EF4-FFF2-40B4-BE49-F238E27FC236}">
              <a16:creationId xmlns:a16="http://schemas.microsoft.com/office/drawing/2014/main" id="{00000000-0008-0000-0800-000034000000}"/>
            </a:ext>
          </a:extLst>
        </xdr:cNvPr>
        <xdr:cNvPicPr>
          <a:picLocks noChangeAspect="1"/>
        </xdr:cNvPicPr>
      </xdr:nvPicPr>
      <xdr:blipFill>
        <a:blip xmlns:r="http://schemas.openxmlformats.org/officeDocument/2006/relationships" r:embed="rId7" cstate="print"/>
        <a:stretch>
          <a:fillRect/>
        </a:stretch>
      </xdr:blipFill>
      <xdr:spPr>
        <a:xfrm>
          <a:off x="28574" y="37735"/>
          <a:ext cx="1382143" cy="442723"/>
        </a:xfrm>
        <a:prstGeom prst="rect">
          <a:avLst/>
        </a:prstGeom>
      </xdr:spPr>
    </xdr:pic>
    <xdr:clientData/>
  </xdr:twoCellAnchor>
  <xdr:twoCellAnchor editAs="oneCell">
    <xdr:from>
      <xdr:col>7</xdr:col>
      <xdr:colOff>9526</xdr:colOff>
      <xdr:row>0</xdr:row>
      <xdr:rowOff>8595</xdr:rowOff>
    </xdr:from>
    <xdr:to>
      <xdr:col>25</xdr:col>
      <xdr:colOff>0</xdr:colOff>
      <xdr:row>4</xdr:row>
      <xdr:rowOff>4083</xdr:rowOff>
    </xdr:to>
    <xdr:sp macro="" textlink="">
      <xdr:nvSpPr>
        <xdr:cNvPr id="53" name="HEADER_SHORTCUT_TOP">
          <a:hlinkClick xmlns:r="http://schemas.openxmlformats.org/officeDocument/2006/relationships" r:id="rId6" tooltip="Jump to Top"/>
          <a:extLst>
            <a:ext uri="{FF2B5EF4-FFF2-40B4-BE49-F238E27FC236}">
              <a16:creationId xmlns:a16="http://schemas.microsoft.com/office/drawing/2014/main" id="{00000000-0008-0000-0800-000035000000}"/>
            </a:ext>
          </a:extLst>
        </xdr:cNvPr>
        <xdr:cNvSpPr/>
      </xdr:nvSpPr>
      <xdr:spPr>
        <a:xfrm>
          <a:off x="9526" y="8595"/>
          <a:ext cx="7851774" cy="776538"/>
        </a:xfrm>
        <a:prstGeom prst="rect">
          <a:avLst/>
        </a:prstGeom>
        <a:solidFill>
          <a:schemeClr val="bg1">
            <a:alpha val="0"/>
          </a:schemeClr>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800"/>
        </a:p>
      </xdr:txBody>
    </xdr:sp>
    <xdr:clientData fPrintsWithSheet="0"/>
  </xdr:twoCellAnchor>
  <xdr:twoCellAnchor editAs="oneCell">
    <xdr:from>
      <xdr:col>7</xdr:col>
      <xdr:colOff>66675</xdr:colOff>
      <xdr:row>13</xdr:row>
      <xdr:rowOff>228603</xdr:rowOff>
    </xdr:from>
    <xdr:to>
      <xdr:col>24</xdr:col>
      <xdr:colOff>104777</xdr:colOff>
      <xdr:row>19</xdr:row>
      <xdr:rowOff>0</xdr:rowOff>
    </xdr:to>
    <xdr:grpSp>
      <xdr:nvGrpSpPr>
        <xdr:cNvPr id="54" name="TABLE_OF_CONTENTS_RENTAL">
          <a:extLst>
            <a:ext uri="{FF2B5EF4-FFF2-40B4-BE49-F238E27FC236}">
              <a16:creationId xmlns:a16="http://schemas.microsoft.com/office/drawing/2014/main" id="{00000000-0008-0000-0800-000036000000}"/>
            </a:ext>
          </a:extLst>
        </xdr:cNvPr>
        <xdr:cNvGrpSpPr/>
      </xdr:nvGrpSpPr>
      <xdr:grpSpPr>
        <a:xfrm>
          <a:off x="66675" y="3781428"/>
          <a:ext cx="7362827" cy="1428747"/>
          <a:chOff x="8191498" y="1276170"/>
          <a:chExt cx="7362827" cy="1414214"/>
        </a:xfrm>
      </xdr:grpSpPr>
      <xdr:grpSp>
        <xdr:nvGrpSpPr>
          <xdr:cNvPr id="55" name="RENTAL_TABLE_OF_CONTENTS">
            <a:extLst>
              <a:ext uri="{FF2B5EF4-FFF2-40B4-BE49-F238E27FC236}">
                <a16:creationId xmlns:a16="http://schemas.microsoft.com/office/drawing/2014/main" id="{00000000-0008-0000-0800-000037000000}"/>
              </a:ext>
            </a:extLst>
          </xdr:cNvPr>
          <xdr:cNvGrpSpPr/>
        </xdr:nvGrpSpPr>
        <xdr:grpSpPr>
          <a:xfrm>
            <a:off x="8191498" y="1276170"/>
            <a:ext cx="7362827" cy="1414214"/>
            <a:chOff x="8191498" y="1276170"/>
            <a:chExt cx="7362827" cy="1414214"/>
          </a:xfrm>
        </xdr:grpSpPr>
        <xdr:sp macro="" textlink="">
          <xdr:nvSpPr>
            <xdr:cNvPr id="60" name="TOC_HEADER_BG">
              <a:extLst>
                <a:ext uri="{FF2B5EF4-FFF2-40B4-BE49-F238E27FC236}">
                  <a16:creationId xmlns:a16="http://schemas.microsoft.com/office/drawing/2014/main" id="{00000000-0008-0000-0800-00003C000000}"/>
                </a:ext>
              </a:extLst>
            </xdr:cNvPr>
            <xdr:cNvSpPr/>
          </xdr:nvSpPr>
          <xdr:spPr>
            <a:xfrm>
              <a:off x="8191498" y="1592257"/>
              <a:ext cx="7360921" cy="275969"/>
            </a:xfrm>
            <a:prstGeom prst="rect">
              <a:avLst/>
            </a:prstGeom>
            <a:solidFill>
              <a:schemeClr val="accent1">
                <a:lumMod val="20000"/>
                <a:lumOff val="80000"/>
              </a:schemeClr>
            </a:solidFill>
            <a:ln>
              <a:no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endParaRPr lang="en-US" sz="1100"/>
            </a:p>
          </xdr:txBody>
        </xdr:sp>
        <xdr:grpSp>
          <xdr:nvGrpSpPr>
            <xdr:cNvPr id="61" name="TOC">
              <a:extLst>
                <a:ext uri="{FF2B5EF4-FFF2-40B4-BE49-F238E27FC236}">
                  <a16:creationId xmlns:a16="http://schemas.microsoft.com/office/drawing/2014/main" id="{00000000-0008-0000-0800-00003D000000}"/>
                </a:ext>
              </a:extLst>
            </xdr:cNvPr>
            <xdr:cNvGrpSpPr/>
          </xdr:nvGrpSpPr>
          <xdr:grpSpPr>
            <a:xfrm>
              <a:off x="8191500" y="1276170"/>
              <a:ext cx="7362825" cy="1414214"/>
              <a:chOff x="9239250" y="1816952"/>
              <a:chExt cx="7362825" cy="1090370"/>
            </a:xfrm>
            <a:effectLst/>
          </xdr:grpSpPr>
          <xdr:sp macro="" textlink="">
            <xdr:nvSpPr>
              <xdr:cNvPr id="66" name="Rectangle 65">
                <a:extLst>
                  <a:ext uri="{FF2B5EF4-FFF2-40B4-BE49-F238E27FC236}">
                    <a16:creationId xmlns:a16="http://schemas.microsoft.com/office/drawing/2014/main" id="{00000000-0008-0000-0800-000042000000}"/>
                  </a:ext>
                </a:extLst>
              </xdr:cNvPr>
              <xdr:cNvSpPr/>
            </xdr:nvSpPr>
            <xdr:spPr>
              <a:xfrm>
                <a:off x="9239250" y="2052093"/>
                <a:ext cx="7362825" cy="855229"/>
              </a:xfrm>
              <a:prstGeom prst="rect">
                <a:avLst/>
              </a:prstGeom>
              <a:no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endParaRPr lang="en-US" sz="1100"/>
              </a:p>
            </xdr:txBody>
          </xdr:sp>
          <xdr:sp macro="" textlink="">
            <xdr:nvSpPr>
              <xdr:cNvPr id="67" name="Rectangle 66">
                <a:extLst>
                  <a:ext uri="{FF2B5EF4-FFF2-40B4-BE49-F238E27FC236}">
                    <a16:creationId xmlns:a16="http://schemas.microsoft.com/office/drawing/2014/main" id="{00000000-0008-0000-0800-000043000000}"/>
                  </a:ext>
                </a:extLst>
              </xdr:cNvPr>
              <xdr:cNvSpPr/>
            </xdr:nvSpPr>
            <xdr:spPr>
              <a:xfrm>
                <a:off x="9239250" y="1816952"/>
                <a:ext cx="7360920" cy="237265"/>
              </a:xfrm>
              <a:prstGeom prst="rect">
                <a:avLst/>
              </a:prstGeom>
              <a:solidFill>
                <a:srgbClr val="9CACB9"/>
              </a:solid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l"/>
                <a:r>
                  <a:rPr lang="en-US" sz="1100" b="1">
                    <a:solidFill>
                      <a:schemeClr val="bg1"/>
                    </a:solidFill>
                  </a:rPr>
                  <a:t>Table of Contents</a:t>
                </a:r>
              </a:p>
            </xdr:txBody>
          </xdr:sp>
        </xdr:grpSp>
        <xdr:sp macro="" textlink="">
          <xdr:nvSpPr>
            <xdr:cNvPr id="62" name="TOC_HEADER_LABEL_1">
              <a:extLst>
                <a:ext uri="{FF2B5EF4-FFF2-40B4-BE49-F238E27FC236}">
                  <a16:creationId xmlns:a16="http://schemas.microsoft.com/office/drawing/2014/main" id="{00000000-0008-0000-0800-00003E000000}"/>
                </a:ext>
              </a:extLst>
            </xdr:cNvPr>
            <xdr:cNvSpPr txBox="1"/>
          </xdr:nvSpPr>
          <xdr:spPr>
            <a:xfrm>
              <a:off x="8302028" y="1630443"/>
              <a:ext cx="1226450" cy="2644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lIns="0" rtlCol="0" anchor="t">
              <a:noAutofit/>
            </a:bodyPr>
            <a:lstStyle/>
            <a:p>
              <a:r>
                <a:rPr lang="en-US" sz="1000" b="1"/>
                <a:t>Section</a:t>
              </a:r>
            </a:p>
          </xdr:txBody>
        </xdr:sp>
        <xdr:sp macro="" textlink="">
          <xdr:nvSpPr>
            <xdr:cNvPr id="63" name="TOC_HEADER_LABEL_1">
              <a:extLst>
                <a:ext uri="{FF2B5EF4-FFF2-40B4-BE49-F238E27FC236}">
                  <a16:creationId xmlns:a16="http://schemas.microsoft.com/office/drawing/2014/main" id="{00000000-0008-0000-0800-00003F000000}"/>
                </a:ext>
              </a:extLst>
            </xdr:cNvPr>
            <xdr:cNvSpPr txBox="1"/>
          </xdr:nvSpPr>
          <xdr:spPr>
            <a:xfrm>
              <a:off x="10988755" y="1630443"/>
              <a:ext cx="876784" cy="2644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tlCol="0" anchor="t">
              <a:noAutofit/>
            </a:bodyPr>
            <a:lstStyle/>
            <a:p>
              <a:r>
                <a:rPr lang="en-US" sz="1000" b="1"/>
                <a:t>Progress</a:t>
              </a:r>
            </a:p>
          </xdr:txBody>
        </xdr:sp>
        <xdr:sp macro="" textlink="">
          <xdr:nvSpPr>
            <xdr:cNvPr id="64" name="TOC_HEADER_LABEL_3">
              <a:extLst>
                <a:ext uri="{FF2B5EF4-FFF2-40B4-BE49-F238E27FC236}">
                  <a16:creationId xmlns:a16="http://schemas.microsoft.com/office/drawing/2014/main" id="{00000000-0008-0000-0800-000040000000}"/>
                </a:ext>
              </a:extLst>
            </xdr:cNvPr>
            <xdr:cNvSpPr txBox="1"/>
          </xdr:nvSpPr>
          <xdr:spPr>
            <a:xfrm>
              <a:off x="11990098" y="1630443"/>
              <a:ext cx="1226450" cy="2644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lIns="0" rtlCol="0" anchor="t">
              <a:noAutofit/>
            </a:bodyPr>
            <a:lstStyle/>
            <a:p>
              <a:r>
                <a:rPr lang="en-US" sz="1000" b="1"/>
                <a:t>Section</a:t>
              </a:r>
            </a:p>
          </xdr:txBody>
        </xdr:sp>
        <xdr:sp macro="" textlink="">
          <xdr:nvSpPr>
            <xdr:cNvPr id="65" name="TOC_HEADER_LABEL_4">
              <a:extLst>
                <a:ext uri="{FF2B5EF4-FFF2-40B4-BE49-F238E27FC236}">
                  <a16:creationId xmlns:a16="http://schemas.microsoft.com/office/drawing/2014/main" id="{00000000-0008-0000-0800-000041000000}"/>
                </a:ext>
              </a:extLst>
            </xdr:cNvPr>
            <xdr:cNvSpPr txBox="1"/>
          </xdr:nvSpPr>
          <xdr:spPr>
            <a:xfrm>
              <a:off x="14554212" y="1630443"/>
              <a:ext cx="871248" cy="2644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tlCol="0" anchor="t">
              <a:noAutofit/>
            </a:bodyPr>
            <a:lstStyle/>
            <a:p>
              <a:r>
                <a:rPr lang="en-US" sz="1000" b="1"/>
                <a:t>Progress</a:t>
              </a:r>
            </a:p>
          </xdr:txBody>
        </xdr:sp>
      </xdr:grpSp>
      <xdr:cxnSp macro="">
        <xdr:nvCxnSpPr>
          <xdr:cNvPr id="56" name="TOC_HEADER_VLINE">
            <a:extLst>
              <a:ext uri="{FF2B5EF4-FFF2-40B4-BE49-F238E27FC236}">
                <a16:creationId xmlns:a16="http://schemas.microsoft.com/office/drawing/2014/main" id="{00000000-0008-0000-0800-000038000000}"/>
              </a:ext>
            </a:extLst>
          </xdr:cNvPr>
          <xdr:cNvCxnSpPr>
            <a:endCxn id="66" idx="2"/>
          </xdr:cNvCxnSpPr>
        </xdr:nvCxnSpPr>
        <xdr:spPr>
          <a:xfrm>
            <a:off x="11871960" y="1596774"/>
            <a:ext cx="953" cy="1093609"/>
          </a:xfrm>
          <a:prstGeom prst="line">
            <a:avLst/>
          </a:prstGeom>
          <a:ln>
            <a:solidFill>
              <a:schemeClr val="bg1">
                <a:lumMod val="85000"/>
              </a:schemeClr>
            </a:solidFill>
          </a:ln>
          <a:effectLst>
            <a:innerShdw blurRad="63500" dist="50800" dir="13500000">
              <a:prstClr val="black">
                <a:alpha val="50000"/>
              </a:prstClr>
            </a:innerShdw>
          </a:effectLst>
        </xdr:spPr>
        <xdr:style>
          <a:lnRef idx="1">
            <a:schemeClr val="accent1"/>
          </a:lnRef>
          <a:fillRef idx="0">
            <a:schemeClr val="accent1"/>
          </a:fillRef>
          <a:effectRef idx="0">
            <a:schemeClr val="accent1"/>
          </a:effectRef>
          <a:fontRef idx="minor">
            <a:schemeClr val="tx1"/>
          </a:fontRef>
        </xdr:style>
      </xdr:cxnSp>
      <xdr:grpSp>
        <xdr:nvGrpSpPr>
          <xdr:cNvPr id="57" name="TOC_HORIZONTAL_DIVIDERS">
            <a:extLst>
              <a:ext uri="{FF2B5EF4-FFF2-40B4-BE49-F238E27FC236}">
                <a16:creationId xmlns:a16="http://schemas.microsoft.com/office/drawing/2014/main" id="{00000000-0008-0000-0800-000039000000}"/>
              </a:ext>
            </a:extLst>
          </xdr:cNvPr>
          <xdr:cNvGrpSpPr/>
        </xdr:nvGrpSpPr>
        <xdr:grpSpPr>
          <a:xfrm>
            <a:off x="8191498" y="2143319"/>
            <a:ext cx="7362825" cy="276504"/>
            <a:chOff x="8191498" y="2143319"/>
            <a:chExt cx="7362825" cy="276504"/>
          </a:xfrm>
        </xdr:grpSpPr>
        <xdr:cxnSp macro="">
          <xdr:nvCxnSpPr>
            <xdr:cNvPr id="58" name="DOTTED_LINE">
              <a:extLst>
                <a:ext uri="{FF2B5EF4-FFF2-40B4-BE49-F238E27FC236}">
                  <a16:creationId xmlns:a16="http://schemas.microsoft.com/office/drawing/2014/main" id="{00000000-0008-0000-0800-00003A000000}"/>
                </a:ext>
              </a:extLst>
            </xdr:cNvPr>
            <xdr:cNvCxnSpPr/>
          </xdr:nvCxnSpPr>
          <xdr:spPr>
            <a:xfrm flipH="1">
              <a:off x="8191498" y="2143319"/>
              <a:ext cx="7362825" cy="0"/>
            </a:xfrm>
            <a:prstGeom prst="line">
              <a:avLst/>
            </a:prstGeom>
            <a:ln w="9525" cap="rnd">
              <a:solidFill>
                <a:schemeClr val="bg1">
                  <a:lumMod val="85000"/>
                </a:schemeClr>
              </a:solidFill>
              <a:prstDash val="solid"/>
              <a:round/>
            </a:ln>
          </xdr:spPr>
          <xdr:style>
            <a:lnRef idx="1">
              <a:schemeClr val="dk1"/>
            </a:lnRef>
            <a:fillRef idx="0">
              <a:schemeClr val="dk1"/>
            </a:fillRef>
            <a:effectRef idx="0">
              <a:schemeClr val="dk1"/>
            </a:effectRef>
            <a:fontRef idx="minor">
              <a:schemeClr val="tx1"/>
            </a:fontRef>
          </xdr:style>
        </xdr:cxnSp>
        <xdr:cxnSp macro="">
          <xdr:nvCxnSpPr>
            <xdr:cNvPr id="59" name="DOTTED_LINE">
              <a:extLst>
                <a:ext uri="{FF2B5EF4-FFF2-40B4-BE49-F238E27FC236}">
                  <a16:creationId xmlns:a16="http://schemas.microsoft.com/office/drawing/2014/main" id="{00000000-0008-0000-0800-00003B000000}"/>
                </a:ext>
              </a:extLst>
            </xdr:cNvPr>
            <xdr:cNvCxnSpPr/>
          </xdr:nvCxnSpPr>
          <xdr:spPr>
            <a:xfrm flipH="1">
              <a:off x="8191498" y="2419823"/>
              <a:ext cx="7360920" cy="0"/>
            </a:xfrm>
            <a:prstGeom prst="line">
              <a:avLst/>
            </a:prstGeom>
            <a:ln w="9525" cap="rnd">
              <a:solidFill>
                <a:schemeClr val="bg1">
                  <a:lumMod val="85000"/>
                </a:schemeClr>
              </a:solidFill>
              <a:prstDash val="solid"/>
              <a:round/>
            </a:ln>
          </xdr:spPr>
          <xdr:style>
            <a:lnRef idx="1">
              <a:schemeClr val="dk1"/>
            </a:lnRef>
            <a:fillRef idx="0">
              <a:schemeClr val="dk1"/>
            </a:fillRef>
            <a:effectRef idx="0">
              <a:schemeClr val="dk1"/>
            </a:effectRef>
            <a:fontRef idx="minor">
              <a:schemeClr val="tx1"/>
            </a:fontRef>
          </xdr:style>
        </xdr:cxnSp>
      </xdr:grpSp>
    </xdr:grpSp>
    <xdr:clientData/>
  </xdr:twoCellAnchor>
  <xdr:twoCellAnchor>
    <xdr:from>
      <xdr:col>14</xdr:col>
      <xdr:colOff>387350</xdr:colOff>
      <xdr:row>33</xdr:row>
      <xdr:rowOff>142875</xdr:rowOff>
    </xdr:from>
    <xdr:to>
      <xdr:col>19</xdr:col>
      <xdr:colOff>104775</xdr:colOff>
      <xdr:row>33</xdr:row>
      <xdr:rowOff>142875</xdr:rowOff>
    </xdr:to>
    <xdr:cxnSp macro="">
      <xdr:nvCxnSpPr>
        <xdr:cNvPr id="68" name="DOTTED_LINE">
          <a:extLst>
            <a:ext uri="{FF2B5EF4-FFF2-40B4-BE49-F238E27FC236}">
              <a16:creationId xmlns:a16="http://schemas.microsoft.com/office/drawing/2014/main" id="{00000000-0008-0000-0800-000044000000}"/>
            </a:ext>
          </a:extLst>
        </xdr:cNvPr>
        <xdr:cNvCxnSpPr/>
      </xdr:nvCxnSpPr>
      <xdr:spPr>
        <a:xfrm>
          <a:off x="11893550" y="9153525"/>
          <a:ext cx="2346325"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38100</xdr:colOff>
      <xdr:row>35</xdr:row>
      <xdr:rowOff>152400</xdr:rowOff>
    </xdr:from>
    <xdr:to>
      <xdr:col>21</xdr:col>
      <xdr:colOff>104775</xdr:colOff>
      <xdr:row>35</xdr:row>
      <xdr:rowOff>152400</xdr:rowOff>
    </xdr:to>
    <xdr:cxnSp macro="">
      <xdr:nvCxnSpPr>
        <xdr:cNvPr id="71" name="DOTTED_LINE">
          <a:extLst>
            <a:ext uri="{FF2B5EF4-FFF2-40B4-BE49-F238E27FC236}">
              <a16:creationId xmlns:a16="http://schemas.microsoft.com/office/drawing/2014/main" id="{00000000-0008-0000-0800-000047000000}"/>
            </a:ext>
          </a:extLst>
        </xdr:cNvPr>
        <xdr:cNvCxnSpPr/>
      </xdr:nvCxnSpPr>
      <xdr:spPr>
        <a:xfrm>
          <a:off x="5657850" y="10560050"/>
          <a:ext cx="1006475"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304800</xdr:colOff>
      <xdr:row>48</xdr:row>
      <xdr:rowOff>142875</xdr:rowOff>
    </xdr:from>
    <xdr:to>
      <xdr:col>21</xdr:col>
      <xdr:colOff>133350</xdr:colOff>
      <xdr:row>48</xdr:row>
      <xdr:rowOff>142875</xdr:rowOff>
    </xdr:to>
    <xdr:cxnSp macro="">
      <xdr:nvCxnSpPr>
        <xdr:cNvPr id="72" name="DOTTED_LINE">
          <a:extLst>
            <a:ext uri="{FF2B5EF4-FFF2-40B4-BE49-F238E27FC236}">
              <a16:creationId xmlns:a16="http://schemas.microsoft.com/office/drawing/2014/main" id="{00000000-0008-0000-0800-000048000000}"/>
            </a:ext>
          </a:extLst>
        </xdr:cNvPr>
        <xdr:cNvCxnSpPr/>
      </xdr:nvCxnSpPr>
      <xdr:spPr>
        <a:xfrm>
          <a:off x="476250" y="13623925"/>
          <a:ext cx="6216650"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304800</xdr:colOff>
      <xdr:row>49</xdr:row>
      <xdr:rowOff>152400</xdr:rowOff>
    </xdr:from>
    <xdr:to>
      <xdr:col>21</xdr:col>
      <xdr:colOff>123825</xdr:colOff>
      <xdr:row>49</xdr:row>
      <xdr:rowOff>152400</xdr:rowOff>
    </xdr:to>
    <xdr:cxnSp macro="">
      <xdr:nvCxnSpPr>
        <xdr:cNvPr id="73" name="DOTTED_LINE">
          <a:extLst>
            <a:ext uri="{FF2B5EF4-FFF2-40B4-BE49-F238E27FC236}">
              <a16:creationId xmlns:a16="http://schemas.microsoft.com/office/drawing/2014/main" id="{00000000-0008-0000-0800-000049000000}"/>
            </a:ext>
          </a:extLst>
        </xdr:cNvPr>
        <xdr:cNvCxnSpPr/>
      </xdr:nvCxnSpPr>
      <xdr:spPr>
        <a:xfrm>
          <a:off x="2355850" y="13912850"/>
          <a:ext cx="4327525"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28575</xdr:colOff>
      <xdr:row>50</xdr:row>
      <xdr:rowOff>152400</xdr:rowOff>
    </xdr:from>
    <xdr:to>
      <xdr:col>21</xdr:col>
      <xdr:colOff>123825</xdr:colOff>
      <xdr:row>50</xdr:row>
      <xdr:rowOff>152400</xdr:rowOff>
    </xdr:to>
    <xdr:cxnSp macro="">
      <xdr:nvCxnSpPr>
        <xdr:cNvPr id="74" name="DOTTED_LINE">
          <a:extLst>
            <a:ext uri="{FF2B5EF4-FFF2-40B4-BE49-F238E27FC236}">
              <a16:creationId xmlns:a16="http://schemas.microsoft.com/office/drawing/2014/main" id="{00000000-0008-0000-0800-00004A000000}"/>
            </a:ext>
          </a:extLst>
        </xdr:cNvPr>
        <xdr:cNvCxnSpPr/>
      </xdr:nvCxnSpPr>
      <xdr:spPr>
        <a:xfrm>
          <a:off x="1889125" y="14192250"/>
          <a:ext cx="4794250"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361950</xdr:colOff>
      <xdr:row>60</xdr:row>
      <xdr:rowOff>152400</xdr:rowOff>
    </xdr:from>
    <xdr:to>
      <xdr:col>19</xdr:col>
      <xdr:colOff>114300</xdr:colOff>
      <xdr:row>60</xdr:row>
      <xdr:rowOff>152400</xdr:rowOff>
    </xdr:to>
    <xdr:cxnSp macro="">
      <xdr:nvCxnSpPr>
        <xdr:cNvPr id="75" name="DOTTED_LINE">
          <a:extLst>
            <a:ext uri="{FF2B5EF4-FFF2-40B4-BE49-F238E27FC236}">
              <a16:creationId xmlns:a16="http://schemas.microsoft.com/office/drawing/2014/main" id="{00000000-0008-0000-0800-00004B000000}"/>
            </a:ext>
          </a:extLst>
        </xdr:cNvPr>
        <xdr:cNvCxnSpPr/>
      </xdr:nvCxnSpPr>
      <xdr:spPr>
        <a:xfrm>
          <a:off x="1473200" y="16706850"/>
          <a:ext cx="4260850"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209550</xdr:colOff>
      <xdr:row>61</xdr:row>
      <xdr:rowOff>152400</xdr:rowOff>
    </xdr:from>
    <xdr:to>
      <xdr:col>19</xdr:col>
      <xdr:colOff>114300</xdr:colOff>
      <xdr:row>61</xdr:row>
      <xdr:rowOff>152400</xdr:rowOff>
    </xdr:to>
    <xdr:cxnSp macro="">
      <xdr:nvCxnSpPr>
        <xdr:cNvPr id="76" name="DOTTED_LINE">
          <a:extLst>
            <a:ext uri="{FF2B5EF4-FFF2-40B4-BE49-F238E27FC236}">
              <a16:creationId xmlns:a16="http://schemas.microsoft.com/office/drawing/2014/main" id="{00000000-0008-0000-0800-00004C000000}"/>
            </a:ext>
          </a:extLst>
        </xdr:cNvPr>
        <xdr:cNvCxnSpPr/>
      </xdr:nvCxnSpPr>
      <xdr:spPr>
        <a:xfrm>
          <a:off x="2260600" y="16986250"/>
          <a:ext cx="3473450"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123825</xdr:colOff>
      <xdr:row>65</xdr:row>
      <xdr:rowOff>152400</xdr:rowOff>
    </xdr:from>
    <xdr:to>
      <xdr:col>21</xdr:col>
      <xdr:colOff>104775</xdr:colOff>
      <xdr:row>65</xdr:row>
      <xdr:rowOff>152400</xdr:rowOff>
    </xdr:to>
    <xdr:cxnSp macro="">
      <xdr:nvCxnSpPr>
        <xdr:cNvPr id="77" name="DOTTED_LINE">
          <a:extLst>
            <a:ext uri="{FF2B5EF4-FFF2-40B4-BE49-F238E27FC236}">
              <a16:creationId xmlns:a16="http://schemas.microsoft.com/office/drawing/2014/main" id="{00000000-0008-0000-0800-00004D000000}"/>
            </a:ext>
          </a:extLst>
        </xdr:cNvPr>
        <xdr:cNvCxnSpPr/>
      </xdr:nvCxnSpPr>
      <xdr:spPr>
        <a:xfrm>
          <a:off x="3114675" y="18103850"/>
          <a:ext cx="3549650"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161925</xdr:colOff>
      <xdr:row>80</xdr:row>
      <xdr:rowOff>152400</xdr:rowOff>
    </xdr:from>
    <xdr:to>
      <xdr:col>21</xdr:col>
      <xdr:colOff>104775</xdr:colOff>
      <xdr:row>80</xdr:row>
      <xdr:rowOff>152400</xdr:rowOff>
    </xdr:to>
    <xdr:cxnSp macro="">
      <xdr:nvCxnSpPr>
        <xdr:cNvPr id="78" name="DOTTED_LINE">
          <a:extLst>
            <a:ext uri="{FF2B5EF4-FFF2-40B4-BE49-F238E27FC236}">
              <a16:creationId xmlns:a16="http://schemas.microsoft.com/office/drawing/2014/main" id="{00000000-0008-0000-0800-00004E000000}"/>
            </a:ext>
          </a:extLst>
        </xdr:cNvPr>
        <xdr:cNvCxnSpPr/>
      </xdr:nvCxnSpPr>
      <xdr:spPr>
        <a:xfrm>
          <a:off x="3902075" y="22294850"/>
          <a:ext cx="2762250"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276225</xdr:colOff>
      <xdr:row>73</xdr:row>
      <xdr:rowOff>152400</xdr:rowOff>
    </xdr:from>
    <xdr:to>
      <xdr:col>21</xdr:col>
      <xdr:colOff>104775</xdr:colOff>
      <xdr:row>73</xdr:row>
      <xdr:rowOff>152400</xdr:rowOff>
    </xdr:to>
    <xdr:cxnSp macro="">
      <xdr:nvCxnSpPr>
        <xdr:cNvPr id="79" name="DOTTED_LINE">
          <a:extLst>
            <a:ext uri="{FF2B5EF4-FFF2-40B4-BE49-F238E27FC236}">
              <a16:creationId xmlns:a16="http://schemas.microsoft.com/office/drawing/2014/main" id="{00000000-0008-0000-0800-00004F000000}"/>
            </a:ext>
          </a:extLst>
        </xdr:cNvPr>
        <xdr:cNvCxnSpPr/>
      </xdr:nvCxnSpPr>
      <xdr:spPr>
        <a:xfrm>
          <a:off x="3267075" y="20339050"/>
          <a:ext cx="3397250"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7</xdr:col>
      <xdr:colOff>66675</xdr:colOff>
      <xdr:row>87</xdr:row>
      <xdr:rowOff>247650</xdr:rowOff>
    </xdr:from>
    <xdr:to>
      <xdr:col>24</xdr:col>
      <xdr:colOff>104775</xdr:colOff>
      <xdr:row>118</xdr:row>
      <xdr:rowOff>57149</xdr:rowOff>
    </xdr:to>
    <xdr:grpSp>
      <xdr:nvGrpSpPr>
        <xdr:cNvPr id="80" name="Group 79">
          <a:extLst>
            <a:ext uri="{FF2B5EF4-FFF2-40B4-BE49-F238E27FC236}">
              <a16:creationId xmlns:a16="http://schemas.microsoft.com/office/drawing/2014/main" id="{00000000-0008-0000-0800-000050000000}"/>
            </a:ext>
          </a:extLst>
        </xdr:cNvPr>
        <xdr:cNvGrpSpPr/>
      </xdr:nvGrpSpPr>
      <xdr:grpSpPr>
        <a:xfrm>
          <a:off x="66675" y="24241125"/>
          <a:ext cx="7362825" cy="8372474"/>
          <a:chOff x="8191500" y="18297525"/>
          <a:chExt cx="7362825" cy="8372474"/>
        </a:xfrm>
      </xdr:grpSpPr>
      <xdr:grpSp>
        <xdr:nvGrpSpPr>
          <xdr:cNvPr id="81" name="RENTAL_5">
            <a:extLst>
              <a:ext uri="{FF2B5EF4-FFF2-40B4-BE49-F238E27FC236}">
                <a16:creationId xmlns:a16="http://schemas.microsoft.com/office/drawing/2014/main" id="{00000000-0008-0000-0800-000051000000}"/>
              </a:ext>
            </a:extLst>
          </xdr:cNvPr>
          <xdr:cNvGrpSpPr/>
        </xdr:nvGrpSpPr>
        <xdr:grpSpPr>
          <a:xfrm>
            <a:off x="8191500" y="18297525"/>
            <a:ext cx="7362825" cy="8372474"/>
            <a:chOff x="9363075" y="17297252"/>
            <a:chExt cx="7362825" cy="8580887"/>
          </a:xfrm>
        </xdr:grpSpPr>
        <xdr:sp macro="" textlink="">
          <xdr:nvSpPr>
            <xdr:cNvPr id="83" name="RENTAL_5_SECTION_FRAME">
              <a:extLst>
                <a:ext uri="{FF2B5EF4-FFF2-40B4-BE49-F238E27FC236}">
                  <a16:creationId xmlns:a16="http://schemas.microsoft.com/office/drawing/2014/main" id="{00000000-0008-0000-0800-000053000000}"/>
                </a:ext>
              </a:extLst>
            </xdr:cNvPr>
            <xdr:cNvSpPr/>
          </xdr:nvSpPr>
          <xdr:spPr>
            <a:xfrm>
              <a:off x="9363075" y="17617604"/>
              <a:ext cx="7362825" cy="8260535"/>
            </a:xfrm>
            <a:prstGeom prst="rect">
              <a:avLst/>
            </a:prstGeom>
            <a:no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endParaRPr lang="en-US" sz="1100"/>
            </a:p>
          </xdr:txBody>
        </xdr:sp>
        <xdr:sp macro="" textlink="$B$115">
          <xdr:nvSpPr>
            <xdr:cNvPr id="84" name="RENTAL_5_SECTION_TITLE">
              <a:extLst>
                <a:ext uri="{FF2B5EF4-FFF2-40B4-BE49-F238E27FC236}">
                  <a16:creationId xmlns:a16="http://schemas.microsoft.com/office/drawing/2014/main" id="{00000000-0008-0000-0800-000054000000}"/>
                </a:ext>
              </a:extLst>
            </xdr:cNvPr>
            <xdr:cNvSpPr/>
          </xdr:nvSpPr>
          <xdr:spPr>
            <a:xfrm>
              <a:off x="9363075" y="17297252"/>
              <a:ext cx="7360920" cy="312329"/>
            </a:xfrm>
            <a:prstGeom prst="rect">
              <a:avLst/>
            </a:prstGeom>
            <a:solidFill>
              <a:srgbClr val="9CACB9"/>
            </a:solid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l"/>
              <a:fld id="{3DCC70B4-8752-4930-A059-3BE28E7B735D}" type="TxLink">
                <a:rPr lang="en-US" sz="1100" b="1" i="0" u="none" strike="noStrike">
                  <a:solidFill>
                    <a:srgbClr val="FFFFFF"/>
                  </a:solidFill>
                  <a:latin typeface="Calibri"/>
                  <a:cs typeface="Calibri"/>
                </a:rPr>
                <a:pPr algn="l"/>
                <a:t>Member Certification</a:t>
              </a:fld>
              <a:endParaRPr lang="en-US" sz="1100" b="1" i="0" u="none" strike="noStrike">
                <a:solidFill>
                  <a:schemeClr val="bg1"/>
                </a:solidFill>
                <a:latin typeface="Calibri"/>
              </a:endParaRPr>
            </a:p>
          </xdr:txBody>
        </xdr:sp>
        <xdr:sp macro="" textlink="$B$126">
          <xdr:nvSpPr>
            <xdr:cNvPr id="85" name="RENTAL_5_SECTION_SUBTITLE">
              <a:extLst>
                <a:ext uri="{FF2B5EF4-FFF2-40B4-BE49-F238E27FC236}">
                  <a16:creationId xmlns:a16="http://schemas.microsoft.com/office/drawing/2014/main" id="{00000000-0008-0000-0800-000055000000}"/>
                </a:ext>
              </a:extLst>
            </xdr:cNvPr>
            <xdr:cNvSpPr/>
          </xdr:nvSpPr>
          <xdr:spPr>
            <a:xfrm>
              <a:off x="9372598" y="17621098"/>
              <a:ext cx="7351776" cy="278553"/>
            </a:xfrm>
            <a:prstGeom prst="rect">
              <a:avLst/>
            </a:prstGeom>
            <a:solidFill>
              <a:schemeClr val="accent1">
                <a:lumMod val="20000"/>
                <a:lumOff val="80000"/>
              </a:schemeClr>
            </a:solidFill>
            <a:ln>
              <a:noFill/>
            </a:ln>
            <a:effectLst/>
          </xdr:spPr>
          <xdr:style>
            <a:lnRef idx="1">
              <a:schemeClr val="accent1"/>
            </a:lnRef>
            <a:fillRef idx="2">
              <a:schemeClr val="accent1"/>
            </a:fillRef>
            <a:effectRef idx="1">
              <a:schemeClr val="accent1"/>
            </a:effectRef>
            <a:fontRef idx="minor">
              <a:schemeClr val="dk1"/>
            </a:fontRef>
          </xdr:style>
          <xdr:txBody>
            <a:bodyPr vertOverflow="clip" lIns="457200" rtlCol="0" anchor="ctr"/>
            <a:lstStyle/>
            <a:p>
              <a:pPr algn="l"/>
              <a:fld id="{69A48C51-483E-44C7-83B3-91C8F5CA2BC0}" type="TxLink">
                <a:rPr lang="en-US" sz="900" b="0" i="0" u="none" strike="noStrike">
                  <a:solidFill>
                    <a:srgbClr val="000000"/>
                  </a:solidFill>
                  <a:latin typeface="Calibri"/>
                  <a:cs typeface="Calibri"/>
                </a:rPr>
                <a:pPr algn="l"/>
                <a:t>Not Started</a:t>
              </a:fld>
              <a:endParaRPr lang="en-US" sz="1100" i="0"/>
            </a:p>
          </xdr:txBody>
        </xdr:sp>
        <xdr:sp macro="" textlink="">
          <xdr:nvSpPr>
            <xdr:cNvPr id="86" name="RENTAL_5_SECTION_SUBTITLE_LABEL">
              <a:extLst>
                <a:ext uri="{FF2B5EF4-FFF2-40B4-BE49-F238E27FC236}">
                  <a16:creationId xmlns:a16="http://schemas.microsoft.com/office/drawing/2014/main" id="{00000000-0008-0000-0800-000056000000}"/>
                </a:ext>
              </a:extLst>
            </xdr:cNvPr>
            <xdr:cNvSpPr txBox="1"/>
          </xdr:nvSpPr>
          <xdr:spPr>
            <a:xfrm>
              <a:off x="9467850" y="17621098"/>
              <a:ext cx="476249" cy="2785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tlCol="0" anchor="ctr">
              <a:noAutofit/>
            </a:bodyPr>
            <a:lstStyle/>
            <a:p>
              <a:r>
                <a:rPr lang="en-US" sz="900" b="1"/>
                <a:t>Status:</a:t>
              </a:r>
            </a:p>
          </xdr:txBody>
        </xdr:sp>
      </xdr:grpSp>
      <xdr:sp macro="" textlink="">
        <xdr:nvSpPr>
          <xdr:cNvPr id="82" name="LINK_RENTAL_TOC">
            <a:hlinkClick xmlns:r="http://schemas.openxmlformats.org/officeDocument/2006/relationships" r:id="rId6"/>
            <a:extLst>
              <a:ext uri="{FF2B5EF4-FFF2-40B4-BE49-F238E27FC236}">
                <a16:creationId xmlns:a16="http://schemas.microsoft.com/office/drawing/2014/main" id="{00000000-0008-0000-0800-000052000000}"/>
              </a:ext>
            </a:extLst>
          </xdr:cNvPr>
          <xdr:cNvSpPr/>
        </xdr:nvSpPr>
        <xdr:spPr>
          <a:xfrm>
            <a:off x="14525625" y="18297525"/>
            <a:ext cx="1028700" cy="30480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r"/>
            <a:r>
              <a:rPr lang="en-US" sz="1000" b="1" u="none">
                <a:solidFill>
                  <a:schemeClr val="bg1"/>
                </a:solidFill>
              </a:rPr>
              <a:t>Back</a:t>
            </a:r>
            <a:r>
              <a:rPr lang="en-US" sz="1000" b="1" u="none" baseline="0">
                <a:solidFill>
                  <a:schemeClr val="bg1"/>
                </a:solidFill>
              </a:rPr>
              <a:t> to Top ^</a:t>
            </a:r>
            <a:endParaRPr lang="en-US" sz="1000" b="1" u="none">
              <a:solidFill>
                <a:schemeClr val="bg1"/>
              </a:solidFill>
            </a:endParaRPr>
          </a:p>
        </xdr:txBody>
      </xdr:sp>
    </xdr:grpSp>
    <xdr:clientData fPrintsWithSheet="0"/>
  </xdr:twoCellAnchor>
  <xdr:oneCellAnchor>
    <xdr:from>
      <xdr:col>16</xdr:col>
      <xdr:colOff>295275</xdr:colOff>
      <xdr:row>18</xdr:row>
      <xdr:rowOff>9525</xdr:rowOff>
    </xdr:from>
    <xdr:ext cx="2200275" cy="264560"/>
    <xdr:sp macro="" textlink="$B$128">
      <xdr:nvSpPr>
        <xdr:cNvPr id="87" name="TOC_SECTION_10">
          <a:hlinkClick xmlns:r="http://schemas.openxmlformats.org/officeDocument/2006/relationships" r:id="rId8"/>
          <a:extLst>
            <a:ext uri="{FF2B5EF4-FFF2-40B4-BE49-F238E27FC236}">
              <a16:creationId xmlns:a16="http://schemas.microsoft.com/office/drawing/2014/main" id="{00000000-0008-0000-0800-000057000000}"/>
            </a:ext>
          </a:extLst>
        </xdr:cNvPr>
        <xdr:cNvSpPr txBox="1"/>
      </xdr:nvSpPr>
      <xdr:spPr>
        <a:xfrm>
          <a:off x="4225925" y="4829175"/>
          <a:ext cx="2200275" cy="2645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lIns="0" rtlCol="0" anchor="t">
          <a:noAutofit/>
        </a:bodyPr>
        <a:lstStyle/>
        <a:p>
          <a:pPr marL="0" indent="0" algn="l"/>
          <a:fld id="{499D75FF-2498-41B5-BB99-BB1A59806023}" type="TxLink">
            <a:rPr lang="en-US" sz="1000" b="1" i="0" u="sng" strike="noStrike">
              <a:solidFill>
                <a:schemeClr val="accent1">
                  <a:lumMod val="75000"/>
                </a:schemeClr>
              </a:solidFill>
              <a:latin typeface="Calibri"/>
              <a:ea typeface="+mn-ea"/>
              <a:cs typeface="Calibri"/>
            </a:rPr>
            <a:pPr marL="0" indent="0" algn="l"/>
            <a:t>Member Certification</a:t>
          </a:fld>
          <a:endParaRPr lang="en-US" sz="1000" b="1" i="0" u="sng" strike="noStrike">
            <a:solidFill>
              <a:schemeClr val="accent1">
                <a:lumMod val="75000"/>
              </a:schemeClr>
            </a:solidFill>
            <a:latin typeface="Calibri"/>
            <a:ea typeface="+mn-ea"/>
            <a:cs typeface="Calibri"/>
          </a:endParaRPr>
        </a:p>
      </xdr:txBody>
    </xdr:sp>
    <xdr:clientData fPrintsWithSheet="0"/>
  </xdr:oneCellAnchor>
</xdr:wsDr>
</file>

<file path=xl/persons/person.xml><?xml version="1.0" encoding="utf-8"?>
<personList xmlns="http://schemas.microsoft.com/office/spreadsheetml/2018/threadedcomments" xmlns:x="http://schemas.openxmlformats.org/spreadsheetml/2006/main">
  <person displayName="Jeff LeSauvage" id="{3EBED697-8E3D-4D93-8461-E136180DEBD1}" userId="S::jeff.lesauvage@tappantech.com::dd6ffa1a-9eea-49ca-9026-c070adff323a"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DB_TBL_DATA_FIELDS" displayName="DB_TBL_DATA_FIELDS" ref="A2:Z144" totalsRowShown="0" headerRowDxfId="393" dataDxfId="392">
  <autoFilter ref="A2:Z144" xr:uid="{00000000-0009-0000-0100-000002000000}"/>
  <tableColumns count="26">
    <tableColumn id="10" xr3:uid="{00000000-0010-0000-0000-00000A000000}" name="APPLICABLE_EFORM_LIST" dataDxfId="391"/>
    <tableColumn id="1" xr3:uid="{00000000-0010-0000-0000-000001000000}" name="SHEET_REF_CALC" dataDxfId="390">
      <calculatedColumnFormula>IF('$DB.CONFIG'!$D$3="R",#REF!,DB_TBL_DATA_FIELDS[APPLICABLE_EFORM_LIST])</calculatedColumnFormula>
    </tableColumn>
    <tableColumn id="2" xr3:uid="{00000000-0010-0000-0000-000002000000}" name="FIELD_ID" dataDxfId="389"/>
    <tableColumn id="4" xr3:uid="{00000000-0010-0000-0000-000004000000}" name="FIELD_EXPORT_FLAG" dataDxfId="388"/>
    <tableColumn id="8" xr3:uid="{00000000-0010-0000-0000-000008000000}" name="FIELD_REQ_FLAG" dataDxfId="387"/>
    <tableColumn id="3" xr3:uid="{00000000-0010-0000-0000-000003000000}" name="FIELD_DESC" dataDxfId="386"/>
    <tableColumn id="5" xr3:uid="{00000000-0010-0000-0000-000005000000}" name="FIELD_VALUE_RAW" dataDxfId="385">
      <calculatedColumnFormula>IFERROR(VLOOKUP(DB_TBL_DATA_FIELDS[[#This Row],[FIELD_ID]],INDIRECT(DB_TBL_DATA_FIELDS[[#This Row],[SHEET_REF_CALC]]&amp;"!A:B"),2,FALSE),"")</calculatedColumnFormula>
    </tableColumn>
    <tableColumn id="26" xr3:uid="{00000000-0010-0000-0000-00001A000000}" name="FIELD_VALID_CUSTOM_LOGIC" dataDxfId="384"/>
    <tableColumn id="14" xr3:uid="{00000000-0010-0000-0000-00000E000000}" name="FIELD_EMPTY_FLAG" dataDxfId="383">
      <calculatedColumnFormula>(DB_TBL_DATA_FIELDS[[#This Row],[FIELD_VALUE_RAW]]="")</calculatedColumnFormula>
    </tableColumn>
    <tableColumn id="15" xr3:uid="{00000000-0010-0000-0000-00000F000000}" name="FIELD_TYPE" dataDxfId="382"/>
    <tableColumn id="12" xr3:uid="{00000000-0010-0000-0000-00000C000000}" name="FIELD_VALID_FLAG" dataDxfId="381">
      <calculatedColumnFormula>AND(IF(DB_TBL_DATA_FIELDS[[#This Row],[FIELD_VALID_CUSTOM_LOGIC]]="",TRUE,DB_TBL_DATA_FIELDS[[#This Row],[FIELD_VALID_CUSTOM_LOGIC]]),DB_TBL_DATA_FIELDS[[#This Row],[RANGE_VALIDATION_PASSED_FLAG]])</calculatedColumnFormula>
    </tableColumn>
    <tableColumn id="6" xr3:uid="{00000000-0010-0000-0000-000006000000}" name="FIELD_VALUE_CLEAN" dataDxfId="380">
      <calculatedColumnFormula>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calculatedColumnFormula>
    </tableColumn>
    <tableColumn id="13" xr3:uid="{00000000-0010-0000-0000-00000D000000}" name="FIELD_STATUS_CODE" dataDxfId="379">
      <calculatedColumnFormula>IF(DB_TBL_DATA_FIELDS[[#This Row],[SHEET_REF_CALC]]="","",IF(DB_TBL_DATA_FIELDS[[#This Row],[FIELD_EMPTY_FLAG]],IF(NOT(DB_TBL_DATA_FIELDS[[#This Row],[FIELD_REQ_FLAG]]),-1,1),IF(NOT(DB_TBL_DATA_FIELDS[[#This Row],[FIELD_VALID_FLAG]]),0,2)))</calculatedColumnFormula>
    </tableColumn>
    <tableColumn id="7" xr3:uid="{00000000-0010-0000-0000-000007000000}" name="FIELD_STATUS_DISPLAY" dataDxfId="378">
      <calculatedColumnFormula>IFERROR(VLOOKUP(DB_TBL_DATA_FIELDS[[#This Row],[FIELD_STATUS_CODE]],DB_TBL_CONFIG_FIELDSTATUSCODES[#All],3,FALSE),"")</calculatedColumnFormula>
    </tableColumn>
    <tableColumn id="11" xr3:uid="{00000000-0010-0000-0000-00000B000000}" name="FIELD_STATUS_ICON" dataDxfId="377">
      <calculatedColumnFormula>IFERROR(VLOOKUP(DB_TBL_DATA_FIELDS[[#This Row],[FIELD_STATUS_CODE]],DB_TBL_CONFIG_FIELDSTATUSCODES[#All],4,FALSE),"")</calculatedColumnFormula>
    </tableColumn>
    <tableColumn id="23" xr3:uid="{00000000-0010-0000-0000-000017000000}" name="TRIM_TEXT_FLAG" dataDxfId="376">
      <calculatedColumnFormula>TRUE</calculatedColumnFormula>
    </tableColumn>
    <tableColumn id="24" xr3:uid="{00000000-0010-0000-0000-000018000000}" name="RANGE_VALIDATION_ON_FLAG" dataDxfId="375">
      <calculatedColumnFormula>TRUE</calculatedColumnFormula>
    </tableColumn>
    <tableColumn id="22" xr3:uid="{00000000-0010-0000-0000-000016000000}" name="RANGE_VALIDATION_FLAG" dataDxfId="374"/>
    <tableColumn id="25" xr3:uid="{00000000-0010-0000-0000-000019000000}" name="RANGE_VALUE_LEN" dataDxfId="373">
      <calculatedColumnFormula>IF(DB_TBL_DATA_FIELDS[[#This Row],[RANGE_VALIDATION_FLAG]]="Text",LEN(DB_TBL_DATA_FIELDS[[#This Row],[FIELD_VALUE_RAW]]),IFERROR(VALUE(DB_TBL_DATA_FIELDS[[#This Row],[FIELD_VALUE_RAW]]),-1))</calculatedColumnFormula>
    </tableColumn>
    <tableColumn id="19" xr3:uid="{00000000-0010-0000-0000-000013000000}" name="RANGE_VALIDATION_MIN" dataDxfId="372">
      <calculatedColumnFormula>IF(#REF!="","",VLOOKUP("VMIN_"&amp;#REF!,DB_TBL_CONFIG_APP[#All],4,FALSE))</calculatedColumnFormula>
    </tableColumn>
    <tableColumn id="20" xr3:uid="{00000000-0010-0000-0000-000014000000}" name="RANGE_VALIDATION_MAX" dataDxfId="371">
      <calculatedColumnFormula>IF(#REF!="","",VLOOKUP("VMAX_"&amp;#REF!,DB_TBL_CONFIG_APP[#All],4,FALSE))</calculatedColumnFormula>
    </tableColumn>
    <tableColumn id="21" xr3:uid="{00000000-0010-0000-0000-000015000000}" name="RANGE_VALIDATION_PASSED_FLAG" dataDxfId="370">
      <calculatedColumnFormula>IF(NOT(DB_TBL_DATA_FIELDS[[#This Row],[RANGE_VALIDATION_ON_FLAG]]),TRUE,
AND(DB_TBL_DATA_FIELDS[[#This Row],[RANGE_VALUE_LEN]]&gt;=DB_TBL_DATA_FIELDS[[#This Row],[RANGE_VALIDATION_MIN]],DB_TBL_DATA_FIELDS[[#This Row],[RANGE_VALUE_LEN]]&lt;=DB_TBL_DATA_FIELDS[[#This Row],[RANGE_VALIDATION_MAX]]))</calculatedColumnFormula>
    </tableColumn>
    <tableColumn id="27" xr3:uid="{00000000-0010-0000-0000-00001B000000}" name="PCT_CALC_SHOW_STATUS_CODE" dataDxfId="369"/>
    <tableColumn id="28" xr3:uid="{00000000-0010-0000-0000-00001C000000}" name="PCT_CALC_FIELD_STATUS_CODE" dataDxfId="368">
      <calculatedColumnFormula>IF(DB_TBL_DATA_FIELDS[[#This Row],[PCT_CALC_SHOW_STATUS_CODE]]=1,
DB_TBL_DATA_FIELDS[[#This Row],[FIELD_STATUS_CODE]],
IF(AND(DB_TBL_DATA_FIELDS[[#This Row],[PCT_CALC_SHOW_STATUS_CODE]]=2,DB_TBL_DATA_FIELDS[[#This Row],[FIELD_STATUS_CODE]]=0),
DB_TBL_DATA_FIELDS[[#This Row],[FIELD_STATUS_CODE]],
"")
)</calculatedColumnFormula>
    </tableColumn>
    <tableColumn id="30" xr3:uid="{00000000-0010-0000-0000-00001E000000}" name="ERROR_MESSAGE" dataDxfId="367">
      <calculatedColumnFormula>IF(DB_TBL_DATA_FIELDS[[#This Row],[FIELD_STATUS_CODE]]=0,IF(NOT(DB_TBL_DATA_FIELDS[[#This Row],[FIELD_VALID_CUSTOM_LOGIC]]),
IF(IFERROR(SEARCH(".",RIGHT(DB_TBL_DATA_FIELDS[[#This Row],[FIELD_VALUE_RAW]],2)),0)&gt;0,"Invalid Domain Extension",
 IF(IFERROR(SEARCH("@",DB_TBL_DATA_FIELDS[[#This Row],[FIELD_VALUE_RAW]]),0)=0,"Missing '@' In Address",
  IF(IFERROR(SEARCH(".",DB_TBL_DATA_FIELDS[[#This Row],[FIELD_VALUE_RAW]],(SEARCH("@",DB_TBL_DATA_FIELDS[[#This Row],[FIELD_VALUE_RAW]],1))+2),0)=0,"Invalid Domain Name","Invalid Email Address")))),"")</calculatedColumnFormula>
    </tableColumn>
    <tableColumn id="18" xr3:uid="{00000000-0010-0000-0000-000012000000}" name="DEVELOPER_COMMENTS" dataDxfId="366"/>
  </tableColumns>
  <tableStyleInfo name="TableStyleMedium10"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6000000}" name="DB_TBL_EXPORT_RES" displayName="DB_TBL_EXPORT_RES" ref="A1:BL2" totalsRowShown="0" headerRowDxfId="318" dataDxfId="316" headerRowBorderDxfId="317" tableBorderDxfId="315">
  <tableColumns count="64">
    <tableColumn id="90" xr3:uid="{00000000-0010-0000-0600-00005A000000}" name="EFORM_TYPE_CODE" dataDxfId="314">
      <calculatedColumnFormula>VLOOKUP(A1,DB_TBL_DATA_FIELDS[[FIELD_ID]:[FIELD_VALUE_CLEAN]],10,FALSE)</calculatedColumnFormula>
    </tableColumn>
    <tableColumn id="1" xr3:uid="{00000000-0010-0000-0600-000001000000}" name="EFORM_ID" dataDxfId="313">
      <calculatedColumnFormula>VLOOKUP(B1,DB_TBL_DATA_FIELDS[[FIELD_ID]:[FIELD_VALUE_CLEAN]],10,FALSE)</calculatedColumnFormula>
    </tableColumn>
    <tableColumn id="2" xr3:uid="{00000000-0010-0000-0600-000002000000}" name="EFORM_VERSION_NO" dataDxfId="312">
      <calculatedColumnFormula>VLOOKUP(C1,DB_TBL_DATA_FIELDS[[FIELD_ID]:[FIELD_VALUE_CLEAN]],10,FALSE)</calculatedColumnFormula>
    </tableColumn>
    <tableColumn id="3" xr3:uid="{00000000-0010-0000-0600-000003000000}" name="EFORM_COMPLETE_FLAG" dataDxfId="311">
      <calculatedColumnFormula>VLOOKUP(D1,DB_TBL_DATA_FIELDS[[FIELD_ID]:[FIELD_VALUE_CLEAN]],10,FALSE)</calculatedColumnFormula>
    </tableColumn>
    <tableColumn id="4" xr3:uid="{00000000-0010-0000-0600-000004000000}" name="MEMBER_NAME" dataDxfId="310">
      <calculatedColumnFormula>VLOOKUP(E1,DB_TBL_DATA_FIELDS[[FIELD_ID]:[FIELD_VALUE_CLEAN]],10,FALSE)</calculatedColumnFormula>
    </tableColumn>
    <tableColumn id="5" xr3:uid="{00000000-0010-0000-0600-000005000000}" name="MEMBER_CONTACT_FIRST_NAME" dataDxfId="309">
      <calculatedColumnFormula>VLOOKUP(F1,DB_TBL_DATA_FIELDS[[FIELD_ID]:[FIELD_VALUE_CLEAN]],10,FALSE)</calculatedColumnFormula>
    </tableColumn>
    <tableColumn id="6" xr3:uid="{00000000-0010-0000-0600-000006000000}" name="MEMBER_CONTACT_LAST_NAME" dataDxfId="308">
      <calculatedColumnFormula>VLOOKUP(G1,DB_TBL_DATA_FIELDS[[FIELD_ID]:[FIELD_VALUE_CLEAN]],10,FALSE)</calculatedColumnFormula>
    </tableColumn>
    <tableColumn id="7" xr3:uid="{00000000-0010-0000-0600-000007000000}" name="MEMBER_CONTACT_EMAIL" dataDxfId="307">
      <calculatedColumnFormula>VLOOKUP(H1,DB_TBL_DATA_FIELDS[[FIELD_ID]:[FIELD_VALUE_CLEAN]],10,FALSE)</calculatedColumnFormula>
    </tableColumn>
    <tableColumn id="8" xr3:uid="{00000000-0010-0000-0600-000008000000}" name="MEMBER_CONTACT_PHONE" dataDxfId="306">
      <calculatedColumnFormula>VLOOKUP(I1,DB_TBL_DATA_FIELDS[[FIELD_ID]:[FIELD_VALUE_CLEAN]],10,FALSE)</calculatedColumnFormula>
    </tableColumn>
    <tableColumn id="9" xr3:uid="{00000000-0010-0000-0600-000009000000}" name="PRIM_BORW_PREFIX" dataDxfId="305">
      <calculatedColumnFormula>VLOOKUP(J1,DB_TBL_DATA_FIELDS[[FIELD_ID]:[FIELD_VALUE_CLEAN]],10,FALSE)</calculatedColumnFormula>
    </tableColumn>
    <tableColumn id="10" xr3:uid="{00000000-0010-0000-0600-00000A000000}" name="PRIM_BORW_FIRST_NAME" dataDxfId="304">
      <calculatedColumnFormula>VLOOKUP(K1,DB_TBL_DATA_FIELDS[[FIELD_ID]:[FIELD_VALUE_CLEAN]],10,FALSE)</calculatedColumnFormula>
    </tableColumn>
    <tableColumn id="11" xr3:uid="{00000000-0010-0000-0600-00000B000000}" name="PRIM_BORW_LAST_NAME" dataDxfId="303">
      <calculatedColumnFormula>VLOOKUP(L1,DB_TBL_DATA_FIELDS[[FIELD_ID]:[FIELD_VALUE_CLEAN]],10,FALSE)</calculatedColumnFormula>
    </tableColumn>
    <tableColumn id="12" xr3:uid="{00000000-0010-0000-0600-00000C000000}" name="CO_BORW_PREFIX" dataDxfId="302">
      <calculatedColumnFormula>VLOOKUP(M1,DB_TBL_DATA_FIELDS[[FIELD_ID]:[FIELD_VALUE_CLEAN]],10,FALSE)</calculatedColumnFormula>
    </tableColumn>
    <tableColumn id="13" xr3:uid="{00000000-0010-0000-0600-00000D000000}" name="CO_BORW_FIRST_NAME" dataDxfId="301">
      <calculatedColumnFormula>VLOOKUP(N1,DB_TBL_DATA_FIELDS[[FIELD_ID]:[FIELD_VALUE_CLEAN]],10,FALSE)</calculatedColumnFormula>
    </tableColumn>
    <tableColumn id="14" xr3:uid="{00000000-0010-0000-0600-00000E000000}" name="CO_BORW_LAST_NAME" dataDxfId="300">
      <calculatedColumnFormula>VLOOKUP(O1,DB_TBL_DATA_FIELDS[[FIELD_ID]:[FIELD_VALUE_CLEAN]],10,FALSE)</calculatedColumnFormula>
    </tableColumn>
    <tableColumn id="15" xr3:uid="{00000000-0010-0000-0600-00000F000000}" name="THRD_BORW_PREFIX" dataDxfId="299">
      <calculatedColumnFormula>VLOOKUP(P1,DB_TBL_DATA_FIELDS[[FIELD_ID]:[FIELD_VALUE_CLEAN]],10,FALSE)</calculatedColumnFormula>
    </tableColumn>
    <tableColumn id="16" xr3:uid="{00000000-0010-0000-0600-000010000000}" name="THRD_BORW_FIRST_NAME" dataDxfId="298">
      <calculatedColumnFormula>VLOOKUP(Q1,DB_TBL_DATA_FIELDS[[FIELD_ID]:[FIELD_VALUE_CLEAN]],10,FALSE)</calculatedColumnFormula>
    </tableColumn>
    <tableColumn id="17" xr3:uid="{00000000-0010-0000-0600-000011000000}" name="THRD_BORW_LAST_NAME" dataDxfId="297">
      <calculatedColumnFormula>VLOOKUP(R1,DB_TBL_DATA_FIELDS[[FIELD_ID]:[FIELD_VALUE_CLEAN]],10,FALSE)</calculatedColumnFormula>
    </tableColumn>
    <tableColumn id="18" xr3:uid="{00000000-0010-0000-0600-000012000000}" name="HSEHLD_ADDR" dataDxfId="296">
      <calculatedColumnFormula>VLOOKUP(S1,DB_TBL_DATA_FIELDS[[FIELD_ID]:[FIELD_VALUE_CLEAN]],10,FALSE)</calculatedColumnFormula>
    </tableColumn>
    <tableColumn id="19" xr3:uid="{00000000-0010-0000-0600-000013000000}" name="HSEHLD_CITY_NAME" dataDxfId="295">
      <calculatedColumnFormula>VLOOKUP(T1,DB_TBL_DATA_FIELDS[[FIELD_ID]:[FIELD_VALUE_CLEAN]],10,FALSE)</calculatedColumnFormula>
    </tableColumn>
    <tableColumn id="20" xr3:uid="{00000000-0010-0000-0600-000014000000}" name="HSEHLD_STATE_CODE" dataDxfId="294">
      <calculatedColumnFormula>VLOOKUP(U1,DB_TBL_DATA_FIELDS[[FIELD_ID]:[FIELD_VALUE_CLEAN]],10,FALSE)</calculatedColumnFormula>
    </tableColumn>
    <tableColumn id="21" xr3:uid="{00000000-0010-0000-0600-000015000000}" name="HSEHLD_ZIP_CODE" dataDxfId="293">
      <calculatedColumnFormula>VLOOKUP(V1,DB_TBL_DATA_FIELDS[[FIELD_ID]:[FIELD_VALUE_CLEAN]],10,FALSE)</calculatedColumnFormula>
    </tableColumn>
    <tableColumn id="22" xr3:uid="{00000000-0010-0000-0600-000016000000}" name="HSEHLD_CNTY_NAME" dataDxfId="292">
      <calculatedColumnFormula>VLOOKUP(W1,DB_TBL_DATA_FIELDS[[FIELD_ID]:[FIELD_VALUE_CLEAN]],10,FALSE)</calculatedColumnFormula>
    </tableColumn>
    <tableColumn id="23" xr3:uid="{00000000-0010-0000-0600-000017000000}" name="HSEHLD_MSA_CODE" dataDxfId="291">
      <calculatedColumnFormula>VLOOKUP(X1,DB_TBL_DATA_FIELDS[[FIELD_ID]:[FIELD_VALUE_CLEAN]],10,FALSE)</calculatedColumnFormula>
    </tableColumn>
    <tableColumn id="24" xr3:uid="{00000000-0010-0000-0600-000018000000}" name="HSEHLD_CENSUS_TRACT_CODE" dataDxfId="290">
      <calculatedColumnFormula>VLOOKUP(Y1,DB_TBL_DATA_FIELDS[[FIELD_ID]:[FIELD_VALUE_CLEAN]],10,FALSE)</calculatedColumnFormula>
    </tableColumn>
    <tableColumn id="26" xr3:uid="{00000000-0010-0000-0600-00001A000000}" name="TOTAL_GRANT_REQ_AMT" dataDxfId="289">
      <calculatedColumnFormula>VLOOKUP(Z1,DB_TBL_DATA_FIELDS[[FIELD_ID]:[FIELD_VALUE_CLEAN]],10,FALSE)</calculatedColumnFormula>
    </tableColumn>
    <tableColumn id="27" xr3:uid="{00000000-0010-0000-0600-00001B000000}" name="NONPROF_AGCY_NAME" dataDxfId="288">
      <calculatedColumnFormula>VLOOKUP(AA1,DB_TBL_DATA_FIELDS[[FIELD_ID]:[FIELD_VALUE_CLEAN]],10,FALSE)</calculatedColumnFormula>
    </tableColumn>
    <tableColumn id="28" xr3:uid="{00000000-0010-0000-0600-00001C000000}" name="PROPTY_ADDR" dataDxfId="287">
      <calculatedColumnFormula>VLOOKUP(AB1,DB_TBL_DATA_FIELDS[[FIELD_ID]:[FIELD_VALUE_CLEAN]],10,FALSE)</calculatedColumnFormula>
    </tableColumn>
    <tableColumn id="29" xr3:uid="{00000000-0010-0000-0600-00001D000000}" name="PROPTY_CITY_NAME" dataDxfId="286">
      <calculatedColumnFormula>VLOOKUP(AC1,DB_TBL_DATA_FIELDS[[FIELD_ID]:[FIELD_VALUE_CLEAN]],10,FALSE)</calculatedColumnFormula>
    </tableColumn>
    <tableColumn id="30" xr3:uid="{00000000-0010-0000-0600-00001E000000}" name="PROPTY_STATE_CODE" dataDxfId="285">
      <calculatedColumnFormula>VLOOKUP(AD1,DB_TBL_DATA_FIELDS[[FIELD_ID]:[FIELD_VALUE_CLEAN]],10,FALSE)</calculatedColumnFormula>
    </tableColumn>
    <tableColumn id="31" xr3:uid="{00000000-0010-0000-0600-00001F000000}" name="PROPTY_ZIP_CODE" dataDxfId="284">
      <calculatedColumnFormula>VLOOKUP(AE1,DB_TBL_DATA_FIELDS[[FIELD_ID]:[FIELD_VALUE_CLEAN]],10,FALSE)</calculatedColumnFormula>
    </tableColumn>
    <tableColumn id="32" xr3:uid="{00000000-0010-0000-0600-000020000000}" name="PROPTY_CNTY_NAME" dataDxfId="283">
      <calculatedColumnFormula>VLOOKUP(AF1,DB_TBL_DATA_FIELDS[[FIELD_ID]:[FIELD_VALUE_CLEAN]],10,FALSE)</calculatedColumnFormula>
    </tableColumn>
    <tableColumn id="33" xr3:uid="{00000000-0010-0000-0600-000021000000}" name="PROPTY_MSA_CODE" dataDxfId="282">
      <calculatedColumnFormula>VLOOKUP(AG1,DB_TBL_DATA_FIELDS[[FIELD_ID]:[FIELD_VALUE_CLEAN]],10,FALSE)</calculatedColumnFormula>
    </tableColumn>
    <tableColumn id="34" xr3:uid="{00000000-0010-0000-0600-000022000000}" name="PROPTY_CENSUS_TRACT_CODE" dataDxfId="281">
      <calculatedColumnFormula>VLOOKUP(AH1,DB_TBL_DATA_FIELDS[[FIELD_ID]:[FIELD_VALUE_CLEAN]],10,FALSE)</calculatedColumnFormula>
    </tableColumn>
    <tableColumn id="35" xr3:uid="{00000000-0010-0000-0600-000023000000}" name="PURCH_PRICE_AMT" dataDxfId="280">
      <calculatedColumnFormula>VLOOKUP(AI1,DB_TBL_DATA_FIELDS[[FIELD_ID]:[FIELD_VALUE_CLEAN]],10,FALSE)</calculatedColumnFormula>
    </tableColumn>
    <tableColumn id="36" xr3:uid="{00000000-0010-0000-0600-000024000000}" name="PROPTY_BLDG_TYPE" dataDxfId="279">
      <calculatedColumnFormula>VLOOKUP(AJ1,DB_TBL_DATA_FIELDS[[FIELD_ID]:[FIELD_VALUE_CLEAN]],10,FALSE)</calculatedColumnFormula>
    </tableColumn>
    <tableColumn id="37" xr3:uid="{00000000-0010-0000-0600-000025000000}" name="MANUFACTURED_HOME" dataDxfId="278">
      <calculatedColumnFormula>VLOOKUP(AK1,DB_TBL_DATA_FIELDS[[FIELD_ID]:[FIELD_VALUE_CLEAN]],10,FALSE)</calculatedColumnFormula>
    </tableColumn>
    <tableColumn id="38" xr3:uid="{00000000-0010-0000-0600-000026000000}" name="INC_GUIDLN_CODE" dataDxfId="277">
      <calculatedColumnFormula>VLOOKUP(AL1,DB_TBL_DATA_FIELDS[[FIELD_ID]:[FIELD_VALUE_CLEAN]],10,FALSE)</calculatedColumnFormula>
    </tableColumn>
    <tableColumn id="39" xr3:uid="{00000000-0010-0000-0600-000027000000}" name="FAMILY_SIZE_NO" dataDxfId="276">
      <calculatedColumnFormula>VLOOKUP(AM1,DB_TBL_DATA_FIELDS[[FIELD_ID]:[FIELD_VALUE_CLEAN]],10,FALSE)</calculatedColumnFormula>
    </tableColumn>
    <tableColumn id="40" xr3:uid="{00000000-0010-0000-0600-000028000000}" name="HSEHLD_INC_AMT" dataDxfId="275">
      <calculatedColumnFormula>VLOOKUP(AN1,DB_TBL_DATA_FIELDS[[FIELD_ID]:[FIELD_VALUE_CLEAN]],10,FALSE)</calculatedColumnFormula>
    </tableColumn>
    <tableColumn id="41" xr3:uid="{00000000-0010-0000-0600-000029000000}" name="MAX_ALLOWABLE_INCOME" dataDxfId="274">
      <calculatedColumnFormula>VLOOKUP(AO1,DB_TBL_DATA_FIELDS[[FIELD_ID]:[FIELD_VALUE_CLEAN]],10,FALSE)</calculatedColumnFormula>
    </tableColumn>
    <tableColumn id="42" xr3:uid="{00000000-0010-0000-0600-00002A000000}" name="HSEHLD_INC_PCT_MFI" dataDxfId="273">
      <calculatedColumnFormula>VLOOKUP(AP1,DB_TBL_DATA_FIELDS[[FIELD_ID]:[FIELD_VALUE_CLEAN]],10,FALSE)</calculatedColumnFormula>
    </tableColumn>
    <tableColumn id="44" xr3:uid="{00000000-0010-0000-0600-00002C000000}" name="CNSLNG_COMPLETE_DATE" dataDxfId="272">
      <calculatedColumnFormula>VLOOKUP(AQ1,DB_TBL_DATA_FIELDS[[FIELD_ID]:[FIELD_VALUE_CLEAN]],10,FALSE)</calculatedColumnFormula>
    </tableColumn>
    <tableColumn id="45" xr3:uid="{00000000-0010-0000-0600-00002D000000}" name="FHC_ENROLLED_FLAG" dataDxfId="271">
      <calculatedColumnFormula>VLOOKUP(AR1,DB_TBL_DATA_FIELDS[[FIELD_ID]:[FIELD_VALUE_CLEAN]],10,FALSE)</calculatedColumnFormula>
    </tableColumn>
    <tableColumn id="46" xr3:uid="{00000000-0010-0000-0600-00002E000000}" name="FHC_ENROLLED_HSEHLD_NO" dataDxfId="270">
      <calculatedColumnFormula>VLOOKUP(AS1,DB_TBL_DATA_FIELDS[[FIELD_ID]:[FIELD_VALUE_CLEAN]],10,FALSE)</calculatedColumnFormula>
    </tableColumn>
    <tableColumn id="47" xr3:uid="{00000000-0010-0000-0600-00002F000000}" name="FHA_LETTER_REQ_FLAG" dataDxfId="269">
      <calculatedColumnFormula>VLOOKUP(AT1,DB_TBL_DATA_FIELDS[[FIELD_ID]:[FIELD_VALUE_CLEAN]],10,FALSE)</calculatedColumnFormula>
    </tableColumn>
    <tableColumn id="48" xr3:uid="{00000000-0010-0000-0600-000030000000}" name="PRIM_BORW_MARITAL_STATUS" dataDxfId="268">
      <calculatedColumnFormula>VLOOKUP(AU1,DB_TBL_DATA_FIELDS[[FIELD_ID]:[FIELD_VALUE_CLEAN]],10,FALSE)</calculatedColumnFormula>
    </tableColumn>
    <tableColumn id="49" xr3:uid="{00000000-0010-0000-0600-000031000000}" name="PRIM_BORW_STUDENT_FLAG" dataDxfId="267">
      <calculatedColumnFormula>VLOOKUP(AV1,DB_TBL_DATA_FIELDS[[FIELD_ID]:[FIELD_VALUE_CLEAN]],10,FALSE)</calculatedColumnFormula>
    </tableColumn>
    <tableColumn id="50" xr3:uid="{00000000-0010-0000-0600-000032000000}" name="CO_BORW_MARITAL_STATUS" dataDxfId="266">
      <calculatedColumnFormula>VLOOKUP(AW1,DB_TBL_DATA_FIELDS[[FIELD_ID]:[FIELD_VALUE_CLEAN]],10,FALSE)</calculatedColumnFormula>
    </tableColumn>
    <tableColumn id="51" xr3:uid="{00000000-0010-0000-0600-000033000000}" name="CO_BORW_STUDENT_FLAG" dataDxfId="265">
      <calculatedColumnFormula>VLOOKUP(AX1,DB_TBL_DATA_FIELDS[[FIELD_ID]:[FIELD_VALUE_CLEAN]],10,FALSE)</calculatedColumnFormula>
    </tableColumn>
    <tableColumn id="52" xr3:uid="{00000000-0010-0000-0600-000034000000}" name="THRD_BORW_MARITAL_STATUS" dataDxfId="264">
      <calculatedColumnFormula>VLOOKUP(AY1,DB_TBL_DATA_FIELDS[[FIELD_ID]:[FIELD_VALUE_CLEAN]],10,FALSE)</calculatedColumnFormula>
    </tableColumn>
    <tableColumn id="53" xr3:uid="{00000000-0010-0000-0600-000035000000}" name="THRD_BORW_STUDENT_FLAG" dataDxfId="263">
      <calculatedColumnFormula>VLOOKUP(AZ1,DB_TBL_DATA_FIELDS[[FIELD_ID]:[FIELD_VALUE_CLEAN]],10,FALSE)</calculatedColumnFormula>
    </tableColumn>
    <tableColumn id="54" xr3:uid="{00000000-0010-0000-0600-000036000000}" name="GRANT_REQ_AMT" dataDxfId="262">
      <calculatedColumnFormula>VLOOKUP(BA1,DB_TBL_DATA_FIELDS[[FIELD_ID]:[FIELD_VALUE_CLEAN]],10,FALSE)</calculatedColumnFormula>
    </tableColumn>
    <tableColumn id="55" xr3:uid="{00000000-0010-0000-0600-000037000000}" name="COUSEL_DEFRAY_AMT" dataDxfId="261">
      <calculatedColumnFormula>VLOOKUP(BB1,DB_TBL_DATA_FIELDS[[FIELD_ID]:[FIELD_VALUE_CLEAN]],10,FALSE)</calculatedColumnFormula>
    </tableColumn>
    <tableColumn id="56" xr3:uid="{00000000-0010-0000-0600-000038000000}" name="MEMBER_CONTACT_NAME" dataDxfId="260">
      <calculatedColumnFormula>VLOOKUP(BC1,DB_TBL_DATA_FIELDS[[FIELD_ID]:[FIELD_VALUE_CLEAN]],10,FALSE)</calculatedColumnFormula>
    </tableColumn>
    <tableColumn id="57" xr3:uid="{00000000-0010-0000-0600-000039000000}" name="MEMBER_CONTACT_TITLE" dataDxfId="259">
      <calculatedColumnFormula>VLOOKUP(BD1,DB_TBL_DATA_FIELDS[[FIELD_ID]:[FIELD_VALUE_CLEAN]],10,FALSE)</calculatedColumnFormula>
    </tableColumn>
    <tableColumn id="58" xr3:uid="{00000000-0010-0000-0600-00003A000000}" name="MEMBER_CERTIFICATION_DATE" dataDxfId="258">
      <calculatedColumnFormula>VLOOKUP(BE1,DB_TBL_DATA_FIELDS[[FIELD_ID]:[FIELD_VALUE_CLEAN]],10,FALSE)</calculatedColumnFormula>
    </tableColumn>
    <tableColumn id="25" xr3:uid="{F16C9CDA-3754-42C7-AFB2-3CA72BAFB8C8}" name="PROPTY_CNTY_CODE" dataDxfId="257">
      <calculatedColumnFormula>VLOOKUP(BF1,DB_TBL_DATA_FIELDS[[FIELD_ID]:[FIELD_VALUE_CLEAN]],10,FALSE)</calculatedColumnFormula>
    </tableColumn>
    <tableColumn id="43" xr3:uid="{87284880-1BE4-4DF7-A2C1-F6E050BE7ABF}" name="HSEHLD_OTHER_GRANT_HDP" dataDxfId="256">
      <calculatedColumnFormula>VLOOKUP(BG1,DB_TBL_DATA_FIELDS[[FIELD_ID]:[FIELD_VALUE_CLEAN]],10,FALSE)</calculatedColumnFormula>
    </tableColumn>
    <tableColumn id="59" xr3:uid="{0B035EA0-AE3C-4862-A599-F3F1E94F5441}" name="HSEHLD_OTHER_GRANT_HDPP" dataDxfId="255">
      <calculatedColumnFormula>VLOOKUP(BH1,DB_TBL_DATA_FIELDS[[FIELD_ID]:[FIELD_VALUE_CLEAN]],10,FALSE)</calculatedColumnFormula>
    </tableColumn>
    <tableColumn id="60" xr3:uid="{0E8CE957-10BE-4F26-B44B-8EFCDBCDA74F}" name="HSEHLD_OTHER_GRANT_HDPWB" dataDxfId="254">
      <calculatedColumnFormula>VLOOKUP(BI1,DB_TBL_DATA_FIELDS[[FIELD_ID]:[FIELD_VALUE_CLEAN]],10,FALSE)</calculatedColumnFormula>
    </tableColumn>
    <tableColumn id="61" xr3:uid="{AC13B7C8-A6EF-4CC4-A2EA-5AC58D307302}" name="HSEHLD_OTHER_GRANT_AHP" dataDxfId="253">
      <calculatedColumnFormula>VLOOKUP(BJ1,DB_TBL_DATA_FIELDS[[FIELD_ID]:[FIELD_VALUE_CLEAN]],10,FALSE)</calculatedColumnFormula>
    </tableColumn>
    <tableColumn id="63" xr3:uid="{93A5539E-EF39-45B0-8AC3-3828401E3838}" name="HSEHLD_DEMO_FRSTGENBUYER_FLAG" dataDxfId="252">
      <calculatedColumnFormula>VLOOKUP(BK1,DB_TBL_DATA_FIELDS[[FIELD_ID]:[FIELD_VALUE_CLEAN]],10,FALSE)</calculatedColumnFormula>
    </tableColumn>
    <tableColumn id="64" xr3:uid="{4DA829DA-C690-4B26-95E2-C18692884CD7}" name="HSEHLD_DEMO_MINORITYTRACT_FLAG" dataDxfId="251">
      <calculatedColumnFormula>VLOOKUP(BL1,DB_TBL_DATA_FIELDS[[FIELD_ID]:[FIELD_VALUE_CLEAN]],10,FALSE)</calculatedColumnFormula>
    </tableColumn>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7000000}" name="DB_TBL_EXPORT_DSB" displayName="DB_TBL_EXPORT_DSB" ref="A1:AR2" totalsRowShown="0" headerRowDxfId="250" dataDxfId="248" headerRowBorderDxfId="249" tableBorderDxfId="247" totalsRowBorderDxfId="246">
  <autoFilter ref="A1:AR2" xr:uid="{00000000-0009-0000-0100-000009000000}"/>
  <tableColumns count="44">
    <tableColumn id="1" xr3:uid="{00000000-0010-0000-0700-000001000000}" name="EFORM_TYPE_CODE" dataDxfId="245">
      <calculatedColumnFormula>VLOOKUP(A1,DB_TBL_DATA_FIELDS[[FIELD_ID]:[FIELD_VALUE_CLEAN]],10,FALSE)</calculatedColumnFormula>
    </tableColumn>
    <tableColumn id="2" xr3:uid="{00000000-0010-0000-0700-000002000000}" name="EFORM_ID" dataDxfId="244">
      <calculatedColumnFormula>VLOOKUP(B1,DB_TBL_DATA_FIELDS[[FIELD_ID]:[FIELD_VALUE_CLEAN]],10,FALSE)</calculatedColumnFormula>
    </tableColumn>
    <tableColumn id="3" xr3:uid="{00000000-0010-0000-0700-000003000000}" name="EFORM_VERSION_NO" dataDxfId="243">
      <calculatedColumnFormula>VLOOKUP(C1,DB_TBL_DATA_FIELDS[[FIELD_ID]:[FIELD_VALUE_CLEAN]],10,FALSE)</calculatedColumnFormula>
    </tableColumn>
    <tableColumn id="4" xr3:uid="{00000000-0010-0000-0700-000004000000}" name="EFORM_COMPLETE_FLAG" dataDxfId="242">
      <calculatedColumnFormula>VLOOKUP(D1,DB_TBL_DATA_FIELDS[[FIELD_ID]:[FIELD_VALUE_CLEAN]],10,FALSE)</calculatedColumnFormula>
    </tableColumn>
    <tableColumn id="5" xr3:uid="{00000000-0010-0000-0700-000005000000}" name="MEMBER_NAME" dataDxfId="241">
      <calculatedColumnFormula>VLOOKUP(E1,DB_TBL_DATA_FIELDS[[FIELD_ID]:[FIELD_VALUE_CLEAN]],10,FALSE)</calculatedColumnFormula>
    </tableColumn>
    <tableColumn id="6" xr3:uid="{00000000-0010-0000-0700-000006000000}" name="MEMBER_CONTACT_FIRST_NAME" dataDxfId="240">
      <calculatedColumnFormula>VLOOKUP(F1,DB_TBL_DATA_FIELDS[[FIELD_ID]:[FIELD_VALUE_CLEAN]],10,FALSE)</calculatedColumnFormula>
    </tableColumn>
    <tableColumn id="7" xr3:uid="{00000000-0010-0000-0700-000007000000}" name="MEMBER_CONTACT_LAST_NAME" dataDxfId="239">
      <calculatedColumnFormula>VLOOKUP(G1,DB_TBL_DATA_FIELDS[[FIELD_ID]:[FIELD_VALUE_CLEAN]],10,FALSE)</calculatedColumnFormula>
    </tableColumn>
    <tableColumn id="8" xr3:uid="{00000000-0010-0000-0700-000008000000}" name="MEMBER_CONTACT_EMAIL" dataDxfId="238">
      <calculatedColumnFormula>VLOOKUP(H1,DB_TBL_DATA_FIELDS[[FIELD_ID]:[FIELD_VALUE_CLEAN]],10,FALSE)</calculatedColumnFormula>
    </tableColumn>
    <tableColumn id="9" xr3:uid="{00000000-0010-0000-0700-000009000000}" name="MEMBER_CONTACT_PHONE" dataDxfId="237">
      <calculatedColumnFormula>VLOOKUP(I1,DB_TBL_DATA_FIELDS[[FIELD_ID]:[FIELD_VALUE_CLEAN]],10,FALSE)</calculatedColumnFormula>
    </tableColumn>
    <tableColumn id="10" xr3:uid="{00000000-0010-0000-0700-00000A000000}" name="HSEHLD_NO" dataDxfId="236">
      <calculatedColumnFormula>VLOOKUP(J1,DB_TBL_DATA_FIELDS[[FIELD_ID]:[FIELD_VALUE_CLEAN]],10,FALSE)</calculatedColumnFormula>
    </tableColumn>
    <tableColumn id="11" xr3:uid="{00000000-0010-0000-0700-00000B000000}" name="PRIM_BORW_FIRST_NAME" dataDxfId="235">
      <calculatedColumnFormula>VLOOKUP(K1,DB_TBL_DATA_FIELDS[[FIELD_ID]:[FIELD_VALUE_CLEAN]],10,FALSE)</calculatedColumnFormula>
    </tableColumn>
    <tableColumn id="12" xr3:uid="{00000000-0010-0000-0700-00000C000000}" name="PRIM_BORW_LAST_NAME" dataDxfId="234">
      <calculatedColumnFormula>VLOOKUP(L1,DB_TBL_DATA_FIELDS[[FIELD_ID]:[FIELD_VALUE_CLEAN]],10,FALSE)</calculatedColumnFormula>
    </tableColumn>
    <tableColumn id="13" xr3:uid="{00000000-0010-0000-0700-00000D000000}" name="GRANT_REQ_AMT" dataDxfId="233">
      <calculatedColumnFormula>VLOOKUP(M1,DB_TBL_DATA_FIELDS[[FIELD_ID]:[FIELD_VALUE_CLEAN]],10,FALSE)</calculatedColumnFormula>
    </tableColumn>
    <tableColumn id="14" xr3:uid="{00000000-0010-0000-0700-00000E000000}" name="COUSEL_DEFRAY_AMT" dataDxfId="232">
      <calculatedColumnFormula>VLOOKUP(N1,DB_TBL_DATA_FIELDS[[FIELD_ID]:[FIELD_VALUE_CLEAN]],10,FALSE)</calculatedColumnFormula>
    </tableColumn>
    <tableColumn id="15" xr3:uid="{00000000-0010-0000-0700-00000F000000}" name="TOTAL_GRANT_REQ_AMT" dataDxfId="231">
      <calculatedColumnFormula>VLOOKUP(O1,DB_TBL_DATA_FIELDS[[FIELD_ID]:[FIELD_VALUE_CLEAN]],10,FALSE)</calculatedColumnFormula>
    </tableColumn>
    <tableColumn id="17" xr3:uid="{00000000-0010-0000-0700-000011000000}" name="FHA_LETTER_REQ_FLAG" dataDxfId="230">
      <calculatedColumnFormula>VLOOKUP(P1,DB_TBL_DATA_FIELDS[[FIELD_ID]:[FIELD_VALUE_CLEAN]],10,FALSE)</calculatedColumnFormula>
    </tableColumn>
    <tableColumn id="18" xr3:uid="{00000000-0010-0000-0700-000012000000}" name="DISBURSEMENT_DATE" dataDxfId="229">
      <calculatedColumnFormula>VLOOKUP(Q1,DB_TBL_DATA_FIELDS[[FIELD_ID]:[FIELD_VALUE_CLEAN]],10,FALSE)</calculatedColumnFormula>
    </tableColumn>
    <tableColumn id="19" xr3:uid="{00000000-0010-0000-0700-000013000000}" name="HOUSING_EXP_INC_RATIO" dataDxfId="228">
      <calculatedColumnFormula>VLOOKUP(R1,DB_TBL_DATA_FIELDS[[FIELD_ID]:[FIELD_VALUE_CLEAN]],10,FALSE)</calculatedColumnFormula>
    </tableColumn>
    <tableColumn id="20" xr3:uid="{00000000-0010-0000-0700-000014000000}" name="TOTAL_DEBT_INC_RATIO" dataDxfId="227">
      <calculatedColumnFormula>VLOOKUP(S1,DB_TBL_DATA_FIELDS[[FIELD_ID]:[FIELD_VALUE_CLEAN]],10,FALSE)</calculatedColumnFormula>
    </tableColumn>
    <tableColumn id="21" xr3:uid="{00000000-0010-0000-0700-000015000000}" name="LTV" dataDxfId="226">
      <calculatedColumnFormula>VLOOKUP(T1,DB_TBL_DATA_FIELDS[[FIELD_ID]:[FIELD_VALUE_CLEAN]],10,FALSE)</calculatedColumnFormula>
    </tableColumn>
    <tableColumn id="22" xr3:uid="{00000000-0010-0000-0700-000016000000}" name="HSEHLD_CONTRIBUTION_AMT" dataDxfId="225">
      <calculatedColumnFormula>VLOOKUP(U1,DB_TBL_DATA_FIELDS[[FIELD_ID]:[FIELD_VALUE_CLEAN]],10,FALSE)</calculatedColumnFormula>
    </tableColumn>
    <tableColumn id="23" xr3:uid="{00000000-0010-0000-0700-000017000000}" name="ORIG_CHARGES_AMT" dataDxfId="224">
      <calculatedColumnFormula>VLOOKUP(V1,DB_TBL_DATA_FIELDS[[FIELD_ID]:[FIELD_VALUE_CLEAN]],10,FALSE)</calculatedColumnFormula>
    </tableColumn>
    <tableColumn id="24" xr3:uid="{00000000-0010-0000-0700-000018000000}" name="FIRST_MTG_LOAN_AMT" dataDxfId="223">
      <calculatedColumnFormula>VLOOKUP(W1,DB_TBL_DATA_FIELDS[[FIELD_ID]:[FIELD_VALUE_CLEAN]],10,FALSE)</calculatedColumnFormula>
    </tableColumn>
    <tableColumn id="25" xr3:uid="{00000000-0010-0000-0700-000019000000}" name="FIRST_MTG_LOAN_RATE" dataDxfId="222">
      <calculatedColumnFormula>VLOOKUP(X1,DB_TBL_DATA_FIELDS[[FIELD_ID]:[FIELD_VALUE_CLEAN]],10,FALSE)</calculatedColumnFormula>
    </tableColumn>
    <tableColumn id="26" xr3:uid="{00000000-0010-0000-0700-00001A000000}" name="FIRST_MTG_LOAN_TERM" dataDxfId="221">
      <calculatedColumnFormula>VLOOKUP(Y1,DB_TBL_DATA_FIELDS[[FIELD_ID]:[FIELD_VALUE_CLEAN]],10,FALSE)</calculatedColumnFormula>
    </tableColumn>
    <tableColumn id="27" xr3:uid="{00000000-0010-0000-0700-00001B000000}" name="FIRST_MTG_LOAN_TYPE" dataDxfId="220">
      <calculatedColumnFormula>VLOOKUP(Z1,DB_TBL_DATA_FIELDS[[FIELD_ID]:[FIELD_VALUE_CLEAN]],10,FALSE)</calculatedColumnFormula>
    </tableColumn>
    <tableColumn id="28" xr3:uid="{00000000-0010-0000-0700-00001C000000}" name="FIXED_MTG_LOAN_FLAG" dataDxfId="219">
      <calculatedColumnFormula>VLOOKUP(AA1,DB_TBL_DATA_FIELDS[[FIELD_ID]:[FIELD_VALUE_CLEAN]],10,FALSE)</calculatedColumnFormula>
    </tableColumn>
    <tableColumn id="29" xr3:uid="{00000000-0010-0000-0700-00001D000000}" name="SECOND_MTG_LOAN_AMT" dataDxfId="218">
      <calculatedColumnFormula>VLOOKUP(AB1,DB_TBL_DATA_FIELDS[[FIELD_ID]:[FIELD_VALUE_CLEAN]],10,FALSE)</calculatedColumnFormula>
    </tableColumn>
    <tableColumn id="30" xr3:uid="{00000000-0010-0000-0700-00001E000000}" name="SECOND_MTG_LOAN_RATE" dataDxfId="217">
      <calculatedColumnFormula>VLOOKUP(AC1,DB_TBL_DATA_FIELDS[[FIELD_ID]:[FIELD_VALUE_CLEAN]],10,FALSE)</calculatedColumnFormula>
    </tableColumn>
    <tableColumn id="31" xr3:uid="{00000000-0010-0000-0700-00001F000000}" name="SECOND_MTG_LOAN_TERM" dataDxfId="216">
      <calculatedColumnFormula>VLOOKUP(AD1,DB_TBL_DATA_FIELDS[[FIELD_ID]:[FIELD_VALUE_CLEAN]],10,FALSE)</calculatedColumnFormula>
    </tableColumn>
    <tableColumn id="32" xr3:uid="{00000000-0010-0000-0700-000020000000}" name="FIRST_NON_FHLB_GRANT_SRC" dataDxfId="215">
      <calculatedColumnFormula>VLOOKUP(AE1,DB_TBL_DATA_FIELDS[[FIELD_ID]:[FIELD_VALUE_CLEAN]],10,FALSE)</calculatedColumnFormula>
    </tableColumn>
    <tableColumn id="33" xr3:uid="{00000000-0010-0000-0700-000021000000}" name="FIRST_NON_FHLB_GRANT_AMT" dataDxfId="214">
      <calculatedColumnFormula>VLOOKUP(AF1,DB_TBL_DATA_FIELDS[[FIELD_ID]:[FIELD_VALUE_CLEAN]],10,FALSE)</calculatedColumnFormula>
    </tableColumn>
    <tableColumn id="34" xr3:uid="{00000000-0010-0000-0700-000022000000}" name="SECOND_NON_FHLB_GRANT_SRC" dataDxfId="213">
      <calculatedColumnFormula>VLOOKUP(AG1,DB_TBL_DATA_FIELDS[[FIELD_ID]:[FIELD_VALUE_CLEAN]],10,FALSE)</calculatedColumnFormula>
    </tableColumn>
    <tableColumn id="35" xr3:uid="{00000000-0010-0000-0700-000023000000}" name="SECOND_NON_FHLB_GRANT_AMT" dataDxfId="212">
      <calculatedColumnFormula>VLOOKUP(AH1,DB_TBL_DATA_FIELDS[[FIELD_ID]:[FIELD_VALUE_CLEAN]],10,FALSE)</calculatedColumnFormula>
    </tableColumn>
    <tableColumn id="36" xr3:uid="{00000000-0010-0000-0700-000024000000}" name="THIRD_NON_FHLB_GRANT_SRC" dataDxfId="211">
      <calculatedColumnFormula>VLOOKUP(AI1,DB_TBL_DATA_FIELDS[[FIELD_ID]:[FIELD_VALUE_CLEAN]],10,FALSE)</calculatedColumnFormula>
    </tableColumn>
    <tableColumn id="37" xr3:uid="{00000000-0010-0000-0700-000025000000}" name="THIRD_NON_FHLB_GRANT_AMT" dataDxfId="210">
      <calculatedColumnFormula>VLOOKUP(AJ1,DB_TBL_DATA_FIELDS[[FIELD_ID]:[FIELD_VALUE_CLEAN]],10,FALSE)</calculatedColumnFormula>
    </tableColumn>
    <tableColumn id="38" xr3:uid="{00000000-0010-0000-0700-000026000000}" name="FOURTH_NON_FHLB_GRANT_SRC" dataDxfId="209">
      <calculatedColumnFormula>VLOOKUP(AK1,DB_TBL_DATA_FIELDS[[FIELD_ID]:[FIELD_VALUE_CLEAN]],10,FALSE)</calculatedColumnFormula>
    </tableColumn>
    <tableColumn id="39" xr3:uid="{00000000-0010-0000-0700-000027000000}" name="FOURTH_NON_FHLB_GRANT_AMT" dataDxfId="208">
      <calculatedColumnFormula>VLOOKUP(AL1,DB_TBL_DATA_FIELDS[[FIELD_ID]:[FIELD_VALUE_CLEAN]],10,FALSE)</calculatedColumnFormula>
    </tableColumn>
    <tableColumn id="40" xr3:uid="{00000000-0010-0000-0700-000028000000}" name="OTHER_FHLB_GRANT_SRC" dataDxfId="207">
      <calculatedColumnFormula>VLOOKUP(AM1,DB_TBL_DATA_FIELDS[[FIELD_ID]:[FIELD_VALUE_CLEAN]],10,FALSE)</calculatedColumnFormula>
    </tableColumn>
    <tableColumn id="41" xr3:uid="{00000000-0010-0000-0700-000029000000}" name="OTHER_FHLB_GRANT_AMT" dataDxfId="206">
      <calculatedColumnFormula>VLOOKUP(AN1,DB_TBL_DATA_FIELDS[[FIELD_ID]:[FIELD_VALUE_CLEAN]],10,FALSE)</calculatedColumnFormula>
    </tableColumn>
    <tableColumn id="16" xr3:uid="{00000000-0010-0000-0700-000010000000}" name="EXPLANATION_OF_AFFORDABILITY" dataDxfId="205">
      <calculatedColumnFormula>VLOOKUP(AO1,DB_TBL_DATA_FIELDS[[FIELD_ID]:[FIELD_VALUE_CLEAN]],10,FALSE)</calculatedColumnFormula>
    </tableColumn>
    <tableColumn id="42" xr3:uid="{00000000-0010-0000-0700-00002A000000}" name="MEMBER_CONTACT_NAME" dataDxfId="204">
      <calculatedColumnFormula>VLOOKUP(AP1,DB_TBL_DATA_FIELDS[[FIELD_ID]:[FIELD_VALUE_CLEAN]],10,FALSE)</calculatedColumnFormula>
    </tableColumn>
    <tableColumn id="43" xr3:uid="{00000000-0010-0000-0700-00002B000000}" name="MEMBER_CONTACT_TITLE" dataDxfId="203">
      <calculatedColumnFormula>VLOOKUP(AQ1,DB_TBL_DATA_FIELDS[[FIELD_ID]:[FIELD_VALUE_CLEAN]],10,FALSE)</calculatedColumnFormula>
    </tableColumn>
    <tableColumn id="44" xr3:uid="{00000000-0010-0000-0700-00002C000000}" name="MEMBER_CERTIFICATION_DATE" dataDxfId="202">
      <calculatedColumnFormula>VLOOKUP(AR1,DB_TBL_DATA_FIELDS[[FIELD_ID]:[FIELD_VALUE_CLEAN]],10,FALSE)</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8000000}" name="DB_TBL_EXPORT_ADL" displayName="DB_TBL_EXPORT_ADL" ref="A1:Y2" totalsRowShown="0" headerRowDxfId="201" dataDxfId="199" headerRowBorderDxfId="200" tableBorderDxfId="198" totalsRowBorderDxfId="197">
  <autoFilter ref="A1:Y2" xr:uid="{00000000-0009-0000-0100-000008000000}"/>
  <tableColumns count="25">
    <tableColumn id="1" xr3:uid="{00000000-0010-0000-0800-000001000000}" name="EFORM_TYPE_CODE" dataDxfId="196">
      <calculatedColumnFormula>VLOOKUP(A1,DB_TBL_DATA_FIELDS[[FIELD_ID]:[FIELD_VALUE_CLEAN]],10,FALSE)</calculatedColumnFormula>
    </tableColumn>
    <tableColumn id="2" xr3:uid="{00000000-0010-0000-0800-000002000000}" name="EFORM_ID" dataDxfId="195">
      <calculatedColumnFormula>VLOOKUP(B1,DB_TBL_DATA_FIELDS[[FIELD_ID]:[FIELD_VALUE_CLEAN]],10,FALSE)</calculatedColumnFormula>
    </tableColumn>
    <tableColumn id="3" xr3:uid="{00000000-0010-0000-0800-000003000000}" name="EFORM_VERSION_NO" dataDxfId="194">
      <calculatedColumnFormula>VLOOKUP(C1,DB_TBL_DATA_FIELDS[[FIELD_ID]:[FIELD_VALUE_CLEAN]],10,FALSE)</calculatedColumnFormula>
    </tableColumn>
    <tableColumn id="4" xr3:uid="{00000000-0010-0000-0800-000004000000}" name="EFORM_COMPLETE_FLAG" dataDxfId="193">
      <calculatedColumnFormula>VLOOKUP(D1,DB_TBL_DATA_FIELDS[[FIELD_ID]:[FIELD_VALUE_CLEAN]],10,FALSE)</calculatedColumnFormula>
    </tableColumn>
    <tableColumn id="5" xr3:uid="{00000000-0010-0000-0800-000005000000}" name="MEMBER_NAME" dataDxfId="192">
      <calculatedColumnFormula>VLOOKUP(E1,DB_TBL_DATA_FIELDS[[FIELD_ID]:[FIELD_VALUE_CLEAN]],10,FALSE)</calculatedColumnFormula>
    </tableColumn>
    <tableColumn id="6" xr3:uid="{00000000-0010-0000-0800-000006000000}" name="MEMBER_CONTACT_FIRST_NAME" dataDxfId="191">
      <calculatedColumnFormula>VLOOKUP(F1,DB_TBL_DATA_FIELDS[[FIELD_ID]:[FIELD_VALUE_CLEAN]],10,FALSE)</calculatedColumnFormula>
    </tableColumn>
    <tableColumn id="7" xr3:uid="{00000000-0010-0000-0800-000007000000}" name="MEMBER_CONTACT_LAST_NAME" dataDxfId="190">
      <calculatedColumnFormula>VLOOKUP(G1,DB_TBL_DATA_FIELDS[[FIELD_ID]:[FIELD_VALUE_CLEAN]],10,FALSE)</calculatedColumnFormula>
    </tableColumn>
    <tableColumn id="8" xr3:uid="{00000000-0010-0000-0800-000008000000}" name="MEMBER_CONTACT_EMAIL" dataDxfId="189">
      <calculatedColumnFormula>VLOOKUP(H1,DB_TBL_DATA_FIELDS[[FIELD_ID]:[FIELD_VALUE_CLEAN]],10,FALSE)</calculatedColumnFormula>
    </tableColumn>
    <tableColumn id="9" xr3:uid="{00000000-0010-0000-0800-000009000000}" name="MEMBER_CONTACT_PHONE" dataDxfId="188">
      <calculatedColumnFormula>VLOOKUP(I1,DB_TBL_DATA_FIELDS[[FIELD_ID]:[FIELD_VALUE_CLEAN]],10,FALSE)</calculatedColumnFormula>
    </tableColumn>
    <tableColumn id="10" xr3:uid="{00000000-0010-0000-0800-00000A000000}" name="HSEHLD_NO" dataDxfId="187">
      <calculatedColumnFormula>VLOOKUP(J1,DB_TBL_DATA_FIELDS[[FIELD_ID]:[FIELD_VALUE_CLEAN]],10,FALSE)</calculatedColumnFormula>
    </tableColumn>
    <tableColumn id="11" xr3:uid="{00000000-0010-0000-0800-00000B000000}" name="PRIM_BORW_FIRST_NAME" dataDxfId="186">
      <calculatedColumnFormula>VLOOKUP(K1,DB_TBL_DATA_FIELDS[[FIELD_ID]:[FIELD_VALUE_CLEAN]],10,FALSE)</calculatedColumnFormula>
    </tableColumn>
    <tableColumn id="12" xr3:uid="{00000000-0010-0000-0800-00000C000000}" name="PRIM_BORW_LAST_NAME" dataDxfId="185">
      <calculatedColumnFormula>VLOOKUP(L1,DB_TBL_DATA_FIELDS[[FIELD_ID]:[FIELD_VALUE_CLEAN]],10,FALSE)</calculatedColumnFormula>
    </tableColumn>
    <tableColumn id="13" xr3:uid="{00000000-0010-0000-0800-00000D000000}" name="ADL_DESCRIPTION" dataDxfId="184">
      <calculatedColumnFormula>VLOOKUP(M1,DB_TBL_DATA_FIELDS[[FIELD_ID]:[FIELD_VALUE_CLEAN]],10,FALSE)</calculatedColumnFormula>
    </tableColumn>
    <tableColumn id="14" xr3:uid="{00000000-0010-0000-0800-00000E000000}" name="FHA_LETTER_REQ_FLAG" dataDxfId="183">
      <calculatedColumnFormula>VLOOKUP(N1,DB_TBL_DATA_FIELDS[[FIELD_ID]:[FIELD_VALUE_CLEAN]],10,FALSE)</calculatedColumnFormula>
    </tableColumn>
    <tableColumn id="15" xr3:uid="{00000000-0010-0000-0800-00000F000000}" name="ADL_ICW_FLAG" dataDxfId="182">
      <calculatedColumnFormula>VLOOKUP(O1,DB_TBL_DATA_FIELDS[[FIELD_ID]:[FIELD_VALUE_CLEAN]],10,FALSE)</calculatedColumnFormula>
    </tableColumn>
    <tableColumn id="16" xr3:uid="{00000000-0010-0000-0800-000010000000}" name="ADL_ICW_COMPLETION_DATE" dataDxfId="181">
      <calculatedColumnFormula>VLOOKUP(P1,DB_TBL_DATA_FIELDS[[FIELD_ID]:[FIELD_VALUE_CLEAN]],10,FALSE)</calculatedColumnFormula>
    </tableColumn>
    <tableColumn id="17" xr3:uid="{00000000-0010-0000-0800-000011000000}" name="PROPTY_ADDR" dataDxfId="180">
      <calculatedColumnFormula>VLOOKUP(Q1,DB_TBL_DATA_FIELDS[[FIELD_ID]:[FIELD_VALUE_CLEAN]],10,FALSE)</calculatedColumnFormula>
    </tableColumn>
    <tableColumn id="18" xr3:uid="{00000000-0010-0000-0800-000012000000}" name="PROPTY_CITY_NAME" dataDxfId="179">
      <calculatedColumnFormula>VLOOKUP(R1,DB_TBL_DATA_FIELDS[[FIELD_ID]:[FIELD_VALUE_CLEAN]],10,FALSE)</calculatedColumnFormula>
    </tableColumn>
    <tableColumn id="19" xr3:uid="{00000000-0010-0000-0800-000013000000}" name="PROPTY_STATE_CODE" dataDxfId="178">
      <calculatedColumnFormula>VLOOKUP(S1,DB_TBL_DATA_FIELDS[[FIELD_ID]:[FIELD_VALUE_CLEAN]],10,FALSE)</calculatedColumnFormula>
    </tableColumn>
    <tableColumn id="20" xr3:uid="{00000000-0010-0000-0800-000014000000}" name="PROPTY_ZIP_CODE" dataDxfId="177">
      <calculatedColumnFormula>VLOOKUP(T1,DB_TBL_DATA_FIELDS[[FIELD_ID]:[FIELD_VALUE_CLEAN]],10,FALSE)</calculatedColumnFormula>
    </tableColumn>
    <tableColumn id="21" xr3:uid="{00000000-0010-0000-0800-000015000000}" name="FAMILY_SIZE_NO" dataDxfId="176">
      <calculatedColumnFormula>VLOOKUP(U1,DB_TBL_DATA_FIELDS[[FIELD_ID]:[FIELD_VALUE_CLEAN]],10,FALSE)</calculatedColumnFormula>
    </tableColumn>
    <tableColumn id="22" xr3:uid="{00000000-0010-0000-0800-000016000000}" name="HSEHLD_INC_AMT" dataDxfId="175">
      <calculatedColumnFormula>VLOOKUP(V1,DB_TBL_DATA_FIELDS[[FIELD_ID]:[FIELD_VALUE_CLEAN]],10,FALSE)</calculatedColumnFormula>
    </tableColumn>
    <tableColumn id="23" xr3:uid="{00000000-0010-0000-0800-000017000000}" name="MEMBER_CONTACT_NAME" dataDxfId="174">
      <calculatedColumnFormula>VLOOKUP(W1,DB_TBL_DATA_FIELDS[[FIELD_ID]:[FIELD_VALUE_CLEAN]],10,FALSE)</calculatedColumnFormula>
    </tableColumn>
    <tableColumn id="24" xr3:uid="{00000000-0010-0000-0800-000018000000}" name="MEMBER_CONTACT_TITLE" dataDxfId="173">
      <calculatedColumnFormula>VLOOKUP(X1,DB_TBL_DATA_FIELDS[[FIELD_ID]:[FIELD_VALUE_CLEAN]],10,FALSE)</calculatedColumnFormula>
    </tableColumn>
    <tableColumn id="25" xr3:uid="{00000000-0010-0000-0800-000019000000}" name="MEMBER_CERTIFICATION_DATE" dataDxfId="172">
      <calculatedColumnFormula>VLOOKUP(Y1,DB_TBL_DATA_FIELDS[[FIELD_ID]:[FIELD_VALUE_CLEAN]],10,FALSE)</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DB_TBL_LOOKUP_EFORM_TYPE" displayName="DB_TBL_LOOKUP_EFORM_TYPE" ref="D2:E5" totalsRowShown="0" headerRowDxfId="365" dataDxfId="364">
  <tableColumns count="2">
    <tableColumn id="4" xr3:uid="{00000000-0010-0000-0100-000004000000}" name="LOOKUP_CODE" dataDxfId="363"/>
    <tableColumn id="2" xr3:uid="{00000000-0010-0000-0100-000002000000}" name="LOOKUP_VALUE" dataDxfId="362"/>
  </tableColumns>
  <tableStyleInfo name="TableStyleMedium1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EEB2400-6841-4B14-AAA9-A4811898AC11}" name="TBL_LOOKUP_INCOMEAREAMAP_HUD" displayName="TBL_LOOKUP_INCOMEAREAMAP_HUD" ref="AJ2:AN3166" totalsRowShown="0" headerRowDxfId="361" dataDxfId="360">
  <autoFilter ref="AJ2:AN3166" xr:uid="{AEEB2400-6841-4B14-AAA9-A4811898AC11}"/>
  <tableColumns count="5">
    <tableColumn id="1" xr3:uid="{AFEB8B7C-4B75-4AF3-9AF5-F55C02EEECD2}" name="STATE_ABBR" dataDxfId="359"/>
    <tableColumn id="2" xr3:uid="{2B0A835A-4901-4D02-A867-16C4D0A8B4BF}" name="CNTY_NAME" dataDxfId="358"/>
    <tableColumn id="3" xr3:uid="{F927199E-4CD9-4797-B07C-5776E20FDA68}" name="STATE_CNTY_KEY" dataDxfId="357"/>
    <tableColumn id="4" xr3:uid="{08B2D6A6-BD43-4B8C-8527-4364BEE5B384}" name="INCOME_AREA_NAME" dataDxfId="356"/>
    <tableColumn id="5" xr3:uid="{1DBBD19C-F987-4E95-814D-04CEECD23395}" name="INC_AREA_ID" dataDxfId="355"/>
  </tableColumns>
  <tableStyleInfo name="TableStyleMedium10"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1FBC1A32-624A-432B-9750-97BCCCB2E177}" name="TBL_LOOKUP_INCOMEAREAMAP_MRB" displayName="TBL_LOOKUP_INCOMEAREAMAP_MRB" ref="AP2:AT163" totalsRowShown="0" headerRowDxfId="354" dataDxfId="353">
  <autoFilter ref="AP2:AT163" xr:uid="{1FBC1A32-624A-432B-9750-97BCCCB2E177}"/>
  <tableColumns count="5">
    <tableColumn id="1" xr3:uid="{C12DD0D1-7870-45B9-82DD-E48B06C277A6}" name="STATE_ABBR" dataDxfId="352"/>
    <tableColumn id="2" xr3:uid="{3CE745BB-68AD-43B6-943D-113BD1C0EA17}" name="CNTY_NAME" dataDxfId="351"/>
    <tableColumn id="3" xr3:uid="{632DCF0B-DFB2-4CA9-BC89-16411D0A106C}" name="STATE_CNTY_KEY" dataDxfId="350"/>
    <tableColumn id="4" xr3:uid="{0C85D6C9-C8EC-441D-9B3C-A82F6521F9A3}" name="INCOME_AREA_NAME" dataDxfId="349"/>
    <tableColumn id="5" xr3:uid="{9DFC8650-AA71-4E9E-809A-1860B1EE0AF9}" name="INC_AREA_ID" dataDxfId="348"/>
  </tableColumns>
  <tableStyleInfo name="TableStyleMedium10"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94E19218-02C5-4665-A8B8-E262097C1035}" name="DB_TBL_LOOKUP_PROGRAM_TYPE" displayName="DB_TBL_LOOKUP_PROGRAM_TYPE" ref="A2:B5" totalsRowShown="0" headerRowDxfId="347" headerRowBorderDxfId="346">
  <autoFilter ref="A2:B5" xr:uid="{94E19218-02C5-4665-A8B8-E262097C1035}"/>
  <tableColumns count="2">
    <tableColumn id="1" xr3:uid="{B5006B32-CC2E-453D-AB5C-FC04534D6131}" name="LOOKUP_CODE"/>
    <tableColumn id="2" xr3:uid="{B9473F39-99B8-4938-B5C0-4B2EF9958D5F}" name="LOOKUP_VALUE"/>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2000000}" name="DB_TBL_CONFIG_APP" displayName="DB_TBL_CONFIG_APP" ref="A2:D49" totalsRowShown="0" headerRowDxfId="345" dataDxfId="344">
  <tableColumns count="4">
    <tableColumn id="1" xr3:uid="{00000000-0010-0000-0200-000001000000}" name="CONFIG_VAR" dataDxfId="343"/>
    <tableColumn id="2" xr3:uid="{00000000-0010-0000-0200-000002000000}" name="CONFIG_DESC" dataDxfId="342"/>
    <tableColumn id="3" xr3:uid="{00000000-0010-0000-0200-000003000000}" name="CONFIG_TYPE" dataDxfId="341"/>
    <tableColumn id="4" xr3:uid="{00000000-0010-0000-0200-000004000000}" name="CONFIG_VALUE" dataDxfId="340">
      <calculatedColumnFormula>VLOOKUP("APP_TYPE",DB_TBL_DATA_FIELDS[[#All],[FIELD_ID]:[FIELD_VALUE_CLEAN]],8,FALSE)</calculatedColumnFormula>
    </tableColumn>
  </tableColumns>
  <tableStyleInfo name="TableStyleMedium3"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3000000}" name="DB_TBL_CONFIG_FIELDSTATUSCODES" displayName="DB_TBL_CONFIG_FIELDSTATUSCODES" ref="F2:J6" totalsRowShown="0" headerRowDxfId="339" dataDxfId="338">
  <sortState xmlns:xlrd2="http://schemas.microsoft.com/office/spreadsheetml/2017/richdata2" ref="F3:J6">
    <sortCondition ref="F2:F6"/>
  </sortState>
  <tableColumns count="5">
    <tableColumn id="1" xr3:uid="{00000000-0010-0000-0300-000001000000}" name="FIELD_STATUS_CODE" dataDxfId="337"/>
    <tableColumn id="2" xr3:uid="{00000000-0010-0000-0300-000002000000}" name="FIELD_STATUS_DESCRIPTION" dataDxfId="336"/>
    <tableColumn id="5" xr3:uid="{00000000-0010-0000-0300-000005000000}" name="FIELD_STATUS_COMMENT" dataDxfId="335"/>
    <tableColumn id="3" xr3:uid="{00000000-0010-0000-0300-000003000000}" name="FIELD_STATUS_ICON" dataDxfId="334"/>
    <tableColumn id="4" xr3:uid="{00000000-0010-0000-0300-000004000000}" name="FIELD_STATUS_ICON_FONT" dataDxfId="333"/>
  </tableColumns>
  <tableStyleInfo name="TableStyleMedium10"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DB_TBL_CONFIG_WARNINGMSGS" displayName="DB_TBL_CONFIG_WARNINGMSGS" ref="L2:M5" totalsRowShown="0" headerRowDxfId="332" dataDxfId="331">
  <autoFilter ref="L2:M5" xr:uid="{00000000-0009-0000-0100-000006000000}"/>
  <tableColumns count="2">
    <tableColumn id="1" xr3:uid="{00000000-0010-0000-0400-000001000000}" name="WARNINGMSG_ID" dataDxfId="330"/>
    <tableColumn id="2" xr3:uid="{00000000-0010-0000-0400-000002000000}" name="WARNINGMSG_TEXT" dataDxfId="329"/>
  </tableColumns>
  <tableStyleInfo name="TableStyleMedium1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5000000}" name="DB_TBL_EXPORT_XREF" displayName="DB_TBL_EXPORT_XREF" ref="A1:E2" totalsRowShown="0" headerRowDxfId="328" dataDxfId="326" headerRowBorderDxfId="327" tableBorderDxfId="325" totalsRowBorderDxfId="324">
  <autoFilter ref="A1:E2" xr:uid="{00000000-0009-0000-0100-000007000000}"/>
  <tableColumns count="5">
    <tableColumn id="1" xr3:uid="{00000000-0010-0000-0500-000001000000}" name="EFORM_TYPE_CODE" dataDxfId="323">
      <calculatedColumnFormula>VLOOKUP(A1,DB_TBL_DATA_FIELDS[[FIELD_ID]:[FIELD_VALUE_CLEAN]],10,FALSE)</calculatedColumnFormula>
    </tableColumn>
    <tableColumn id="2" xr3:uid="{00000000-0010-0000-0500-000002000000}" name="EFORM_ID" dataDxfId="322">
      <calculatedColumnFormula>VLOOKUP(B1,DB_TBL_DATA_FIELDS[[FIELD_ID]:[FIELD_VALUE_CLEAN]],10,FALSE)</calculatedColumnFormula>
    </tableColumn>
    <tableColumn id="3" xr3:uid="{00000000-0010-0000-0500-000003000000}" name="EFORM_VERSION_NO" dataDxfId="321">
      <calculatedColumnFormula>VLOOKUP(C1,DB_TBL_DATA_FIELDS[[FIELD_ID]:[FIELD_VALUE_CLEAN]],10,FALSE)</calculatedColumnFormula>
    </tableColumn>
    <tableColumn id="4" xr3:uid="{00000000-0010-0000-0500-000004000000}" name="EFORM_COMPLETE_FLAG" dataDxfId="320">
      <calculatedColumnFormula>VLOOKUP(D1,DB_TBL_DATA_FIELDS[[FIELD_ID]:[FIELD_VALUE_CLEAN]],10,FALSE)</calculatedColumnFormula>
    </tableColumn>
    <tableColumn id="5" xr3:uid="{00000000-0010-0000-0500-000005000000}" name="FHC_PROG_ID" dataDxfId="319">
      <calculatedColumnFormula>CONFIG_FHC_PROG_ID</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G52" dT="2026-05-20T12:22:06.19" personId="{3EBED697-8E3D-4D93-8461-E136180DEBD1}" id="{0EC31153-46CF-4B93-87C2-1AAFE1C6EDE1}">
    <text>MAY 2026 - QUESTION REMOVED FROM RESERVATION REQUEST FORM -&gt; DEFAULTED TO ‘NO’ FOR PURPOSES OF IMPORT INTO PMT AND AHP SA SYSTEM (FOR REMAINDER OF 2026 ROUND, TBD IF FIELD ENTIRELY REMOVED FOR 2027 ROUND WHICH WOULD REQUIRE SYSTEM CHANGES)</text>
  </threadedComment>
  <threadedComment ref="W52" dT="2026-05-20T12:24:44.29" personId="{3EBED697-8E3D-4D93-8461-E136180DEBD1}" id="{CC86EC88-34D8-4002-8780-D617273D2EDA}">
    <text>FIELD REMOVED FROM HDP WB RES REQ UI IN MAY 2026, LEFT IN DATA HAS HARDCODED TO FALSE/NO FOR REMAINDER OF 2026 ROUND.  TO AVOID SHOWING % COMPLETE &gt; 0 AT FIRST ENTRY TO FORM, IT HAS BEEN REMOVED FROM % COMPLETE CALCULATION (VIA SETTING THIS FIELD TO 0)</text>
  </threadedComment>
  <threadedComment ref="H104" dT="2024-06-26T15:23:28.05" personId="{3EBED697-8E3D-4D93-8461-E136180DEBD1}" id="{A285CBA1-6C45-475C-B448-932674149C3F}">
    <text>For HDP, if income is over max allowable income, it is NOT a fatal error that prevents 100% completion (existing functionality).
For HDP+ and HDP WB, income outside of the allowable range IS a fatal error that prevents 100% completion</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trlProp" Target="../ctrlProps/ctrlProp6.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11.xml"/><Relationship Id="rId3" Type="http://schemas.openxmlformats.org/officeDocument/2006/relationships/vmlDrawing" Target="../drawings/vmlDrawing7.vml"/><Relationship Id="rId7" Type="http://schemas.openxmlformats.org/officeDocument/2006/relationships/ctrlProp" Target="../ctrlProps/ctrlProp10.xml"/><Relationship Id="rId2" Type="http://schemas.openxmlformats.org/officeDocument/2006/relationships/drawing" Target="../drawings/drawing11.xml"/><Relationship Id="rId1" Type="http://schemas.openxmlformats.org/officeDocument/2006/relationships/printerSettings" Target="../printerSettings/printerSettings11.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8.vml"/><Relationship Id="rId1" Type="http://schemas.openxmlformats.org/officeDocument/2006/relationships/printerSettings" Target="../printerSettings/printerSettings2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23.bin"/><Relationship Id="rId5" Type="http://schemas.openxmlformats.org/officeDocument/2006/relationships/table" Target="../tables/table5.xml"/><Relationship Id="rId4" Type="http://schemas.openxmlformats.org/officeDocument/2006/relationships/table" Target="../tables/table4.xml"/></Relationships>
</file>

<file path=xl/worksheets/_rels/sheet25.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printerSettings" Target="../printerSettings/printerSettings24.bin"/><Relationship Id="rId4" Type="http://schemas.openxmlformats.org/officeDocument/2006/relationships/table" Target="../tables/table8.xml"/></Relationships>
</file>

<file path=xl/worksheets/_rels/sheet26.xml.rels><?xml version="1.0" encoding="UTF-8" standalone="yes"?>
<Relationships xmlns="http://schemas.openxmlformats.org/package/2006/relationships"><Relationship Id="rId1" Type="http://schemas.openxmlformats.org/officeDocument/2006/relationships/table" Target="../tables/table9.xml"/></Relationships>
</file>

<file path=xl/worksheets/_rels/sheet27.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29.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trlProp" Target="../ctrlProps/ctrlProp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trlProp" Target="../ctrlProps/ctrlProp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trlProp" Target="../ctrlProps/ctrlProp4.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trlProp" Target="../ctrlProps/ctrlProp5.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sheetPr>
  <dimension ref="A1:L26"/>
  <sheetViews>
    <sheetView showGridLines="0" showRowColHeaders="0" tabSelected="1" topLeftCell="C1" workbookViewId="0">
      <selection activeCell="D7" sqref="D7:F7"/>
    </sheetView>
  </sheetViews>
  <sheetFormatPr defaultColWidth="0" defaultRowHeight="15" zeroHeight="1" x14ac:dyDescent="0.25"/>
  <cols>
    <col min="1" max="1" width="24.7109375" style="7" hidden="1" customWidth="1"/>
    <col min="2" max="2" width="33.28515625" style="7" hidden="1" customWidth="1"/>
    <col min="3" max="3" width="2.42578125" style="6" customWidth="1"/>
    <col min="4" max="4" width="20.7109375" style="6" customWidth="1"/>
    <col min="5" max="5" width="77.7109375" style="6" customWidth="1"/>
    <col min="6" max="6" width="20.7109375" style="6" customWidth="1"/>
    <col min="7" max="7" width="2.42578125" style="6" customWidth="1"/>
    <col min="8" max="12" width="0" style="6" hidden="1" customWidth="1"/>
    <col min="13" max="16384" width="9.140625" style="6" hidden="1"/>
  </cols>
  <sheetData>
    <row r="1" spans="1:7" ht="24.75" customHeight="1" x14ac:dyDescent="0.25">
      <c r="A1" s="25" t="s">
        <v>179</v>
      </c>
      <c r="B1" s="25" t="s">
        <v>178</v>
      </c>
    </row>
    <row r="2" spans="1:7" x14ac:dyDescent="0.25">
      <c r="A2" s="105" t="s">
        <v>2350</v>
      </c>
      <c r="B2" s="106" t="str">
        <f>CONFIG_DOC_TITLE&amp;" - "&amp;CONFIG_ENROLL_PERD_DESC</f>
        <v>Homebuyer Dream Program® Request Form - 2026 Round</v>
      </c>
    </row>
    <row r="3" spans="1:7" x14ac:dyDescent="0.25">
      <c r="A3" s="26" t="s">
        <v>8967</v>
      </c>
      <c r="B3" s="9" t="str">
        <f>IF(D7&lt;&gt;"",D7,"")</f>
        <v/>
      </c>
    </row>
    <row r="4" spans="1:7" ht="23.25" customHeight="1" x14ac:dyDescent="0.25">
      <c r="A4" s="26" t="s">
        <v>8970</v>
      </c>
      <c r="B4" s="9" t="str">
        <f>IFERROR(_xlfn.XLOOKUP(B3,RANGE_LOOKUP_PROGRAM_NAME,RANGE_LOOKUP_PROGRAM_ID,""),"")</f>
        <v/>
      </c>
    </row>
    <row r="5" spans="1:7" ht="20.100000000000001" customHeight="1" x14ac:dyDescent="0.4">
      <c r="A5" s="26" t="s">
        <v>8968</v>
      </c>
      <c r="B5" s="9" t="str">
        <f>IF(D10&lt;&gt;"",D10,"")</f>
        <v/>
      </c>
      <c r="C5" s="311"/>
      <c r="D5" s="312"/>
      <c r="E5" s="312"/>
      <c r="F5" s="312"/>
      <c r="G5" s="312"/>
    </row>
    <row r="6" spans="1:7" ht="20.100000000000001" customHeight="1" x14ac:dyDescent="0.4">
      <c r="A6" s="26" t="s">
        <v>8969</v>
      </c>
      <c r="B6" s="9" t="str">
        <f>_xlfn.XLOOKUP(B5,RANGE_LOOKUP_EFORM_TYPE_NAME,RANGE_LOOKUP_EFORM_TYPE_CODE,"")</f>
        <v/>
      </c>
      <c r="C6" s="269"/>
      <c r="D6" s="303" t="s">
        <v>9068</v>
      </c>
      <c r="E6" s="303"/>
      <c r="F6" s="303"/>
      <c r="G6" s="270"/>
    </row>
    <row r="7" spans="1:7" ht="24.95" customHeight="1" x14ac:dyDescent="0.25">
      <c r="A7" s="26" t="s">
        <v>36</v>
      </c>
      <c r="B7" s="9" t="str">
        <f>IF(AND(B4&lt;&gt;"",B6&lt;&gt;""),"Initiate "&amp;B5,"")</f>
        <v/>
      </c>
      <c r="C7" s="281"/>
      <c r="D7" s="307"/>
      <c r="E7" s="308"/>
      <c r="F7" s="309"/>
      <c r="G7" s="282"/>
    </row>
    <row r="8" spans="1:7" ht="20.100000000000001" customHeight="1" x14ac:dyDescent="0.25">
      <c r="A8" s="26" t="s">
        <v>37</v>
      </c>
      <c r="B8" s="9" t="str">
        <f>CONFIG_WORKFLOW_START</f>
        <v>TARGET___1</v>
      </c>
      <c r="C8" s="281"/>
      <c r="D8" s="282"/>
      <c r="E8" s="282"/>
      <c r="F8" s="282"/>
      <c r="G8" s="282"/>
    </row>
    <row r="9" spans="1:7" ht="20.100000000000001" customHeight="1" x14ac:dyDescent="0.25">
      <c r="A9" s="26" t="s">
        <v>8974</v>
      </c>
      <c r="B9" s="9" t="b">
        <f>B4&lt;&gt;""</f>
        <v>0</v>
      </c>
      <c r="C9" s="281"/>
      <c r="D9" s="303" t="str">
        <f>IF(B9,"Which type of "&amp;B3&amp;" request would you like to submit?","")</f>
        <v/>
      </c>
      <c r="E9" s="303"/>
      <c r="F9" s="303"/>
      <c r="G9" s="282"/>
    </row>
    <row r="10" spans="1:7" ht="24.95" customHeight="1" x14ac:dyDescent="0.25">
      <c r="A10" s="26" t="s">
        <v>8975</v>
      </c>
      <c r="B10" s="9" t="b">
        <f>AND(B9,B6&lt;&gt;"")</f>
        <v>0</v>
      </c>
      <c r="C10" s="281"/>
      <c r="D10" s="307"/>
      <c r="E10" s="308"/>
      <c r="F10" s="309"/>
      <c r="G10" s="282"/>
    </row>
    <row r="11" spans="1:7" ht="20.100000000000001" customHeight="1" x14ac:dyDescent="0.25">
      <c r="A11" s="26" t="s">
        <v>2160</v>
      </c>
      <c r="B11" s="9" t="str">
        <f>'$DB.CONFIG'!D37</f>
        <v>https://www.fhlbny.com/community/housing-programs/hdp-suite/#HDP</v>
      </c>
      <c r="C11" s="281"/>
      <c r="D11" s="282"/>
      <c r="E11" s="282"/>
      <c r="F11" s="282"/>
      <c r="G11" s="282"/>
    </row>
    <row r="12" spans="1:7" ht="20.100000000000001" customHeight="1" x14ac:dyDescent="0.25">
      <c r="A12" s="26" t="s">
        <v>2159</v>
      </c>
      <c r="B12" s="9" t="str">
        <f>'$DB.CONFIG'!D38</f>
        <v>FHLBNY Homebuyer Dream Program (HDP) Webpage</v>
      </c>
      <c r="C12" s="281"/>
      <c r="D12" s="310" t="str">
        <f>IF(B10=TRUE,HYPERLINK("#"&amp;$B$8,$B$7),"")</f>
        <v/>
      </c>
      <c r="E12" s="310"/>
      <c r="F12" s="310"/>
      <c r="G12" s="282"/>
    </row>
    <row r="13" spans="1:7" ht="20.100000000000001" customHeight="1" x14ac:dyDescent="0.25">
      <c r="A13" s="26" t="s">
        <v>2161</v>
      </c>
      <c r="B13" s="9" t="str">
        <f>'$DB.CONFIG'!D39</f>
        <v>https://www.fhlbny.com/community/housing-programs/hdp-suite/#HDP-Plus</v>
      </c>
      <c r="C13" s="281"/>
      <c r="D13" s="310"/>
      <c r="E13" s="310"/>
      <c r="F13" s="310"/>
      <c r="G13" s="282"/>
    </row>
    <row r="14" spans="1:7" ht="20.100000000000001" customHeight="1" x14ac:dyDescent="0.25">
      <c r="A14" s="26" t="s">
        <v>2162</v>
      </c>
      <c r="B14" s="9" t="str">
        <f>'$DB.CONFIG'!D40</f>
        <v>FHLBNY Homebuyer Dream Program Plus (HDP Plus) Webpage</v>
      </c>
      <c r="C14" s="281"/>
      <c r="D14" s="282"/>
      <c r="E14" s="282"/>
      <c r="F14" s="282"/>
      <c r="G14" s="282"/>
    </row>
    <row r="15" spans="1:7" ht="30.75" customHeight="1" x14ac:dyDescent="0.25">
      <c r="A15" s="26" t="s">
        <v>2163</v>
      </c>
      <c r="B15" s="9" t="str">
        <f>'$DB.CONFIG'!D41</f>
        <v>https://www.fhlbny.com/community/housing-programs/hdp-suite/#HDP-WB</v>
      </c>
      <c r="D15" s="306" t="s">
        <v>8976</v>
      </c>
      <c r="E15" s="306"/>
      <c r="F15" s="306"/>
    </row>
    <row r="16" spans="1:7" ht="30" customHeight="1" x14ac:dyDescent="0.25">
      <c r="A16" s="26" t="s">
        <v>2164</v>
      </c>
      <c r="B16" s="9" t="str">
        <f>'$DB.CONFIG'!D42</f>
        <v>FHLBNY Homebuyer Dream Program Wealth Builder (HDP Wealth Builder) Webpage</v>
      </c>
    </row>
    <row r="17" spans="1:7" ht="21.75" customHeight="1" x14ac:dyDescent="0.25">
      <c r="A17" s="26" t="s">
        <v>2165</v>
      </c>
      <c r="B17" s="9" t="str">
        <f>'$DB.CONFIG'!D43</f>
        <v/>
      </c>
      <c r="C17" s="304" t="s">
        <v>2329</v>
      </c>
      <c r="D17" s="305"/>
      <c r="E17" s="305"/>
      <c r="F17" s="305"/>
      <c r="G17" s="305"/>
    </row>
    <row r="18" spans="1:7" ht="21.95" customHeight="1" x14ac:dyDescent="0.25">
      <c r="A18" s="26" t="s">
        <v>2166</v>
      </c>
      <c r="B18" s="9" t="str">
        <f>'$DB.CONFIG'!D44</f>
        <v/>
      </c>
      <c r="C18" s="89">
        <f>IF(D18&lt;&gt;"",0,"")</f>
        <v>0</v>
      </c>
      <c r="D18" s="299" t="str">
        <f>IF(B11&lt;&gt;"",HYPERLINK(B11,IF(B12&lt;&gt;"",B12,B11)),"")</f>
        <v>FHLBNY Homebuyer Dream Program (HDP) Webpage</v>
      </c>
      <c r="E18" s="300"/>
      <c r="F18" s="300"/>
      <c r="G18" s="88"/>
    </row>
    <row r="19" spans="1:7" ht="21.95" customHeight="1" x14ac:dyDescent="0.25">
      <c r="A19" s="26" t="s">
        <v>2167</v>
      </c>
      <c r="B19" s="9" t="str">
        <f>'$DB.CONFIG'!D45</f>
        <v/>
      </c>
      <c r="C19" s="89">
        <f t="shared" ref="C19:C23" si="0">IF(D19&lt;&gt;"",0,"")</f>
        <v>0</v>
      </c>
      <c r="D19" s="299" t="str">
        <f>IF(B13&lt;&gt;"",HYPERLINK(B13,IF(B14&lt;&gt;"",B14,B13)),"")</f>
        <v>FHLBNY Homebuyer Dream Program Plus (HDP Plus) Webpage</v>
      </c>
      <c r="E19" s="300"/>
      <c r="F19" s="300"/>
      <c r="G19" s="88"/>
    </row>
    <row r="20" spans="1:7" ht="21.95" customHeight="1" x14ac:dyDescent="0.25">
      <c r="A20" s="26" t="s">
        <v>2168</v>
      </c>
      <c r="B20" s="9" t="str">
        <f>'$DB.CONFIG'!D46</f>
        <v/>
      </c>
      <c r="C20" s="89">
        <f t="shared" si="0"/>
        <v>0</v>
      </c>
      <c r="D20" s="299" t="str">
        <f>IF(B15&lt;&gt;"",HYPERLINK(B15,IF(B16&lt;&gt;"",B16,B15)),"")</f>
        <v>FHLBNY Homebuyer Dream Program Wealth Builder (HDP Wealth Builder) Webpage</v>
      </c>
      <c r="E20" s="300"/>
      <c r="F20" s="300"/>
      <c r="G20" s="88"/>
    </row>
    <row r="21" spans="1:7" ht="21.95" customHeight="1" x14ac:dyDescent="0.25">
      <c r="A21" s="26" t="s">
        <v>2169</v>
      </c>
      <c r="B21" s="9" t="str">
        <f>'$DB.CONFIG'!D47</f>
        <v/>
      </c>
      <c r="C21" s="89" t="str">
        <f t="shared" si="0"/>
        <v/>
      </c>
      <c r="D21" s="299" t="str">
        <f>IF(B17&lt;&gt;"",HYPERLINK(B17,IF(B18&lt;&gt;"",B18,B17)),"")</f>
        <v/>
      </c>
      <c r="E21" s="300"/>
      <c r="F21" s="300"/>
      <c r="G21" s="88"/>
    </row>
    <row r="22" spans="1:7" ht="21.95" customHeight="1" x14ac:dyDescent="0.25">
      <c r="A22" s="26" t="s">
        <v>2170</v>
      </c>
      <c r="B22" s="9" t="str">
        <f>'$DB.CONFIG'!D48</f>
        <v/>
      </c>
      <c r="C22" s="89" t="str">
        <f t="shared" si="0"/>
        <v/>
      </c>
      <c r="D22" s="299" t="str">
        <f>IF(B19&lt;&gt;"",HYPERLINK(B19,IF(B20&lt;&gt;"",B20,B19)),"")</f>
        <v/>
      </c>
      <c r="E22" s="300"/>
      <c r="F22" s="300"/>
      <c r="G22" s="88"/>
    </row>
    <row r="23" spans="1:7" ht="21.95" customHeight="1" x14ac:dyDescent="0.25">
      <c r="C23" s="89" t="str">
        <f t="shared" si="0"/>
        <v/>
      </c>
      <c r="D23" s="299" t="str">
        <f>IF(B21&lt;&gt;"",HYPERLINK(B21,IF(B22&lt;&gt;"",B22,B21)),"")</f>
        <v/>
      </c>
      <c r="E23" s="300"/>
      <c r="F23" s="300"/>
      <c r="G23" s="88"/>
    </row>
    <row r="24" spans="1:7" ht="21.95" customHeight="1" x14ac:dyDescent="0.25">
      <c r="C24" s="301" t="str">
        <f>CONFIG_EFORM_DOC_ID_NAME</f>
        <v>HDP-005: Homebuyer Dream Program® Request Form</v>
      </c>
      <c r="D24" s="302"/>
      <c r="E24" s="302"/>
      <c r="F24" s="302"/>
      <c r="G24" s="302"/>
    </row>
    <row r="25" spans="1:7" ht="21.95" hidden="1" customHeight="1" x14ac:dyDescent="0.25"/>
    <row r="26" spans="1:7" ht="21.95" hidden="1" customHeight="1" x14ac:dyDescent="0.25"/>
  </sheetData>
  <sheetProtection algorithmName="SHA-512" hashValue="iuVmcSeGy8bhSFnpbj707YYKGY0/349L/QCvtQ/VM/QiWxALyO1/d2hXqa9DirUxXK9SKRirW2kTnXFgoHP7QA==" saltValue="PPedjiPjCTZRarsy+Ut9sQ==" spinCount="100000" sheet="1" objects="1" scenarios="1"/>
  <mergeCells count="15">
    <mergeCell ref="D6:F6"/>
    <mergeCell ref="D7:F7"/>
    <mergeCell ref="D10:F10"/>
    <mergeCell ref="D12:F13"/>
    <mergeCell ref="C5:G5"/>
    <mergeCell ref="D18:F18"/>
    <mergeCell ref="C24:G24"/>
    <mergeCell ref="D9:F9"/>
    <mergeCell ref="C17:G17"/>
    <mergeCell ref="D19:F19"/>
    <mergeCell ref="D20:F20"/>
    <mergeCell ref="D21:F21"/>
    <mergeCell ref="D22:F22"/>
    <mergeCell ref="D23:F23"/>
    <mergeCell ref="D15:F15"/>
  </mergeCells>
  <conditionalFormatting sqref="C18:C23">
    <cfRule type="iconSet" priority="8">
      <iconSet iconSet="4RedToBlack" showValue="0">
        <cfvo type="percent" val="0"/>
        <cfvo type="num" val="0"/>
        <cfvo type="num" val="1"/>
        <cfvo type="num" val="2"/>
      </iconSet>
    </cfRule>
  </conditionalFormatting>
  <conditionalFormatting sqref="D10:F10">
    <cfRule type="expression" dxfId="171" priority="2">
      <formula>NOT($B$9)</formula>
    </cfRule>
  </conditionalFormatting>
  <conditionalFormatting sqref="D12:F15">
    <cfRule type="expression" dxfId="170" priority="1">
      <formula>NOT($B$10)</formula>
    </cfRule>
  </conditionalFormatting>
  <dataValidations count="2">
    <dataValidation type="list" allowBlank="1" showInputMessage="1" showErrorMessage="1" sqref="D7:F7" xr:uid="{3FCE0FBF-2D43-4E58-80B5-6AF5E58A431B}">
      <formula1>RANGE_LOOKUP_PROGRAM_NAME</formula1>
    </dataValidation>
    <dataValidation type="list" allowBlank="1" showInputMessage="1" showErrorMessage="1" sqref="D10:F10" xr:uid="{C7F5AD46-893F-4983-A34F-175BBDA071CF}">
      <formula1>IF($B$9,RANGE_LOOKUP_EFORM_TYPE_NAME,"")</formula1>
    </dataValidation>
  </dataValidations>
  <pageMargins left="0.7" right="0.7" top="0.75" bottom="0.75" header="0.3" footer="0.3"/>
  <pageSetup scale="70" orientation="portrait" r:id="rId1"/>
  <headerFooter>
    <oddFooter>&amp;L&amp;8AHP/APP-001: Affordable Housing Program Application</odd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6F95C-E498-4B52-948A-DB71E5E73DB4}">
  <sheetPr>
    <pageSetUpPr autoPageBreaks="0" fitToPage="1"/>
  </sheetPr>
  <dimension ref="A1:Y154"/>
  <sheetViews>
    <sheetView showGridLines="0" showRowColHeaders="0" topLeftCell="H1" zoomScaleNormal="100" zoomScaleSheetLayoutView="100" workbookViewId="0">
      <pane ySplit="4" topLeftCell="A5" activePane="bottomLeft" state="frozen"/>
      <selection activeCell="H5" sqref="H5"/>
      <selection pane="bottomLeft" activeCell="H5" sqref="H5"/>
    </sheetView>
  </sheetViews>
  <sheetFormatPr defaultColWidth="0" defaultRowHeight="15" customHeight="1" zeroHeight="1" x14ac:dyDescent="0.25"/>
  <cols>
    <col min="1" max="1" width="27.5703125" style="67" hidden="1" customWidth="1"/>
    <col min="2" max="7" width="15.7109375" style="67" hidden="1" customWidth="1"/>
    <col min="8" max="8" width="2.42578125" customWidth="1"/>
    <col min="9" max="9" width="10.7109375" customWidth="1"/>
    <col min="10" max="10" width="2.7109375" style="44" customWidth="1"/>
    <col min="11" max="11" width="10.7109375" customWidth="1"/>
    <col min="12" max="12" width="2.7109375" style="44" customWidth="1"/>
    <col min="13" max="13" width="10.7109375" customWidth="1"/>
    <col min="14" max="14" width="2.7109375" style="44" customWidth="1"/>
    <col min="15" max="15" width="10.7109375" customWidth="1"/>
    <col min="16" max="16" width="2.7109375" style="44" customWidth="1"/>
    <col min="17" max="17" width="10.7109375" customWidth="1"/>
    <col min="18" max="18" width="2.7109375" style="44" customWidth="1"/>
    <col min="19" max="19" width="10.7109375" customWidth="1"/>
    <col min="20" max="20" width="2.7109375" style="44" customWidth="1"/>
    <col min="21" max="21" width="10.7109375" customWidth="1"/>
    <col min="22" max="22" width="2.7109375" style="44" customWidth="1"/>
    <col min="23" max="23" width="10.7109375" customWidth="1"/>
    <col min="24" max="24" width="2.7109375" style="44" customWidth="1"/>
    <col min="25" max="25" width="2.42578125" customWidth="1"/>
    <col min="26" max="16384" width="9.140625" hidden="1"/>
  </cols>
  <sheetData>
    <row r="1" spans="1:25" ht="40.5" customHeight="1" thickBot="1" x14ac:dyDescent="0.3">
      <c r="A1" s="43" t="s">
        <v>179</v>
      </c>
      <c r="B1" s="43" t="s">
        <v>178</v>
      </c>
      <c r="C1" s="43" t="s">
        <v>175</v>
      </c>
      <c r="D1" s="43" t="s">
        <v>176</v>
      </c>
      <c r="E1" s="43" t="s">
        <v>173</v>
      </c>
      <c r="F1" s="43" t="s">
        <v>174</v>
      </c>
      <c r="G1" s="84" t="s">
        <v>177</v>
      </c>
      <c r="H1" s="82"/>
      <c r="I1" s="82"/>
      <c r="J1" s="83"/>
      <c r="K1" s="82"/>
      <c r="L1" s="83"/>
      <c r="M1" s="82"/>
      <c r="N1" s="83"/>
      <c r="O1" s="82"/>
      <c r="P1" s="83"/>
      <c r="Q1" s="82"/>
      <c r="R1" s="83"/>
      <c r="S1" s="82"/>
      <c r="T1" s="83"/>
      <c r="U1" s="82"/>
      <c r="V1" s="83"/>
      <c r="W1" s="82"/>
      <c r="X1" s="83"/>
      <c r="Y1" s="82"/>
    </row>
    <row r="2" spans="1:25" ht="3" customHeight="1" x14ac:dyDescent="0.25">
      <c r="A2" s="45"/>
      <c r="B2" s="45"/>
      <c r="C2" s="45"/>
      <c r="D2" s="45"/>
      <c r="E2" s="45"/>
      <c r="F2" s="45"/>
      <c r="G2" s="45"/>
      <c r="H2" s="46"/>
      <c r="I2" s="75"/>
      <c r="J2" s="75"/>
      <c r="K2" s="75"/>
      <c r="L2" s="75"/>
      <c r="M2" s="75"/>
      <c r="N2" s="75"/>
      <c r="O2" s="75"/>
      <c r="P2" s="76"/>
      <c r="Q2" s="76"/>
      <c r="R2" s="47"/>
      <c r="S2" s="48"/>
      <c r="T2" s="47"/>
      <c r="U2" s="47"/>
      <c r="V2" s="47"/>
      <c r="W2" s="47"/>
      <c r="X2" s="47"/>
      <c r="Y2" s="47"/>
    </row>
    <row r="3" spans="1:25" ht="15" customHeight="1" x14ac:dyDescent="0.25">
      <c r="A3" s="45"/>
      <c r="B3" s="45"/>
      <c r="C3" s="45"/>
      <c r="D3" s="45"/>
      <c r="E3" s="45"/>
      <c r="F3" s="45"/>
      <c r="G3" s="45"/>
      <c r="H3" s="49"/>
      <c r="I3" s="75" t="str">
        <f ca="1">(LEFT($B$8,40)&amp;IF(LEN($B$8)&gt;40,"…",""))</f>
        <v>Household Not Yet Specified</v>
      </c>
      <c r="J3" s="75"/>
      <c r="K3" s="75"/>
      <c r="L3" s="75"/>
      <c r="M3" s="75"/>
      <c r="N3" s="75"/>
      <c r="O3" s="75"/>
      <c r="P3" s="76"/>
      <c r="Q3" s="76"/>
      <c r="R3" s="76" t="s">
        <v>2140</v>
      </c>
      <c r="S3" s="133" t="str">
        <f>IF('$DB.DATA'!G11="ADL",VLOOKUP("APP_PROGRESS_PCT_COMPLETE",DB_TBL_DATA_FIELDS[[FIELD_ID]:[FIELD_VALUE_CLEAN]],10,FALSE),"N/A")</f>
        <v>N/A</v>
      </c>
      <c r="T3" s="117" t="str">
        <f ca="1">IF(DATA_APP_PROGRESS_ERROR_COUNT&gt;0,0,IF(DATA_EFORM_COMPLETE_FLAG,2,""))</f>
        <v/>
      </c>
      <c r="U3" s="49"/>
      <c r="V3" s="50"/>
      <c r="W3" s="49"/>
      <c r="X3" s="50"/>
      <c r="Y3" s="49"/>
    </row>
    <row r="4" spans="1:25" ht="3" customHeight="1" x14ac:dyDescent="0.25">
      <c r="A4" s="45"/>
      <c r="B4" s="45"/>
      <c r="C4" s="45"/>
      <c r="D4" s="45"/>
      <c r="E4" s="45"/>
      <c r="F4" s="45"/>
      <c r="G4" s="45"/>
      <c r="H4" s="34"/>
      <c r="I4" s="85"/>
      <c r="J4" s="85"/>
      <c r="K4" s="85"/>
      <c r="L4" s="85"/>
      <c r="M4" s="85"/>
      <c r="N4" s="85"/>
      <c r="O4" s="85"/>
      <c r="P4" s="86"/>
      <c r="Q4" s="86"/>
      <c r="R4" s="87"/>
      <c r="S4" s="34"/>
      <c r="T4" s="87"/>
      <c r="U4" s="34"/>
      <c r="V4" s="87"/>
      <c r="W4" s="34"/>
      <c r="X4" s="87"/>
      <c r="Y4" s="34"/>
    </row>
    <row r="5" spans="1:25" ht="3.95" customHeight="1" x14ac:dyDescent="0.25">
      <c r="A5" s="45"/>
      <c r="B5" s="45"/>
      <c r="C5" s="45"/>
      <c r="D5" s="45"/>
      <c r="E5" s="45"/>
      <c r="F5" s="45"/>
      <c r="G5" s="45"/>
      <c r="H5" s="39"/>
      <c r="I5" s="79"/>
      <c r="J5" s="79"/>
      <c r="K5" s="79"/>
      <c r="L5" s="79"/>
      <c r="M5" s="79"/>
      <c r="N5" s="79"/>
      <c r="O5" s="79"/>
      <c r="P5" s="80"/>
      <c r="Q5" s="80"/>
    </row>
    <row r="6" spans="1:25" ht="18" customHeight="1" x14ac:dyDescent="0.25">
      <c r="A6" s="51" t="s">
        <v>32</v>
      </c>
      <c r="B6" s="94" t="str">
        <f>LOOKUP_PROGRAM_NAME_HDPWB&amp;" - "&amp;CONFIG_ENROLL_PERD_DESC</f>
        <v>Homebuyer Dream Program Wealth Builder - 2026 Round</v>
      </c>
      <c r="C6" s="51"/>
      <c r="D6" s="51"/>
      <c r="E6" s="51"/>
      <c r="F6" s="51"/>
      <c r="G6" s="51"/>
      <c r="H6" s="59" t="str">
        <f>B11</f>
        <v/>
      </c>
      <c r="I6" s="381" t="str">
        <f>B12</f>
        <v/>
      </c>
      <c r="J6" s="381"/>
      <c r="K6" s="381"/>
      <c r="L6" s="381"/>
      <c r="M6" s="381"/>
      <c r="N6" s="381"/>
      <c r="O6" s="381"/>
      <c r="P6" s="381"/>
      <c r="Q6" s="381"/>
      <c r="R6" s="381"/>
      <c r="S6" s="381"/>
      <c r="T6" s="381"/>
      <c r="U6" s="381"/>
      <c r="V6" s="381"/>
      <c r="W6" s="381"/>
      <c r="X6" s="381"/>
      <c r="Y6" s="381"/>
    </row>
    <row r="7" spans="1:25" ht="3.95" customHeight="1" x14ac:dyDescent="0.25">
      <c r="A7" s="51" t="s">
        <v>2207</v>
      </c>
      <c r="B7" s="94" t="str">
        <f>VLOOKUP(A7,DB_TBL_CONFIG_APP[#All],4,FALSE)</f>
        <v xml:space="preserve">Other Documentation Request </v>
      </c>
      <c r="C7" s="51"/>
      <c r="D7" s="51"/>
      <c r="E7" s="51"/>
      <c r="F7" s="51"/>
      <c r="G7" s="51"/>
      <c r="H7" s="59"/>
      <c r="I7" s="59"/>
      <c r="J7" s="59"/>
      <c r="K7" s="59"/>
      <c r="L7" s="59"/>
      <c r="M7" s="59"/>
      <c r="N7" s="59"/>
      <c r="O7" s="59"/>
      <c r="P7" s="59"/>
      <c r="Q7" s="59"/>
      <c r="R7" s="59"/>
      <c r="S7" s="59"/>
      <c r="T7" s="59"/>
      <c r="U7" s="59"/>
      <c r="V7" s="59"/>
      <c r="W7" s="59"/>
      <c r="X7" s="59"/>
      <c r="Y7" s="59"/>
    </row>
    <row r="8" spans="1:25" s="36" customFormat="1" ht="21.95" customHeight="1" thickBot="1" x14ac:dyDescent="0.25">
      <c r="A8" s="51" t="s">
        <v>2351</v>
      </c>
      <c r="B8" s="94" t="str">
        <f ca="1">IF(DATA_HSEHLD_BANNER="","Household Not Yet Specified",DATA_HSEHLD_BANNER)</f>
        <v>Household Not Yet Specified</v>
      </c>
      <c r="C8" s="54"/>
      <c r="D8" s="54"/>
      <c r="E8" s="51"/>
      <c r="F8" s="51"/>
      <c r="G8" s="51"/>
      <c r="H8" s="59"/>
      <c r="I8" s="114" t="s">
        <v>2354</v>
      </c>
      <c r="J8" s="115"/>
      <c r="K8" s="115"/>
      <c r="L8" s="115"/>
      <c r="M8" s="115"/>
      <c r="N8" s="115"/>
      <c r="O8" s="115"/>
      <c r="P8" s="115"/>
      <c r="Q8" s="115"/>
      <c r="R8" s="115"/>
      <c r="S8" s="115"/>
      <c r="T8" s="115"/>
      <c r="U8" s="115"/>
      <c r="V8" s="115"/>
      <c r="W8" s="115"/>
      <c r="X8" s="115"/>
      <c r="Y8" s="59"/>
    </row>
    <row r="9" spans="1:25" s="36" customFormat="1" ht="113.45" customHeight="1" x14ac:dyDescent="0.25">
      <c r="A9" s="54" t="s">
        <v>2154</v>
      </c>
      <c r="B9" s="65">
        <f>SUM(B28,B54)</f>
        <v>0</v>
      </c>
      <c r="C9" s="54"/>
      <c r="D9" s="54"/>
      <c r="E9" s="54"/>
      <c r="F9" s="54"/>
      <c r="G9" s="54"/>
      <c r="H9" s="59"/>
      <c r="I9" s="387" t="s">
        <v>9342</v>
      </c>
      <c r="J9" s="387"/>
      <c r="K9" s="387"/>
      <c r="L9" s="387"/>
      <c r="M9" s="387"/>
      <c r="N9" s="387"/>
      <c r="O9" s="387"/>
      <c r="P9" s="387"/>
      <c r="Q9" s="387"/>
      <c r="R9" s="387"/>
      <c r="S9" s="387"/>
      <c r="T9" s="387"/>
      <c r="U9" s="387"/>
      <c r="V9" s="387"/>
      <c r="W9" s="387"/>
      <c r="X9" s="387"/>
      <c r="Y9" s="59"/>
    </row>
    <row r="10" spans="1:25" s="36" customFormat="1" ht="9.9499999999999993" customHeight="1" x14ac:dyDescent="0.25">
      <c r="A10" s="54" t="s">
        <v>2155</v>
      </c>
      <c r="B10" s="65" t="b">
        <f>B9&gt;0</f>
        <v>0</v>
      </c>
      <c r="C10" s="54"/>
      <c r="D10" s="54"/>
      <c r="E10" s="54"/>
      <c r="F10" s="54"/>
      <c r="G10" s="54"/>
      <c r="H10" s="59"/>
      <c r="I10" s="59"/>
      <c r="J10" s="59"/>
      <c r="K10" s="59"/>
      <c r="L10" s="59"/>
      <c r="M10" s="59"/>
      <c r="N10" s="59"/>
      <c r="O10" s="59"/>
      <c r="P10" s="59"/>
      <c r="Q10" s="59"/>
      <c r="R10" s="59"/>
      <c r="S10" s="59"/>
      <c r="T10" s="59"/>
      <c r="U10" s="59"/>
      <c r="V10" s="59"/>
      <c r="W10" s="59"/>
      <c r="X10" s="59"/>
      <c r="Y10" s="59"/>
    </row>
    <row r="11" spans="1:25" s="36" customFormat="1" ht="21.95" customHeight="1" thickBot="1" x14ac:dyDescent="0.3">
      <c r="A11" s="54" t="s">
        <v>2156</v>
      </c>
      <c r="B11" s="65" t="str">
        <f>IF(B10,1,"")</f>
        <v/>
      </c>
      <c r="C11" s="54"/>
      <c r="D11" s="54"/>
      <c r="E11" s="54"/>
      <c r="F11" s="54"/>
      <c r="G11" s="54"/>
      <c r="H11" s="59"/>
      <c r="I11" s="114" t="s">
        <v>2879</v>
      </c>
      <c r="J11" s="115"/>
      <c r="K11" s="115"/>
      <c r="L11" s="115"/>
      <c r="M11" s="115"/>
      <c r="N11" s="115"/>
      <c r="O11" s="115"/>
      <c r="P11" s="115"/>
      <c r="Q11" s="115"/>
      <c r="R11" s="115"/>
      <c r="S11" s="115"/>
      <c r="T11" s="115"/>
      <c r="U11" s="115"/>
      <c r="V11" s="115"/>
      <c r="W11" s="115"/>
      <c r="X11" s="115"/>
      <c r="Y11" s="59"/>
    </row>
    <row r="12" spans="1:25" s="36" customFormat="1" ht="6.75" customHeight="1" x14ac:dyDescent="0.2">
      <c r="A12" s="54" t="s">
        <v>2157</v>
      </c>
      <c r="B12" s="94" t="str">
        <f>IF(B10,B9&amp;" "&amp;'$DB.CONFIG'!$M$5,"")</f>
        <v/>
      </c>
      <c r="C12" s="54"/>
      <c r="D12" s="54"/>
      <c r="E12" s="54"/>
      <c r="F12" s="54"/>
      <c r="G12" s="54"/>
      <c r="H12" s="59"/>
      <c r="I12" s="60"/>
      <c r="J12" s="59"/>
      <c r="K12" s="59"/>
      <c r="L12" s="59"/>
      <c r="M12" s="59"/>
      <c r="N12" s="59"/>
      <c r="O12" s="59"/>
      <c r="P12" s="59"/>
      <c r="Q12" s="59"/>
      <c r="R12" s="59"/>
      <c r="S12" s="59"/>
      <c r="T12" s="59"/>
      <c r="U12" s="59"/>
      <c r="V12" s="59"/>
      <c r="W12" s="59"/>
      <c r="X12" s="59"/>
      <c r="Y12" s="59"/>
    </row>
    <row r="13" spans="1:25" s="36" customFormat="1" ht="21.95" customHeight="1" x14ac:dyDescent="0.25">
      <c r="A13" s="54"/>
      <c r="B13" s="54"/>
      <c r="C13" s="54"/>
      <c r="D13" s="54"/>
      <c r="E13" s="54"/>
      <c r="F13" s="54"/>
      <c r="G13" s="54"/>
      <c r="H13"/>
      <c r="I13" s="53" t="s">
        <v>25</v>
      </c>
      <c r="J13" s="78">
        <f>1</f>
        <v>1</v>
      </c>
      <c r="K13" s="74"/>
      <c r="L13" s="74"/>
      <c r="M13" s="53" t="s">
        <v>2186</v>
      </c>
      <c r="N13" s="78">
        <f>2</f>
        <v>2</v>
      </c>
      <c r="Q13" s="53" t="s">
        <v>2187</v>
      </c>
      <c r="R13" s="78">
        <f>0</f>
        <v>0</v>
      </c>
      <c r="U13" s="384" t="s">
        <v>2188</v>
      </c>
      <c r="V13" s="385"/>
      <c r="W13" s="385"/>
      <c r="X13" s="386"/>
      <c r="Y13"/>
    </row>
    <row r="14" spans="1:25" s="36" customFormat="1" ht="21.95" customHeight="1" x14ac:dyDescent="0.25">
      <c r="A14" s="54"/>
      <c r="B14" s="54"/>
      <c r="C14" s="54"/>
      <c r="D14" s="54"/>
      <c r="E14" s="54"/>
      <c r="F14" s="54"/>
      <c r="G14" s="54"/>
      <c r="H14"/>
      <c r="I14"/>
      <c r="J14" s="44"/>
      <c r="K14"/>
      <c r="L14" s="44"/>
      <c r="M14"/>
      <c r="N14" s="44"/>
      <c r="O14"/>
      <c r="P14" s="44"/>
      <c r="Q14"/>
      <c r="R14" s="44"/>
      <c r="S14"/>
      <c r="T14" s="44"/>
      <c r="U14"/>
      <c r="V14" s="44"/>
      <c r="W14"/>
      <c r="X14" s="44"/>
      <c r="Y14"/>
    </row>
    <row r="15" spans="1:25" s="36" customFormat="1" ht="21.95" customHeight="1" thickBot="1" x14ac:dyDescent="0.3">
      <c r="A15" s="54"/>
      <c r="B15" s="54"/>
      <c r="C15" s="54"/>
      <c r="D15" s="54"/>
      <c r="E15" s="54"/>
      <c r="F15" s="54"/>
      <c r="G15" s="54"/>
      <c r="I15" s="55" t="s">
        <v>186</v>
      </c>
      <c r="J15" s="55"/>
      <c r="K15" s="55"/>
      <c r="L15" s="55"/>
      <c r="M15" s="55"/>
      <c r="N15" s="55"/>
      <c r="O15" s="55"/>
      <c r="P15" s="55"/>
      <c r="Q15" s="55"/>
      <c r="R15" s="55"/>
      <c r="S15" s="55"/>
      <c r="T15" s="55"/>
      <c r="U15" s="55"/>
      <c r="V15" s="55"/>
      <c r="W15" s="55"/>
      <c r="X15" s="56"/>
    </row>
    <row r="16" spans="1:25" s="36" customFormat="1" ht="21.95" customHeight="1" x14ac:dyDescent="0.25">
      <c r="A16" s="54"/>
      <c r="B16" s="54"/>
      <c r="C16" s="54"/>
      <c r="D16" s="54"/>
      <c r="E16" s="54"/>
      <c r="F16" s="54"/>
      <c r="G16" s="54"/>
      <c r="H16" s="57"/>
      <c r="I16" s="37"/>
      <c r="J16" s="37"/>
      <c r="K16" s="37"/>
      <c r="L16" s="37"/>
      <c r="M16" s="37"/>
      <c r="N16" s="37"/>
      <c r="O16" s="58"/>
      <c r="P16" s="58"/>
      <c r="Q16" s="37"/>
      <c r="R16" s="37"/>
      <c r="S16" s="37"/>
      <c r="T16" s="37"/>
      <c r="U16" s="37"/>
      <c r="V16" s="37"/>
      <c r="W16" s="37"/>
      <c r="X16" s="37"/>
    </row>
    <row r="17" spans="1:25" s="36" customFormat="1" ht="21.95" customHeight="1" x14ac:dyDescent="0.25">
      <c r="A17" s="54"/>
      <c r="B17" s="54"/>
      <c r="C17" s="54"/>
      <c r="D17" s="54"/>
      <c r="E17" s="54"/>
      <c r="F17" s="54"/>
      <c r="G17" s="54"/>
      <c r="I17" s="382" t="str">
        <f>"1     "&amp;VLOOKUP("SECTION_1_TOC_LABEL",A:B,2,FALSE)</f>
        <v>1     FHLBNY Member</v>
      </c>
      <c r="J17" s="382"/>
      <c r="K17" s="382"/>
      <c r="L17" s="382"/>
      <c r="M17" s="382"/>
      <c r="N17" s="59" t="str">
        <f>IF($B$29,1,"")</f>
        <v/>
      </c>
      <c r="O17" s="73" t="str">
        <f ca="1">$B$25</f>
        <v>Not Started</v>
      </c>
      <c r="P17" s="59" t="str">
        <f ca="1">B26</f>
        <v/>
      </c>
      <c r="Q17" s="383" t="str">
        <f>"3     "&amp;VLOOKUP("SECTION_3_TOC_LABEL",$A:$B,2,FALSE)</f>
        <v>3     Member Certification</v>
      </c>
      <c r="R17" s="383"/>
      <c r="S17" s="383"/>
      <c r="T17" s="383"/>
      <c r="U17" s="383"/>
      <c r="V17" s="59" t="str">
        <f>IF($B$71,1,"")</f>
        <v/>
      </c>
      <c r="W17" s="73" t="str">
        <f ca="1">$B$67</f>
        <v>Not Started</v>
      </c>
      <c r="X17" s="59" t="str">
        <f ca="1">$B$68</f>
        <v/>
      </c>
    </row>
    <row r="18" spans="1:25" s="36" customFormat="1" ht="21.95" customHeight="1" x14ac:dyDescent="0.25">
      <c r="A18" s="91" t="s">
        <v>118</v>
      </c>
      <c r="B18" s="222" t="s">
        <v>2832</v>
      </c>
      <c r="C18" s="92"/>
      <c r="D18" s="92"/>
      <c r="E18" s="92"/>
      <c r="F18" s="92"/>
      <c r="G18" s="92"/>
      <c r="I18" s="382" t="str">
        <f>"2     "&amp;VLOOKUP("SECTION_2_TOC_LABEL",$A:$B,2,FALSE)</f>
        <v>2     Household &amp; Submission Details</v>
      </c>
      <c r="J18" s="382"/>
      <c r="K18" s="382"/>
      <c r="L18" s="382"/>
      <c r="M18" s="382"/>
      <c r="N18" s="59" t="str">
        <f>IF($B$55,1,"")</f>
        <v/>
      </c>
      <c r="O18" s="73" t="str">
        <f ca="1">$B$51</f>
        <v>Not Started</v>
      </c>
      <c r="P18" s="59" t="str">
        <f ca="1">$B$52</f>
        <v/>
      </c>
      <c r="Q18" s="229"/>
      <c r="R18" s="229"/>
      <c r="S18" s="229"/>
      <c r="T18" s="229"/>
      <c r="U18" s="229"/>
      <c r="V18" s="59"/>
      <c r="W18" s="73"/>
      <c r="X18" s="59" t="s">
        <v>53</v>
      </c>
    </row>
    <row r="19" spans="1:25" s="36" customFormat="1" ht="21.95" customHeight="1" x14ac:dyDescent="0.25">
      <c r="A19" s="61" t="s">
        <v>2221</v>
      </c>
      <c r="B19" s="95" t="str">
        <f>IF(I23="","",I23)</f>
        <v/>
      </c>
      <c r="C19" s="54">
        <f ca="1">VLOOKUP(A19,DB_TBL_DATA_FIELDS[[FIELD_ID]:[PCT_CALC_FIELD_STATUS_CODE]],22,FALSE)</f>
        <v>1</v>
      </c>
      <c r="D19" s="54" t="str">
        <f>IF(VLOOKUP(A19,DB_TBL_DATA_FIELDS[[FIELD_ID]:[ERROR_MESSAGE]],23,FALSE)&lt;&gt;0,VLOOKUP(A19,DB_TBL_DATA_FIELDS[[FIELD_ID]:[ERROR_MESSAGE]],23,FALSE),"")</f>
        <v/>
      </c>
      <c r="E19" s="54">
        <f>VLOOKUP(A19,DB_TBL_DATA_FIELDS[[#All],[FIELD_ID]:[RANGE_VALIDATION_MAX]],18,FALSE)</f>
        <v>0</v>
      </c>
      <c r="F19" s="54">
        <f>VLOOKUP(A19,DB_TBL_DATA_FIELDS[[#All],[FIELD_ID]:[RANGE_VALIDATION_MAX]],19,FALSE)</f>
        <v>100</v>
      </c>
      <c r="G19" s="54">
        <f ca="1">IF(C19&lt;0,"",C19)</f>
        <v>1</v>
      </c>
      <c r="J19" s="44"/>
      <c r="L19" s="44"/>
      <c r="N19" s="44"/>
      <c r="P19" s="44"/>
      <c r="R19" s="44"/>
      <c r="T19" s="44"/>
      <c r="V19" s="44"/>
      <c r="X19" s="44"/>
    </row>
    <row r="20" spans="1:25" s="36" customFormat="1" ht="21.95" customHeight="1" thickBot="1" x14ac:dyDescent="0.3">
      <c r="A20" s="61" t="s">
        <v>117</v>
      </c>
      <c r="B20" s="65" t="str">
        <f>"C"&amp;MATCH(LEFT(A20,LEN(A20)-LEN("_RANGE")),A:A,0)+1&amp;":C"&amp;(ROW()-1)</f>
        <v>C19:C19</v>
      </c>
      <c r="C20" s="54"/>
      <c r="D20" s="54"/>
      <c r="E20" s="54"/>
      <c r="F20" s="54"/>
      <c r="G20" s="54"/>
      <c r="H20" s="37"/>
      <c r="I20" s="55" t="str">
        <f>B18</f>
        <v>Federal Home Loan Bank of New York Member</v>
      </c>
      <c r="J20" s="55"/>
      <c r="K20" s="55"/>
      <c r="L20" s="55"/>
      <c r="M20" s="55"/>
      <c r="N20" s="55"/>
      <c r="O20" s="55"/>
      <c r="P20" s="55"/>
      <c r="Q20" s="55"/>
      <c r="R20" s="55"/>
      <c r="S20" s="55"/>
      <c r="T20" s="55"/>
      <c r="U20" s="55"/>
      <c r="V20" s="55"/>
      <c r="W20" s="55"/>
      <c r="X20" s="56" t="str">
        <f ca="1">"Status: "&amp;$B$25</f>
        <v>Status: Not Started</v>
      </c>
      <c r="Y20" s="37"/>
    </row>
    <row r="21" spans="1:25" s="36" customFormat="1" ht="21.95" customHeight="1" x14ac:dyDescent="0.25">
      <c r="A21" s="61" t="s">
        <v>111</v>
      </c>
      <c r="B21" s="65">
        <f ca="1">COUNTIF(INDIRECT($B20),2)</f>
        <v>0</v>
      </c>
      <c r="C21" s="54"/>
      <c r="D21" s="54"/>
      <c r="E21" s="54"/>
      <c r="F21" s="54"/>
      <c r="G21" s="54"/>
      <c r="H21" s="37"/>
      <c r="I21" s="37"/>
      <c r="J21" s="37"/>
      <c r="K21" s="37"/>
      <c r="L21" s="37"/>
      <c r="M21" s="37"/>
      <c r="N21" s="37"/>
      <c r="O21" s="37"/>
      <c r="P21" s="37"/>
      <c r="Q21" s="37"/>
      <c r="R21" s="37"/>
      <c r="S21" s="37"/>
      <c r="T21" s="37"/>
      <c r="U21" s="37"/>
      <c r="V21" s="37"/>
      <c r="W21" s="37"/>
      <c r="X21" s="37"/>
      <c r="Y21" s="37"/>
    </row>
    <row r="22" spans="1:25" s="36" customFormat="1" ht="21.95" customHeight="1" x14ac:dyDescent="0.25">
      <c r="A22" s="61" t="s">
        <v>112</v>
      </c>
      <c r="B22" s="65">
        <f ca="1">COUNTIF(INDIRECT($B20),0)+COUNTIF(INDIRECT($B20),1)+COUNTIF(INDIRECT($B20),2)</f>
        <v>1</v>
      </c>
      <c r="C22" s="54"/>
      <c r="D22" s="54"/>
      <c r="E22" s="54"/>
      <c r="F22" s="54"/>
      <c r="G22" s="54"/>
      <c r="I22" s="36" t="s">
        <v>129</v>
      </c>
      <c r="J22" s="44"/>
      <c r="L22" s="44"/>
      <c r="N22" s="44"/>
      <c r="P22" s="44"/>
      <c r="R22" s="44"/>
      <c r="T22" s="44"/>
      <c r="U22" s="154"/>
      <c r="V22" s="154"/>
      <c r="W22" s="154"/>
      <c r="X22" s="154"/>
    </row>
    <row r="23" spans="1:25" s="36" customFormat="1" ht="21.95" customHeight="1" x14ac:dyDescent="0.25">
      <c r="A23" s="61" t="s">
        <v>113</v>
      </c>
      <c r="B23" s="65">
        <f ca="1">COUNTIF(INDIRECT($B20),0)</f>
        <v>0</v>
      </c>
      <c r="C23" s="54"/>
      <c r="D23" s="54"/>
      <c r="E23" s="54"/>
      <c r="F23" s="54"/>
      <c r="G23" s="54"/>
      <c r="I23" s="316"/>
      <c r="J23" s="317"/>
      <c r="K23" s="317"/>
      <c r="L23" s="317"/>
      <c r="M23" s="317"/>
      <c r="N23" s="317"/>
      <c r="O23" s="317"/>
      <c r="P23" s="317"/>
      <c r="Q23" s="317"/>
      <c r="R23" s="317"/>
      <c r="S23" s="317"/>
      <c r="T23" s="317"/>
      <c r="U23" s="317"/>
      <c r="V23" s="317"/>
      <c r="W23" s="318"/>
      <c r="X23" s="52">
        <f ca="1">$G19</f>
        <v>1</v>
      </c>
    </row>
    <row r="24" spans="1:25" s="36" customFormat="1" ht="21.95" customHeight="1" x14ac:dyDescent="0.25">
      <c r="A24" s="61" t="s">
        <v>114</v>
      </c>
      <c r="B24" s="97">
        <f ca="1">IFERROR(B21/B22,1.01)</f>
        <v>0</v>
      </c>
      <c r="C24" s="54"/>
      <c r="D24" s="54"/>
      <c r="E24" s="54"/>
      <c r="F24" s="54"/>
      <c r="G24" s="54"/>
      <c r="N24" s="52"/>
      <c r="X24" s="52"/>
    </row>
    <row r="25" spans="1:25" s="36" customFormat="1" ht="21.95" customHeight="1" thickBot="1" x14ac:dyDescent="0.3">
      <c r="A25" s="61" t="s">
        <v>115</v>
      </c>
      <c r="B25" s="65" t="str">
        <f ca="1">IF(B23&gt;0,"Data Error(s)",IF(B24=0,"Not Started",IF(B24&lt;1,ROUNDUP(B24*100,0)&amp;"% Done",IF(B24&gt;1,"Optional","Complete"))))</f>
        <v>Not Started</v>
      </c>
      <c r="C25" s="54"/>
      <c r="D25" s="54"/>
      <c r="E25" s="54"/>
      <c r="F25" s="54"/>
      <c r="G25" s="54"/>
      <c r="I25" s="55" t="str">
        <f>B30</f>
        <v>Household &amp; Submission Details</v>
      </c>
      <c r="J25" s="55"/>
      <c r="K25" s="55"/>
      <c r="L25" s="55"/>
      <c r="M25" s="55"/>
      <c r="N25" s="55"/>
      <c r="O25" s="55"/>
      <c r="P25" s="55"/>
      <c r="Q25" s="55"/>
      <c r="R25" s="55"/>
      <c r="S25" s="55"/>
      <c r="T25" s="55"/>
      <c r="U25" s="55"/>
      <c r="V25" s="55"/>
      <c r="W25" s="55"/>
      <c r="X25" s="56" t="str">
        <f ca="1">"Status: "&amp;$B$51</f>
        <v>Status: Not Started</v>
      </c>
    </row>
    <row r="26" spans="1:25" s="36" customFormat="1" ht="21.95" customHeight="1" x14ac:dyDescent="0.25">
      <c r="A26" s="61" t="s">
        <v>116</v>
      </c>
      <c r="B26" s="65" t="str">
        <f ca="1">IF(B23&gt;0,0,IF(B24&lt;1,"",2))</f>
        <v/>
      </c>
      <c r="C26" s="54"/>
      <c r="D26" s="54"/>
      <c r="E26" s="54"/>
      <c r="F26" s="54"/>
      <c r="G26" s="54"/>
      <c r="J26" s="44"/>
      <c r="L26" s="44"/>
      <c r="N26" s="44"/>
      <c r="P26" s="44"/>
      <c r="R26" s="44"/>
      <c r="T26" s="44"/>
      <c r="V26" s="44"/>
      <c r="X26" s="44"/>
    </row>
    <row r="27" spans="1:25" s="36" customFormat="1" ht="21.95" customHeight="1" x14ac:dyDescent="0.25">
      <c r="A27" s="61" t="s">
        <v>119</v>
      </c>
      <c r="B27" s="96" t="s">
        <v>2833</v>
      </c>
      <c r="C27" s="54"/>
      <c r="D27" s="54"/>
      <c r="E27" s="54"/>
      <c r="F27" s="54"/>
      <c r="G27" s="54"/>
      <c r="I27" s="36" t="s">
        <v>2494</v>
      </c>
      <c r="J27" s="44"/>
      <c r="L27" s="44"/>
      <c r="M27" s="36" t="s">
        <v>2495</v>
      </c>
      <c r="N27" s="44"/>
      <c r="P27" s="44"/>
      <c r="S27" s="36" t="s">
        <v>2496</v>
      </c>
      <c r="T27" s="44"/>
      <c r="V27" s="44"/>
      <c r="X27" s="44"/>
    </row>
    <row r="28" spans="1:25" s="36" customFormat="1" ht="21.95" customHeight="1" x14ac:dyDescent="0.25">
      <c r="A28" s="77" t="s">
        <v>2144</v>
      </c>
      <c r="B28" s="65">
        <v>0</v>
      </c>
      <c r="C28" s="54"/>
      <c r="D28" s="54"/>
      <c r="E28" s="54"/>
      <c r="F28" s="54"/>
      <c r="G28" s="54"/>
      <c r="I28" s="316"/>
      <c r="J28" s="317"/>
      <c r="K28" s="318"/>
      <c r="L28" s="52">
        <f ca="1">G35</f>
        <v>1</v>
      </c>
      <c r="M28" s="316"/>
      <c r="N28" s="317"/>
      <c r="O28" s="317"/>
      <c r="P28" s="317"/>
      <c r="Q28" s="318"/>
      <c r="R28" s="52">
        <f ca="1">G31</f>
        <v>1</v>
      </c>
      <c r="S28" s="316"/>
      <c r="T28" s="317"/>
      <c r="U28" s="317"/>
      <c r="V28" s="317"/>
      <c r="W28" s="318"/>
      <c r="X28" s="52">
        <f ca="1">G32</f>
        <v>1</v>
      </c>
    </row>
    <row r="29" spans="1:25" s="36" customFormat="1" ht="21.95" customHeight="1" x14ac:dyDescent="0.25">
      <c r="A29" s="77" t="s">
        <v>2145</v>
      </c>
      <c r="B29" s="65" t="b">
        <f>(B28&gt;0)</f>
        <v>0</v>
      </c>
      <c r="C29" s="54"/>
      <c r="D29" s="54"/>
      <c r="E29" s="54"/>
      <c r="F29" s="54"/>
      <c r="G29" s="54"/>
      <c r="I29" s="36" t="s">
        <v>2497</v>
      </c>
      <c r="J29" s="44"/>
      <c r="L29" s="44"/>
      <c r="N29" s="44"/>
      <c r="P29" s="44"/>
      <c r="R29" s="44"/>
      <c r="W29" s="155" t="str">
        <f>SUBSTITUTE(SUBSTITUTE(SUBSTITUTE(IF(LEN(B34)&gt;F34,CONFIG_CHAR_LIMIT_TEMPLATE_ERR,CONFIG_CHAR_LIMIT_TEMPLATE),"[diff]",ABS(LEN(B34)-F34)),"[limit]",F34),"[used]",LEN(B34))</f>
        <v>400 character(s) remaining</v>
      </c>
      <c r="X29" s="44"/>
    </row>
    <row r="30" spans="1:25" s="36" customFormat="1" ht="21.95" customHeight="1" x14ac:dyDescent="0.25">
      <c r="A30" s="91" t="s">
        <v>120</v>
      </c>
      <c r="B30" s="93" t="s">
        <v>2493</v>
      </c>
      <c r="C30" s="92"/>
      <c r="D30" s="92"/>
      <c r="E30" s="92"/>
      <c r="F30" s="92"/>
      <c r="G30" s="92"/>
      <c r="I30" s="389"/>
      <c r="J30" s="390"/>
      <c r="K30" s="390"/>
      <c r="L30" s="390"/>
      <c r="M30" s="390"/>
      <c r="N30" s="390"/>
      <c r="O30" s="390"/>
      <c r="P30" s="390"/>
      <c r="Q30" s="390"/>
      <c r="R30" s="390"/>
      <c r="S30" s="390"/>
      <c r="T30" s="390"/>
      <c r="U30" s="390"/>
      <c r="V30" s="390"/>
      <c r="W30" s="391"/>
      <c r="X30" s="52">
        <f ca="1">G34</f>
        <v>1</v>
      </c>
    </row>
    <row r="31" spans="1:25" s="36" customFormat="1" ht="21.95" customHeight="1" x14ac:dyDescent="0.25">
      <c r="A31" s="61" t="s">
        <v>2238</v>
      </c>
      <c r="B31" s="95" t="str">
        <f>IF(M28&lt;&gt;"",M28,"")</f>
        <v/>
      </c>
      <c r="C31" s="54">
        <f ca="1">VLOOKUP(A31,DB_TBL_DATA_FIELDS[[FIELD_ID]:[PCT_CALC_FIELD_STATUS_CODE]],22,FALSE)</f>
        <v>1</v>
      </c>
      <c r="D31" s="54" t="str">
        <f>IF(VLOOKUP(A31,DB_TBL_DATA_FIELDS[[FIELD_ID]:[ERROR_MESSAGE]],23,FALSE)&lt;&gt;0,VLOOKUP(A31,DB_TBL_DATA_FIELDS[[FIELD_ID]:[ERROR_MESSAGE]],23,FALSE),"")</f>
        <v/>
      </c>
      <c r="E31" s="54">
        <f>VLOOKUP(A31,DB_TBL_DATA_FIELDS[[#All],[FIELD_ID]:[RANGE_VALIDATION_MAX]],18,FALSE)</f>
        <v>0</v>
      </c>
      <c r="F31" s="54">
        <f>VLOOKUP(A31,DB_TBL_DATA_FIELDS[[#All],[FIELD_ID]:[RANGE_VALIDATION_MAX]],19,FALSE)</f>
        <v>30</v>
      </c>
      <c r="G31" s="54">
        <f t="shared" ref="G31:G45" ca="1" si="0">IF(C31&lt;0,"",C31)</f>
        <v>1</v>
      </c>
      <c r="I31" s="392"/>
      <c r="J31" s="393"/>
      <c r="K31" s="393"/>
      <c r="L31" s="393"/>
      <c r="M31" s="393"/>
      <c r="N31" s="393"/>
      <c r="O31" s="393"/>
      <c r="P31" s="393"/>
      <c r="Q31" s="393"/>
      <c r="R31" s="393"/>
      <c r="S31" s="393"/>
      <c r="T31" s="393"/>
      <c r="U31" s="393"/>
      <c r="V31" s="393"/>
      <c r="W31" s="394"/>
      <c r="X31" s="44"/>
    </row>
    <row r="32" spans="1:25" s="36" customFormat="1" ht="21.95" customHeight="1" x14ac:dyDescent="0.25">
      <c r="A32" s="61" t="s">
        <v>2239</v>
      </c>
      <c r="B32" s="95" t="str">
        <f>IF(S28&lt;&gt;"",S28,"")</f>
        <v/>
      </c>
      <c r="C32" s="54">
        <f ca="1">VLOOKUP(A32,DB_TBL_DATA_FIELDS[[FIELD_ID]:[PCT_CALC_FIELD_STATUS_CODE]],22,FALSE)</f>
        <v>1</v>
      </c>
      <c r="D32" s="54" t="str">
        <f>IF(VLOOKUP(A32,DB_TBL_DATA_FIELDS[[FIELD_ID]:[ERROR_MESSAGE]],23,FALSE)&lt;&gt;0,VLOOKUP(A32,DB_TBL_DATA_FIELDS[[FIELD_ID]:[ERROR_MESSAGE]],23,FALSE),"")</f>
        <v/>
      </c>
      <c r="E32" s="54">
        <f>VLOOKUP(A32,DB_TBL_DATA_FIELDS[[#All],[FIELD_ID]:[RANGE_VALIDATION_MAX]],18,FALSE)</f>
        <v>0</v>
      </c>
      <c r="F32" s="54">
        <f>VLOOKUP(A32,DB_TBL_DATA_FIELDS[[#All],[FIELD_ID]:[RANGE_VALIDATION_MAX]],19,FALSE)</f>
        <v>30</v>
      </c>
      <c r="G32" s="54">
        <f t="shared" ca="1" si="0"/>
        <v>1</v>
      </c>
      <c r="I32" s="392"/>
      <c r="J32" s="393"/>
      <c r="K32" s="393"/>
      <c r="L32" s="393"/>
      <c r="M32" s="393"/>
      <c r="N32" s="393"/>
      <c r="O32" s="393"/>
      <c r="P32" s="393"/>
      <c r="Q32" s="393"/>
      <c r="R32" s="393"/>
      <c r="S32" s="393"/>
      <c r="T32" s="393"/>
      <c r="U32" s="393"/>
      <c r="V32" s="393"/>
      <c r="W32" s="394"/>
      <c r="X32" s="44"/>
    </row>
    <row r="33" spans="1:25" s="36" customFormat="1" ht="21.95" customHeight="1" x14ac:dyDescent="0.25">
      <c r="A33" s="61" t="s">
        <v>2348</v>
      </c>
      <c r="B33" s="95" t="str">
        <f>IF(W38="","",IF(UPPER(W38)="YES",TRUE,FALSE))</f>
        <v/>
      </c>
      <c r="C33" s="54">
        <f ca="1">VLOOKUP(A33,DB_TBL_DATA_FIELDS[[FIELD_ID]:[PCT_CALC_FIELD_STATUS_CODE]],22,FALSE)</f>
        <v>-1</v>
      </c>
      <c r="D33" s="54" t="str">
        <f>IF(VLOOKUP(A33,DB_TBL_DATA_FIELDS[[FIELD_ID]:[ERROR_MESSAGE]],23,FALSE)&lt;&gt;0,VLOOKUP(A33,DB_TBL_DATA_FIELDS[[FIELD_ID]:[ERROR_MESSAGE]],23,FALSE),"")</f>
        <v/>
      </c>
      <c r="E33" s="54">
        <f>VLOOKUP(A33,DB_TBL_DATA_FIELDS[[#All],[FIELD_ID]:[RANGE_VALIDATION_MAX]],18,FALSE)</f>
        <v>0</v>
      </c>
      <c r="F33" s="54">
        <f>VLOOKUP(A33,DB_TBL_DATA_FIELDS[[#All],[FIELD_ID]:[RANGE_VALIDATION_MAX]],19,FALSE)</f>
        <v>0</v>
      </c>
      <c r="G33" s="54" t="str">
        <f t="shared" ca="1" si="0"/>
        <v/>
      </c>
      <c r="I33" s="392"/>
      <c r="J33" s="393"/>
      <c r="K33" s="393"/>
      <c r="L33" s="393"/>
      <c r="M33" s="393"/>
      <c r="N33" s="393"/>
      <c r="O33" s="393"/>
      <c r="P33" s="393"/>
      <c r="Q33" s="393"/>
      <c r="R33" s="393"/>
      <c r="S33" s="393"/>
      <c r="T33" s="393"/>
      <c r="U33" s="393"/>
      <c r="V33" s="393"/>
      <c r="W33" s="394"/>
      <c r="X33" s="44"/>
    </row>
    <row r="34" spans="1:25" s="36" customFormat="1" ht="21.95" customHeight="1" x14ac:dyDescent="0.25">
      <c r="A34" s="61" t="s">
        <v>2487</v>
      </c>
      <c r="B34" s="95" t="str">
        <f>IF(I30&lt;&gt;"",I30,"")</f>
        <v/>
      </c>
      <c r="C34" s="54">
        <f ca="1">VLOOKUP(A34,DB_TBL_DATA_FIELDS[[FIELD_ID]:[PCT_CALC_FIELD_STATUS_CODE]],22,FALSE)</f>
        <v>1</v>
      </c>
      <c r="D34" s="54" t="str">
        <f>IF(VLOOKUP(A34,DB_TBL_DATA_FIELDS[[FIELD_ID]:[ERROR_MESSAGE]],23,FALSE)&lt;&gt;0,VLOOKUP(A34,DB_TBL_DATA_FIELDS[[FIELD_ID]:[ERROR_MESSAGE]],23,FALSE),"")</f>
        <v/>
      </c>
      <c r="E34" s="54">
        <f>VLOOKUP(A34,DB_TBL_DATA_FIELDS[[#All],[FIELD_ID]:[RANGE_VALIDATION_MAX]],18,FALSE)</f>
        <v>1</v>
      </c>
      <c r="F34" s="54">
        <f>VLOOKUP(A34,DB_TBL_DATA_FIELDS[[#All],[FIELD_ID]:[RANGE_VALIDATION_MAX]],19,FALSE)</f>
        <v>400</v>
      </c>
      <c r="G34" s="54">
        <f t="shared" ca="1" si="0"/>
        <v>1</v>
      </c>
      <c r="I34" s="395"/>
      <c r="J34" s="396"/>
      <c r="K34" s="396"/>
      <c r="L34" s="396"/>
      <c r="M34" s="396"/>
      <c r="N34" s="396"/>
      <c r="O34" s="396"/>
      <c r="P34" s="396"/>
      <c r="Q34" s="396"/>
      <c r="R34" s="396"/>
      <c r="S34" s="396"/>
      <c r="T34" s="396"/>
      <c r="U34" s="396"/>
      <c r="V34" s="396"/>
      <c r="W34" s="397"/>
      <c r="X34" s="44"/>
    </row>
    <row r="35" spans="1:25" s="36" customFormat="1" ht="21.95" customHeight="1" x14ac:dyDescent="0.25">
      <c r="A35" s="61" t="s">
        <v>2489</v>
      </c>
      <c r="B35" s="95" t="str">
        <f>IF(I28&lt;&gt;"",I28,"")</f>
        <v/>
      </c>
      <c r="C35" s="54">
        <f ca="1">VLOOKUP(A35,DB_TBL_DATA_FIELDS[[FIELD_ID]:[PCT_CALC_FIELD_STATUS_CODE]],22,FALSE)</f>
        <v>1</v>
      </c>
      <c r="D35" s="54" t="str">
        <f>IF(VLOOKUP(A35,DB_TBL_DATA_FIELDS[[FIELD_ID]:[ERROR_MESSAGE]],23,FALSE)&lt;&gt;0,VLOOKUP(A35,DB_TBL_DATA_FIELDS[[FIELD_ID]:[ERROR_MESSAGE]],23,FALSE),"")</f>
        <v/>
      </c>
      <c r="E35" s="54" t="str">
        <f>VLOOKUP(A35,DB_TBL_DATA_FIELDS[[#All],[FIELD_ID]:[RANGE_VALIDATION_MAX]],18,FALSE)</f>
        <v/>
      </c>
      <c r="F35" s="54">
        <f>VLOOKUP(A35,DB_TBL_DATA_FIELDS[[#All],[FIELD_ID]:[RANGE_VALIDATION_MAX]],19,FALSE)</f>
        <v>999999</v>
      </c>
      <c r="G35" s="54">
        <f t="shared" ca="1" si="0"/>
        <v>1</v>
      </c>
      <c r="I35" s="226"/>
      <c r="J35" s="227"/>
      <c r="K35" s="226"/>
      <c r="L35" s="227"/>
      <c r="M35" s="226"/>
      <c r="N35" s="227"/>
      <c r="O35" s="226"/>
      <c r="P35" s="227"/>
      <c r="Q35" s="226"/>
      <c r="R35" s="227"/>
      <c r="S35" s="226"/>
      <c r="T35" s="227"/>
      <c r="U35" s="226"/>
      <c r="V35" s="227"/>
      <c r="W35" s="226"/>
      <c r="X35" s="44"/>
    </row>
    <row r="36" spans="1:25" s="36" customFormat="1" ht="21.95" customHeight="1" thickBot="1" x14ac:dyDescent="0.3">
      <c r="A36" s="61" t="s">
        <v>2844</v>
      </c>
      <c r="B36" s="95" t="str">
        <f>IF(W43="","",IF(UPPER(W43)="YES",TRUE,FALSE))</f>
        <v/>
      </c>
      <c r="C36" s="54">
        <f ca="1">VLOOKUP(A36,DB_TBL_DATA_FIELDS[[FIELD_ID]:[PCT_CALC_FIELD_STATUS_CODE]],22,FALSE)</f>
        <v>-1</v>
      </c>
      <c r="D36" s="54" t="str">
        <f ca="1">IF(VLOOKUP(A36,DB_TBL_DATA_FIELDS[[FIELD_ID]:[ERROR_MESSAGE]],23,FALSE)&lt;&gt;0,VLOOKUP(A36,DB_TBL_DATA_FIELDS[[FIELD_ID]:[ERROR_MESSAGE]],23,FALSE),"")</f>
        <v/>
      </c>
      <c r="E36" s="54">
        <f>VLOOKUP(A36,DB_TBL_DATA_FIELDS[[#All],[FIELD_ID]:[RANGE_VALIDATION_MAX]],18,FALSE)</f>
        <v>0</v>
      </c>
      <c r="F36" s="54">
        <f>VLOOKUP(A36,DB_TBL_DATA_FIELDS[[#All],[FIELD_ID]:[RANGE_VALIDATION_MAX]],19,FALSE)</f>
        <v>0</v>
      </c>
      <c r="G36" s="54" t="str">
        <f t="shared" ca="1" si="0"/>
        <v/>
      </c>
      <c r="I36" s="64" t="s">
        <v>2849</v>
      </c>
      <c r="J36" s="129"/>
      <c r="K36" s="135"/>
      <c r="L36" s="129"/>
      <c r="M36" s="135"/>
      <c r="N36" s="129"/>
      <c r="O36" s="135"/>
      <c r="P36" s="129"/>
      <c r="Q36" s="135"/>
      <c r="R36" s="129"/>
      <c r="S36" s="135"/>
      <c r="T36" s="129"/>
      <c r="U36" s="135"/>
      <c r="V36" s="129"/>
      <c r="W36" s="135"/>
      <c r="X36" s="44"/>
    </row>
    <row r="37" spans="1:25" s="36" customFormat="1" ht="21.95" customHeight="1" thickTop="1" x14ac:dyDescent="0.25">
      <c r="A37" s="61" t="s">
        <v>2293</v>
      </c>
      <c r="B37" s="95" t="str">
        <f>IF(I48&lt;&gt;"",I48,"")</f>
        <v/>
      </c>
      <c r="C37" s="54">
        <f ca="1">VLOOKUP(A37,DB_TBL_DATA_FIELDS[[FIELD_ID]:[PCT_CALC_FIELD_STATUS_CODE]],22,FALSE)</f>
        <v>-1</v>
      </c>
      <c r="D37" s="54" t="str">
        <f>IF(VLOOKUP(A37,DB_TBL_DATA_FIELDS[[FIELD_ID]:[ERROR_MESSAGE]],23,FALSE)&lt;&gt;0,VLOOKUP(A37,DB_TBL_DATA_FIELDS[[FIELD_ID]:[ERROR_MESSAGE]],23,FALSE),"")</f>
        <v/>
      </c>
      <c r="E37" s="54">
        <f>VLOOKUP(A37,DB_TBL_DATA_FIELDS[[#All],[FIELD_ID]:[RANGE_VALIDATION_MAX]],18,FALSE)</f>
        <v>0</v>
      </c>
      <c r="F37" s="54">
        <f>VLOOKUP(A37,DB_TBL_DATA_FIELDS[[#All],[FIELD_ID]:[RANGE_VALIDATION_MAX]],19,FALSE)</f>
        <v>75</v>
      </c>
      <c r="G37" s="54" t="str">
        <f t="shared" ca="1" si="0"/>
        <v/>
      </c>
      <c r="J37" s="44"/>
      <c r="L37" s="44"/>
      <c r="N37" s="44"/>
      <c r="P37" s="44"/>
      <c r="R37" s="44"/>
      <c r="T37" s="44"/>
      <c r="V37" s="44"/>
      <c r="X37" s="44"/>
    </row>
    <row r="38" spans="1:25" s="36" customFormat="1" ht="21.95" customHeight="1" x14ac:dyDescent="0.25">
      <c r="A38" s="61" t="s">
        <v>2294</v>
      </c>
      <c r="B38" s="95" t="str">
        <f>IF(Q48&lt;&gt;"",Q48,"")</f>
        <v/>
      </c>
      <c r="C38" s="54">
        <f ca="1">VLOOKUP(A38,DB_TBL_DATA_FIELDS[[FIELD_ID]:[PCT_CALC_FIELD_STATUS_CODE]],22,FALSE)</f>
        <v>-1</v>
      </c>
      <c r="D38" s="54" t="str">
        <f>IF(VLOOKUP(A38,DB_TBL_DATA_FIELDS[[FIELD_ID]:[ERROR_MESSAGE]],23,FALSE)&lt;&gt;0,VLOOKUP(A38,DB_TBL_DATA_FIELDS[[FIELD_ID]:[ERROR_MESSAGE]],23,FALSE),"")</f>
        <v/>
      </c>
      <c r="E38" s="54">
        <f>VLOOKUP(A38,DB_TBL_DATA_FIELDS[[#All],[FIELD_ID]:[RANGE_VALIDATION_MAX]],18,FALSE)</f>
        <v>0</v>
      </c>
      <c r="F38" s="54">
        <f>VLOOKUP(A38,DB_TBL_DATA_FIELDS[[#All],[FIELD_ID]:[RANGE_VALIDATION_MAX]],19,FALSE)</f>
        <v>30</v>
      </c>
      <c r="G38" s="54" t="str">
        <f t="shared" ca="1" si="0"/>
        <v/>
      </c>
      <c r="I38" s="367" t="s">
        <v>2381</v>
      </c>
      <c r="J38" s="367"/>
      <c r="K38" s="367"/>
      <c r="L38" s="367"/>
      <c r="M38" s="367"/>
      <c r="N38" s="367"/>
      <c r="O38" s="367"/>
      <c r="P38" s="367"/>
      <c r="Q38" s="367"/>
      <c r="R38" s="367"/>
      <c r="S38" s="367"/>
      <c r="T38" s="125"/>
      <c r="U38" s="125"/>
      <c r="W38" s="40"/>
      <c r="X38" s="52" t="str">
        <f ca="1">G33</f>
        <v/>
      </c>
    </row>
    <row r="39" spans="1:25" s="36" customFormat="1" ht="21.95" customHeight="1" x14ac:dyDescent="0.25">
      <c r="A39" s="61" t="s">
        <v>2295</v>
      </c>
      <c r="B39" s="95" t="str">
        <f>IF(U48&lt;&gt;"",U48,"")</f>
        <v/>
      </c>
      <c r="C39" s="54">
        <f ca="1">VLOOKUP(A39,DB_TBL_DATA_FIELDS[[FIELD_ID]:[PCT_CALC_FIELD_STATUS_CODE]],22,FALSE)</f>
        <v>-1</v>
      </c>
      <c r="D39" s="54" t="str">
        <f>IF(VLOOKUP(A39,DB_TBL_DATA_FIELDS[[FIELD_ID]:[ERROR_MESSAGE]],23,FALSE)&lt;&gt;0,VLOOKUP(A39,DB_TBL_DATA_FIELDS[[FIELD_ID]:[ERROR_MESSAGE]],23,FALSE),"")</f>
        <v/>
      </c>
      <c r="E39" s="54">
        <f>VLOOKUP(A39,DB_TBL_DATA_FIELDS[[#All],[FIELD_ID]:[RANGE_VALIDATION_MAX]],18,FALSE)</f>
        <v>0</v>
      </c>
      <c r="F39" s="54">
        <f>VLOOKUP(A39,DB_TBL_DATA_FIELDS[[#All],[FIELD_ID]:[RANGE_VALIDATION_MAX]],19,FALSE)</f>
        <v>2</v>
      </c>
      <c r="G39" s="54" t="str">
        <f t="shared" ca="1" si="0"/>
        <v/>
      </c>
      <c r="I39" s="367"/>
      <c r="J39" s="367"/>
      <c r="K39" s="367"/>
      <c r="L39" s="367"/>
      <c r="M39" s="367"/>
      <c r="N39" s="367"/>
      <c r="O39" s="367"/>
      <c r="P39" s="367"/>
      <c r="Q39" s="367"/>
      <c r="R39" s="367"/>
      <c r="S39" s="367"/>
      <c r="T39" s="125"/>
      <c r="U39" s="125"/>
      <c r="V39"/>
      <c r="W39"/>
      <c r="X39"/>
    </row>
    <row r="40" spans="1:25" ht="21.95" customHeight="1" x14ac:dyDescent="0.25">
      <c r="A40" s="61" t="s">
        <v>2296</v>
      </c>
      <c r="B40" s="95" t="str">
        <f>IF(W48&lt;&gt;"",TEXT(W48,"00000"),"")</f>
        <v/>
      </c>
      <c r="C40" s="54">
        <f ca="1">VLOOKUP(A40,DB_TBL_DATA_FIELDS[[FIELD_ID]:[PCT_CALC_FIELD_STATUS_CODE]],22,FALSE)</f>
        <v>-1</v>
      </c>
      <c r="D40" s="54" t="str">
        <f>IF(VLOOKUP(A40,DB_TBL_DATA_FIELDS[[FIELD_ID]:[ERROR_MESSAGE]],23,FALSE)&lt;&gt;0,VLOOKUP(A40,DB_TBL_DATA_FIELDS[[FIELD_ID]:[ERROR_MESSAGE]],23,FALSE),"")</f>
        <v/>
      </c>
      <c r="E40" s="54">
        <f>VLOOKUP(A40,DB_TBL_DATA_FIELDS[[#All],[FIELD_ID]:[RANGE_VALIDATION_MAX]],18,FALSE)</f>
        <v>5</v>
      </c>
      <c r="F40" s="54">
        <f>VLOOKUP(A40,DB_TBL_DATA_FIELDS[[#All],[FIELD_ID]:[RANGE_VALIDATION_MAX]],19,FALSE)</f>
        <v>10</v>
      </c>
      <c r="G40" s="54" t="str">
        <f t="shared" ca="1" si="0"/>
        <v/>
      </c>
      <c r="H40" s="36"/>
      <c r="I40" s="225"/>
      <c r="J40" s="225"/>
      <c r="K40" s="225"/>
      <c r="L40" s="225"/>
      <c r="M40" s="225"/>
      <c r="N40" s="225"/>
      <c r="O40" s="225"/>
      <c r="P40" s="225"/>
      <c r="Q40" s="225"/>
      <c r="R40" s="225"/>
      <c r="S40" s="225"/>
      <c r="T40" s="125"/>
      <c r="U40" s="125"/>
      <c r="V40"/>
      <c r="X40"/>
      <c r="Y40" s="36"/>
    </row>
    <row r="41" spans="1:25" ht="21.95" customHeight="1" thickBot="1" x14ac:dyDescent="0.3">
      <c r="A41" s="61" t="s">
        <v>2845</v>
      </c>
      <c r="B41" s="95" t="str">
        <f>IF(I51&lt;&gt;"",I51,"")</f>
        <v/>
      </c>
      <c r="C41" s="54">
        <f ca="1">VLOOKUP(A41,DB_TBL_DATA_FIELDS[[FIELD_ID]:[PCT_CALC_FIELD_STATUS_CODE]],22,FALSE)</f>
        <v>-1</v>
      </c>
      <c r="D41" s="54" t="str">
        <f ca="1">IF(VLOOKUP(A41,DB_TBL_DATA_FIELDS[[FIELD_ID]:[ERROR_MESSAGE]],23,FALSE)&lt;&gt;0,VLOOKUP(A41,DB_TBL_DATA_FIELDS[[FIELD_ID]:[ERROR_MESSAGE]],23,FALSE),"")</f>
        <v/>
      </c>
      <c r="E41" s="54">
        <f>VLOOKUP(A41,DB_TBL_DATA_FIELDS[[#All],[FIELD_ID]:[RANGE_VALIDATION_MAX]],18,FALSE)</f>
        <v>0</v>
      </c>
      <c r="F41" s="54">
        <f>VLOOKUP(A41,DB_TBL_DATA_FIELDS[[#All],[FIELD_ID]:[RANGE_VALIDATION_MAX]],19,FALSE)</f>
        <v>0</v>
      </c>
      <c r="G41" s="54" t="str">
        <f t="shared" ca="1" si="0"/>
        <v/>
      </c>
      <c r="H41" s="36"/>
      <c r="I41" s="64" t="s">
        <v>2801</v>
      </c>
      <c r="J41" s="129"/>
      <c r="K41" s="135"/>
      <c r="L41" s="129"/>
      <c r="M41" s="135"/>
      <c r="N41" s="129"/>
      <c r="O41" s="135"/>
      <c r="P41" s="129"/>
      <c r="Q41" s="135"/>
      <c r="R41" s="129"/>
      <c r="S41" s="135"/>
      <c r="T41" s="129"/>
      <c r="U41" s="135"/>
      <c r="V41" s="129"/>
      <c r="W41" s="135"/>
      <c r="Y41" s="36"/>
    </row>
    <row r="42" spans="1:25" ht="21.95" customHeight="1" thickTop="1" x14ac:dyDescent="0.25">
      <c r="A42" s="61" t="s">
        <v>2319</v>
      </c>
      <c r="B42" s="95" t="str">
        <f>IF(O51&lt;&gt;"",O51,"")</f>
        <v/>
      </c>
      <c r="C42" s="54">
        <f ca="1">VLOOKUP(A42,DB_TBL_DATA_FIELDS[[FIELD_ID]:[PCT_CALC_FIELD_STATUS_CODE]],22,FALSE)</f>
        <v>-1</v>
      </c>
      <c r="D42" s="54" t="str">
        <f>IF(VLOOKUP(A42,DB_TBL_DATA_FIELDS[[FIELD_ID]:[ERROR_MESSAGE]],23,FALSE)&lt;&gt;0,VLOOKUP(A42,DB_TBL_DATA_FIELDS[[FIELD_ID]:[ERROR_MESSAGE]],23,FALSE),"")</f>
        <v/>
      </c>
      <c r="E42" s="54">
        <f>VLOOKUP(A42,DB_TBL_DATA_FIELDS[[#All],[FIELD_ID]:[RANGE_VALIDATION_MAX]],18,FALSE)</f>
        <v>1</v>
      </c>
      <c r="F42" s="54">
        <f>VLOOKUP(A42,DB_TBL_DATA_FIELDS[[#All],[FIELD_ID]:[RANGE_VALIDATION_MAX]],19,FALSE)</f>
        <v>20</v>
      </c>
      <c r="G42" s="54" t="str">
        <f t="shared" ca="1" si="0"/>
        <v/>
      </c>
      <c r="H42" s="36"/>
      <c r="I42" s="36"/>
      <c r="K42" s="36"/>
      <c r="M42" s="36"/>
      <c r="O42" s="36"/>
      <c r="Q42" s="36"/>
      <c r="S42" s="36"/>
      <c r="U42" s="36"/>
      <c r="W42" s="36"/>
      <c r="Y42" s="36"/>
    </row>
    <row r="43" spans="1:25" ht="21.95" customHeight="1" x14ac:dyDescent="0.25">
      <c r="A43" s="61" t="s">
        <v>2320</v>
      </c>
      <c r="B43" s="95" t="str">
        <f>IF(U51&lt;&gt;"",U51,"")</f>
        <v/>
      </c>
      <c r="C43" s="54">
        <f ca="1">VLOOKUP(A43,DB_TBL_DATA_FIELDS[[FIELD_ID]:[PCT_CALC_FIELD_STATUS_CODE]],22,FALSE)</f>
        <v>-1</v>
      </c>
      <c r="D43" s="54" t="str">
        <f>IF(VLOOKUP(A43,DB_TBL_DATA_FIELDS[[FIELD_ID]:[ERROR_MESSAGE]],23,FALSE)&lt;&gt;0,VLOOKUP(A43,DB_TBL_DATA_FIELDS[[FIELD_ID]:[ERROR_MESSAGE]],23,FALSE),"")</f>
        <v/>
      </c>
      <c r="E43" s="54">
        <f>VLOOKUP(A43,DB_TBL_DATA_FIELDS[[#All],[FIELD_ID]:[RANGE_VALIDATION_MAX]],18,FALSE)</f>
        <v>0</v>
      </c>
      <c r="F43" s="54">
        <f>VLOOKUP(A43,DB_TBL_DATA_FIELDS[[#All],[FIELD_ID]:[RANGE_VALIDATION_MAX]],19,FALSE)</f>
        <v>999999999</v>
      </c>
      <c r="G43" s="54" t="str">
        <f t="shared" ca="1" si="0"/>
        <v/>
      </c>
      <c r="H43" s="36"/>
      <c r="I43" s="36" t="s">
        <v>2881</v>
      </c>
      <c r="J43" s="228"/>
      <c r="K43" s="228"/>
      <c r="L43" s="228"/>
      <c r="M43" s="228"/>
      <c r="N43" s="228"/>
      <c r="O43" s="228"/>
      <c r="P43" s="228"/>
      <c r="Q43" s="228"/>
      <c r="R43" s="228"/>
      <c r="S43" s="228"/>
      <c r="T43" s="125"/>
      <c r="U43" s="125"/>
      <c r="V43" s="36"/>
      <c r="W43" s="40"/>
      <c r="X43" s="52" t="str">
        <f ca="1">G36</f>
        <v/>
      </c>
      <c r="Y43" s="36"/>
    </row>
    <row r="44" spans="1:25" ht="21.95" customHeight="1" x14ac:dyDescent="0.25">
      <c r="A44" s="61" t="s">
        <v>2314</v>
      </c>
      <c r="B44" s="134" t="b">
        <v>0</v>
      </c>
      <c r="C44" s="54" t="str">
        <f ca="1">VLOOKUP(A44,DB_TBL_DATA_FIELDS[[FIELD_ID]:[PCT_CALC_FIELD_STATUS_CODE]],22,FALSE)</f>
        <v/>
      </c>
      <c r="D44" s="54" t="str">
        <f>IF(VLOOKUP(A44,DB_TBL_DATA_FIELDS[[FIELD_ID]:[ERROR_MESSAGE]],23,FALSE)&lt;&gt;0,VLOOKUP(A44,DB_TBL_DATA_FIELDS[[FIELD_ID]:[ERROR_MESSAGE]],23,FALSE),"")</f>
        <v/>
      </c>
      <c r="E44" s="54">
        <f>VLOOKUP(A44,DB_TBL_DATA_FIELDS[[#All],[FIELD_ID]:[RANGE_VALIDATION_MAX]],18,FALSE)</f>
        <v>0</v>
      </c>
      <c r="F44" s="54">
        <f>VLOOKUP(A44,DB_TBL_DATA_FIELDS[[#All],[FIELD_ID]:[RANGE_VALIDATION_MAX]],19,FALSE)</f>
        <v>0</v>
      </c>
      <c r="G44" s="54" t="str">
        <f t="shared" ca="1" si="0"/>
        <v/>
      </c>
      <c r="H44" s="36"/>
      <c r="I44" s="408" t="s">
        <v>2851</v>
      </c>
      <c r="J44" s="408"/>
      <c r="K44" s="408"/>
      <c r="L44" s="408"/>
      <c r="M44" s="408"/>
      <c r="N44" s="408"/>
      <c r="O44" s="408"/>
      <c r="P44" s="408"/>
      <c r="Q44" s="408"/>
      <c r="R44" s="408"/>
      <c r="S44" s="408"/>
      <c r="T44" s="408"/>
      <c r="U44" s="408"/>
      <c r="V44" s="408"/>
      <c r="W44" s="408"/>
      <c r="X44"/>
      <c r="Y44" s="36"/>
    </row>
    <row r="45" spans="1:25" ht="21.95" customHeight="1" x14ac:dyDescent="0.25">
      <c r="A45" s="61" t="s">
        <v>2316</v>
      </c>
      <c r="B45" s="65" t="str">
        <f ca="1">VLOOKUP(A45,DB_TBL_DATA_FIELDS[[#All],[FIELD_ID]:[FIELD_VALUE_RAW]],5,FALSE)</f>
        <v/>
      </c>
      <c r="C45" s="54">
        <f ca="1">VLOOKUP(A45,DB_TBL_DATA_FIELDS[[FIELD_ID]:[PCT_CALC_FIELD_STATUS_CODE]],22,FALSE)</f>
        <v>-1</v>
      </c>
      <c r="D45" s="54" t="str">
        <f ca="1">IF(VLOOKUP(A45,DB_TBL_DATA_FIELDS[[FIELD_ID]:[ERROR_MESSAGE]],23,FALSE)&lt;&gt;0,VLOOKUP(A45,DB_TBL_DATA_FIELDS[[FIELD_ID]:[ERROR_MESSAGE]],23,FALSE),"")</f>
        <v/>
      </c>
      <c r="E45" s="54">
        <f>VLOOKUP(A45,DB_TBL_DATA_FIELDS[[#All],[FIELD_ID]:[RANGE_VALIDATION_MAX]],18,FALSE)</f>
        <v>0</v>
      </c>
      <c r="F45" s="54">
        <f>VLOOKUP(A45,DB_TBL_DATA_FIELDS[[#All],[FIELD_ID]:[RANGE_VALIDATION_MAX]],19,FALSE)</f>
        <v>0</v>
      </c>
      <c r="G45" s="54" t="str">
        <f t="shared" ca="1" si="0"/>
        <v/>
      </c>
      <c r="H45" s="36"/>
      <c r="I45" s="408"/>
      <c r="J45" s="408"/>
      <c r="K45" s="408"/>
      <c r="L45" s="408"/>
      <c r="M45" s="408"/>
      <c r="N45" s="408"/>
      <c r="O45" s="408"/>
      <c r="P45" s="408"/>
      <c r="Q45" s="408"/>
      <c r="R45" s="408"/>
      <c r="S45" s="408"/>
      <c r="T45" s="408"/>
      <c r="U45" s="408"/>
      <c r="V45" s="408"/>
      <c r="W45" s="408"/>
      <c r="X45"/>
      <c r="Y45" s="36"/>
    </row>
    <row r="46" spans="1:25" ht="21.95" customHeight="1" x14ac:dyDescent="0.25">
      <c r="A46" s="61" t="s">
        <v>121</v>
      </c>
      <c r="B46" s="65" t="str">
        <f>"C"&amp;MATCH(LEFT(A46,LEN(A46)-LEN("_RANGE")),A:A,0)+1&amp;":C"&amp;(ROW()-1)</f>
        <v>C31:C45</v>
      </c>
      <c r="C46" s="54"/>
      <c r="D46" s="54"/>
      <c r="E46" s="54"/>
      <c r="F46" s="54"/>
      <c r="G46" s="54"/>
      <c r="H46" s="36"/>
      <c r="I46" s="230"/>
      <c r="J46" s="230"/>
      <c r="K46" s="230"/>
      <c r="L46" s="230"/>
      <c r="M46" s="230"/>
      <c r="N46" s="230"/>
      <c r="O46" s="230"/>
      <c r="P46" s="230"/>
      <c r="Q46" s="230"/>
      <c r="R46" s="230"/>
      <c r="S46" s="230"/>
      <c r="T46" s="230"/>
      <c r="U46" s="230"/>
      <c r="V46" s="230"/>
      <c r="W46" s="230"/>
      <c r="X46"/>
      <c r="Y46" s="36"/>
    </row>
    <row r="47" spans="1:25" ht="21.95" customHeight="1" x14ac:dyDescent="0.25">
      <c r="A47" s="61" t="s">
        <v>122</v>
      </c>
      <c r="B47" s="65">
        <f ca="1">COUNTIF(INDIRECT($B$46),2)</f>
        <v>0</v>
      </c>
      <c r="C47" s="54"/>
      <c r="D47" s="54"/>
      <c r="E47" s="54"/>
      <c r="F47" s="54"/>
      <c r="G47" s="54"/>
      <c r="H47" s="36"/>
      <c r="I47" s="36" t="s">
        <v>2848</v>
      </c>
      <c r="K47" s="36"/>
      <c r="M47" s="36"/>
      <c r="Q47" s="36" t="s">
        <v>50</v>
      </c>
      <c r="S47" s="36"/>
      <c r="U47" s="36" t="s">
        <v>51</v>
      </c>
      <c r="W47" s="36" t="s">
        <v>52</v>
      </c>
      <c r="Y47" s="36"/>
    </row>
    <row r="48" spans="1:25" ht="21.95" customHeight="1" x14ac:dyDescent="0.25">
      <c r="A48" s="61" t="s">
        <v>123</v>
      </c>
      <c r="B48" s="65">
        <f ca="1">COUNTIF(INDIRECT($B$46),0)+COUNTIF(INDIRECT($B$46),1)+COUNTIF(INDIRECT($B$46),2)</f>
        <v>4</v>
      </c>
      <c r="C48" s="54"/>
      <c r="D48" s="54"/>
      <c r="E48" s="54"/>
      <c r="F48" s="54"/>
      <c r="G48" s="54"/>
      <c r="H48" s="36"/>
      <c r="I48" s="354"/>
      <c r="J48" s="354"/>
      <c r="K48" s="354"/>
      <c r="L48" s="354"/>
      <c r="M48" s="354"/>
      <c r="N48" s="354"/>
      <c r="O48" s="354"/>
      <c r="P48" s="52" t="str">
        <f ca="1">G37</f>
        <v/>
      </c>
      <c r="Q48" s="316"/>
      <c r="R48" s="317"/>
      <c r="S48" s="318"/>
      <c r="T48" s="52" t="str">
        <f ca="1">G38</f>
        <v/>
      </c>
      <c r="U48" s="40"/>
      <c r="V48" s="52" t="str">
        <f ca="1">G39</f>
        <v/>
      </c>
      <c r="W48" s="120"/>
      <c r="X48" s="52" t="str">
        <f ca="1">G40</f>
        <v/>
      </c>
      <c r="Y48" s="36"/>
    </row>
    <row r="49" spans="1:25" ht="21.95" customHeight="1" x14ac:dyDescent="0.25">
      <c r="A49" s="61" t="s">
        <v>124</v>
      </c>
      <c r="B49" s="65">
        <f ca="1">COUNTIF(INDIRECT($B$46),0)</f>
        <v>0</v>
      </c>
      <c r="C49" s="54"/>
      <c r="D49" s="54"/>
      <c r="E49" s="54"/>
      <c r="F49" s="54"/>
      <c r="G49" s="54"/>
      <c r="H49" s="36"/>
      <c r="I49" s="225"/>
      <c r="J49" s="225"/>
      <c r="K49" s="225"/>
      <c r="L49" s="225"/>
      <c r="M49" s="225"/>
      <c r="N49" s="225"/>
      <c r="O49" s="225"/>
      <c r="P49" s="225"/>
      <c r="Q49" s="225"/>
      <c r="R49" s="225"/>
      <c r="S49" s="225"/>
      <c r="T49" s="125"/>
      <c r="U49" s="125"/>
      <c r="V49"/>
      <c r="X49"/>
      <c r="Y49" s="36"/>
    </row>
    <row r="50" spans="1:25" ht="21.95" customHeight="1" x14ac:dyDescent="0.25">
      <c r="A50" s="61" t="s">
        <v>125</v>
      </c>
      <c r="B50" s="97">
        <f ca="1">IFERROR(B47/B48,1.01)</f>
        <v>0</v>
      </c>
      <c r="C50" s="54"/>
      <c r="D50" s="54"/>
      <c r="E50" s="54"/>
      <c r="F50" s="54"/>
      <c r="G50" s="54"/>
      <c r="H50" s="36"/>
      <c r="I50" s="36" t="s">
        <v>2850</v>
      </c>
      <c r="M50" s="225"/>
      <c r="N50" s="225"/>
      <c r="O50" s="36" t="s">
        <v>2327</v>
      </c>
      <c r="U50" s="109" t="s">
        <v>2387</v>
      </c>
      <c r="V50" s="109"/>
      <c r="W50" s="109"/>
      <c r="X50" s="36"/>
      <c r="Y50" s="36"/>
    </row>
    <row r="51" spans="1:25" ht="21.95" customHeight="1" x14ac:dyDescent="0.25">
      <c r="A51" s="61" t="s">
        <v>126</v>
      </c>
      <c r="B51" s="65" t="str">
        <f ca="1">IF(B49&gt;0,"Data Error(s)",IF(B50=0,"Not Started",IF(B50&lt;1,ROUNDUP(B50*100,0)&amp;"% Done",IF(B50&gt;1,"Optional","Complete"))))</f>
        <v>Not Started</v>
      </c>
      <c r="C51" s="54"/>
      <c r="D51" s="54"/>
      <c r="E51" s="54"/>
      <c r="F51" s="54"/>
      <c r="G51" s="54"/>
      <c r="H51" s="36"/>
      <c r="I51" s="338"/>
      <c r="J51" s="339"/>
      <c r="K51" s="340"/>
      <c r="L51" s="52" t="str">
        <f ca="1">G41</f>
        <v/>
      </c>
      <c r="M51" s="225"/>
      <c r="N51" s="225"/>
      <c r="O51" s="326" t="str">
        <f>IF(ICW_HOUSEHOLD_SIZE&lt;&gt;"",IF(VALUE(ICW_HOUSEHOLD_SIZE)&gt;0,ICW_HOUSEHOLD_SIZE,""),"")</f>
        <v/>
      </c>
      <c r="P51" s="327"/>
      <c r="Q51" s="328"/>
      <c r="R51" s="52" t="str">
        <f ca="1">G42</f>
        <v/>
      </c>
      <c r="U51" s="368" t="str">
        <f>IF(VALUE(ICW_TOTAL_INCOME)&gt;0,ICW_TOTAL_INCOME,"")</f>
        <v/>
      </c>
      <c r="V51" s="369"/>
      <c r="W51" s="370"/>
      <c r="X51" s="52" t="str">
        <f ca="1">G43</f>
        <v/>
      </c>
      <c r="Y51" s="36"/>
    </row>
    <row r="52" spans="1:25" ht="21.95" customHeight="1" x14ac:dyDescent="0.25">
      <c r="A52" s="61" t="s">
        <v>127</v>
      </c>
      <c r="B52" s="65" t="str">
        <f ca="1">IF(B49&gt;0,0,IF(B50&lt;1,"",2))</f>
        <v/>
      </c>
      <c r="C52" s="54"/>
      <c r="D52" s="54"/>
      <c r="E52" s="54"/>
      <c r="F52" s="54"/>
      <c r="G52" s="54"/>
      <c r="H52" s="36"/>
      <c r="S52" s="225"/>
      <c r="T52" s="125"/>
      <c r="Y52" s="36"/>
    </row>
    <row r="53" spans="1:25" ht="21.95" customHeight="1" x14ac:dyDescent="0.25">
      <c r="A53" s="61" t="s">
        <v>128</v>
      </c>
      <c r="B53" s="96" t="s">
        <v>2493</v>
      </c>
      <c r="C53" s="54"/>
      <c r="D53" s="54"/>
      <c r="E53" s="54"/>
      <c r="F53" s="54"/>
      <c r="G53" s="54"/>
      <c r="H53" s="36"/>
      <c r="J53"/>
      <c r="L53"/>
      <c r="N53"/>
      <c r="P53"/>
      <c r="R53"/>
      <c r="T53"/>
      <c r="V53"/>
      <c r="X53"/>
      <c r="Y53" s="36"/>
    </row>
    <row r="54" spans="1:25" ht="21.95" customHeight="1" x14ac:dyDescent="0.25">
      <c r="A54" s="77" t="s">
        <v>2152</v>
      </c>
      <c r="B54" s="65">
        <v>0</v>
      </c>
      <c r="C54" s="54"/>
      <c r="D54" s="54"/>
      <c r="E54" s="54"/>
      <c r="F54" s="54"/>
      <c r="G54" s="54"/>
      <c r="H54" s="36"/>
      <c r="J54"/>
      <c r="L54"/>
      <c r="N54"/>
      <c r="P54"/>
      <c r="R54"/>
      <c r="T54"/>
      <c r="V54"/>
      <c r="X54"/>
      <c r="Y54" s="36"/>
    </row>
    <row r="55" spans="1:25" ht="21.95" customHeight="1" x14ac:dyDescent="0.25">
      <c r="A55" s="77" t="s">
        <v>2153</v>
      </c>
      <c r="B55" s="65" t="b">
        <f>(B54&gt;0)</f>
        <v>0</v>
      </c>
      <c r="C55" s="54"/>
      <c r="D55" s="54"/>
      <c r="E55" s="54"/>
      <c r="F55" s="54"/>
      <c r="G55" s="54"/>
      <c r="H55" s="36"/>
      <c r="I55" s="330" t="s">
        <v>2386</v>
      </c>
      <c r="J55" s="330"/>
      <c r="K55" s="330"/>
      <c r="L55" s="330"/>
      <c r="M55" s="330"/>
      <c r="N55" s="330"/>
      <c r="O55" s="330"/>
      <c r="P55" s="330"/>
      <c r="Q55" s="330"/>
      <c r="R55" s="330"/>
      <c r="S55" s="330"/>
      <c r="T55" s="330"/>
      <c r="U55" s="330"/>
      <c r="V55" s="330"/>
      <c r="W55" s="330"/>
      <c r="X55" s="330"/>
      <c r="Y55" s="36"/>
    </row>
    <row r="56" spans="1:25" ht="21.95" customHeight="1" x14ac:dyDescent="0.25">
      <c r="A56" s="91" t="s">
        <v>141</v>
      </c>
      <c r="B56" s="93" t="s">
        <v>2862</v>
      </c>
      <c r="C56" s="92"/>
      <c r="D56" s="92"/>
      <c r="E56" s="92"/>
      <c r="F56" s="92"/>
      <c r="G56" s="92"/>
      <c r="H56" s="231"/>
      <c r="J56"/>
      <c r="L56"/>
      <c r="M56" s="126"/>
      <c r="N56" s="127"/>
      <c r="O56" s="127"/>
      <c r="P56" s="127"/>
      <c r="Q56" s="127"/>
      <c r="R56" s="127"/>
      <c r="S56" s="128"/>
      <c r="T56" s="52" t="str">
        <f ca="1">G45</f>
        <v/>
      </c>
      <c r="V56"/>
      <c r="X56"/>
      <c r="Y56" s="36"/>
    </row>
    <row r="57" spans="1:25" ht="21.95" customHeight="1" x14ac:dyDescent="0.25">
      <c r="A57" s="61" t="s">
        <v>2855</v>
      </c>
      <c r="B57" s="95" t="str">
        <f>IF(I85&lt;&gt;"",I85,"")</f>
        <v/>
      </c>
      <c r="C57" s="54">
        <f ca="1">VLOOKUP(A57,DB_TBL_DATA_FIELDS[[FIELD_ID]:[PCT_CALC_FIELD_STATUS_CODE]],22,FALSE)</f>
        <v>1</v>
      </c>
      <c r="D57" s="54" t="str">
        <f ca="1">IF(VLOOKUP(A57,DB_TBL_DATA_FIELDS[[FIELD_ID]:[ERROR_MESSAGE]],23,FALSE)&lt;&gt;0,VLOOKUP(A57,DB_TBL_DATA_FIELDS[[FIELD_ID]:[ERROR_MESSAGE]],23,FALSE),"")</f>
        <v/>
      </c>
      <c r="E57" s="54">
        <f>VLOOKUP(A57,DB_TBL_DATA_FIELDS[[#All],[FIELD_ID]:[RANGE_VALIDATION_MAX]],18,FALSE)</f>
        <v>0</v>
      </c>
      <c r="F57" s="54">
        <f>VLOOKUP(A57,DB_TBL_DATA_FIELDS[[#All],[FIELD_ID]:[RANGE_VALIDATION_MAX]],19,FALSE)</f>
        <v>100</v>
      </c>
      <c r="G57" s="54">
        <f t="shared" ref="G57:G61" ca="1" si="1">IF(C57&lt;0,"",C57)</f>
        <v>1</v>
      </c>
      <c r="H57" s="36"/>
      <c r="J57" s="162"/>
      <c r="K57" s="162"/>
      <c r="L57" s="162"/>
      <c r="M57" s="331" t="str">
        <f ca="1">D45</f>
        <v/>
      </c>
      <c r="N57" s="331"/>
      <c r="O57" s="331"/>
      <c r="P57" s="331"/>
      <c r="Q57" s="331"/>
      <c r="R57" s="331"/>
      <c r="S57" s="331"/>
      <c r="T57" s="162"/>
      <c r="U57" s="162"/>
      <c r="V57" s="162"/>
      <c r="W57" s="162"/>
      <c r="X57" s="162"/>
      <c r="Y57" s="36"/>
    </row>
    <row r="58" spans="1:25" ht="21.95" customHeight="1" x14ac:dyDescent="0.25">
      <c r="A58" s="61" t="s">
        <v>2857</v>
      </c>
      <c r="B58" s="95" t="str">
        <f>IF(O85&lt;&gt;"",O85,"")</f>
        <v/>
      </c>
      <c r="C58" s="54">
        <f ca="1">VLOOKUP(A58,DB_TBL_DATA_FIELDS[[FIELD_ID]:[PCT_CALC_FIELD_STATUS_CODE]],22,FALSE)</f>
        <v>1</v>
      </c>
      <c r="D58" s="54" t="str">
        <f ca="1">IF(VLOOKUP(A58,DB_TBL_DATA_FIELDS[[FIELD_ID]:[ERROR_MESSAGE]],23,FALSE)&lt;&gt;0,VLOOKUP(A58,DB_TBL_DATA_FIELDS[[FIELD_ID]:[ERROR_MESSAGE]],23,FALSE),"")</f>
        <v/>
      </c>
      <c r="E58" s="54">
        <f>VLOOKUP(A58,DB_TBL_DATA_FIELDS[[#All],[FIELD_ID]:[RANGE_VALIDATION_MAX]],18,FALSE)</f>
        <v>0</v>
      </c>
      <c r="F58" s="54">
        <f>VLOOKUP(A58,DB_TBL_DATA_FIELDS[[#All],[FIELD_ID]:[RANGE_VALIDATION_MAX]],19,FALSE)</f>
        <v>100</v>
      </c>
      <c r="G58" s="54">
        <f t="shared" ca="1" si="1"/>
        <v>1</v>
      </c>
      <c r="J58"/>
      <c r="L58"/>
      <c r="N58"/>
      <c r="P58"/>
      <c r="R58"/>
      <c r="T58"/>
      <c r="V58"/>
      <c r="X58"/>
    </row>
    <row r="59" spans="1:25" ht="21.95" customHeight="1" thickBot="1" x14ac:dyDescent="0.3">
      <c r="A59" s="61" t="s">
        <v>2858</v>
      </c>
      <c r="B59" s="95" t="str">
        <f>IF(U85&lt;&gt;"",U85,"")</f>
        <v/>
      </c>
      <c r="C59" s="54">
        <f ca="1">VLOOKUP(A59,DB_TBL_DATA_FIELDS[[FIELD_ID]:[PCT_CALC_FIELD_STATUS_CODE]],22,FALSE)</f>
        <v>1</v>
      </c>
      <c r="D59" s="54" t="str">
        <f ca="1">IF(VLOOKUP(A59,DB_TBL_DATA_FIELDS[[FIELD_ID]:[ERROR_MESSAGE]],23,FALSE)&lt;&gt;0,VLOOKUP(A59,DB_TBL_DATA_FIELDS[[FIELD_ID]:[ERROR_MESSAGE]],23,FALSE),"")</f>
        <v/>
      </c>
      <c r="E59" s="54">
        <f>VLOOKUP(A59,DB_TBL_DATA_FIELDS[[#All],[FIELD_ID]:[RANGE_VALIDATION_MAX]],18,FALSE)</f>
        <v>0</v>
      </c>
      <c r="F59" s="54">
        <f>VLOOKUP(A59,DB_TBL_DATA_FIELDS[[#All],[FIELD_ID]:[RANGE_VALIDATION_MAX]],19,FALSE)</f>
        <v>0</v>
      </c>
      <c r="G59" s="54">
        <f t="shared" ca="1" si="1"/>
        <v>1</v>
      </c>
      <c r="I59" s="55" t="str">
        <f>B56</f>
        <v>Member Certification</v>
      </c>
      <c r="J59" s="55"/>
      <c r="K59" s="55"/>
      <c r="L59" s="55"/>
      <c r="M59" s="55"/>
      <c r="N59" s="55"/>
      <c r="O59" s="55"/>
      <c r="P59" s="55"/>
      <c r="Q59" s="55"/>
      <c r="R59" s="55"/>
      <c r="S59" s="55"/>
      <c r="T59" s="55"/>
      <c r="U59" s="55"/>
      <c r="V59" s="55"/>
      <c r="W59" s="55"/>
      <c r="X59" s="56" t="str">
        <f ca="1">"Status: "&amp;$B$67</f>
        <v>Status: Not Started</v>
      </c>
    </row>
    <row r="60" spans="1:25" ht="21.95" customHeight="1" x14ac:dyDescent="0.25">
      <c r="A60" s="61" t="s">
        <v>2230</v>
      </c>
      <c r="B60" s="95" t="str">
        <f>IF(I87&lt;&gt;"",I87,"")</f>
        <v/>
      </c>
      <c r="C60" s="54">
        <f ca="1">VLOOKUP(A60,DB_TBL_DATA_FIELDS[[FIELD_ID]:[PCT_CALC_FIELD_STATUS_CODE]],22,FALSE)</f>
        <v>1</v>
      </c>
      <c r="D60" s="54" t="str">
        <f ca="1">IF(VLOOKUP(A60,DB_TBL_DATA_FIELDS[[FIELD_ID]:[ERROR_MESSAGE]],23,FALSE)&lt;&gt;0,VLOOKUP(A60,DB_TBL_DATA_FIELDS[[FIELD_ID]:[ERROR_MESSAGE]],23,FALSE),"")</f>
        <v/>
      </c>
      <c r="E60" s="54">
        <f>VLOOKUP(A60,DB_TBL_DATA_FIELDS[[#All],[FIELD_ID]:[RANGE_VALIDATION_MAX]],18,FALSE)</f>
        <v>0</v>
      </c>
      <c r="F60" s="54">
        <f>VLOOKUP(A60,DB_TBL_DATA_FIELDS[[#All],[FIELD_ID]:[RANGE_VALIDATION_MAX]],19,FALSE)</f>
        <v>60</v>
      </c>
      <c r="G60" s="54">
        <f t="shared" ca="1" si="1"/>
        <v>1</v>
      </c>
      <c r="J60"/>
      <c r="V60"/>
      <c r="X60"/>
    </row>
    <row r="61" spans="1:25" ht="21.95" customHeight="1" x14ac:dyDescent="0.25">
      <c r="A61" s="61" t="s">
        <v>2231</v>
      </c>
      <c r="B61" s="95" t="str">
        <f>IF(S87&lt;&gt;"",S87,"")</f>
        <v/>
      </c>
      <c r="C61" s="54">
        <f ca="1">VLOOKUP(A61,DB_TBL_DATA_FIELDS[[FIELD_ID]:[PCT_CALC_FIELD_STATUS_CODE]],22,FALSE)</f>
        <v>1</v>
      </c>
      <c r="D61" s="54" t="str">
        <f>IF(VLOOKUP(A61,DB_TBL_DATA_FIELDS[[FIELD_ID]:[ERROR_MESSAGE]],23,FALSE)&lt;&gt;0,VLOOKUP(A61,DB_TBL_DATA_FIELDS[[FIELD_ID]:[ERROR_MESSAGE]],23,FALSE),"")</f>
        <v/>
      </c>
      <c r="E61" s="54">
        <f>VLOOKUP(A61,DB_TBL_DATA_FIELDS[[#All],[FIELD_ID]:[RANGE_VALIDATION_MAX]],18,FALSE)</f>
        <v>0</v>
      </c>
      <c r="F61" s="54">
        <f>VLOOKUP(A61,DB_TBL_DATA_FIELDS[[#All],[FIELD_ID]:[RANGE_VALIDATION_MAX]],19,FALSE)</f>
        <v>50</v>
      </c>
      <c r="G61" s="54">
        <f t="shared" ca="1" si="1"/>
        <v>1</v>
      </c>
      <c r="I61" s="367" t="s">
        <v>9061</v>
      </c>
      <c r="J61" s="367"/>
      <c r="K61" s="367"/>
      <c r="L61" s="367"/>
      <c r="M61" s="367"/>
      <c r="N61" s="367"/>
      <c r="O61" s="367"/>
      <c r="P61" s="367"/>
      <c r="Q61" s="367"/>
      <c r="R61" s="367"/>
      <c r="S61" s="367"/>
      <c r="T61" s="367"/>
      <c r="U61" s="367"/>
      <c r="V61" s="367"/>
      <c r="W61" s="367"/>
      <c r="X61" s="367"/>
    </row>
    <row r="62" spans="1:25" ht="21.95" customHeight="1" x14ac:dyDescent="0.25">
      <c r="A62" s="61" t="s">
        <v>142</v>
      </c>
      <c r="B62" s="65" t="str">
        <f>"C"&amp;MATCH(LEFT(A62,LEN(A62)-LEN("_RANGE")),A:A,0)+1&amp;":C"&amp;(ROW()-1)</f>
        <v>C57:C61</v>
      </c>
      <c r="C62" s="54"/>
      <c r="D62" s="54"/>
      <c r="E62" s="54"/>
      <c r="F62" s="54"/>
      <c r="G62" s="54"/>
      <c r="I62" s="367"/>
      <c r="J62" s="367"/>
      <c r="K62" s="367"/>
      <c r="L62" s="367"/>
      <c r="M62" s="367"/>
      <c r="N62" s="367"/>
      <c r="O62" s="367"/>
      <c r="P62" s="367"/>
      <c r="Q62" s="367"/>
      <c r="R62" s="367"/>
      <c r="S62" s="367"/>
      <c r="T62" s="367"/>
      <c r="U62" s="367"/>
      <c r="V62" s="367"/>
      <c r="W62" s="367"/>
      <c r="X62" s="367"/>
    </row>
    <row r="63" spans="1:25" ht="21.95" customHeight="1" x14ac:dyDescent="0.25">
      <c r="A63" s="61" t="s">
        <v>143</v>
      </c>
      <c r="B63" s="65">
        <f ca="1">COUNTIF(INDIRECT($B62),2)</f>
        <v>0</v>
      </c>
      <c r="C63" s="54"/>
      <c r="D63" s="54"/>
      <c r="E63" s="54"/>
      <c r="F63" s="54"/>
      <c r="G63" s="54"/>
      <c r="I63" s="367"/>
      <c r="J63" s="367"/>
      <c r="K63" s="367"/>
      <c r="L63" s="367"/>
      <c r="M63" s="367"/>
      <c r="N63" s="367"/>
      <c r="O63" s="367"/>
      <c r="P63" s="367"/>
      <c r="Q63" s="367"/>
      <c r="R63" s="367"/>
      <c r="S63" s="367"/>
      <c r="T63" s="367"/>
      <c r="U63" s="367"/>
      <c r="V63" s="367"/>
      <c r="W63" s="367"/>
      <c r="X63" s="367"/>
    </row>
    <row r="64" spans="1:25" ht="21.95" customHeight="1" x14ac:dyDescent="0.25">
      <c r="A64" s="61" t="s">
        <v>144</v>
      </c>
      <c r="B64" s="65">
        <f ca="1">COUNTIF(INDIRECT($B62),0)+COUNTIF(INDIRECT($B62),1)+COUNTIF(INDIRECT($B62),2)</f>
        <v>5</v>
      </c>
      <c r="C64" s="54"/>
      <c r="D64" s="54"/>
      <c r="E64" s="54"/>
      <c r="F64" s="54"/>
      <c r="G64" s="54"/>
      <c r="I64" s="367"/>
      <c r="J64" s="367"/>
      <c r="K64" s="367"/>
      <c r="L64" s="367"/>
      <c r="M64" s="367"/>
      <c r="N64" s="367"/>
      <c r="O64" s="367"/>
      <c r="P64" s="367"/>
      <c r="Q64" s="367"/>
      <c r="R64" s="367"/>
      <c r="S64" s="367"/>
      <c r="T64" s="367"/>
      <c r="U64" s="367"/>
      <c r="V64" s="367"/>
      <c r="W64" s="367"/>
      <c r="X64" s="367"/>
    </row>
    <row r="65" spans="1:24" ht="21.95" customHeight="1" x14ac:dyDescent="0.25">
      <c r="A65" s="61" t="s">
        <v>145</v>
      </c>
      <c r="B65" s="65">
        <f ca="1">COUNTIF(INDIRECT($B62),0)</f>
        <v>0</v>
      </c>
      <c r="C65" s="54"/>
      <c r="D65" s="54"/>
      <c r="E65" s="54"/>
      <c r="F65" s="54"/>
      <c r="G65" s="54"/>
      <c r="I65" s="367"/>
      <c r="J65" s="367"/>
      <c r="K65" s="367"/>
      <c r="L65" s="367"/>
      <c r="M65" s="367"/>
      <c r="N65" s="367"/>
      <c r="O65" s="367"/>
      <c r="P65" s="367"/>
      <c r="Q65" s="367"/>
      <c r="R65" s="367"/>
      <c r="S65" s="367"/>
      <c r="T65" s="367"/>
      <c r="U65" s="367"/>
      <c r="V65" s="367"/>
      <c r="W65" s="367"/>
      <c r="X65" s="367"/>
    </row>
    <row r="66" spans="1:24" ht="21.95" customHeight="1" x14ac:dyDescent="0.25">
      <c r="A66" s="61" t="s">
        <v>146</v>
      </c>
      <c r="B66" s="97">
        <f ca="1">IFERROR(B63/B64,1.01)</f>
        <v>0</v>
      </c>
      <c r="C66" s="54"/>
      <c r="D66" s="54"/>
      <c r="E66" s="54"/>
      <c r="F66" s="54"/>
      <c r="G66" s="54"/>
      <c r="I66" s="367"/>
      <c r="J66" s="367"/>
      <c r="K66" s="367"/>
      <c r="L66" s="367"/>
      <c r="M66" s="367"/>
      <c r="N66" s="367"/>
      <c r="O66" s="367"/>
      <c r="P66" s="367"/>
      <c r="Q66" s="367"/>
      <c r="R66" s="367"/>
      <c r="S66" s="367"/>
      <c r="T66" s="367"/>
      <c r="U66" s="367"/>
      <c r="V66" s="367"/>
      <c r="W66" s="367"/>
      <c r="X66" s="367"/>
    </row>
    <row r="67" spans="1:24" ht="21.95" customHeight="1" x14ac:dyDescent="0.25">
      <c r="A67" s="61" t="s">
        <v>147</v>
      </c>
      <c r="B67" s="65" t="str">
        <f ca="1">IF(B65&gt;0,"Data Error(s)",IF(B66=0,"Not Started",IF(B66&lt;1,ROUNDUP(B66*100,0)&amp;"% Done",IF(B66&gt;1,"Optional","Complete"))))</f>
        <v>Not Started</v>
      </c>
      <c r="C67" s="54"/>
      <c r="D67" s="54"/>
      <c r="E67" s="54"/>
      <c r="F67" s="54"/>
      <c r="G67" s="54"/>
      <c r="I67" s="367"/>
      <c r="J67" s="367"/>
      <c r="K67" s="367"/>
      <c r="L67" s="367"/>
      <c r="M67" s="367"/>
      <c r="N67" s="367"/>
      <c r="O67" s="367"/>
      <c r="P67" s="367"/>
      <c r="Q67" s="367"/>
      <c r="R67" s="367"/>
      <c r="S67" s="367"/>
      <c r="T67" s="367"/>
      <c r="U67" s="367"/>
      <c r="V67" s="367"/>
      <c r="W67" s="367"/>
      <c r="X67" s="367"/>
    </row>
    <row r="68" spans="1:24" ht="21.95" customHeight="1" x14ac:dyDescent="0.25">
      <c r="A68" s="61" t="s">
        <v>148</v>
      </c>
      <c r="B68" s="65" t="str">
        <f ca="1">IF(B65&gt;0,0,IF(B66&lt;1,"",2))</f>
        <v/>
      </c>
      <c r="C68" s="54"/>
      <c r="D68" s="54"/>
      <c r="E68" s="54"/>
      <c r="F68" s="54"/>
      <c r="G68" s="54"/>
      <c r="I68" s="367"/>
      <c r="J68" s="367"/>
      <c r="K68" s="367"/>
      <c r="L68" s="367"/>
      <c r="M68" s="367"/>
      <c r="N68" s="367"/>
      <c r="O68" s="367"/>
      <c r="P68" s="367"/>
      <c r="Q68" s="367"/>
      <c r="R68" s="367"/>
      <c r="S68" s="367"/>
      <c r="T68" s="367"/>
      <c r="U68" s="367"/>
      <c r="V68" s="367"/>
      <c r="W68" s="367"/>
      <c r="X68" s="367"/>
    </row>
    <row r="69" spans="1:24" ht="21.95" customHeight="1" x14ac:dyDescent="0.25">
      <c r="A69" s="61" t="s">
        <v>149</v>
      </c>
      <c r="B69" s="96" t="s">
        <v>2862</v>
      </c>
      <c r="C69" s="54"/>
      <c r="D69" s="54"/>
      <c r="E69" s="54"/>
      <c r="F69" s="54"/>
      <c r="G69" s="54"/>
      <c r="I69" s="367"/>
      <c r="J69" s="367"/>
      <c r="K69" s="367"/>
      <c r="L69" s="367"/>
      <c r="M69" s="367"/>
      <c r="N69" s="367"/>
      <c r="O69" s="367"/>
      <c r="P69" s="367"/>
      <c r="Q69" s="367"/>
      <c r="R69" s="367"/>
      <c r="S69" s="367"/>
      <c r="T69" s="367"/>
      <c r="U69" s="367"/>
      <c r="V69" s="367"/>
      <c r="W69" s="367"/>
      <c r="X69" s="367"/>
    </row>
    <row r="70" spans="1:24" ht="21.95" customHeight="1" x14ac:dyDescent="0.25">
      <c r="A70" s="77" t="s">
        <v>2150</v>
      </c>
      <c r="B70" s="65">
        <v>0</v>
      </c>
      <c r="C70" s="54"/>
      <c r="D70" s="54"/>
      <c r="E70" s="54"/>
      <c r="F70" s="54"/>
      <c r="G70" s="54"/>
      <c r="I70" s="367"/>
      <c r="J70" s="367"/>
      <c r="K70" s="367"/>
      <c r="L70" s="367"/>
      <c r="M70" s="367"/>
      <c r="N70" s="367"/>
      <c r="O70" s="367"/>
      <c r="P70" s="367"/>
      <c r="Q70" s="367"/>
      <c r="R70" s="367"/>
      <c r="S70" s="367"/>
      <c r="T70" s="367"/>
      <c r="U70" s="367"/>
      <c r="V70" s="367"/>
      <c r="W70" s="367"/>
      <c r="X70" s="367"/>
    </row>
    <row r="71" spans="1:24" ht="21.95" customHeight="1" x14ac:dyDescent="0.25">
      <c r="A71" s="77" t="s">
        <v>2151</v>
      </c>
      <c r="B71" s="65" t="b">
        <f>(B70&gt;0)</f>
        <v>0</v>
      </c>
      <c r="C71" s="54"/>
      <c r="D71" s="54"/>
      <c r="E71" s="54"/>
      <c r="F71" s="54"/>
      <c r="G71" s="54"/>
      <c r="I71" s="367"/>
      <c r="J71" s="367"/>
      <c r="K71" s="367"/>
      <c r="L71" s="367"/>
      <c r="M71" s="367"/>
      <c r="N71" s="367"/>
      <c r="O71" s="367"/>
      <c r="P71" s="367"/>
      <c r="Q71" s="367"/>
      <c r="R71" s="367"/>
      <c r="S71" s="367"/>
      <c r="T71" s="367"/>
      <c r="U71" s="367"/>
      <c r="V71" s="367"/>
      <c r="W71" s="367"/>
      <c r="X71" s="367"/>
    </row>
    <row r="72" spans="1:24" ht="21.95" customHeight="1" x14ac:dyDescent="0.25">
      <c r="I72" s="367"/>
      <c r="J72" s="367"/>
      <c r="K72" s="367"/>
      <c r="L72" s="367"/>
      <c r="M72" s="367"/>
      <c r="N72" s="367"/>
      <c r="O72" s="367"/>
      <c r="P72" s="367"/>
      <c r="Q72" s="367"/>
      <c r="R72" s="367"/>
      <c r="S72" s="367"/>
      <c r="T72" s="367"/>
      <c r="U72" s="367"/>
      <c r="V72" s="367"/>
      <c r="W72" s="367"/>
      <c r="X72" s="367"/>
    </row>
    <row r="73" spans="1:24" ht="21.95" customHeight="1" x14ac:dyDescent="0.25">
      <c r="I73" s="367"/>
      <c r="J73" s="367"/>
      <c r="K73" s="367"/>
      <c r="L73" s="367"/>
      <c r="M73" s="367"/>
      <c r="N73" s="367"/>
      <c r="O73" s="367"/>
      <c r="P73" s="367"/>
      <c r="Q73" s="367"/>
      <c r="R73" s="367"/>
      <c r="S73" s="367"/>
      <c r="T73" s="367"/>
      <c r="U73" s="367"/>
      <c r="V73" s="367"/>
      <c r="W73" s="367"/>
      <c r="X73" s="367"/>
    </row>
    <row r="74" spans="1:24" ht="21.95" customHeight="1" x14ac:dyDescent="0.25">
      <c r="I74" s="367"/>
      <c r="J74" s="367"/>
      <c r="K74" s="367"/>
      <c r="L74" s="367"/>
      <c r="M74" s="367"/>
      <c r="N74" s="367"/>
      <c r="O74" s="367"/>
      <c r="P74" s="367"/>
      <c r="Q74" s="367"/>
      <c r="R74" s="367"/>
      <c r="S74" s="367"/>
      <c r="T74" s="367"/>
      <c r="U74" s="367"/>
      <c r="V74" s="367"/>
      <c r="W74" s="367"/>
      <c r="X74" s="367"/>
    </row>
    <row r="75" spans="1:24" ht="21.95" customHeight="1" x14ac:dyDescent="0.25">
      <c r="I75" s="367"/>
      <c r="J75" s="367"/>
      <c r="K75" s="367"/>
      <c r="L75" s="367"/>
      <c r="M75" s="367"/>
      <c r="N75" s="367"/>
      <c r="O75" s="367"/>
      <c r="P75" s="367"/>
      <c r="Q75" s="367"/>
      <c r="R75" s="367"/>
      <c r="S75" s="367"/>
      <c r="T75" s="367"/>
      <c r="U75" s="367"/>
      <c r="V75" s="367"/>
      <c r="W75" s="367"/>
      <c r="X75" s="367"/>
    </row>
    <row r="76" spans="1:24" ht="21.95" customHeight="1" x14ac:dyDescent="0.25">
      <c r="I76" s="367"/>
      <c r="J76" s="367"/>
      <c r="K76" s="367"/>
      <c r="L76" s="367"/>
      <c r="M76" s="367"/>
      <c r="N76" s="367"/>
      <c r="O76" s="367"/>
      <c r="P76" s="367"/>
      <c r="Q76" s="367"/>
      <c r="R76" s="367"/>
      <c r="S76" s="367"/>
      <c r="T76" s="367"/>
      <c r="U76" s="367"/>
      <c r="V76" s="367"/>
      <c r="W76" s="367"/>
      <c r="X76" s="367"/>
    </row>
    <row r="77" spans="1:24" ht="21.95" customHeight="1" x14ac:dyDescent="0.25">
      <c r="I77" s="367"/>
      <c r="J77" s="367"/>
      <c r="K77" s="367"/>
      <c r="L77" s="367"/>
      <c r="M77" s="367"/>
      <c r="N77" s="367"/>
      <c r="O77" s="367"/>
      <c r="P77" s="367"/>
      <c r="Q77" s="367"/>
      <c r="R77" s="367"/>
      <c r="S77" s="367"/>
      <c r="T77" s="367"/>
      <c r="U77" s="367"/>
      <c r="V77" s="367"/>
      <c r="W77" s="367"/>
      <c r="X77" s="367"/>
    </row>
    <row r="78" spans="1:24" ht="21.95" customHeight="1" x14ac:dyDescent="0.25">
      <c r="I78" s="367"/>
      <c r="J78" s="367"/>
      <c r="K78" s="367"/>
      <c r="L78" s="367"/>
      <c r="M78" s="367"/>
      <c r="N78" s="367"/>
      <c r="O78" s="367"/>
      <c r="P78" s="367"/>
      <c r="Q78" s="367"/>
      <c r="R78" s="367"/>
      <c r="S78" s="367"/>
      <c r="T78" s="367"/>
      <c r="U78" s="367"/>
      <c r="V78" s="367"/>
      <c r="W78" s="367"/>
      <c r="X78" s="367"/>
    </row>
    <row r="79" spans="1:24" ht="21.95" customHeight="1" x14ac:dyDescent="0.25">
      <c r="I79" s="367"/>
      <c r="J79" s="367"/>
      <c r="K79" s="367"/>
      <c r="L79" s="367"/>
      <c r="M79" s="367"/>
      <c r="N79" s="367"/>
      <c r="O79" s="367"/>
      <c r="P79" s="367"/>
      <c r="Q79" s="367"/>
      <c r="R79" s="367"/>
      <c r="S79" s="367"/>
      <c r="T79" s="367"/>
      <c r="U79" s="367"/>
      <c r="V79" s="367"/>
      <c r="W79" s="367"/>
      <c r="X79" s="367"/>
    </row>
    <row r="80" spans="1:24" ht="21.95" customHeight="1" x14ac:dyDescent="0.25">
      <c r="I80" s="367"/>
      <c r="J80" s="367"/>
      <c r="K80" s="367"/>
      <c r="L80" s="367"/>
      <c r="M80" s="367"/>
      <c r="N80" s="367"/>
      <c r="O80" s="367"/>
      <c r="P80" s="367"/>
      <c r="Q80" s="367"/>
      <c r="R80" s="367"/>
      <c r="S80" s="367"/>
      <c r="T80" s="367"/>
      <c r="U80" s="367"/>
      <c r="V80" s="367"/>
      <c r="W80" s="367"/>
      <c r="X80" s="367"/>
    </row>
    <row r="81" spans="8:25" ht="21.95" customHeight="1" x14ac:dyDescent="0.25">
      <c r="I81" s="367"/>
      <c r="J81" s="367"/>
      <c r="K81" s="367"/>
      <c r="L81" s="367"/>
      <c r="M81" s="367"/>
      <c r="N81" s="367"/>
      <c r="O81" s="367"/>
      <c r="P81" s="367"/>
      <c r="Q81" s="367"/>
      <c r="R81" s="367"/>
      <c r="S81" s="367"/>
      <c r="T81" s="367"/>
      <c r="U81" s="367"/>
      <c r="V81" s="367"/>
      <c r="W81" s="367"/>
      <c r="X81" s="367"/>
    </row>
    <row r="82" spans="8:25" ht="21.95" customHeight="1" x14ac:dyDescent="0.25">
      <c r="I82" s="367"/>
      <c r="J82" s="367"/>
      <c r="K82" s="367"/>
      <c r="L82" s="367"/>
      <c r="M82" s="367"/>
      <c r="N82" s="367"/>
      <c r="O82" s="367"/>
      <c r="P82" s="367"/>
      <c r="Q82" s="367"/>
      <c r="R82" s="367"/>
      <c r="S82" s="367"/>
      <c r="T82" s="367"/>
      <c r="U82" s="367"/>
      <c r="V82" s="367"/>
      <c r="W82" s="367"/>
      <c r="X82" s="367"/>
    </row>
    <row r="83" spans="8:25" ht="21.95" customHeight="1" x14ac:dyDescent="0.25">
      <c r="J83"/>
      <c r="L83"/>
      <c r="N83"/>
      <c r="P83"/>
      <c r="R83"/>
      <c r="T83"/>
      <c r="V83"/>
      <c r="X83"/>
    </row>
    <row r="84" spans="8:25" ht="21.95" customHeight="1" x14ac:dyDescent="0.25">
      <c r="I84" s="36" t="s">
        <v>2873</v>
      </c>
      <c r="K84" s="36"/>
      <c r="M84" s="36"/>
      <c r="N84" s="36"/>
      <c r="O84" s="36" t="s">
        <v>2874</v>
      </c>
      <c r="Q84" s="36"/>
      <c r="S84" s="36"/>
      <c r="T84" s="36"/>
      <c r="U84" s="36" t="s">
        <v>31</v>
      </c>
      <c r="V84" s="36"/>
      <c r="W84" s="36"/>
      <c r="X84" s="36"/>
    </row>
    <row r="85" spans="8:25" ht="21.95" customHeight="1" x14ac:dyDescent="0.25">
      <c r="I85" s="316"/>
      <c r="J85" s="317"/>
      <c r="K85" s="317"/>
      <c r="L85" s="317"/>
      <c r="M85" s="318"/>
      <c r="N85" s="52">
        <f ca="1">G57</f>
        <v>1</v>
      </c>
      <c r="O85" s="316"/>
      <c r="P85" s="317"/>
      <c r="Q85" s="317"/>
      <c r="R85" s="317"/>
      <c r="S85" s="318"/>
      <c r="T85" s="52">
        <f ca="1">G58</f>
        <v>1</v>
      </c>
      <c r="U85" s="338"/>
      <c r="V85" s="339"/>
      <c r="W85" s="340"/>
      <c r="X85" s="52">
        <f ca="1">G59</f>
        <v>1</v>
      </c>
    </row>
    <row r="86" spans="8:25" ht="21.95" customHeight="1" x14ac:dyDescent="0.25">
      <c r="I86" s="36" t="s">
        <v>132</v>
      </c>
      <c r="K86" s="36"/>
      <c r="M86" s="36"/>
      <c r="N86" s="36"/>
      <c r="O86" s="36"/>
      <c r="P86" s="36"/>
      <c r="S86" s="36" t="s">
        <v>2158</v>
      </c>
      <c r="W86" s="36"/>
    </row>
    <row r="87" spans="8:25" ht="21.95" customHeight="1" x14ac:dyDescent="0.25">
      <c r="I87" s="409"/>
      <c r="J87" s="317"/>
      <c r="K87" s="317"/>
      <c r="L87" s="317"/>
      <c r="M87" s="317"/>
      <c r="N87" s="317"/>
      <c r="O87" s="317"/>
      <c r="P87" s="317"/>
      <c r="Q87" s="318"/>
      <c r="R87" s="52">
        <f ca="1">G60</f>
        <v>1</v>
      </c>
      <c r="S87" s="313"/>
      <c r="T87" s="314"/>
      <c r="U87" s="314"/>
      <c r="V87" s="314"/>
      <c r="W87" s="315"/>
      <c r="X87" s="52">
        <f ca="1">G61</f>
        <v>1</v>
      </c>
    </row>
    <row r="88" spans="8:25" ht="21.95" customHeight="1" x14ac:dyDescent="0.25">
      <c r="I88" s="331" t="str">
        <f ca="1">D60</f>
        <v/>
      </c>
      <c r="J88" s="331"/>
      <c r="K88" s="331"/>
      <c r="L88" s="331"/>
      <c r="M88" s="331"/>
      <c r="N88" s="331"/>
      <c r="O88" s="331"/>
      <c r="P88" s="331"/>
      <c r="Q88" s="331"/>
      <c r="R88"/>
      <c r="T88"/>
      <c r="V88"/>
      <c r="X88"/>
    </row>
    <row r="89" spans="8:25" ht="21.95" customHeight="1" x14ac:dyDescent="0.25">
      <c r="J89"/>
      <c r="L89"/>
      <c r="N89"/>
      <c r="P89"/>
    </row>
    <row r="90" spans="8:25" ht="21.95" customHeight="1" x14ac:dyDescent="0.25">
      <c r="J90"/>
      <c r="L90"/>
      <c r="N90"/>
      <c r="P90"/>
      <c r="R90"/>
      <c r="T90"/>
      <c r="V90"/>
      <c r="X90"/>
    </row>
    <row r="91" spans="8:25" ht="21.95" hidden="1" customHeight="1" x14ac:dyDescent="0.25">
      <c r="J91"/>
      <c r="L91"/>
      <c r="N91"/>
      <c r="P91"/>
      <c r="R91"/>
      <c r="T91"/>
      <c r="V91"/>
      <c r="X91"/>
    </row>
    <row r="92" spans="8:25" ht="21.95" hidden="1" customHeight="1" x14ac:dyDescent="0.25">
      <c r="J92"/>
      <c r="L92"/>
      <c r="N92"/>
      <c r="P92"/>
      <c r="R92"/>
      <c r="T92"/>
      <c r="V92"/>
      <c r="X92"/>
    </row>
    <row r="93" spans="8:25" s="67" customFormat="1" ht="21.95" hidden="1" customHeight="1" x14ac:dyDescent="0.25">
      <c r="H93"/>
      <c r="I93"/>
      <c r="J93"/>
      <c r="K93"/>
      <c r="L93"/>
      <c r="M93"/>
      <c r="N93"/>
      <c r="O93"/>
      <c r="P93"/>
      <c r="Q93"/>
      <c r="R93"/>
      <c r="S93"/>
      <c r="T93"/>
      <c r="U93"/>
      <c r="V93"/>
      <c r="W93"/>
      <c r="X93"/>
      <c r="Y93"/>
    </row>
    <row r="94" spans="8:25" s="67" customFormat="1" ht="21.95" hidden="1" customHeight="1" x14ac:dyDescent="0.25">
      <c r="H94"/>
      <c r="I94"/>
      <c r="J94"/>
      <c r="K94"/>
      <c r="L94"/>
      <c r="M94"/>
      <c r="N94"/>
      <c r="O94"/>
      <c r="P94"/>
      <c r="Q94"/>
      <c r="R94"/>
      <c r="S94"/>
      <c r="T94"/>
      <c r="U94"/>
      <c r="V94"/>
      <c r="W94"/>
      <c r="X94"/>
      <c r="Y94"/>
    </row>
    <row r="95" spans="8:25" s="67" customFormat="1" ht="21.95" hidden="1" customHeight="1" x14ac:dyDescent="0.25">
      <c r="H95"/>
      <c r="I95"/>
      <c r="J95"/>
      <c r="K95"/>
      <c r="L95"/>
      <c r="M95"/>
      <c r="N95"/>
      <c r="O95"/>
      <c r="P95"/>
      <c r="Q95"/>
      <c r="R95"/>
      <c r="S95"/>
      <c r="T95"/>
      <c r="U95"/>
      <c r="V95"/>
      <c r="W95"/>
      <c r="X95"/>
      <c r="Y95"/>
    </row>
    <row r="96" spans="8:25" s="67" customFormat="1" ht="21.95" hidden="1" customHeight="1" x14ac:dyDescent="0.25">
      <c r="H96"/>
      <c r="I96"/>
      <c r="J96"/>
      <c r="K96"/>
      <c r="L96"/>
      <c r="M96"/>
      <c r="N96"/>
      <c r="O96"/>
      <c r="P96"/>
      <c r="Q96"/>
      <c r="R96"/>
      <c r="S96"/>
      <c r="T96"/>
      <c r="U96"/>
      <c r="V96"/>
      <c r="W96"/>
      <c r="X96"/>
      <c r="Y96"/>
    </row>
    <row r="97" spans="8:25" s="67" customFormat="1" ht="21.95" hidden="1" customHeight="1" x14ac:dyDescent="0.25">
      <c r="H97"/>
      <c r="I97"/>
      <c r="J97"/>
      <c r="K97"/>
      <c r="L97"/>
      <c r="M97"/>
      <c r="N97"/>
      <c r="O97"/>
      <c r="P97"/>
      <c r="Q97"/>
      <c r="R97"/>
      <c r="S97"/>
      <c r="T97"/>
      <c r="U97"/>
      <c r="V97"/>
      <c r="W97"/>
      <c r="X97"/>
      <c r="Y97"/>
    </row>
    <row r="98" spans="8:25" s="67" customFormat="1" ht="21.95" hidden="1" customHeight="1" x14ac:dyDescent="0.25">
      <c r="H98"/>
      <c r="I98"/>
      <c r="J98"/>
      <c r="K98"/>
      <c r="L98"/>
      <c r="M98"/>
      <c r="N98"/>
      <c r="O98"/>
      <c r="P98"/>
      <c r="Q98"/>
      <c r="R98"/>
      <c r="S98"/>
      <c r="T98"/>
      <c r="U98"/>
      <c r="V98"/>
      <c r="W98"/>
      <c r="X98"/>
      <c r="Y98"/>
    </row>
    <row r="99" spans="8:25" s="67" customFormat="1" ht="21.95" hidden="1" customHeight="1" x14ac:dyDescent="0.25">
      <c r="H99"/>
      <c r="I99"/>
      <c r="J99"/>
      <c r="K99"/>
      <c r="L99"/>
      <c r="M99"/>
      <c r="N99"/>
      <c r="O99"/>
      <c r="P99"/>
      <c r="Q99"/>
      <c r="R99"/>
      <c r="S99"/>
      <c r="T99"/>
      <c r="U99"/>
      <c r="V99"/>
      <c r="W99"/>
      <c r="X99"/>
      <c r="Y99"/>
    </row>
    <row r="100" spans="8:25" s="67" customFormat="1" ht="21.95" hidden="1" customHeight="1" x14ac:dyDescent="0.25">
      <c r="H100"/>
      <c r="I100"/>
      <c r="J100"/>
      <c r="K100"/>
      <c r="L100"/>
      <c r="M100"/>
      <c r="N100"/>
      <c r="O100"/>
      <c r="P100"/>
      <c r="Q100"/>
      <c r="R100"/>
      <c r="S100"/>
      <c r="T100"/>
      <c r="U100"/>
      <c r="V100"/>
      <c r="W100"/>
      <c r="X100"/>
      <c r="Y100"/>
    </row>
    <row r="101" spans="8:25" s="67" customFormat="1" ht="21.95" hidden="1" customHeight="1" x14ac:dyDescent="0.25">
      <c r="H101"/>
      <c r="I101"/>
      <c r="J101"/>
      <c r="K101"/>
      <c r="L101"/>
      <c r="M101"/>
      <c r="N101"/>
      <c r="O101"/>
      <c r="P101"/>
      <c r="Q101"/>
      <c r="R101"/>
      <c r="S101"/>
      <c r="T101"/>
      <c r="U101"/>
      <c r="V101"/>
      <c r="W101"/>
      <c r="X101"/>
      <c r="Y101"/>
    </row>
    <row r="102" spans="8:25" s="67" customFormat="1" ht="21.95" hidden="1" customHeight="1" x14ac:dyDescent="0.25">
      <c r="H102"/>
      <c r="I102"/>
      <c r="J102"/>
      <c r="K102"/>
      <c r="L102"/>
      <c r="M102"/>
      <c r="N102"/>
      <c r="O102"/>
      <c r="P102"/>
      <c r="Q102"/>
      <c r="R102"/>
      <c r="S102"/>
      <c r="T102"/>
      <c r="U102"/>
      <c r="V102"/>
      <c r="W102"/>
      <c r="X102"/>
      <c r="Y102"/>
    </row>
    <row r="103" spans="8:25" s="67" customFormat="1" ht="21.95" hidden="1" customHeight="1" x14ac:dyDescent="0.25">
      <c r="H103"/>
      <c r="I103"/>
      <c r="J103"/>
      <c r="K103"/>
      <c r="L103"/>
      <c r="M103"/>
      <c r="N103"/>
      <c r="O103"/>
      <c r="P103"/>
      <c r="Q103"/>
      <c r="R103"/>
      <c r="S103"/>
      <c r="T103"/>
      <c r="U103"/>
      <c r="V103"/>
      <c r="W103"/>
      <c r="X103"/>
      <c r="Y103"/>
    </row>
    <row r="104" spans="8:25" s="67" customFormat="1" ht="21.95" hidden="1" customHeight="1" x14ac:dyDescent="0.25">
      <c r="H104"/>
      <c r="I104"/>
      <c r="J104"/>
      <c r="K104"/>
      <c r="L104"/>
      <c r="M104"/>
      <c r="N104"/>
      <c r="O104"/>
      <c r="P104"/>
      <c r="Q104"/>
      <c r="R104"/>
      <c r="S104"/>
      <c r="T104"/>
      <c r="U104"/>
      <c r="V104"/>
      <c r="W104"/>
      <c r="X104"/>
      <c r="Y104"/>
    </row>
    <row r="105" spans="8:25" s="67" customFormat="1" ht="21.95" hidden="1" customHeight="1" x14ac:dyDescent="0.25">
      <c r="H105"/>
      <c r="I105"/>
      <c r="J105"/>
      <c r="K105"/>
      <c r="L105"/>
      <c r="M105"/>
      <c r="N105"/>
      <c r="O105"/>
      <c r="P105"/>
      <c r="Q105"/>
      <c r="R105"/>
      <c r="S105"/>
      <c r="T105"/>
      <c r="U105"/>
      <c r="V105"/>
      <c r="W105"/>
      <c r="X105"/>
      <c r="Y105"/>
    </row>
    <row r="106" spans="8:25" s="67" customFormat="1" hidden="1" x14ac:dyDescent="0.25">
      <c r="H106"/>
      <c r="I106"/>
      <c r="J106"/>
      <c r="K106"/>
      <c r="L106"/>
      <c r="M106"/>
      <c r="N106"/>
      <c r="O106"/>
      <c r="P106"/>
      <c r="Q106"/>
      <c r="R106"/>
      <c r="S106"/>
      <c r="T106"/>
      <c r="U106"/>
      <c r="V106"/>
      <c r="W106"/>
      <c r="X106"/>
      <c r="Y106"/>
    </row>
    <row r="107" spans="8:25" s="67" customFormat="1" hidden="1" x14ac:dyDescent="0.25">
      <c r="H107"/>
      <c r="I107"/>
      <c r="J107"/>
      <c r="K107"/>
      <c r="L107"/>
      <c r="M107"/>
      <c r="N107"/>
      <c r="O107"/>
      <c r="P107"/>
      <c r="Q107"/>
      <c r="R107"/>
      <c r="S107"/>
      <c r="T107"/>
      <c r="U107"/>
      <c r="V107"/>
      <c r="W107"/>
      <c r="X107"/>
      <c r="Y107"/>
    </row>
    <row r="108" spans="8:25" s="67" customFormat="1" hidden="1" x14ac:dyDescent="0.25">
      <c r="H108"/>
      <c r="I108"/>
      <c r="J108" s="44"/>
      <c r="K108"/>
      <c r="L108" s="44"/>
      <c r="M108"/>
      <c r="N108" s="44"/>
      <c r="O108"/>
      <c r="P108" s="44"/>
      <c r="Q108"/>
      <c r="R108" s="44"/>
      <c r="S108"/>
      <c r="T108" s="44"/>
      <c r="U108"/>
      <c r="V108" s="44"/>
      <c r="W108"/>
      <c r="X108" s="44"/>
      <c r="Y108"/>
    </row>
    <row r="109" spans="8:25" s="67" customFormat="1" hidden="1" x14ac:dyDescent="0.25">
      <c r="H109"/>
      <c r="I109"/>
      <c r="J109" s="44"/>
      <c r="K109"/>
      <c r="L109" s="44"/>
      <c r="M109"/>
      <c r="N109" s="44"/>
      <c r="O109"/>
      <c r="P109" s="44"/>
      <c r="Q109"/>
      <c r="R109" s="44"/>
      <c r="S109"/>
      <c r="T109" s="44"/>
      <c r="U109"/>
      <c r="V109" s="44"/>
      <c r="W109"/>
      <c r="X109" s="44"/>
      <c r="Y109"/>
    </row>
    <row r="110" spans="8:25" s="67" customFormat="1" hidden="1" x14ac:dyDescent="0.25">
      <c r="H110"/>
      <c r="I110"/>
      <c r="J110" s="44"/>
      <c r="K110"/>
      <c r="L110" s="44"/>
      <c r="M110"/>
      <c r="N110" s="44"/>
      <c r="O110"/>
      <c r="P110" s="44"/>
      <c r="Q110"/>
      <c r="R110" s="44"/>
      <c r="S110"/>
      <c r="T110" s="44"/>
      <c r="U110"/>
      <c r="V110" s="44"/>
      <c r="W110"/>
      <c r="X110" s="44"/>
      <c r="Y110"/>
    </row>
    <row r="111" spans="8:25" s="67" customFormat="1" hidden="1" x14ac:dyDescent="0.25">
      <c r="H111"/>
      <c r="I111"/>
      <c r="J111" s="44"/>
      <c r="K111"/>
      <c r="L111" s="44"/>
      <c r="M111"/>
      <c r="N111" s="44"/>
      <c r="O111"/>
      <c r="P111" s="44"/>
      <c r="Q111"/>
      <c r="R111" s="44"/>
      <c r="S111"/>
      <c r="T111" s="44"/>
      <c r="U111"/>
      <c r="V111" s="44"/>
      <c r="W111"/>
      <c r="X111" s="44"/>
      <c r="Y111"/>
    </row>
    <row r="112" spans="8:25" s="67" customFormat="1" hidden="1" x14ac:dyDescent="0.25">
      <c r="H112"/>
      <c r="I112"/>
      <c r="J112" s="44"/>
      <c r="K112"/>
      <c r="L112" s="44"/>
      <c r="M112"/>
      <c r="N112" s="44"/>
      <c r="O112"/>
      <c r="P112" s="44"/>
      <c r="Q112"/>
      <c r="R112" s="44"/>
      <c r="S112"/>
      <c r="T112" s="44"/>
      <c r="U112"/>
      <c r="V112" s="44"/>
      <c r="W112"/>
      <c r="X112" s="44"/>
      <c r="Y112"/>
    </row>
    <row r="113" spans="8:25" s="67" customFormat="1" hidden="1" x14ac:dyDescent="0.25">
      <c r="H113"/>
      <c r="I113"/>
      <c r="J113" s="44"/>
      <c r="K113"/>
      <c r="L113" s="44"/>
      <c r="M113"/>
      <c r="N113" s="44"/>
      <c r="O113"/>
      <c r="P113" s="44"/>
      <c r="Q113"/>
      <c r="R113" s="44"/>
      <c r="S113"/>
      <c r="T113" s="44"/>
      <c r="U113"/>
      <c r="V113" s="44"/>
      <c r="W113"/>
      <c r="X113" s="44"/>
      <c r="Y113"/>
    </row>
    <row r="114" spans="8:25" s="67" customFormat="1" hidden="1" x14ac:dyDescent="0.25">
      <c r="H114"/>
      <c r="I114"/>
      <c r="J114" s="44"/>
      <c r="K114"/>
      <c r="L114" s="44"/>
      <c r="M114"/>
      <c r="N114" s="44"/>
      <c r="O114"/>
      <c r="P114" s="44"/>
      <c r="Q114"/>
      <c r="R114" s="44"/>
      <c r="S114"/>
      <c r="T114" s="44"/>
      <c r="U114"/>
      <c r="V114" s="44"/>
      <c r="W114"/>
      <c r="X114" s="44"/>
      <c r="Y114"/>
    </row>
    <row r="115" spans="8:25" s="67" customFormat="1" hidden="1" x14ac:dyDescent="0.25">
      <c r="H115"/>
      <c r="I115"/>
      <c r="J115" s="44"/>
      <c r="K115"/>
      <c r="L115" s="44"/>
      <c r="M115"/>
      <c r="N115" s="44"/>
      <c r="O115"/>
      <c r="P115" s="44"/>
      <c r="Q115"/>
      <c r="R115" s="44"/>
      <c r="S115"/>
      <c r="T115" s="44"/>
      <c r="U115"/>
      <c r="V115" s="44"/>
      <c r="W115"/>
      <c r="X115" s="44"/>
      <c r="Y115"/>
    </row>
    <row r="116" spans="8:25" s="67" customFormat="1" hidden="1" x14ac:dyDescent="0.25">
      <c r="H116"/>
      <c r="I116"/>
      <c r="J116" s="44"/>
      <c r="K116"/>
      <c r="L116" s="44"/>
      <c r="M116"/>
      <c r="N116" s="44"/>
      <c r="O116"/>
      <c r="P116" s="44"/>
      <c r="Q116"/>
      <c r="R116" s="44"/>
      <c r="S116"/>
      <c r="T116" s="44"/>
      <c r="U116"/>
      <c r="V116" s="44"/>
      <c r="W116"/>
      <c r="X116" s="44"/>
      <c r="Y116"/>
    </row>
    <row r="117" spans="8:25" s="67" customFormat="1" hidden="1" x14ac:dyDescent="0.25">
      <c r="H117"/>
      <c r="I117"/>
      <c r="J117" s="44"/>
      <c r="K117"/>
      <c r="L117" s="44"/>
      <c r="M117"/>
      <c r="N117" s="44"/>
      <c r="O117"/>
      <c r="P117" s="44"/>
      <c r="Q117"/>
      <c r="R117" s="44"/>
      <c r="S117"/>
      <c r="T117" s="44"/>
      <c r="U117"/>
      <c r="V117" s="44"/>
      <c r="W117"/>
      <c r="X117" s="44"/>
      <c r="Y117"/>
    </row>
    <row r="118" spans="8:25" s="67" customFormat="1" hidden="1" x14ac:dyDescent="0.25">
      <c r="H118"/>
      <c r="I118"/>
      <c r="J118" s="44"/>
      <c r="K118"/>
      <c r="L118" s="44"/>
      <c r="M118"/>
      <c r="N118" s="44"/>
      <c r="O118"/>
      <c r="P118" s="44"/>
      <c r="Q118"/>
      <c r="R118" s="44"/>
      <c r="S118"/>
      <c r="T118" s="44"/>
      <c r="U118"/>
      <c r="V118" s="44"/>
      <c r="W118"/>
      <c r="X118" s="44"/>
      <c r="Y118"/>
    </row>
    <row r="119" spans="8:25" s="67" customFormat="1" hidden="1" x14ac:dyDescent="0.25">
      <c r="H119"/>
      <c r="I119"/>
      <c r="J119" s="44"/>
      <c r="K119"/>
      <c r="L119" s="44"/>
      <c r="M119"/>
      <c r="N119" s="44"/>
      <c r="O119"/>
      <c r="P119" s="44"/>
      <c r="Q119"/>
      <c r="R119" s="44"/>
      <c r="S119"/>
      <c r="T119" s="44"/>
      <c r="U119"/>
      <c r="V119" s="44"/>
      <c r="W119"/>
      <c r="X119" s="44"/>
      <c r="Y119"/>
    </row>
    <row r="120" spans="8:25" s="67" customFormat="1" hidden="1" x14ac:dyDescent="0.25">
      <c r="H120"/>
      <c r="I120"/>
      <c r="J120" s="44"/>
      <c r="K120"/>
      <c r="L120" s="44"/>
      <c r="M120"/>
      <c r="N120" s="44"/>
      <c r="O120"/>
      <c r="P120" s="44"/>
      <c r="Q120"/>
      <c r="R120" s="44"/>
      <c r="S120"/>
      <c r="T120" s="44"/>
      <c r="U120"/>
      <c r="V120" s="44"/>
      <c r="W120"/>
      <c r="X120" s="44"/>
      <c r="Y120"/>
    </row>
    <row r="121" spans="8:25" s="67" customFormat="1" hidden="1" x14ac:dyDescent="0.25">
      <c r="H121"/>
      <c r="I121"/>
      <c r="J121" s="44"/>
      <c r="K121"/>
      <c r="L121" s="44"/>
      <c r="M121"/>
      <c r="N121" s="44"/>
      <c r="O121"/>
      <c r="P121" s="44"/>
      <c r="Q121"/>
      <c r="R121" s="44"/>
      <c r="S121"/>
      <c r="T121" s="44"/>
      <c r="U121"/>
      <c r="V121" s="44"/>
      <c r="W121"/>
      <c r="X121" s="44"/>
      <c r="Y121"/>
    </row>
    <row r="122" spans="8:25" s="67" customFormat="1" hidden="1" x14ac:dyDescent="0.25">
      <c r="H122"/>
      <c r="I122"/>
      <c r="J122" s="44"/>
      <c r="K122"/>
      <c r="L122" s="44"/>
      <c r="M122"/>
      <c r="N122" s="44"/>
      <c r="O122"/>
      <c r="P122" s="44"/>
      <c r="Q122"/>
      <c r="R122" s="44"/>
      <c r="S122"/>
      <c r="T122" s="44"/>
      <c r="U122"/>
      <c r="V122" s="44"/>
      <c r="W122"/>
      <c r="X122" s="44"/>
      <c r="Y122"/>
    </row>
    <row r="123" spans="8:25" s="67" customFormat="1" hidden="1" x14ac:dyDescent="0.25">
      <c r="H123"/>
      <c r="I123"/>
      <c r="J123" s="44"/>
      <c r="K123"/>
      <c r="L123" s="44"/>
      <c r="M123"/>
      <c r="N123" s="44"/>
      <c r="O123"/>
      <c r="P123" s="44"/>
      <c r="Q123"/>
      <c r="R123" s="44"/>
      <c r="S123"/>
      <c r="T123" s="44"/>
      <c r="U123"/>
      <c r="V123" s="44"/>
      <c r="W123"/>
      <c r="X123" s="44"/>
      <c r="Y123"/>
    </row>
    <row r="124" spans="8:25" s="67" customFormat="1" hidden="1" x14ac:dyDescent="0.25">
      <c r="H124"/>
      <c r="I124"/>
      <c r="J124" s="44"/>
      <c r="K124"/>
      <c r="L124" s="44"/>
      <c r="M124"/>
      <c r="N124" s="44"/>
      <c r="O124"/>
      <c r="P124" s="44"/>
      <c r="Q124"/>
      <c r="R124" s="44"/>
      <c r="S124"/>
      <c r="T124" s="44"/>
      <c r="U124"/>
      <c r="V124" s="44"/>
      <c r="W124"/>
      <c r="X124" s="44"/>
      <c r="Y124"/>
    </row>
    <row r="125" spans="8:25" s="67" customFormat="1" hidden="1" x14ac:dyDescent="0.25">
      <c r="H125"/>
      <c r="I125"/>
      <c r="J125" s="44"/>
      <c r="K125"/>
      <c r="L125" s="44"/>
      <c r="M125"/>
      <c r="N125" s="44"/>
      <c r="O125"/>
      <c r="P125" s="44"/>
      <c r="Q125"/>
      <c r="R125" s="44"/>
      <c r="S125"/>
      <c r="T125" s="44"/>
      <c r="U125"/>
      <c r="V125" s="44"/>
      <c r="W125"/>
      <c r="X125" s="44"/>
      <c r="Y125"/>
    </row>
    <row r="126" spans="8:25" s="67" customFormat="1" hidden="1" x14ac:dyDescent="0.25">
      <c r="H126"/>
      <c r="I126"/>
      <c r="J126" s="44"/>
      <c r="K126"/>
      <c r="L126" s="44"/>
      <c r="M126"/>
      <c r="N126" s="44"/>
      <c r="O126"/>
      <c r="P126" s="44"/>
      <c r="Q126"/>
      <c r="R126" s="44"/>
      <c r="S126"/>
      <c r="T126" s="44"/>
      <c r="U126"/>
      <c r="V126" s="44"/>
      <c r="W126"/>
      <c r="X126" s="44"/>
      <c r="Y126"/>
    </row>
    <row r="127" spans="8:25" s="67" customFormat="1" hidden="1" x14ac:dyDescent="0.25">
      <c r="H127"/>
      <c r="I127"/>
      <c r="J127" s="44"/>
      <c r="K127"/>
      <c r="L127" s="44"/>
      <c r="M127"/>
      <c r="N127" s="44"/>
      <c r="O127"/>
      <c r="P127" s="44"/>
      <c r="Q127"/>
      <c r="R127" s="44"/>
      <c r="S127"/>
      <c r="T127" s="44"/>
      <c r="U127"/>
      <c r="V127" s="44"/>
      <c r="W127"/>
      <c r="X127" s="44"/>
      <c r="Y127"/>
    </row>
    <row r="128" spans="8:25" s="67" customFormat="1" hidden="1" x14ac:dyDescent="0.25">
      <c r="H128"/>
      <c r="I128"/>
      <c r="J128" s="44"/>
      <c r="K128"/>
      <c r="L128" s="44"/>
      <c r="M128"/>
      <c r="N128" s="44"/>
      <c r="O128"/>
      <c r="P128" s="44"/>
      <c r="Q128"/>
      <c r="R128" s="44"/>
      <c r="S128"/>
      <c r="T128" s="44"/>
      <c r="U128"/>
      <c r="V128" s="44"/>
      <c r="W128"/>
      <c r="X128" s="44"/>
      <c r="Y128"/>
    </row>
    <row r="129" spans="8:25" s="67" customFormat="1" hidden="1" x14ac:dyDescent="0.25">
      <c r="H129"/>
      <c r="I129"/>
      <c r="J129" s="44"/>
      <c r="K129"/>
      <c r="L129" s="44"/>
      <c r="M129"/>
      <c r="N129" s="44"/>
      <c r="O129"/>
      <c r="P129" s="44"/>
      <c r="Q129"/>
      <c r="R129" s="44"/>
      <c r="S129"/>
      <c r="T129" s="44"/>
      <c r="U129"/>
      <c r="V129" s="44"/>
      <c r="W129"/>
      <c r="X129" s="44"/>
      <c r="Y129"/>
    </row>
    <row r="130" spans="8:25" s="67" customFormat="1" hidden="1" x14ac:dyDescent="0.25">
      <c r="H130"/>
      <c r="I130"/>
      <c r="J130" s="44"/>
      <c r="K130"/>
      <c r="L130" s="44"/>
      <c r="M130"/>
      <c r="N130" s="44"/>
      <c r="O130"/>
      <c r="P130" s="44"/>
      <c r="Q130"/>
      <c r="R130" s="44"/>
      <c r="S130"/>
      <c r="T130" s="44"/>
      <c r="U130"/>
      <c r="V130" s="44"/>
      <c r="W130"/>
      <c r="X130" s="44"/>
      <c r="Y130"/>
    </row>
    <row r="131" spans="8:25" s="67" customFormat="1" hidden="1" x14ac:dyDescent="0.25">
      <c r="H131"/>
      <c r="I131"/>
      <c r="J131" s="44"/>
      <c r="K131"/>
      <c r="L131" s="44"/>
      <c r="M131"/>
      <c r="N131" s="44"/>
      <c r="O131"/>
      <c r="P131" s="44"/>
      <c r="Q131"/>
      <c r="R131" s="44"/>
      <c r="S131"/>
      <c r="T131" s="44"/>
      <c r="U131"/>
      <c r="V131" s="44"/>
      <c r="W131"/>
      <c r="X131" s="44"/>
      <c r="Y131"/>
    </row>
    <row r="132" spans="8:25" s="67" customFormat="1" hidden="1" x14ac:dyDescent="0.25">
      <c r="H132"/>
      <c r="I132"/>
      <c r="J132" s="44"/>
      <c r="K132"/>
      <c r="L132" s="44"/>
      <c r="M132"/>
      <c r="N132" s="44"/>
      <c r="O132"/>
      <c r="P132" s="44"/>
      <c r="Q132"/>
      <c r="R132" s="44"/>
      <c r="S132"/>
      <c r="T132" s="44"/>
      <c r="U132"/>
      <c r="V132" s="44"/>
      <c r="W132"/>
      <c r="X132" s="44"/>
      <c r="Y132"/>
    </row>
    <row r="133" spans="8:25" s="67" customFormat="1" hidden="1" x14ac:dyDescent="0.25">
      <c r="H133"/>
      <c r="I133"/>
      <c r="J133" s="44"/>
      <c r="K133"/>
      <c r="L133" s="44"/>
      <c r="M133"/>
      <c r="N133" s="44"/>
      <c r="O133"/>
      <c r="P133" s="44"/>
      <c r="Q133"/>
      <c r="R133" s="44"/>
      <c r="S133"/>
      <c r="T133" s="44"/>
      <c r="U133"/>
      <c r="V133" s="44"/>
      <c r="W133"/>
      <c r="X133" s="44"/>
      <c r="Y133"/>
    </row>
    <row r="134" spans="8:25" s="67" customFormat="1" hidden="1" x14ac:dyDescent="0.25">
      <c r="H134"/>
      <c r="I134"/>
      <c r="J134" s="44"/>
      <c r="K134"/>
      <c r="L134" s="44"/>
      <c r="M134"/>
      <c r="N134" s="44"/>
      <c r="O134"/>
      <c r="P134" s="44"/>
      <c r="Q134"/>
      <c r="R134" s="44"/>
      <c r="S134"/>
      <c r="T134" s="44"/>
      <c r="U134"/>
      <c r="V134" s="44"/>
      <c r="W134"/>
      <c r="X134" s="44"/>
      <c r="Y134"/>
    </row>
    <row r="135" spans="8:25" s="67" customFormat="1" hidden="1" x14ac:dyDescent="0.25">
      <c r="H135"/>
      <c r="I135"/>
      <c r="J135" s="44"/>
      <c r="K135"/>
      <c r="L135" s="44"/>
      <c r="M135"/>
      <c r="N135" s="44"/>
      <c r="O135"/>
      <c r="P135" s="44"/>
      <c r="Q135"/>
      <c r="R135" s="44"/>
      <c r="S135"/>
      <c r="T135" s="44"/>
      <c r="U135"/>
      <c r="V135" s="44"/>
      <c r="W135"/>
      <c r="X135" s="44"/>
      <c r="Y135"/>
    </row>
    <row r="136" spans="8:25" s="67" customFormat="1" hidden="1" x14ac:dyDescent="0.25">
      <c r="H136"/>
      <c r="I136"/>
      <c r="J136" s="44"/>
      <c r="K136"/>
      <c r="L136" s="44"/>
      <c r="M136"/>
      <c r="N136" s="44"/>
      <c r="O136"/>
      <c r="P136" s="44"/>
      <c r="Q136"/>
      <c r="R136" s="44"/>
      <c r="S136"/>
      <c r="T136" s="44"/>
      <c r="U136"/>
      <c r="V136" s="44"/>
      <c r="W136"/>
      <c r="X136" s="44"/>
      <c r="Y136"/>
    </row>
    <row r="137" spans="8:25" s="67" customFormat="1" hidden="1" x14ac:dyDescent="0.25">
      <c r="H137"/>
      <c r="I137"/>
      <c r="J137" s="44"/>
      <c r="K137"/>
      <c r="L137" s="44"/>
      <c r="M137"/>
      <c r="N137" s="44"/>
      <c r="O137"/>
      <c r="P137" s="44"/>
      <c r="Q137"/>
      <c r="R137" s="44"/>
      <c r="S137"/>
      <c r="T137" s="44"/>
      <c r="U137"/>
      <c r="V137" s="44"/>
      <c r="W137"/>
      <c r="X137" s="44"/>
      <c r="Y137"/>
    </row>
    <row r="138" spans="8:25" s="67" customFormat="1" hidden="1" x14ac:dyDescent="0.25">
      <c r="H138"/>
      <c r="I138"/>
      <c r="J138" s="44"/>
      <c r="K138"/>
      <c r="L138" s="44"/>
      <c r="M138"/>
      <c r="N138" s="44"/>
      <c r="O138"/>
      <c r="P138" s="44"/>
      <c r="Q138"/>
      <c r="R138" s="44"/>
      <c r="S138"/>
      <c r="T138" s="44"/>
      <c r="U138"/>
      <c r="V138" s="44"/>
      <c r="W138"/>
      <c r="X138" s="44"/>
      <c r="Y138"/>
    </row>
    <row r="139" spans="8:25" s="67" customFormat="1" hidden="1" x14ac:dyDescent="0.25">
      <c r="H139"/>
      <c r="I139"/>
      <c r="J139" s="44"/>
      <c r="K139"/>
      <c r="L139" s="44"/>
      <c r="M139"/>
      <c r="N139" s="44"/>
      <c r="O139"/>
      <c r="P139" s="44"/>
      <c r="Q139"/>
      <c r="R139" s="44"/>
      <c r="S139"/>
      <c r="T139" s="44"/>
      <c r="U139"/>
      <c r="V139" s="44"/>
      <c r="W139"/>
      <c r="X139" s="44"/>
      <c r="Y139"/>
    </row>
    <row r="140" spans="8:25" s="67" customFormat="1" hidden="1" x14ac:dyDescent="0.25">
      <c r="H140"/>
      <c r="I140"/>
      <c r="J140" s="44"/>
      <c r="K140"/>
      <c r="L140" s="44"/>
      <c r="M140"/>
      <c r="N140" s="44"/>
      <c r="O140"/>
      <c r="P140" s="44"/>
      <c r="Q140"/>
      <c r="R140" s="44"/>
      <c r="S140"/>
      <c r="T140" s="44"/>
      <c r="U140"/>
      <c r="V140" s="44"/>
      <c r="W140"/>
      <c r="X140" s="44"/>
      <c r="Y140"/>
    </row>
    <row r="141" spans="8:25" s="67" customFormat="1" hidden="1" x14ac:dyDescent="0.25">
      <c r="H141"/>
      <c r="I141"/>
      <c r="J141" s="44"/>
      <c r="K141"/>
      <c r="L141" s="44"/>
      <c r="M141"/>
      <c r="N141" s="44"/>
      <c r="O141"/>
      <c r="P141" s="44"/>
      <c r="Q141"/>
      <c r="R141" s="44"/>
      <c r="S141"/>
      <c r="T141" s="44"/>
      <c r="U141"/>
      <c r="V141" s="44"/>
      <c r="W141"/>
      <c r="X141" s="44"/>
      <c r="Y141"/>
    </row>
    <row r="142" spans="8:25" s="67" customFormat="1" hidden="1" x14ac:dyDescent="0.25">
      <c r="H142"/>
      <c r="I142"/>
      <c r="J142" s="44"/>
      <c r="K142"/>
      <c r="L142" s="44"/>
      <c r="M142"/>
      <c r="N142" s="44"/>
      <c r="O142"/>
      <c r="P142" s="44"/>
      <c r="Q142"/>
      <c r="R142" s="44"/>
      <c r="S142"/>
      <c r="T142" s="44"/>
      <c r="U142"/>
      <c r="V142" s="44"/>
      <c r="W142"/>
      <c r="X142" s="44"/>
      <c r="Y142"/>
    </row>
    <row r="143" spans="8:25" s="67" customFormat="1" hidden="1" x14ac:dyDescent="0.25">
      <c r="H143"/>
      <c r="I143"/>
      <c r="J143" s="44"/>
      <c r="K143"/>
      <c r="L143" s="44"/>
      <c r="M143"/>
      <c r="N143" s="44"/>
      <c r="O143"/>
      <c r="P143" s="44"/>
      <c r="Q143"/>
      <c r="R143" s="44"/>
      <c r="S143"/>
      <c r="T143" s="44"/>
      <c r="U143"/>
      <c r="V143" s="44"/>
      <c r="W143"/>
      <c r="X143" s="44"/>
      <c r="Y143"/>
    </row>
    <row r="144" spans="8:25" s="67" customFormat="1" hidden="1" x14ac:dyDescent="0.25">
      <c r="H144"/>
      <c r="I144"/>
      <c r="J144" s="44"/>
      <c r="K144"/>
      <c r="L144" s="44"/>
      <c r="M144"/>
      <c r="N144" s="44"/>
      <c r="O144"/>
      <c r="P144" s="44"/>
      <c r="Q144"/>
      <c r="R144" s="44"/>
      <c r="S144"/>
      <c r="T144" s="44"/>
      <c r="U144"/>
      <c r="V144" s="44"/>
      <c r="W144"/>
      <c r="X144" s="44"/>
      <c r="Y144"/>
    </row>
    <row r="145" spans="8:25" s="67" customFormat="1" hidden="1" x14ac:dyDescent="0.25">
      <c r="H145"/>
      <c r="I145"/>
      <c r="J145" s="44"/>
      <c r="K145"/>
      <c r="L145" s="44"/>
      <c r="M145"/>
      <c r="N145" s="44"/>
      <c r="O145"/>
      <c r="P145" s="44"/>
      <c r="Q145"/>
      <c r="R145" s="44"/>
      <c r="S145"/>
      <c r="T145" s="44"/>
      <c r="U145"/>
      <c r="V145" s="44"/>
      <c r="W145"/>
      <c r="X145" s="44"/>
      <c r="Y145"/>
    </row>
    <row r="146" spans="8:25" s="67" customFormat="1" hidden="1" x14ac:dyDescent="0.25">
      <c r="H146"/>
      <c r="I146"/>
      <c r="J146" s="44"/>
      <c r="K146"/>
      <c r="L146" s="44"/>
      <c r="M146"/>
      <c r="N146" s="44"/>
      <c r="O146"/>
      <c r="P146" s="44"/>
      <c r="Q146"/>
      <c r="R146" s="44"/>
      <c r="S146"/>
      <c r="T146" s="44"/>
      <c r="U146"/>
      <c r="V146" s="44"/>
      <c r="W146"/>
      <c r="X146" s="44"/>
      <c r="Y146"/>
    </row>
    <row r="147" spans="8:25" s="67" customFormat="1" hidden="1" x14ac:dyDescent="0.25">
      <c r="H147"/>
      <c r="I147"/>
      <c r="J147" s="44"/>
      <c r="K147"/>
      <c r="L147" s="44"/>
      <c r="M147"/>
      <c r="N147" s="44"/>
      <c r="O147"/>
      <c r="P147" s="44"/>
      <c r="Q147"/>
      <c r="R147" s="44"/>
      <c r="S147"/>
      <c r="T147" s="44"/>
      <c r="U147"/>
      <c r="V147" s="44"/>
      <c r="W147"/>
      <c r="X147" s="44"/>
      <c r="Y147"/>
    </row>
    <row r="148" spans="8:25" s="67" customFormat="1" hidden="1" x14ac:dyDescent="0.25">
      <c r="H148"/>
      <c r="I148"/>
      <c r="J148" s="44"/>
      <c r="K148"/>
      <c r="L148" s="44"/>
      <c r="M148"/>
      <c r="N148" s="44"/>
      <c r="O148"/>
      <c r="P148" s="44"/>
      <c r="Q148"/>
      <c r="R148" s="44"/>
      <c r="S148"/>
      <c r="T148" s="44"/>
      <c r="U148"/>
      <c r="V148" s="44"/>
      <c r="W148"/>
      <c r="X148" s="44"/>
      <c r="Y148"/>
    </row>
    <row r="149" spans="8:25" s="67" customFormat="1" hidden="1" x14ac:dyDescent="0.25">
      <c r="H149"/>
      <c r="I149"/>
      <c r="J149" s="44"/>
      <c r="K149"/>
      <c r="L149" s="44"/>
      <c r="M149"/>
      <c r="N149" s="44"/>
      <c r="O149"/>
      <c r="P149" s="44"/>
      <c r="Q149"/>
      <c r="R149" s="44"/>
      <c r="S149"/>
      <c r="T149" s="44"/>
      <c r="U149"/>
      <c r="V149" s="44"/>
      <c r="W149"/>
      <c r="X149" s="44"/>
      <c r="Y149"/>
    </row>
    <row r="150" spans="8:25" s="67" customFormat="1" hidden="1" x14ac:dyDescent="0.25">
      <c r="H150"/>
      <c r="I150"/>
      <c r="J150" s="44"/>
      <c r="K150"/>
      <c r="L150" s="44"/>
      <c r="M150"/>
      <c r="N150" s="44"/>
      <c r="O150"/>
      <c r="P150" s="44"/>
      <c r="Q150"/>
      <c r="R150" s="44"/>
      <c r="S150"/>
      <c r="T150" s="44"/>
      <c r="U150"/>
      <c r="V150" s="44"/>
      <c r="W150"/>
      <c r="X150" s="44"/>
      <c r="Y150"/>
    </row>
    <row r="151" spans="8:25" s="67" customFormat="1" hidden="1" x14ac:dyDescent="0.25">
      <c r="H151"/>
      <c r="I151"/>
      <c r="J151" s="44"/>
      <c r="K151"/>
      <c r="L151" s="44"/>
      <c r="M151"/>
      <c r="N151" s="44"/>
      <c r="O151"/>
      <c r="P151" s="44"/>
      <c r="Q151"/>
      <c r="R151" s="44"/>
      <c r="S151"/>
      <c r="T151" s="44"/>
      <c r="U151"/>
      <c r="V151" s="44"/>
      <c r="W151"/>
      <c r="X151" s="44"/>
      <c r="Y151"/>
    </row>
    <row r="152" spans="8:25" s="67" customFormat="1" hidden="1" x14ac:dyDescent="0.25">
      <c r="H152"/>
      <c r="I152"/>
      <c r="J152" s="44"/>
      <c r="K152"/>
      <c r="L152" s="44"/>
      <c r="M152"/>
      <c r="N152" s="44"/>
      <c r="O152"/>
      <c r="P152" s="44"/>
      <c r="Q152"/>
      <c r="R152" s="44"/>
      <c r="S152"/>
      <c r="T152" s="44"/>
      <c r="U152"/>
      <c r="V152" s="44"/>
      <c r="W152"/>
      <c r="X152" s="44"/>
      <c r="Y152"/>
    </row>
    <row r="153" spans="8:25" s="67" customFormat="1" ht="15" hidden="1" customHeight="1" x14ac:dyDescent="0.25">
      <c r="H153"/>
      <c r="I153"/>
      <c r="J153" s="44"/>
      <c r="K153"/>
      <c r="L153" s="44"/>
      <c r="M153"/>
      <c r="N153" s="44"/>
      <c r="O153"/>
      <c r="P153" s="44"/>
      <c r="Q153"/>
      <c r="R153" s="44"/>
      <c r="S153"/>
      <c r="T153" s="44"/>
      <c r="U153"/>
      <c r="V153" s="44"/>
      <c r="W153"/>
      <c r="X153" s="44"/>
      <c r="Y153"/>
    </row>
    <row r="154" spans="8:25" s="67" customFormat="1" ht="15" hidden="1" customHeight="1" x14ac:dyDescent="0.25">
      <c r="H154"/>
      <c r="I154"/>
      <c r="J154" s="44"/>
      <c r="K154"/>
      <c r="L154" s="44"/>
      <c r="M154"/>
      <c r="N154" s="44"/>
      <c r="O154"/>
      <c r="P154" s="44"/>
      <c r="Q154"/>
      <c r="R154" s="44"/>
      <c r="S154"/>
      <c r="T154" s="44"/>
      <c r="U154"/>
      <c r="V154" s="44"/>
      <c r="W154"/>
      <c r="X154" s="44"/>
      <c r="Y154"/>
    </row>
  </sheetData>
  <sheetProtection algorithmName="SHA-512" hashValue="93X+wkl250yvjnnAqoF05wXqu1yY7XLtZb+wz1Hh3CRmwijwQx6uHhxA26RVOixYfKDE+A4S9BrSy5Zo+MBBBQ==" saltValue="EbBmIlhBPhCjDDCcPJrQ+Q==" spinCount="100000" sheet="1" objects="1" scenarios="1" selectLockedCells="1"/>
  <dataConsolidate/>
  <mergeCells count="27">
    <mergeCell ref="I87:Q87"/>
    <mergeCell ref="S87:W87"/>
    <mergeCell ref="I88:Q88"/>
    <mergeCell ref="I55:X55"/>
    <mergeCell ref="M57:S57"/>
    <mergeCell ref="I61:X82"/>
    <mergeCell ref="I85:M85"/>
    <mergeCell ref="O85:S85"/>
    <mergeCell ref="U85:W85"/>
    <mergeCell ref="I44:W45"/>
    <mergeCell ref="I48:O48"/>
    <mergeCell ref="Q48:S48"/>
    <mergeCell ref="I51:K51"/>
    <mergeCell ref="O51:Q51"/>
    <mergeCell ref="U51:W51"/>
    <mergeCell ref="I38:S39"/>
    <mergeCell ref="I6:Y6"/>
    <mergeCell ref="I9:X9"/>
    <mergeCell ref="U13:X13"/>
    <mergeCell ref="I17:M17"/>
    <mergeCell ref="Q17:U17"/>
    <mergeCell ref="I18:M18"/>
    <mergeCell ref="I23:W23"/>
    <mergeCell ref="I28:K28"/>
    <mergeCell ref="M28:Q28"/>
    <mergeCell ref="S28:W28"/>
    <mergeCell ref="I30:W34"/>
  </mergeCells>
  <conditionalFormatting sqref="H6">
    <cfRule type="expression" dxfId="20" priority="36">
      <formula>($B$10=TRUE)</formula>
    </cfRule>
    <cfRule type="iconSet" priority="35">
      <iconSet iconSet="3Flags" showValue="0">
        <cfvo type="percent" val="0"/>
        <cfvo type="num" val="1"/>
        <cfvo type="num" val="2" gte="0"/>
      </iconSet>
    </cfRule>
  </conditionalFormatting>
  <conditionalFormatting sqref="I88">
    <cfRule type="notContainsBlanks" dxfId="19" priority="9">
      <formula>LEN(TRIM(I88))&gt;0</formula>
    </cfRule>
  </conditionalFormatting>
  <conditionalFormatting sqref="I48:O48 Q48 U48 W48 I51 O51 U51 M56:S56">
    <cfRule type="expression" dxfId="18" priority="15">
      <formula>DATA_ADL_ICW_FLAG&lt;&gt;TRUE</formula>
    </cfRule>
  </conditionalFormatting>
  <conditionalFormatting sqref="I6:Y6">
    <cfRule type="expression" dxfId="17" priority="37">
      <formula>($B$10=TRUE)</formula>
    </cfRule>
  </conditionalFormatting>
  <conditionalFormatting sqref="L28">
    <cfRule type="iconSet" priority="28">
      <iconSet iconSet="3Symbols" showValue="0">
        <cfvo type="percent" val="0"/>
        <cfvo type="num" val="0" gte="0"/>
        <cfvo type="num" val="2"/>
      </iconSet>
    </cfRule>
    <cfRule type="iconSet" priority="29">
      <iconSet iconSet="3Symbols" showValue="0">
        <cfvo type="percent" val="0"/>
        <cfvo type="num" val="0" gte="0"/>
        <cfvo type="num" val="2"/>
      </iconSet>
    </cfRule>
  </conditionalFormatting>
  <conditionalFormatting sqref="L51">
    <cfRule type="iconSet" priority="17">
      <iconSet iconSet="3Symbols" showValue="0">
        <cfvo type="percent" val="0"/>
        <cfvo type="num" val="0" gte="0"/>
        <cfvo type="num" val="2"/>
      </iconSet>
    </cfRule>
    <cfRule type="iconSet" priority="18">
      <iconSet iconSet="3Symbols" showValue="0">
        <cfvo type="percent" val="0"/>
        <cfvo type="num" val="0" gte="0"/>
        <cfvo type="num" val="2"/>
      </iconSet>
    </cfRule>
  </conditionalFormatting>
  <conditionalFormatting sqref="M57">
    <cfRule type="notContainsBlanks" dxfId="16" priority="14">
      <formula>LEN(TRIM(M57))&gt;0</formula>
    </cfRule>
  </conditionalFormatting>
  <conditionalFormatting sqref="N17 V17:V18">
    <cfRule type="iconSet" priority="42">
      <iconSet iconSet="3Flags">
        <cfvo type="percent" val="0"/>
        <cfvo type="num" val="0" gte="0"/>
        <cfvo type="num" val="1000" gte="0"/>
      </iconSet>
    </cfRule>
  </conditionalFormatting>
  <conditionalFormatting sqref="N18">
    <cfRule type="iconSet" priority="4">
      <iconSet iconSet="3Flags">
        <cfvo type="percent" val="0"/>
        <cfvo type="num" val="0" gte="0"/>
        <cfvo type="num" val="1000" gte="0"/>
      </iconSet>
    </cfRule>
  </conditionalFormatting>
  <conditionalFormatting sqref="N24">
    <cfRule type="iconSet" priority="40">
      <iconSet iconSet="3Symbols" showValue="0">
        <cfvo type="percent" val="0"/>
        <cfvo type="num" val="0" gte="0"/>
        <cfvo type="num" val="2"/>
      </iconSet>
    </cfRule>
  </conditionalFormatting>
  <conditionalFormatting sqref="N85">
    <cfRule type="iconSet" priority="11">
      <iconSet iconSet="3Symbols" showValue="0">
        <cfvo type="percent" val="0"/>
        <cfvo type="num" val="0" gte="0"/>
        <cfvo type="num" val="2"/>
      </iconSet>
    </cfRule>
  </conditionalFormatting>
  <conditionalFormatting sqref="O17:P18">
    <cfRule type="expression" dxfId="15" priority="2">
      <formula>($P17=2)</formula>
    </cfRule>
    <cfRule type="expression" dxfId="14" priority="1">
      <formula>($P17=0)</formula>
    </cfRule>
  </conditionalFormatting>
  <conditionalFormatting sqref="P17">
    <cfRule type="iconSet" priority="41">
      <iconSet iconSet="3Symbols2" showValue="0">
        <cfvo type="percent" val="0"/>
        <cfvo type="num" val="0" gte="0"/>
        <cfvo type="num" val="1" gte="0"/>
      </iconSet>
    </cfRule>
  </conditionalFormatting>
  <conditionalFormatting sqref="P18">
    <cfRule type="iconSet" priority="3">
      <iconSet iconSet="3Symbols2" showValue="0">
        <cfvo type="percent" val="0"/>
        <cfvo type="num" val="0" gte="0"/>
        <cfvo type="num" val="1" gte="0"/>
      </iconSet>
    </cfRule>
  </conditionalFormatting>
  <conditionalFormatting sqref="P48 X48 T48 V48">
    <cfRule type="iconSet" priority="21">
      <iconSet iconSet="3Symbols" showValue="0">
        <cfvo type="percent" val="0"/>
        <cfvo type="num" val="0" gte="0"/>
        <cfvo type="num" val="2"/>
      </iconSet>
    </cfRule>
  </conditionalFormatting>
  <conditionalFormatting sqref="R13 N13 J13">
    <cfRule type="iconSet" priority="38">
      <iconSet iconSet="3Symbols" showValue="0">
        <cfvo type="percent" val="0"/>
        <cfvo type="num" val="0" gte="0"/>
        <cfvo type="num" val="2"/>
      </iconSet>
    </cfRule>
  </conditionalFormatting>
  <conditionalFormatting sqref="R28">
    <cfRule type="iconSet" priority="26">
      <iconSet iconSet="3Symbols" showValue="0">
        <cfvo type="percent" val="0"/>
        <cfvo type="num" val="0" gte="0"/>
        <cfvo type="num" val="2"/>
      </iconSet>
    </cfRule>
  </conditionalFormatting>
  <conditionalFormatting sqref="R51">
    <cfRule type="iconSet" priority="19">
      <iconSet iconSet="3Symbols" showValue="0">
        <cfvo type="percent" val="0"/>
        <cfvo type="num" val="0" gte="0"/>
        <cfvo type="num" val="2"/>
      </iconSet>
    </cfRule>
  </conditionalFormatting>
  <conditionalFormatting sqref="R87 X87 N85">
    <cfRule type="iconSet" priority="12">
      <iconSet iconSet="3Symbols" showValue="0">
        <cfvo type="percent" val="0"/>
        <cfvo type="num" val="0" gte="0"/>
        <cfvo type="num" val="2"/>
      </iconSet>
    </cfRule>
  </conditionalFormatting>
  <conditionalFormatting sqref="R87">
    <cfRule type="iconSet" priority="13">
      <iconSet iconSet="3Symbols" showValue="0">
        <cfvo type="percent" val="0"/>
        <cfvo type="num" val="0" gte="0"/>
        <cfvo type="num" val="2"/>
      </iconSet>
    </cfRule>
  </conditionalFormatting>
  <conditionalFormatting sqref="S3">
    <cfRule type="dataBar" priority="39">
      <dataBar>
        <cfvo type="num" val="0"/>
        <cfvo type="num" val="1"/>
        <color theme="6" tint="-0.249977111117893"/>
      </dataBar>
      <extLst>
        <ext xmlns:x14="http://schemas.microsoft.com/office/spreadsheetml/2009/9/main" uri="{B025F937-C7B1-47D3-B67F-A62EFF666E3E}">
          <x14:id>{9C539ABF-5551-44AE-A1FB-4F45DE161672}</x14:id>
        </ext>
      </extLst>
    </cfRule>
  </conditionalFormatting>
  <conditionalFormatting sqref="T3">
    <cfRule type="iconSet" priority="31">
      <iconSet iconSet="3Symbols2" showValue="0">
        <cfvo type="percent" val="0"/>
        <cfvo type="num" val="0" gte="0"/>
        <cfvo type="num" val="1" gte="0"/>
      </iconSet>
    </cfRule>
  </conditionalFormatting>
  <conditionalFormatting sqref="T56">
    <cfRule type="iconSet" priority="16">
      <iconSet iconSet="3Symbols" showValue="0">
        <cfvo type="percent" val="0"/>
        <cfvo type="num" val="0" gte="0"/>
        <cfvo type="num" val="2"/>
      </iconSet>
    </cfRule>
  </conditionalFormatting>
  <conditionalFormatting sqref="T85">
    <cfRule type="iconSet" priority="7">
      <iconSet iconSet="3Symbols" showValue="0">
        <cfvo type="percent" val="0"/>
        <cfvo type="num" val="0" gte="0"/>
        <cfvo type="num" val="2"/>
      </iconSet>
    </cfRule>
    <cfRule type="iconSet" priority="8">
      <iconSet iconSet="3Symbols" showValue="0">
        <cfvo type="percent" val="0"/>
        <cfvo type="num" val="0" gte="0"/>
        <cfvo type="num" val="2"/>
      </iconSet>
    </cfRule>
  </conditionalFormatting>
  <conditionalFormatting sqref="W17:X18">
    <cfRule type="expression" dxfId="13" priority="32">
      <formula>($X17=0)</formula>
    </cfRule>
    <cfRule type="expression" dxfId="12" priority="33">
      <formula>($X17=2)</formula>
    </cfRule>
  </conditionalFormatting>
  <conditionalFormatting sqref="X17:X18">
    <cfRule type="iconSet" priority="34">
      <iconSet iconSet="3Symbols2" showValue="0">
        <cfvo type="percent" val="0"/>
        <cfvo type="num" val="0" gte="0"/>
        <cfvo type="num" val="1" gte="0"/>
      </iconSet>
    </cfRule>
  </conditionalFormatting>
  <conditionalFormatting sqref="X23">
    <cfRule type="iconSet" priority="43">
      <iconSet iconSet="3Symbols" showValue="0">
        <cfvo type="percent" val="0"/>
        <cfvo type="num" val="0" gte="0"/>
        <cfvo type="num" val="2"/>
      </iconSet>
    </cfRule>
  </conditionalFormatting>
  <conditionalFormatting sqref="X24">
    <cfRule type="iconSet" priority="44">
      <iconSet iconSet="3Symbols" showValue="0">
        <cfvo type="percent" val="0"/>
        <cfvo type="num" val="0" gte="0"/>
        <cfvo type="num" val="2"/>
      </iconSet>
    </cfRule>
  </conditionalFormatting>
  <conditionalFormatting sqref="X28 R28">
    <cfRule type="iconSet" priority="27">
      <iconSet iconSet="3Symbols" showValue="0">
        <cfvo type="percent" val="0"/>
        <cfvo type="num" val="0" gte="0"/>
        <cfvo type="num" val="2"/>
      </iconSet>
    </cfRule>
  </conditionalFormatting>
  <conditionalFormatting sqref="X28">
    <cfRule type="iconSet" priority="25">
      <iconSet iconSet="3Symbols" showValue="0">
        <cfvo type="percent" val="0"/>
        <cfvo type="num" val="0" gte="0"/>
        <cfvo type="num" val="2"/>
      </iconSet>
    </cfRule>
  </conditionalFormatting>
  <conditionalFormatting sqref="X30">
    <cfRule type="iconSet" priority="24">
      <iconSet iconSet="3Symbols" showValue="0">
        <cfvo type="percent" val="0"/>
        <cfvo type="num" val="0" gte="0"/>
        <cfvo type="num" val="2"/>
      </iconSet>
    </cfRule>
    <cfRule type="iconSet" priority="23">
      <iconSet iconSet="3Symbols" showValue="0">
        <cfvo type="percent" val="0"/>
        <cfvo type="num" val="0" gte="0"/>
        <cfvo type="num" val="2"/>
      </iconSet>
    </cfRule>
  </conditionalFormatting>
  <conditionalFormatting sqref="X38">
    <cfRule type="iconSet" priority="30">
      <iconSet iconSet="3Symbols" showValue="0">
        <cfvo type="percent" val="0"/>
        <cfvo type="num" val="0" gte="0"/>
        <cfvo type="num" val="2"/>
      </iconSet>
    </cfRule>
  </conditionalFormatting>
  <conditionalFormatting sqref="X43">
    <cfRule type="iconSet" priority="22">
      <iconSet iconSet="3Symbols" showValue="0">
        <cfvo type="percent" val="0"/>
        <cfvo type="num" val="0" gte="0"/>
        <cfvo type="num" val="2"/>
      </iconSet>
    </cfRule>
  </conditionalFormatting>
  <conditionalFormatting sqref="X51">
    <cfRule type="iconSet" priority="20">
      <iconSet iconSet="3Symbols" showValue="0">
        <cfvo type="percent" val="0"/>
        <cfvo type="num" val="0" gte="0"/>
        <cfvo type="num" val="2"/>
      </iconSet>
    </cfRule>
  </conditionalFormatting>
  <conditionalFormatting sqref="X85">
    <cfRule type="iconSet" priority="5">
      <iconSet iconSet="3Symbols" showValue="0">
        <cfvo type="percent" val="0"/>
        <cfvo type="num" val="0" gte="0"/>
        <cfvo type="num" val="2"/>
      </iconSet>
    </cfRule>
    <cfRule type="iconSet" priority="6">
      <iconSet iconSet="3Symbols" showValue="0">
        <cfvo type="percent" val="0"/>
        <cfvo type="num" val="0" gte="0"/>
        <cfvo type="num" val="2"/>
      </iconSet>
    </cfRule>
  </conditionalFormatting>
  <conditionalFormatting sqref="X87">
    <cfRule type="iconSet" priority="10">
      <iconSet iconSet="3Symbols" showValue="0">
        <cfvo type="percent" val="0"/>
        <cfvo type="num" val="0" gte="0"/>
        <cfvo type="num" val="2"/>
      </iconSet>
    </cfRule>
  </conditionalFormatting>
  <dataValidations count="16">
    <dataValidation type="custom" showInputMessage="1" showErrorMessage="1" errorTitle="No Data Entry" error="Field is Read-Only" sqref="H15" xr:uid="{EE1BE751-5CD1-4491-A8E0-D67CB2328A08}">
      <formula1>"&lt;0&gt;0"</formula1>
    </dataValidation>
    <dataValidation type="list" allowBlank="1" showInputMessage="1" showErrorMessage="1" error="Select 'Yes' or 'No'" sqref="W38 W43" xr:uid="{478F6928-E6DE-480D-A7C4-1238A0870536}">
      <formula1>RANGE_LOOKUP_YESNO</formula1>
    </dataValidation>
    <dataValidation type="textLength" allowBlank="1" showInputMessage="1" showErrorMessage="1" error="Maximum Number of Characters Exceeded" sqref="I23" xr:uid="{F7B0D790-EAC2-44EA-BA88-2275156941C7}">
      <formula1>E19</formula1>
      <formula2>F19</formula2>
    </dataValidation>
    <dataValidation type="list" allowBlank="1" showInputMessage="1" showErrorMessage="1" error="An invalid State has been specified" sqref="U48" xr:uid="{7DB3C504-10B5-44E2-8672-E7687ED635DF}">
      <formula1>RANGE_LOOKUP_STATE</formula1>
    </dataValidation>
    <dataValidation type="whole" allowBlank="1" showInputMessage="1" showErrorMessage="1" error="Invalid Zip Code Entered" sqref="W48" xr:uid="{920FE03B-E926-4B98-96F2-01A4021F00DA}">
      <formula1>1</formula1>
      <formula2>99999</formula2>
    </dataValidation>
    <dataValidation type="date" operator="greaterThanOrEqual" allowBlank="1" showInputMessage="1" showErrorMessage="1" sqref="I51:K51" xr:uid="{1ECF62AB-789C-42C3-ADE7-0FD2C49D9086}">
      <formula1>43466</formula1>
    </dataValidation>
    <dataValidation type="date" operator="greaterThanOrEqual" allowBlank="1" showErrorMessage="1" sqref="U85:W85" xr:uid="{285507A7-4BC8-4317-9E16-E1F4FC428E24}">
      <formula1>43466</formula1>
    </dataValidation>
    <dataValidation type="whole" allowBlank="1" showInputMessage="1" showErrorMessage="1" error="Invalid Household ID Entered" sqref="I28:K28" xr:uid="{39B6E002-B2F8-44DD-83B9-ADF95FF17C01}">
      <formula1>E35</formula1>
      <formula2>F35</formula2>
    </dataValidation>
    <dataValidation type="textLength" allowBlank="1" showInputMessage="1" showErrorMessage="1" error="Maximum Number of Characters Exceeded" sqref="I48:O48" xr:uid="{CBE0113E-7034-40AC-B9BA-5B862AB98C6A}">
      <formula1>E37</formula1>
      <formula2>F37</formula2>
    </dataValidation>
    <dataValidation type="textLength" allowBlank="1" showInputMessage="1" showErrorMessage="1" error="Maximum Number of Characters Exceeded" sqref="Q48:S48" xr:uid="{1EA798DF-179E-4BB5-9964-83FB74E328B2}">
      <formula1>E38</formula1>
      <formula2>F38</formula2>
    </dataValidation>
    <dataValidation type="textLength" allowBlank="1" showInputMessage="1" showErrorMessage="1" error="Maximum Number of Characters Exceeded" sqref="I85:M85" xr:uid="{937FF86F-5B5D-49AE-BADC-42831A8876F4}">
      <formula1>E57</formula1>
      <formula2>F57</formula2>
    </dataValidation>
    <dataValidation type="textLength" allowBlank="1" showInputMessage="1" showErrorMessage="1" error="Maximum Number of Characters Exceeded" sqref="I87:Q87" xr:uid="{922D2A0D-F3C1-473A-A0DB-CC0EA0033502}">
      <formula1>E60</formula1>
      <formula2>F60</formula2>
    </dataValidation>
    <dataValidation type="textLength" allowBlank="1" showInputMessage="1" showErrorMessage="1" error="Maximum Number of Characters Exceeded" sqref="O85:S85" xr:uid="{246A4F45-B1DF-4358-BFD1-9FED5347208D}">
      <formula1>E58</formula1>
      <formula2>F58</formula2>
    </dataValidation>
    <dataValidation type="textLength" allowBlank="1" showInputMessage="1" showErrorMessage="1" error="Invalid Phone Number Entered" sqref="S87:W87" xr:uid="{2B3D720F-8176-4CC8-B445-141924AFA915}">
      <formula1>E61</formula1>
      <formula2>F61</formula2>
    </dataValidation>
    <dataValidation type="textLength" allowBlank="1" showInputMessage="1" showErrorMessage="1" error="Maximum Number of Characters Exceeded" sqref="M28:Q28" xr:uid="{1202D8FE-E1E3-4A8F-B2C8-23689648121D}">
      <formula1>E31</formula1>
      <formula2>F31</formula2>
    </dataValidation>
    <dataValidation type="textLength" allowBlank="1" showInputMessage="1" showErrorMessage="1" error="Maximum Number of Characters Exceeded" sqref="S28:W28" xr:uid="{DFEB146F-7D36-47AB-A266-AAA462F71F50}">
      <formula1>E32</formula1>
      <formula2>F32</formula2>
    </dataValidation>
  </dataValidations>
  <pageMargins left="0.25" right="0.25" top="0.5" bottom="0.5" header="0.3" footer="0.3"/>
  <pageSetup scale="90" fitToHeight="0" orientation="portrait" r:id="rId1"/>
  <headerFooter>
    <oddFooter>&amp;R&amp;8&amp;P of &amp;N</oddFooter>
  </headerFooter>
  <rowBreaks count="2" manualBreakCount="2">
    <brk id="35" min="7" max="24" man="1"/>
    <brk id="58" min="7" max="24" man="1"/>
  </rowBreaks>
  <drawing r:id="rId2"/>
  <legacyDrawing r:id="rId3"/>
  <mc:AlternateContent xmlns:mc="http://schemas.openxmlformats.org/markup-compatibility/2006">
    <mc:Choice Requires="x14">
      <controls>
        <mc:AlternateContent xmlns:mc="http://schemas.openxmlformats.org/markup-compatibility/2006">
          <mc:Choice Requires="x14">
            <control shapeId="57345" r:id="rId4" name="ICW_COMPLETE_FLAG">
              <controlPr defaultSize="0" autoFill="0" autoLine="0" autoPict="0">
                <anchor moveWithCells="1">
                  <from>
                    <xdr:col>12</xdr:col>
                    <xdr:colOff>190500</xdr:colOff>
                    <xdr:row>55</xdr:row>
                    <xdr:rowOff>19050</xdr:rowOff>
                  </from>
                  <to>
                    <xdr:col>18</xdr:col>
                    <xdr:colOff>552450</xdr:colOff>
                    <xdr:row>55</xdr:row>
                    <xdr:rowOff>266700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9C539ABF-5551-44AE-A1FB-4F45DE161672}">
            <x14:dataBar direction="leftToRight" axisPosition="none">
              <x14:cfvo type="num">
                <xm:f>0</xm:f>
              </x14:cfvo>
              <x14:cfvo type="num">
                <xm:f>1</xm:f>
              </x14:cfvo>
              <x14:negativeFillColor theme="5"/>
            </x14:dataBar>
          </x14:cfRule>
          <xm:sqref>S3</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Q175"/>
  <sheetViews>
    <sheetView showGridLines="0" showRowColHeaders="0" zoomScaleNormal="100" workbookViewId="0">
      <pane ySplit="14" topLeftCell="A15" activePane="bottomLeft" state="frozen"/>
      <selection pane="bottomLeft" activeCell="C15" sqref="C15"/>
    </sheetView>
  </sheetViews>
  <sheetFormatPr defaultColWidth="0" defaultRowHeight="15" zeroHeight="1" x14ac:dyDescent="0.25"/>
  <cols>
    <col min="1" max="1" width="23" hidden="1" customWidth="1"/>
    <col min="2" max="2" width="48" hidden="1" customWidth="1"/>
    <col min="3" max="3" width="1.42578125" customWidth="1"/>
    <col min="4" max="4" width="19.85546875" customWidth="1"/>
    <col min="5" max="5" width="19.42578125" customWidth="1"/>
    <col min="6" max="6" width="13" customWidth="1"/>
    <col min="7" max="7" width="17.42578125" customWidth="1"/>
    <col min="8" max="8" width="15.85546875" customWidth="1"/>
    <col min="9" max="9" width="13.42578125" customWidth="1"/>
    <col min="10" max="10" width="16.28515625" customWidth="1"/>
    <col min="11" max="11" width="14.7109375" customWidth="1"/>
    <col min="12" max="12" width="15.5703125" customWidth="1"/>
    <col min="13" max="13" width="15.7109375" customWidth="1"/>
    <col min="14" max="14" width="1.42578125" customWidth="1"/>
    <col min="15" max="16384" width="10.7109375" hidden="1"/>
  </cols>
  <sheetData>
    <row r="1" spans="1:17" ht="11.1" customHeight="1" x14ac:dyDescent="0.25"/>
    <row r="2" spans="1:17" ht="24.95" customHeight="1" x14ac:dyDescent="0.25">
      <c r="A2" s="43" t="s">
        <v>179</v>
      </c>
      <c r="B2" s="43" t="s">
        <v>178</v>
      </c>
      <c r="K2" s="433" t="str">
        <f>HYPERLINK("#"&amp;$B$4,$B$5)</f>
        <v xml:space="preserve">Return to </v>
      </c>
      <c r="L2" s="433"/>
      <c r="M2" s="433"/>
    </row>
    <row r="3" spans="1:17" ht="11.1" customHeight="1" x14ac:dyDescent="0.25"/>
    <row r="4" spans="1:17" ht="21.75" customHeight="1" x14ac:dyDescent="0.25">
      <c r="A4" t="s">
        <v>2852</v>
      </c>
      <c r="B4" t="str">
        <f>"TARGET_" &amp;CONFIG_EFORM_TYPE_CODE&amp;"_"&amp;CONFIG_FHC_PROG_ID&amp;"_ICW_BOOKMARK"</f>
        <v>TARGET___ICW_BOOKMARK</v>
      </c>
      <c r="C4" s="210"/>
      <c r="D4" s="212" t="s">
        <v>2801</v>
      </c>
      <c r="E4" s="212"/>
      <c r="F4" s="210"/>
      <c r="G4" s="210"/>
      <c r="H4" s="210"/>
      <c r="I4" s="210"/>
      <c r="J4" s="210"/>
      <c r="K4" s="210"/>
      <c r="L4" s="210"/>
      <c r="M4" s="211"/>
      <c r="N4" s="210"/>
    </row>
    <row r="5" spans="1:17" s="36" customFormat="1" ht="21" customHeight="1" x14ac:dyDescent="0.25">
      <c r="A5" s="36" t="s">
        <v>2853</v>
      </c>
      <c r="B5" s="36" t="str">
        <f>"Return to "&amp;CONFIG_EFORM_TYPE_NAME</f>
        <v xml:space="preserve">Return to </v>
      </c>
      <c r="C5" s="207"/>
      <c r="D5" s="224"/>
      <c r="E5" s="209"/>
      <c r="F5" s="208"/>
      <c r="G5" s="208"/>
      <c r="H5" s="208"/>
      <c r="I5" s="208"/>
      <c r="J5" s="208"/>
      <c r="K5" s="208"/>
      <c r="L5" s="208"/>
      <c r="M5" s="208"/>
      <c r="N5" s="207"/>
      <c r="Q5"/>
    </row>
    <row r="6" spans="1:17" s="1" customFormat="1" ht="21.95" customHeight="1" x14ac:dyDescent="0.2">
      <c r="C6" s="205"/>
      <c r="D6" s="431" t="s">
        <v>2800</v>
      </c>
      <c r="E6" s="431"/>
      <c r="F6" s="431"/>
      <c r="G6" s="431"/>
      <c r="H6" s="431"/>
      <c r="I6" s="431"/>
      <c r="J6" s="431"/>
      <c r="K6" s="431"/>
      <c r="L6" s="431"/>
      <c r="M6" s="431"/>
      <c r="N6" s="205"/>
    </row>
    <row r="7" spans="1:17" s="1" customFormat="1" ht="9" customHeight="1" x14ac:dyDescent="0.2">
      <c r="C7" s="205"/>
      <c r="D7" s="206"/>
      <c r="E7" s="206"/>
      <c r="F7" s="206"/>
      <c r="G7" s="206"/>
      <c r="H7" s="206"/>
      <c r="I7" s="206"/>
      <c r="J7" s="206"/>
      <c r="K7" s="206"/>
      <c r="L7" s="206"/>
      <c r="M7" s="206"/>
      <c r="N7" s="205"/>
    </row>
    <row r="8" spans="1:17" s="165" customFormat="1" ht="20.100000000000001" customHeight="1" x14ac:dyDescent="0.25">
      <c r="C8" s="198"/>
      <c r="D8" s="426" t="s">
        <v>2799</v>
      </c>
      <c r="E8" s="426"/>
      <c r="F8" s="419" t="s">
        <v>2798</v>
      </c>
      <c r="G8" s="420"/>
      <c r="H8" s="421"/>
      <c r="I8" s="168" t="s">
        <v>31</v>
      </c>
      <c r="J8" s="168" t="s">
        <v>2797</v>
      </c>
      <c r="K8" s="168" t="s">
        <v>2796</v>
      </c>
      <c r="L8" s="168" t="s">
        <v>2795</v>
      </c>
      <c r="M8" s="168" t="s">
        <v>2794</v>
      </c>
      <c r="N8" s="198"/>
    </row>
    <row r="9" spans="1:17" s="165" customFormat="1" ht="20.100000000000001" customHeight="1" x14ac:dyDescent="0.25">
      <c r="C9" s="198"/>
      <c r="D9" s="445" t="str">
        <f ca="1">DATA_PRIM_BORW_FULL_NAME</f>
        <v/>
      </c>
      <c r="E9" s="447"/>
      <c r="F9" s="445" t="str">
        <f ca="1">DATA_PROPTY_ADDRESS_UNIFIED</f>
        <v/>
      </c>
      <c r="G9" s="446"/>
      <c r="H9" s="447"/>
      <c r="I9" s="204" t="str">
        <f ca="1">IF(DATA_EFORM_TYPE_CODE=EFORM_TYPE_CODE_RESERVATION,DATA_RESERVATION_DATE,DATA_ADL_ICW_COMPLETION_DATE)</f>
        <v/>
      </c>
      <c r="J9" s="203"/>
      <c r="K9" s="203"/>
      <c r="L9" s="213" t="str">
        <f>IF(OR(HOUSEHOLD_NUM_ADULTS&lt;&gt;"",HOUSEHOLD_NUM_CHILDREN&lt;&gt;""),SUM(HOUSEHOLD_NUM_ADULTS,HOUSEHOLD_NUM_CHILDREN),"")</f>
        <v/>
      </c>
      <c r="M9" s="214">
        <f>SUM(INCOME_SUBTOTAL_A1,INCOME_SUBTOTAL_A2,INCOME_SUBTOTAL_A3,INCOME_SUBTOTAL_A4,INCOME_SUBTOTAL_B,INCOME_SUBTOTAL_C,INCOME_SUBTOTAL_D,INCOME_SUBTOTAL_E,INCOME_SUBTOTAL_F)</f>
        <v>0</v>
      </c>
      <c r="N9" s="202"/>
    </row>
    <row r="10" spans="1:17" s="165" customFormat="1" ht="8.1" customHeight="1" x14ac:dyDescent="0.2">
      <c r="C10" s="198"/>
      <c r="D10" s="200"/>
      <c r="E10" s="200"/>
      <c r="F10" s="200"/>
      <c r="G10" s="200"/>
      <c r="H10" s="200"/>
      <c r="I10" s="200"/>
      <c r="J10" s="200"/>
      <c r="K10" s="200"/>
      <c r="L10" s="200"/>
      <c r="M10" s="1"/>
      <c r="N10" s="198"/>
    </row>
    <row r="11" spans="1:17" s="165" customFormat="1" ht="20.100000000000001" customHeight="1" x14ac:dyDescent="0.25">
      <c r="C11" s="198"/>
      <c r="D11" s="451" t="s">
        <v>2793</v>
      </c>
      <c r="E11" s="451"/>
      <c r="F11" s="451"/>
      <c r="G11" s="451"/>
      <c r="H11" s="451"/>
      <c r="I11" s="451"/>
      <c r="J11" s="452"/>
      <c r="K11" s="448" t="str">
        <f ca="1">DATA_MEMBER_NAME</f>
        <v/>
      </c>
      <c r="L11" s="449"/>
      <c r="M11" s="450"/>
      <c r="N11" s="198"/>
    </row>
    <row r="12" spans="1:17" s="165" customFormat="1" ht="8.1" customHeight="1" x14ac:dyDescent="0.2">
      <c r="C12" s="198"/>
      <c r="D12" s="201"/>
      <c r="E12" s="201"/>
      <c r="F12" s="200"/>
      <c r="G12" s="200"/>
      <c r="H12" s="200"/>
      <c r="I12" s="200"/>
      <c r="J12" s="200"/>
      <c r="K12" s="199"/>
      <c r="L12" s="199"/>
      <c r="M12" s="199"/>
      <c r="N12" s="198"/>
    </row>
    <row r="13" spans="1:17" s="165" customFormat="1" ht="27.75" customHeight="1" x14ac:dyDescent="0.25">
      <c r="C13" s="198"/>
      <c r="D13" s="444" t="s">
        <v>9301</v>
      </c>
      <c r="E13" s="444"/>
      <c r="F13" s="444"/>
      <c r="G13" s="444"/>
      <c r="H13" s="444"/>
      <c r="I13" s="444"/>
      <c r="J13" s="444"/>
      <c r="K13" s="444"/>
      <c r="L13" s="444"/>
      <c r="M13" s="444"/>
      <c r="N13" s="198"/>
    </row>
    <row r="14" spans="1:17" s="165" customFormat="1" ht="4.5" customHeight="1" thickBot="1" x14ac:dyDescent="0.3">
      <c r="C14" s="193"/>
      <c r="D14" s="197"/>
      <c r="E14" s="197"/>
      <c r="F14" s="197"/>
      <c r="G14" s="197"/>
      <c r="H14" s="197"/>
      <c r="I14" s="197"/>
      <c r="J14" s="197"/>
      <c r="K14" s="196"/>
      <c r="L14" s="195"/>
      <c r="M14" s="194"/>
      <c r="N14" s="193"/>
    </row>
    <row r="15" spans="1:17" s="165" customFormat="1" ht="15" customHeight="1" thickTop="1" x14ac:dyDescent="0.25">
      <c r="C15" s="192"/>
      <c r="D15" s="74"/>
      <c r="E15" s="74"/>
      <c r="F15" s="74"/>
      <c r="G15" s="74"/>
      <c r="H15" s="74"/>
      <c r="I15" s="74"/>
      <c r="J15" s="74"/>
      <c r="K15" s="191"/>
      <c r="L15" s="59"/>
      <c r="M15" s="190"/>
    </row>
    <row r="16" spans="1:17" s="165" customFormat="1" ht="20.100000000000001" customHeight="1" x14ac:dyDescent="0.25">
      <c r="C16" s="192"/>
      <c r="D16" s="431" t="s">
        <v>2387</v>
      </c>
      <c r="E16" s="431"/>
      <c r="F16" s="431"/>
      <c r="G16" s="431"/>
      <c r="H16" s="431"/>
      <c r="I16" s="431"/>
      <c r="J16" s="431"/>
      <c r="K16" s="431"/>
      <c r="L16" s="431"/>
      <c r="M16" s="431"/>
    </row>
    <row r="17" spans="1:13" s="165" customFormat="1" ht="239.1" customHeight="1" x14ac:dyDescent="0.25">
      <c r="C17" s="192"/>
      <c r="D17" s="432" t="s">
        <v>9343</v>
      </c>
      <c r="E17" s="432"/>
      <c r="F17" s="432"/>
      <c r="G17" s="432"/>
      <c r="H17" s="432"/>
      <c r="I17" s="432"/>
      <c r="J17" s="432"/>
      <c r="K17" s="432"/>
      <c r="L17" s="432"/>
      <c r="M17" s="432"/>
    </row>
    <row r="18" spans="1:13" s="165" customFormat="1" ht="15" customHeight="1" x14ac:dyDescent="0.25">
      <c r="C18" s="192"/>
      <c r="D18" s="74"/>
      <c r="E18" s="74"/>
      <c r="F18" s="74"/>
      <c r="G18" s="74"/>
      <c r="H18" s="74"/>
      <c r="I18" s="74"/>
      <c r="J18" s="74"/>
      <c r="K18" s="191"/>
      <c r="L18" s="59"/>
      <c r="M18" s="190"/>
    </row>
    <row r="19" spans="1:13" s="1" customFormat="1" ht="20.100000000000001" customHeight="1" x14ac:dyDescent="0.2">
      <c r="D19" s="431" t="s">
        <v>2792</v>
      </c>
      <c r="E19" s="431"/>
      <c r="F19" s="431"/>
      <c r="G19" s="431"/>
      <c r="H19" s="431"/>
      <c r="I19" s="431"/>
      <c r="J19" s="431"/>
      <c r="K19" s="431"/>
      <c r="L19" s="431"/>
      <c r="M19" s="431"/>
    </row>
    <row r="20" spans="1:13" s="1" customFormat="1" ht="9" customHeight="1" x14ac:dyDescent="0.2"/>
    <row r="21" spans="1:13" s="1" customFormat="1" ht="18" customHeight="1" x14ac:dyDescent="0.2">
      <c r="D21" s="411" t="s">
        <v>9304</v>
      </c>
      <c r="E21" s="411"/>
      <c r="F21" s="411"/>
      <c r="G21" s="411"/>
      <c r="H21" s="411"/>
      <c r="I21" s="411"/>
      <c r="J21" s="411"/>
      <c r="K21" s="411"/>
      <c r="L21" s="411"/>
      <c r="M21" s="411"/>
    </row>
    <row r="22" spans="1:13" s="1" customFormat="1" ht="144" customHeight="1" x14ac:dyDescent="0.2">
      <c r="D22" s="412" t="s">
        <v>9302</v>
      </c>
      <c r="E22" s="413"/>
      <c r="F22" s="413"/>
      <c r="G22" s="413"/>
      <c r="H22" s="413"/>
      <c r="I22" s="413"/>
      <c r="J22" s="413"/>
      <c r="K22" s="413"/>
      <c r="L22" s="413"/>
      <c r="M22" s="414"/>
    </row>
    <row r="23" spans="1:13" s="1" customFormat="1" ht="3.95" customHeight="1" x14ac:dyDescent="0.2"/>
    <row r="24" spans="1:13" s="165" customFormat="1" ht="18" customHeight="1" x14ac:dyDescent="0.25">
      <c r="D24" s="174" t="s">
        <v>2753</v>
      </c>
      <c r="E24" s="174" t="s">
        <v>2778</v>
      </c>
      <c r="F24" s="168" t="s">
        <v>2791</v>
      </c>
      <c r="G24" s="168" t="s">
        <v>2777</v>
      </c>
      <c r="H24" s="168" t="s">
        <v>2790</v>
      </c>
      <c r="I24" s="189" t="s">
        <v>2789</v>
      </c>
      <c r="J24" s="168" t="s">
        <v>2788</v>
      </c>
      <c r="K24" s="168" t="s">
        <v>2787</v>
      </c>
      <c r="L24" s="168" t="s">
        <v>2786</v>
      </c>
      <c r="M24" s="168" t="s">
        <v>2762</v>
      </c>
    </row>
    <row r="25" spans="1:13" s="165" customFormat="1" ht="18" customHeight="1" thickBot="1" x14ac:dyDescent="0.3">
      <c r="A25" s="213" t="s">
        <v>9299</v>
      </c>
      <c r="B25" s="213" t="s">
        <v>9300</v>
      </c>
      <c r="D25" s="173"/>
      <c r="E25" s="173"/>
      <c r="F25" s="177"/>
      <c r="G25" s="177"/>
      <c r="H25" s="185"/>
      <c r="I25" s="188" t="str">
        <f>IF(SUM(I27:L27)&gt;0,SUM(I27:L27)/COUNTIF(I27:L27,"&gt;=0"),"")</f>
        <v/>
      </c>
      <c r="J25" s="187"/>
      <c r="K25" s="186" t="str">
        <f>IFERROR(IF(AND(ICW!$F25&lt;&gt;"",ICW!$G25&lt;&gt;"",ICW!$F25&lt;ICW!$G25,ICW!$J25&lt;&gt;"",VALUE(ICW!$H25)&gt;0,ICW!$H25&lt;&gt;""),ROUNDUP(((ICW!$G25-MAX(ICW!$F25,"1/1/"&amp;YEAR(ICW!$G25)))/7)/(52/ICW!$H25),0)+IF($B$26=TRUE,1,0),""),"")</f>
        <v/>
      </c>
      <c r="L25" s="170" t="str">
        <f>IFERROR(IF($K25&lt;&gt;"",$J25/$K25,""),"")</f>
        <v/>
      </c>
      <c r="M25" s="434" t="str">
        <f>IFERROR(IF(AND(L25&lt;&gt;"",I25&lt;&gt;"",H25&lt;&gt;""),MAX(L25,I25)*H25,""),"")</f>
        <v/>
      </c>
    </row>
    <row r="26" spans="1:13" s="165" customFormat="1" ht="18" customHeight="1" x14ac:dyDescent="0.25">
      <c r="A26" s="265">
        <v>1</v>
      </c>
      <c r="B26" s="203" t="b">
        <v>0</v>
      </c>
      <c r="D26" s="181"/>
      <c r="E26" s="181"/>
      <c r="F26" s="181"/>
      <c r="G26" s="181"/>
      <c r="H26" s="180" t="s">
        <v>2785</v>
      </c>
      <c r="I26" s="179" t="s">
        <v>2784</v>
      </c>
      <c r="J26" s="179" t="s">
        <v>2783</v>
      </c>
      <c r="K26" s="179" t="s">
        <v>2782</v>
      </c>
      <c r="L26" s="179" t="s">
        <v>2781</v>
      </c>
      <c r="M26" s="435"/>
    </row>
    <row r="27" spans="1:13" s="165" customFormat="1" ht="18" customHeight="1" x14ac:dyDescent="0.25">
      <c r="A27" s="265">
        <v>2</v>
      </c>
      <c r="B27" s="203" t="b">
        <v>0</v>
      </c>
      <c r="H27" s="178" t="s">
        <v>2780</v>
      </c>
      <c r="I27" s="169"/>
      <c r="J27" s="169"/>
      <c r="K27" s="169"/>
      <c r="L27" s="169"/>
      <c r="M27" s="436"/>
    </row>
    <row r="28" spans="1:13" s="165" customFormat="1" ht="18" customHeight="1" x14ac:dyDescent="0.25">
      <c r="A28" s="265">
        <v>3</v>
      </c>
      <c r="B28" s="203" t="b">
        <v>0</v>
      </c>
    </row>
    <row r="29" spans="1:13" s="165" customFormat="1" ht="18" customHeight="1" x14ac:dyDescent="0.25">
      <c r="A29" s="265">
        <v>4</v>
      </c>
      <c r="B29" s="203" t="b">
        <v>0</v>
      </c>
      <c r="D29" s="174" t="s">
        <v>2753</v>
      </c>
      <c r="E29" s="174" t="s">
        <v>2778</v>
      </c>
      <c r="F29" s="168" t="s">
        <v>2791</v>
      </c>
      <c r="G29" s="168" t="s">
        <v>2777</v>
      </c>
      <c r="H29" s="168" t="s">
        <v>2790</v>
      </c>
      <c r="I29" s="168" t="s">
        <v>2789</v>
      </c>
      <c r="J29" s="168" t="s">
        <v>2788</v>
      </c>
      <c r="K29" s="168" t="s">
        <v>2787</v>
      </c>
      <c r="L29" s="168" t="s">
        <v>2786</v>
      </c>
      <c r="M29" s="168" t="s">
        <v>2762</v>
      </c>
    </row>
    <row r="30" spans="1:13" s="165" customFormat="1" ht="18" customHeight="1" thickBot="1" x14ac:dyDescent="0.3">
      <c r="D30" s="173"/>
      <c r="E30" s="173"/>
      <c r="F30" s="177"/>
      <c r="G30" s="177"/>
      <c r="H30" s="185"/>
      <c r="I30" s="184" t="str">
        <f>IF(SUM(I32:L32)&gt;0,SUM(I32:L32)/COUNTIF(I32:L32,"&gt;=0"),"")</f>
        <v/>
      </c>
      <c r="J30" s="183"/>
      <c r="K30" s="186" t="str">
        <f>IFERROR(IF(AND(ICW!$F30&lt;&gt;"",ICW!$G30&lt;&gt;"",ICW!$F30&lt;ICW!$G30,ICW!$J30&lt;&gt;"",VALUE(ICW!$H30)&gt;0,ICW!$H30&lt;&gt;""),ROUNDUP(((ICW!$G30-MAX(ICW!$F30,"1/1/"&amp;YEAR(ICW!$G30)))/7)/(52/ICW!$H30),0)+IF($B$27=TRUE,1,0),""),"")</f>
        <v/>
      </c>
      <c r="L30" s="182" t="str">
        <f>IFERROR(IF($K30&lt;&gt;"",$J30/$K30,""),"")</f>
        <v/>
      </c>
      <c r="M30" s="437" t="str">
        <f>IFERROR(IF(AND(L30&lt;&gt;"",I30&lt;&gt;"",H30&lt;&gt;""),MAX(L30,I30)*H30,""),"")</f>
        <v/>
      </c>
    </row>
    <row r="31" spans="1:13" s="165" customFormat="1" ht="18" customHeight="1" x14ac:dyDescent="0.25">
      <c r="D31" s="181"/>
      <c r="E31" s="181"/>
      <c r="F31" s="181"/>
      <c r="G31" s="181"/>
      <c r="H31" s="180" t="s">
        <v>2785</v>
      </c>
      <c r="I31" s="179" t="s">
        <v>2784</v>
      </c>
      <c r="J31" s="179" t="s">
        <v>2783</v>
      </c>
      <c r="K31" s="179" t="s">
        <v>2782</v>
      </c>
      <c r="L31" s="179" t="s">
        <v>2781</v>
      </c>
      <c r="M31" s="437"/>
    </row>
    <row r="32" spans="1:13" s="165" customFormat="1" ht="18" customHeight="1" x14ac:dyDescent="0.25">
      <c r="H32" s="178" t="s">
        <v>2780</v>
      </c>
      <c r="I32" s="169"/>
      <c r="J32" s="169"/>
      <c r="K32" s="169"/>
      <c r="L32" s="169"/>
      <c r="M32" s="438"/>
    </row>
    <row r="33" spans="4:13" s="165" customFormat="1" ht="18" customHeight="1" x14ac:dyDescent="0.25"/>
    <row r="34" spans="4:13" s="165" customFormat="1" ht="18" customHeight="1" x14ac:dyDescent="0.25">
      <c r="D34" s="174" t="s">
        <v>2753</v>
      </c>
      <c r="E34" s="174" t="s">
        <v>2778</v>
      </c>
      <c r="F34" s="168" t="s">
        <v>2791</v>
      </c>
      <c r="G34" s="168" t="s">
        <v>2777</v>
      </c>
      <c r="H34" s="168" t="s">
        <v>2790</v>
      </c>
      <c r="I34" s="168" t="s">
        <v>2789</v>
      </c>
      <c r="J34" s="168" t="s">
        <v>2788</v>
      </c>
      <c r="K34" s="168" t="s">
        <v>2787</v>
      </c>
      <c r="L34" s="168" t="s">
        <v>2786</v>
      </c>
      <c r="M34" s="168" t="s">
        <v>2762</v>
      </c>
    </row>
    <row r="35" spans="4:13" s="165" customFormat="1" ht="18" customHeight="1" thickBot="1" x14ac:dyDescent="0.3">
      <c r="D35" s="173"/>
      <c r="E35" s="173"/>
      <c r="F35" s="177"/>
      <c r="G35" s="177"/>
      <c r="H35" s="185"/>
      <c r="I35" s="184" t="str">
        <f>IF(SUM(I37:L37)&gt;0,SUM(I37:L37)/COUNTIF(I37:L37,"&gt;=0"),"")</f>
        <v/>
      </c>
      <c r="J35" s="183"/>
      <c r="K35" s="186" t="str">
        <f>IFERROR(IF(AND(ICW!$F35&lt;&gt;"",ICW!$G35&lt;&gt;"",ICW!$F35&lt;ICW!$G35,ICW!$J35&lt;&gt;"",VALUE(ICW!$H35)&gt;0,ICW!$H35&lt;&gt;""),ROUNDUP(((ICW!$G35-MAX(ICW!$F35,"1/1/"&amp;YEAR(ICW!$G35)))/7)/(52/ICW!$H35),0)+IF($B$28=TRUE,1,0),""),"")</f>
        <v/>
      </c>
      <c r="L35" s="182" t="str">
        <f>IFERROR(IF($K35&lt;&gt;"",$J35/$K35,""),"")</f>
        <v/>
      </c>
      <c r="M35" s="434" t="str">
        <f>IFERROR(IF(AND(L35&lt;&gt;"",I35&lt;&gt;"",H35&lt;&gt;""),MAX(L35,I35)*H35,""),"")</f>
        <v/>
      </c>
    </row>
    <row r="36" spans="4:13" s="165" customFormat="1" ht="18" customHeight="1" x14ac:dyDescent="0.25">
      <c r="D36" s="181"/>
      <c r="E36" s="181"/>
      <c r="F36" s="181"/>
      <c r="G36" s="181"/>
      <c r="H36" s="180" t="s">
        <v>2785</v>
      </c>
      <c r="I36" s="179" t="s">
        <v>2784</v>
      </c>
      <c r="J36" s="179" t="s">
        <v>2783</v>
      </c>
      <c r="K36" s="179" t="s">
        <v>2782</v>
      </c>
      <c r="L36" s="179" t="s">
        <v>2781</v>
      </c>
      <c r="M36" s="437"/>
    </row>
    <row r="37" spans="4:13" s="165" customFormat="1" ht="18" customHeight="1" x14ac:dyDescent="0.25">
      <c r="H37" s="178" t="s">
        <v>2780</v>
      </c>
      <c r="I37" s="169"/>
      <c r="J37" s="169"/>
      <c r="K37" s="169"/>
      <c r="L37" s="169"/>
      <c r="M37" s="438"/>
    </row>
    <row r="38" spans="4:13" s="165" customFormat="1" ht="18" customHeight="1" x14ac:dyDescent="0.25"/>
    <row r="39" spans="4:13" s="165" customFormat="1" ht="18" customHeight="1" x14ac:dyDescent="0.25">
      <c r="D39" s="174" t="s">
        <v>2753</v>
      </c>
      <c r="E39" s="174" t="s">
        <v>2778</v>
      </c>
      <c r="F39" s="168" t="s">
        <v>2791</v>
      </c>
      <c r="G39" s="168" t="s">
        <v>2777</v>
      </c>
      <c r="H39" s="168" t="s">
        <v>2790</v>
      </c>
      <c r="I39" s="168" t="s">
        <v>2789</v>
      </c>
      <c r="J39" s="168" t="s">
        <v>2788</v>
      </c>
      <c r="K39" s="168" t="s">
        <v>2787</v>
      </c>
      <c r="L39" s="168" t="s">
        <v>2786</v>
      </c>
      <c r="M39" s="168" t="s">
        <v>2762</v>
      </c>
    </row>
    <row r="40" spans="4:13" s="165" customFormat="1" ht="18" customHeight="1" thickBot="1" x14ac:dyDescent="0.3">
      <c r="D40" s="173"/>
      <c r="E40" s="173"/>
      <c r="F40" s="177"/>
      <c r="G40" s="177"/>
      <c r="H40" s="185"/>
      <c r="I40" s="184" t="str">
        <f>IF(SUM(I42:L42)&gt;0,SUM(I42:L42)/COUNTIF(I42:L42,"&gt;=0"),"")</f>
        <v/>
      </c>
      <c r="J40" s="183"/>
      <c r="K40" s="186" t="str">
        <f>IFERROR(IF(AND(ICW!$F40&lt;&gt;"",ICW!$G40&lt;&gt;"",ICW!$F40&lt;ICW!$G40,ICW!$J40&lt;&gt;"",VALUE(ICW!$H40)&gt;0,ICW!$H40&lt;&gt;""),ROUNDUP(((ICW!$G40-MAX(ICW!$F40,"1/1/"&amp;YEAR(ICW!$G40)))/7)/(52/ICW!$H40),0)+IF($B$29=TRUE,1,0),""),"")</f>
        <v/>
      </c>
      <c r="L40" s="182" t="str">
        <f>IFERROR(IF($K40&lt;&gt;"",$J40/$K40,""),"")</f>
        <v/>
      </c>
      <c r="M40" s="434" t="str">
        <f>IFERROR(IF(AND(L40&lt;&gt;"",I40&lt;&gt;"",H40&lt;&gt;""),MAX(L40,I40)*H40,""),"")</f>
        <v/>
      </c>
    </row>
    <row r="41" spans="4:13" s="165" customFormat="1" ht="18" customHeight="1" x14ac:dyDescent="0.25">
      <c r="D41" s="181"/>
      <c r="E41" s="181"/>
      <c r="F41" s="181"/>
      <c r="G41" s="181"/>
      <c r="H41" s="180" t="s">
        <v>2785</v>
      </c>
      <c r="I41" s="179" t="s">
        <v>2784</v>
      </c>
      <c r="J41" s="179" t="s">
        <v>2783</v>
      </c>
      <c r="K41" s="179" t="s">
        <v>2782</v>
      </c>
      <c r="L41" s="179" t="s">
        <v>2781</v>
      </c>
      <c r="M41" s="437"/>
    </row>
    <row r="42" spans="4:13" s="165" customFormat="1" ht="18" customHeight="1" x14ac:dyDescent="0.25">
      <c r="H42" s="178" t="s">
        <v>2780</v>
      </c>
      <c r="I42" s="169"/>
      <c r="J42" s="169"/>
      <c r="K42" s="169"/>
      <c r="L42" s="169"/>
      <c r="M42" s="438"/>
    </row>
    <row r="43" spans="4:13" s="165" customFormat="1" ht="18" customHeight="1" x14ac:dyDescent="0.25"/>
    <row r="44" spans="4:13" s="165" customFormat="1" ht="18" customHeight="1" x14ac:dyDescent="0.25">
      <c r="D44" s="415" t="s">
        <v>9303</v>
      </c>
      <c r="E44" s="415"/>
      <c r="F44" s="415"/>
      <c r="G44" s="415"/>
      <c r="H44" s="415"/>
      <c r="I44" s="415"/>
      <c r="J44" s="415"/>
      <c r="K44" s="415"/>
      <c r="L44" s="415"/>
      <c r="M44" s="166">
        <f>SUM(M25,M30,M35,M40)</f>
        <v>0</v>
      </c>
    </row>
    <row r="45" spans="4:13" s="1" customFormat="1" ht="21.95" customHeight="1" x14ac:dyDescent="0.2"/>
    <row r="46" spans="4:13" s="1" customFormat="1" ht="21.95" customHeight="1" x14ac:dyDescent="0.2">
      <c r="D46" s="411" t="s">
        <v>9321</v>
      </c>
      <c r="E46" s="411"/>
      <c r="F46" s="411"/>
      <c r="G46" s="411"/>
      <c r="H46" s="411"/>
      <c r="I46" s="411"/>
      <c r="J46" s="411"/>
      <c r="K46" s="411"/>
      <c r="L46" s="411"/>
      <c r="M46" s="411"/>
    </row>
    <row r="47" spans="4:13" s="1" customFormat="1" ht="164.45" customHeight="1" x14ac:dyDescent="0.2">
      <c r="D47" s="412" t="s">
        <v>9322</v>
      </c>
      <c r="E47" s="413"/>
      <c r="F47" s="413"/>
      <c r="G47" s="413"/>
      <c r="H47" s="413"/>
      <c r="I47" s="413"/>
      <c r="J47" s="413"/>
      <c r="K47" s="413"/>
      <c r="L47" s="413"/>
      <c r="M47" s="414"/>
    </row>
    <row r="48" spans="4:13" s="1" customFormat="1" ht="3.95" customHeight="1" x14ac:dyDescent="0.2"/>
    <row r="49" spans="4:13" s="1" customFormat="1" ht="18" customHeight="1" x14ac:dyDescent="0.2">
      <c r="D49" s="268" t="s">
        <v>2753</v>
      </c>
      <c r="E49" s="268" t="s">
        <v>2778</v>
      </c>
      <c r="F49" s="422" t="s">
        <v>9325</v>
      </c>
      <c r="G49" s="422"/>
      <c r="H49" s="168" t="s">
        <v>9326</v>
      </c>
      <c r="I49" s="422" t="s">
        <v>9327</v>
      </c>
      <c r="J49" s="422"/>
      <c r="K49" s="422" t="s">
        <v>9328</v>
      </c>
      <c r="L49" s="422"/>
      <c r="M49" s="168" t="s">
        <v>2762</v>
      </c>
    </row>
    <row r="50" spans="4:13" s="1" customFormat="1" ht="18" customHeight="1" x14ac:dyDescent="0.2">
      <c r="D50" s="295"/>
      <c r="E50" s="295"/>
      <c r="F50" s="458"/>
      <c r="G50" s="458"/>
      <c r="H50" s="203"/>
      <c r="I50" s="459"/>
      <c r="J50" s="459"/>
      <c r="K50" s="457" t="str">
        <f>IF(H50=RANGE_LOOKUP_VOE_PYMT_FREQ_HOURLY,
IF(AND(F50&lt;&gt;"",I50&lt;&gt;""),F50*I50*52,""),
IF(AND(F50&lt;&gt;"",H50&lt;&gt;""),F50*VLOOKUP(H50,'$DB.LOOKUP.ICW'!L:M,2,FALSE),""))</f>
        <v/>
      </c>
      <c r="L50" s="457"/>
      <c r="M50" s="460" t="str">
        <f>IF(AND(K50&lt;&gt;"",I52&lt;&gt;""),SUM(K52,K54),"")</f>
        <v/>
      </c>
    </row>
    <row r="51" spans="4:13" s="1" customFormat="1" ht="18" customHeight="1" x14ac:dyDescent="0.2">
      <c r="D51" s="268" t="s">
        <v>9332</v>
      </c>
      <c r="E51" s="268" t="s">
        <v>9333</v>
      </c>
      <c r="F51" s="422" t="s">
        <v>9334</v>
      </c>
      <c r="G51" s="422"/>
      <c r="H51" s="168" t="s">
        <v>9335</v>
      </c>
      <c r="I51" s="422" t="s">
        <v>2786</v>
      </c>
      <c r="J51" s="422"/>
      <c r="K51" s="422" t="s">
        <v>9336</v>
      </c>
      <c r="L51" s="422"/>
      <c r="M51" s="460"/>
    </row>
    <row r="52" spans="4:13" s="1" customFormat="1" ht="18" customHeight="1" x14ac:dyDescent="0.2">
      <c r="D52" s="297"/>
      <c r="E52" s="297"/>
      <c r="F52" s="458"/>
      <c r="G52" s="458"/>
      <c r="H52" s="296" t="str">
        <f>IF(AND(D52&lt;&gt;"",E52&lt;&gt;""),ROUNDUP(((E52-MAX(D52,"1/1/"&amp;YEAR(E52)))/7),0),"")</f>
        <v/>
      </c>
      <c r="I52" s="457" t="str">
        <f>IF(AND(F52&lt;&gt;"",H52&lt;&gt;""),(F52/H52)*52,"")</f>
        <v/>
      </c>
      <c r="J52" s="457"/>
      <c r="K52" s="457" t="str">
        <f>IF(OR(K50&lt;&gt;"",I52&lt;&gt;""),MAX(K50,I52),"")</f>
        <v/>
      </c>
      <c r="L52" s="457"/>
      <c r="M52" s="460"/>
    </row>
    <row r="53" spans="4:13" s="1" customFormat="1" ht="18" customHeight="1" x14ac:dyDescent="0.2">
      <c r="F53" s="422" t="s">
        <v>9337</v>
      </c>
      <c r="G53" s="422"/>
      <c r="H53" s="168" t="s">
        <v>9338</v>
      </c>
      <c r="I53" s="422" t="s">
        <v>9339</v>
      </c>
      <c r="J53" s="422"/>
      <c r="K53" s="422" t="s">
        <v>9340</v>
      </c>
      <c r="L53" s="422"/>
      <c r="M53" s="460"/>
    </row>
    <row r="54" spans="4:13" s="1" customFormat="1" ht="18" customHeight="1" x14ac:dyDescent="0.2">
      <c r="F54" s="458"/>
      <c r="G54" s="458"/>
      <c r="H54" s="169"/>
      <c r="I54" s="458"/>
      <c r="J54" s="458"/>
      <c r="K54" s="457" t="str">
        <f>IF(H52&lt;&gt;"",(SUM(F54:J54)/H52)*52,"")</f>
        <v/>
      </c>
      <c r="L54" s="457"/>
      <c r="M54" s="460"/>
    </row>
    <row r="55" spans="4:13" s="1" customFormat="1" ht="18" customHeight="1" x14ac:dyDescent="0.2"/>
    <row r="56" spans="4:13" s="1" customFormat="1" ht="18" customHeight="1" x14ac:dyDescent="0.2">
      <c r="D56" s="268" t="s">
        <v>2753</v>
      </c>
      <c r="E56" s="268" t="s">
        <v>2778</v>
      </c>
      <c r="F56" s="422" t="s">
        <v>9325</v>
      </c>
      <c r="G56" s="422"/>
      <c r="H56" s="168" t="s">
        <v>9326</v>
      </c>
      <c r="I56" s="422" t="s">
        <v>9327</v>
      </c>
      <c r="J56" s="422"/>
      <c r="K56" s="422" t="s">
        <v>9328</v>
      </c>
      <c r="L56" s="422"/>
      <c r="M56" s="168" t="s">
        <v>2762</v>
      </c>
    </row>
    <row r="57" spans="4:13" s="1" customFormat="1" ht="18" customHeight="1" x14ac:dyDescent="0.2">
      <c r="D57" s="295"/>
      <c r="E57" s="295"/>
      <c r="F57" s="458"/>
      <c r="G57" s="458"/>
      <c r="H57" s="203"/>
      <c r="I57" s="459"/>
      <c r="J57" s="459"/>
      <c r="K57" s="457" t="str">
        <f>IF(H57=RANGE_LOOKUP_VOE_PYMT_FREQ_HOURLY,
IF(AND(F57&lt;&gt;"",I57&lt;&gt;""),F57*I57*52,""),
IF(AND(F57&lt;&gt;"",H57&lt;&gt;""),F57*VLOOKUP(H57,'$DB.LOOKUP.ICW'!L:M,2,FALSE),""))</f>
        <v/>
      </c>
      <c r="L57" s="457"/>
      <c r="M57" s="460" t="str">
        <f>IF(AND(K57&lt;&gt;"",I59&lt;&gt;""),SUM(K59,K61),"")</f>
        <v/>
      </c>
    </row>
    <row r="58" spans="4:13" s="1" customFormat="1" ht="18" customHeight="1" x14ac:dyDescent="0.2">
      <c r="D58" s="268" t="s">
        <v>9332</v>
      </c>
      <c r="E58" s="268" t="s">
        <v>9333</v>
      </c>
      <c r="F58" s="422" t="s">
        <v>9334</v>
      </c>
      <c r="G58" s="422"/>
      <c r="H58" s="168" t="s">
        <v>9335</v>
      </c>
      <c r="I58" s="422" t="s">
        <v>2786</v>
      </c>
      <c r="J58" s="422"/>
      <c r="K58" s="422" t="s">
        <v>9336</v>
      </c>
      <c r="L58" s="422"/>
      <c r="M58" s="460"/>
    </row>
    <row r="59" spans="4:13" s="1" customFormat="1" ht="18" customHeight="1" x14ac:dyDescent="0.2">
      <c r="D59" s="297"/>
      <c r="E59" s="297"/>
      <c r="F59" s="458"/>
      <c r="G59" s="458"/>
      <c r="H59" s="296" t="str">
        <f>IF(AND(D59&lt;&gt;"",E59&lt;&gt;""),ROUNDUP(((E59-MAX(D59,"1/1/"&amp;YEAR(E59)))/7),0),"")</f>
        <v/>
      </c>
      <c r="I59" s="457" t="str">
        <f>IF(AND(F59&lt;&gt;"",H59&lt;&gt;""),(F59/H59)*52,"")</f>
        <v/>
      </c>
      <c r="J59" s="457"/>
      <c r="K59" s="457" t="str">
        <f>IF(OR(K57&lt;&gt;"",I59&lt;&gt;""),MAX(K57,I59),"")</f>
        <v/>
      </c>
      <c r="L59" s="457"/>
      <c r="M59" s="460"/>
    </row>
    <row r="60" spans="4:13" s="1" customFormat="1" ht="18" customHeight="1" x14ac:dyDescent="0.2">
      <c r="F60" s="422" t="s">
        <v>9337</v>
      </c>
      <c r="G60" s="422"/>
      <c r="H60" s="168" t="s">
        <v>9338</v>
      </c>
      <c r="I60" s="422" t="s">
        <v>9339</v>
      </c>
      <c r="J60" s="422"/>
      <c r="K60" s="422" t="s">
        <v>9340</v>
      </c>
      <c r="L60" s="422"/>
      <c r="M60" s="460"/>
    </row>
    <row r="61" spans="4:13" s="1" customFormat="1" ht="18" customHeight="1" x14ac:dyDescent="0.2">
      <c r="F61" s="458"/>
      <c r="G61" s="458"/>
      <c r="H61" s="169"/>
      <c r="I61" s="458"/>
      <c r="J61" s="458"/>
      <c r="K61" s="457" t="str">
        <f>IF(H59&lt;&gt;"",(SUM(F61:J61)/H59)*52,"")</f>
        <v/>
      </c>
      <c r="L61" s="457"/>
      <c r="M61" s="460"/>
    </row>
    <row r="62" spans="4:13" s="1" customFormat="1" ht="18" customHeight="1" x14ac:dyDescent="0.2"/>
    <row r="63" spans="4:13" s="1" customFormat="1" ht="18" customHeight="1" x14ac:dyDescent="0.2">
      <c r="D63" s="268" t="s">
        <v>2753</v>
      </c>
      <c r="E63" s="268" t="s">
        <v>2778</v>
      </c>
      <c r="F63" s="422" t="s">
        <v>9325</v>
      </c>
      <c r="G63" s="422"/>
      <c r="H63" s="168" t="s">
        <v>9326</v>
      </c>
      <c r="I63" s="422" t="s">
        <v>9327</v>
      </c>
      <c r="J63" s="422"/>
      <c r="K63" s="422" t="s">
        <v>9328</v>
      </c>
      <c r="L63" s="422"/>
      <c r="M63" s="168" t="s">
        <v>2762</v>
      </c>
    </row>
    <row r="64" spans="4:13" s="1" customFormat="1" ht="18" customHeight="1" x14ac:dyDescent="0.2">
      <c r="D64" s="295"/>
      <c r="E64" s="295"/>
      <c r="F64" s="458"/>
      <c r="G64" s="458"/>
      <c r="H64" s="203"/>
      <c r="I64" s="459"/>
      <c r="J64" s="459"/>
      <c r="K64" s="457" t="str">
        <f>IF(H64=RANGE_LOOKUP_VOE_PYMT_FREQ_HOURLY,
IF(AND(F64&lt;&gt;"",I64&lt;&gt;""),F64*I64*52,""),
IF(AND(F64&lt;&gt;"",H64&lt;&gt;""),F64*VLOOKUP(H64,'$DB.LOOKUP.ICW'!L:M,2,FALSE),""))</f>
        <v/>
      </c>
      <c r="L64" s="457"/>
      <c r="M64" s="460" t="str">
        <f>IF(AND(K64&lt;&gt;"",I66&lt;&gt;""),SUM(K66,K68),"")</f>
        <v/>
      </c>
    </row>
    <row r="65" spans="4:13" s="1" customFormat="1" ht="18" customHeight="1" x14ac:dyDescent="0.2">
      <c r="D65" s="268" t="s">
        <v>9332</v>
      </c>
      <c r="E65" s="268" t="s">
        <v>9333</v>
      </c>
      <c r="F65" s="422" t="s">
        <v>9334</v>
      </c>
      <c r="G65" s="422"/>
      <c r="H65" s="168" t="s">
        <v>9335</v>
      </c>
      <c r="I65" s="422" t="s">
        <v>2786</v>
      </c>
      <c r="J65" s="422"/>
      <c r="K65" s="422" t="s">
        <v>9336</v>
      </c>
      <c r="L65" s="422"/>
      <c r="M65" s="460"/>
    </row>
    <row r="66" spans="4:13" s="1" customFormat="1" ht="18" customHeight="1" x14ac:dyDescent="0.2">
      <c r="D66" s="297"/>
      <c r="E66" s="297"/>
      <c r="F66" s="458"/>
      <c r="G66" s="458"/>
      <c r="H66" s="296" t="str">
        <f>IF(AND(D66&lt;&gt;"",E66&lt;&gt;""),ROUNDUP(((E66-MAX(D66,"1/1/"&amp;YEAR(E66)))/7),0),"")</f>
        <v/>
      </c>
      <c r="I66" s="457" t="str">
        <f>IF(AND(F66&lt;&gt;"",H66&lt;&gt;""),(F66/H66)*52,"")</f>
        <v/>
      </c>
      <c r="J66" s="457"/>
      <c r="K66" s="457" t="str">
        <f>IF(OR(K64&lt;&gt;"",I66&lt;&gt;""),MAX(K64,I66),"")</f>
        <v/>
      </c>
      <c r="L66" s="457"/>
      <c r="M66" s="460"/>
    </row>
    <row r="67" spans="4:13" s="1" customFormat="1" ht="18" customHeight="1" x14ac:dyDescent="0.2">
      <c r="F67" s="422" t="s">
        <v>9337</v>
      </c>
      <c r="G67" s="422"/>
      <c r="H67" s="168" t="s">
        <v>9338</v>
      </c>
      <c r="I67" s="422" t="s">
        <v>9339</v>
      </c>
      <c r="J67" s="422"/>
      <c r="K67" s="422" t="s">
        <v>9340</v>
      </c>
      <c r="L67" s="422"/>
      <c r="M67" s="460"/>
    </row>
    <row r="68" spans="4:13" s="1" customFormat="1" ht="18" customHeight="1" x14ac:dyDescent="0.2">
      <c r="F68" s="458"/>
      <c r="G68" s="458"/>
      <c r="H68" s="169"/>
      <c r="I68" s="458"/>
      <c r="J68" s="458"/>
      <c r="K68" s="457" t="str">
        <f>IF(H66&lt;&gt;"",(SUM(F68:J68)/H66)*52,"")</f>
        <v/>
      </c>
      <c r="L68" s="457"/>
      <c r="M68" s="460"/>
    </row>
    <row r="69" spans="4:13" s="1" customFormat="1" ht="18" customHeight="1" x14ac:dyDescent="0.2"/>
    <row r="70" spans="4:13" s="1" customFormat="1" ht="18" customHeight="1" x14ac:dyDescent="0.2">
      <c r="D70" s="268" t="s">
        <v>2753</v>
      </c>
      <c r="E70" s="268" t="s">
        <v>2778</v>
      </c>
      <c r="F70" s="422" t="s">
        <v>9325</v>
      </c>
      <c r="G70" s="422"/>
      <c r="H70" s="168" t="s">
        <v>9326</v>
      </c>
      <c r="I70" s="422" t="s">
        <v>9327</v>
      </c>
      <c r="J70" s="422"/>
      <c r="K70" s="422" t="s">
        <v>9328</v>
      </c>
      <c r="L70" s="422"/>
      <c r="M70" s="168" t="s">
        <v>2762</v>
      </c>
    </row>
    <row r="71" spans="4:13" s="1" customFormat="1" ht="18" customHeight="1" x14ac:dyDescent="0.2">
      <c r="D71" s="295"/>
      <c r="E71" s="295"/>
      <c r="F71" s="458"/>
      <c r="G71" s="458"/>
      <c r="H71" s="203"/>
      <c r="I71" s="459"/>
      <c r="J71" s="459"/>
      <c r="K71" s="457" t="str">
        <f>IF(H71=RANGE_LOOKUP_VOE_PYMT_FREQ_HOURLY,
IF(AND(F71&lt;&gt;"",I71&lt;&gt;""),F71*I71*52,""),
IF(AND(F71&lt;&gt;"",H71&lt;&gt;""),F71*VLOOKUP(H71,'$DB.LOOKUP.ICW'!L:M,2,FALSE),""))</f>
        <v/>
      </c>
      <c r="L71" s="457"/>
      <c r="M71" s="460" t="str">
        <f>IF(AND(K71&lt;&gt;"",I73&lt;&gt;""),SUM(K73,K75),"")</f>
        <v/>
      </c>
    </row>
    <row r="72" spans="4:13" s="1" customFormat="1" ht="18" customHeight="1" x14ac:dyDescent="0.2">
      <c r="D72" s="268" t="s">
        <v>9332</v>
      </c>
      <c r="E72" s="268" t="s">
        <v>9333</v>
      </c>
      <c r="F72" s="422" t="s">
        <v>9334</v>
      </c>
      <c r="G72" s="422"/>
      <c r="H72" s="168" t="s">
        <v>9335</v>
      </c>
      <c r="I72" s="422" t="s">
        <v>2786</v>
      </c>
      <c r="J72" s="422"/>
      <c r="K72" s="422" t="s">
        <v>9336</v>
      </c>
      <c r="L72" s="422"/>
      <c r="M72" s="460"/>
    </row>
    <row r="73" spans="4:13" s="1" customFormat="1" ht="18" customHeight="1" x14ac:dyDescent="0.2">
      <c r="D73" s="297"/>
      <c r="E73" s="297"/>
      <c r="F73" s="458"/>
      <c r="G73" s="458"/>
      <c r="H73" s="296" t="str">
        <f>IF(AND(D73&lt;&gt;"",E73&lt;&gt;""),ROUNDUP(((E73-MAX(D73,"1/1/"&amp;YEAR(E73)))/7),0),"")</f>
        <v/>
      </c>
      <c r="I73" s="457" t="str">
        <f>IF(AND(F73&lt;&gt;"",H73&lt;&gt;""),(F73/H73)*52,"")</f>
        <v/>
      </c>
      <c r="J73" s="457"/>
      <c r="K73" s="457" t="str">
        <f>IF(OR(K71&lt;&gt;"",I73&lt;&gt;""),MAX(K71,I73),"")</f>
        <v/>
      </c>
      <c r="L73" s="457"/>
      <c r="M73" s="460"/>
    </row>
    <row r="74" spans="4:13" s="1" customFormat="1" ht="18" customHeight="1" x14ac:dyDescent="0.2">
      <c r="F74" s="422" t="s">
        <v>9337</v>
      </c>
      <c r="G74" s="422"/>
      <c r="H74" s="168" t="s">
        <v>9338</v>
      </c>
      <c r="I74" s="422" t="s">
        <v>9339</v>
      </c>
      <c r="J74" s="422"/>
      <c r="K74" s="422" t="s">
        <v>9340</v>
      </c>
      <c r="L74" s="422"/>
      <c r="M74" s="460"/>
    </row>
    <row r="75" spans="4:13" s="1" customFormat="1" ht="18" customHeight="1" x14ac:dyDescent="0.2">
      <c r="F75" s="458"/>
      <c r="G75" s="458"/>
      <c r="H75" s="169"/>
      <c r="I75" s="458"/>
      <c r="J75" s="458"/>
      <c r="K75" s="457" t="str">
        <f>IF(H73&lt;&gt;"",(SUM(F75:J75)/H73)*52,"")</f>
        <v/>
      </c>
      <c r="L75" s="457"/>
      <c r="M75" s="460"/>
    </row>
    <row r="76" spans="4:13" s="1" customFormat="1" ht="18" customHeight="1" x14ac:dyDescent="0.2"/>
    <row r="77" spans="4:13" s="1" customFormat="1" ht="18" customHeight="1" x14ac:dyDescent="0.2">
      <c r="D77" s="415" t="s">
        <v>9323</v>
      </c>
      <c r="E77" s="415"/>
      <c r="F77" s="415"/>
      <c r="G77" s="415"/>
      <c r="H77" s="415"/>
      <c r="I77" s="415"/>
      <c r="J77" s="415"/>
      <c r="K77" s="415"/>
      <c r="L77" s="415"/>
      <c r="M77" s="166">
        <f>SUM(M50,M57,M64,M71)</f>
        <v>0</v>
      </c>
    </row>
    <row r="78" spans="4:13" s="1" customFormat="1" ht="21.95" customHeight="1" x14ac:dyDescent="0.2"/>
    <row r="79" spans="4:13" s="1" customFormat="1" ht="18" customHeight="1" x14ac:dyDescent="0.2">
      <c r="D79" s="411" t="s">
        <v>9305</v>
      </c>
      <c r="E79" s="411"/>
      <c r="F79" s="411"/>
      <c r="G79" s="411"/>
      <c r="H79" s="411"/>
      <c r="I79" s="411"/>
      <c r="J79" s="411"/>
      <c r="K79" s="411"/>
      <c r="L79" s="411"/>
      <c r="M79" s="411"/>
    </row>
    <row r="80" spans="4:13" s="1" customFormat="1" ht="129.94999999999999" customHeight="1" x14ac:dyDescent="0.2">
      <c r="D80" s="412" t="s">
        <v>9306</v>
      </c>
      <c r="E80" s="413"/>
      <c r="F80" s="413"/>
      <c r="G80" s="413"/>
      <c r="H80" s="413"/>
      <c r="I80" s="413"/>
      <c r="J80" s="413"/>
      <c r="K80" s="413"/>
      <c r="L80" s="413"/>
      <c r="M80" s="414"/>
    </row>
    <row r="81" spans="1:13" s="1" customFormat="1" ht="3.95" customHeight="1" x14ac:dyDescent="0.2"/>
    <row r="82" spans="1:13" s="165" customFormat="1" ht="18" customHeight="1" x14ac:dyDescent="0.25">
      <c r="D82" s="174" t="s">
        <v>2753</v>
      </c>
      <c r="E82" s="426" t="s">
        <v>2778</v>
      </c>
      <c r="F82" s="426"/>
      <c r="G82" s="426"/>
      <c r="H82" s="426"/>
      <c r="I82" s="426"/>
      <c r="J82" s="426"/>
      <c r="K82" s="426"/>
      <c r="L82" s="168" t="s">
        <v>2779</v>
      </c>
      <c r="M82" s="168" t="s">
        <v>2762</v>
      </c>
    </row>
    <row r="83" spans="1:13" s="165" customFormat="1" ht="18" customHeight="1" x14ac:dyDescent="0.25">
      <c r="D83" s="173"/>
      <c r="E83" s="428"/>
      <c r="F83" s="429"/>
      <c r="G83" s="429"/>
      <c r="H83" s="429"/>
      <c r="I83" s="429"/>
      <c r="J83" s="429"/>
      <c r="K83" s="430"/>
      <c r="L83" s="177"/>
      <c r="M83" s="169"/>
    </row>
    <row r="84" spans="1:13" s="165" customFormat="1" ht="18" customHeight="1" x14ac:dyDescent="0.25">
      <c r="D84" s="173"/>
      <c r="E84" s="428"/>
      <c r="F84" s="429"/>
      <c r="G84" s="429"/>
      <c r="H84" s="429"/>
      <c r="I84" s="429"/>
      <c r="J84" s="429"/>
      <c r="K84" s="430"/>
      <c r="L84" s="177"/>
      <c r="M84" s="169"/>
    </row>
    <row r="85" spans="1:13" s="165" customFormat="1" ht="18" customHeight="1" x14ac:dyDescent="0.25">
      <c r="D85" s="173"/>
      <c r="E85" s="428"/>
      <c r="F85" s="429"/>
      <c r="G85" s="429"/>
      <c r="H85" s="429"/>
      <c r="I85" s="429"/>
      <c r="J85" s="429"/>
      <c r="K85" s="430"/>
      <c r="L85" s="177"/>
      <c r="M85" s="169"/>
    </row>
    <row r="86" spans="1:13" s="165" customFormat="1" ht="18" customHeight="1" x14ac:dyDescent="0.25">
      <c r="D86" s="173"/>
      <c r="E86" s="428"/>
      <c r="F86" s="429"/>
      <c r="G86" s="429"/>
      <c r="H86" s="429"/>
      <c r="I86" s="429"/>
      <c r="J86" s="429"/>
      <c r="K86" s="430"/>
      <c r="L86" s="177"/>
      <c r="M86" s="169"/>
    </row>
    <row r="87" spans="1:13" s="165" customFormat="1" ht="18" customHeight="1" x14ac:dyDescent="0.25">
      <c r="D87" s="173"/>
      <c r="E87" s="428"/>
      <c r="F87" s="429"/>
      <c r="G87" s="429"/>
      <c r="H87" s="429"/>
      <c r="I87" s="429"/>
      <c r="J87" s="429"/>
      <c r="K87" s="430"/>
      <c r="L87" s="177"/>
      <c r="M87" s="169"/>
    </row>
    <row r="88" spans="1:13" s="165" customFormat="1" ht="18" customHeight="1" x14ac:dyDescent="0.25">
      <c r="D88" s="415" t="s">
        <v>9307</v>
      </c>
      <c r="E88" s="415"/>
      <c r="F88" s="415"/>
      <c r="G88" s="415"/>
      <c r="H88" s="415"/>
      <c r="I88" s="415"/>
      <c r="J88" s="415"/>
      <c r="K88" s="415"/>
      <c r="L88" s="415"/>
      <c r="M88" s="166">
        <f>SUM(M83:M87)</f>
        <v>0</v>
      </c>
    </row>
    <row r="89" spans="1:13" s="1" customFormat="1" ht="21.95" customHeight="1" x14ac:dyDescent="0.2"/>
    <row r="90" spans="1:13" s="1" customFormat="1" ht="18" customHeight="1" x14ac:dyDescent="0.2">
      <c r="D90" s="411" t="s">
        <v>9308</v>
      </c>
      <c r="E90" s="411"/>
      <c r="F90" s="411"/>
      <c r="G90" s="411"/>
      <c r="H90" s="411"/>
      <c r="I90" s="411"/>
      <c r="J90" s="411"/>
      <c r="K90" s="411"/>
      <c r="L90" s="411"/>
      <c r="M90" s="411"/>
    </row>
    <row r="91" spans="1:13" s="1" customFormat="1" ht="65.45" customHeight="1" x14ac:dyDescent="0.2">
      <c r="D91" s="412" t="s">
        <v>9345</v>
      </c>
      <c r="E91" s="413"/>
      <c r="F91" s="413"/>
      <c r="G91" s="413"/>
      <c r="H91" s="413"/>
      <c r="I91" s="413"/>
      <c r="J91" s="413"/>
      <c r="K91" s="413"/>
      <c r="L91" s="413"/>
      <c r="M91" s="414"/>
    </row>
    <row r="92" spans="1:13" s="1" customFormat="1" ht="3.95" customHeight="1" x14ac:dyDescent="0.2">
      <c r="D92" s="291"/>
      <c r="E92" s="291"/>
      <c r="F92" s="291"/>
      <c r="G92" s="291"/>
      <c r="H92" s="291"/>
      <c r="I92" s="291"/>
      <c r="J92" s="291"/>
      <c r="K92" s="291"/>
      <c r="L92" s="291"/>
      <c r="M92" s="291"/>
    </row>
    <row r="93" spans="1:13" s="1" customFormat="1" ht="20.100000000000001" customHeight="1" x14ac:dyDescent="0.2">
      <c r="A93" s="1" t="s">
        <v>9054</v>
      </c>
      <c r="B93" s="290" t="b">
        <v>0</v>
      </c>
      <c r="D93" s="439"/>
      <c r="E93" s="440"/>
      <c r="F93" s="440"/>
      <c r="G93" s="440"/>
      <c r="H93" s="440"/>
      <c r="I93" s="440"/>
      <c r="J93" s="440"/>
      <c r="K93" s="440"/>
      <c r="L93" s="440"/>
      <c r="M93" s="287" t="str">
        <f>IF(ICW_BONUS_CERT_REQ_FLAG,IF(ICW_BONUS_ONETIME_CERTIFICATION,2,1),"")</f>
        <v/>
      </c>
    </row>
    <row r="94" spans="1:13" s="1" customFormat="1" ht="3.95" customHeight="1" x14ac:dyDescent="0.2">
      <c r="B94" s="292"/>
    </row>
    <row r="95" spans="1:13" s="165" customFormat="1" ht="18" customHeight="1" x14ac:dyDescent="0.2">
      <c r="A95" s="1" t="s">
        <v>9055</v>
      </c>
      <c r="B95" s="292">
        <f>INCOME_SUBTOTAL_A4</f>
        <v>0</v>
      </c>
      <c r="D95" s="174" t="s">
        <v>2753</v>
      </c>
      <c r="E95" s="426" t="s">
        <v>2778</v>
      </c>
      <c r="F95" s="426"/>
      <c r="G95" s="419" t="s">
        <v>9310</v>
      </c>
      <c r="H95" s="420"/>
      <c r="I95" s="420"/>
      <c r="J95" s="420"/>
      <c r="K95" s="420"/>
      <c r="L95" s="421"/>
      <c r="M95" s="168" t="s">
        <v>2568</v>
      </c>
    </row>
    <row r="96" spans="1:13" s="165" customFormat="1" ht="18" customHeight="1" x14ac:dyDescent="0.25">
      <c r="A96" s="165" t="s">
        <v>9056</v>
      </c>
      <c r="B96" s="292" t="b">
        <f>ICW_BONUS_SUBTOTAL&gt;0</f>
        <v>0</v>
      </c>
      <c r="D96" s="173"/>
      <c r="E96" s="427"/>
      <c r="F96" s="427"/>
      <c r="G96" s="428"/>
      <c r="H96" s="429"/>
      <c r="I96" s="429"/>
      <c r="J96" s="429"/>
      <c r="K96" s="429"/>
      <c r="L96" s="430"/>
      <c r="M96" s="176"/>
    </row>
    <row r="97" spans="1:13" s="165" customFormat="1" ht="18" customHeight="1" x14ac:dyDescent="0.25">
      <c r="A97" s="165" t="s">
        <v>9057</v>
      </c>
      <c r="B97" s="292" t="b">
        <f>IF(ICW_BONUS_CERT_REQ_FLAG,IF(ICW_BONUS_ONETIME_CERTIFICATION,TRUE,FALSE),TRUE)</f>
        <v>1</v>
      </c>
      <c r="D97" s="173"/>
      <c r="E97" s="427"/>
      <c r="F97" s="427"/>
      <c r="G97" s="428"/>
      <c r="H97" s="429"/>
      <c r="I97" s="429"/>
      <c r="J97" s="429"/>
      <c r="K97" s="429"/>
      <c r="L97" s="430"/>
      <c r="M97" s="176"/>
    </row>
    <row r="98" spans="1:13" s="165" customFormat="1" ht="18" customHeight="1" x14ac:dyDescent="0.25">
      <c r="D98" s="173"/>
      <c r="E98" s="427"/>
      <c r="F98" s="427"/>
      <c r="G98" s="428"/>
      <c r="H98" s="429"/>
      <c r="I98" s="429"/>
      <c r="J98" s="429"/>
      <c r="K98" s="429"/>
      <c r="L98" s="430"/>
      <c r="M98" s="176"/>
    </row>
    <row r="99" spans="1:13" s="165" customFormat="1" ht="18" customHeight="1" x14ac:dyDescent="0.25">
      <c r="D99" s="173"/>
      <c r="E99" s="427"/>
      <c r="F99" s="427"/>
      <c r="G99" s="428"/>
      <c r="H99" s="429"/>
      <c r="I99" s="429"/>
      <c r="J99" s="429"/>
      <c r="K99" s="429"/>
      <c r="L99" s="430"/>
      <c r="M99" s="176"/>
    </row>
    <row r="100" spans="1:13" s="165" customFormat="1" ht="18" customHeight="1" x14ac:dyDescent="0.25">
      <c r="D100" s="173"/>
      <c r="E100" s="427"/>
      <c r="F100" s="427"/>
      <c r="G100" s="428"/>
      <c r="H100" s="429"/>
      <c r="I100" s="429"/>
      <c r="J100" s="429"/>
      <c r="K100" s="429"/>
      <c r="L100" s="430"/>
      <c r="M100" s="176"/>
    </row>
    <row r="101" spans="1:13" s="165" customFormat="1" ht="18" customHeight="1" x14ac:dyDescent="0.25">
      <c r="D101" s="415" t="s">
        <v>9309</v>
      </c>
      <c r="E101" s="415"/>
      <c r="F101" s="415"/>
      <c r="G101" s="415"/>
      <c r="H101" s="415"/>
      <c r="I101" s="415"/>
      <c r="J101" s="415"/>
      <c r="K101" s="415"/>
      <c r="L101" s="415"/>
      <c r="M101" s="166">
        <f>SUM(ICW!$M$96:$M$100)</f>
        <v>0</v>
      </c>
    </row>
    <row r="102" spans="1:13" s="1" customFormat="1" ht="9" customHeight="1" x14ac:dyDescent="0.2"/>
    <row r="103" spans="1:13" s="1" customFormat="1" ht="18" customHeight="1" x14ac:dyDescent="0.2">
      <c r="D103" s="431" t="s">
        <v>9311</v>
      </c>
      <c r="E103" s="431"/>
      <c r="F103" s="431"/>
      <c r="G103" s="431"/>
      <c r="H103" s="431"/>
      <c r="I103" s="431"/>
      <c r="J103" s="431"/>
      <c r="K103" s="431"/>
      <c r="L103" s="431"/>
      <c r="M103" s="431"/>
    </row>
    <row r="104" spans="1:13" s="1" customFormat="1" ht="9" customHeight="1" x14ac:dyDescent="0.2"/>
    <row r="105" spans="1:13" s="1" customFormat="1" ht="18" customHeight="1" x14ac:dyDescent="0.2">
      <c r="D105" s="411" t="s">
        <v>2759</v>
      </c>
      <c r="E105" s="411"/>
      <c r="F105" s="411"/>
      <c r="G105" s="411"/>
      <c r="H105" s="411"/>
      <c r="I105" s="411"/>
      <c r="J105" s="411"/>
      <c r="K105" s="411"/>
      <c r="L105" s="411"/>
      <c r="M105" s="411"/>
    </row>
    <row r="106" spans="1:13" s="1" customFormat="1" ht="161.1" customHeight="1" x14ac:dyDescent="0.2">
      <c r="D106" s="412" t="s">
        <v>9312</v>
      </c>
      <c r="E106" s="413"/>
      <c r="F106" s="413"/>
      <c r="G106" s="413"/>
      <c r="H106" s="413"/>
      <c r="I106" s="413"/>
      <c r="J106" s="413"/>
      <c r="K106" s="413"/>
      <c r="L106" s="413"/>
      <c r="M106" s="414"/>
    </row>
    <row r="107" spans="1:13" s="1" customFormat="1" ht="3.95" customHeight="1" x14ac:dyDescent="0.2"/>
    <row r="108" spans="1:13" s="165" customFormat="1" ht="18" customHeight="1" x14ac:dyDescent="0.2">
      <c r="D108" s="419" t="s">
        <v>2753</v>
      </c>
      <c r="E108" s="421"/>
      <c r="F108" s="419" t="s">
        <v>2776</v>
      </c>
      <c r="G108" s="453"/>
      <c r="H108" s="453"/>
      <c r="I108" s="454"/>
      <c r="J108" s="422" t="s">
        <v>2767</v>
      </c>
      <c r="K108" s="422"/>
      <c r="L108" s="168" t="s">
        <v>2766</v>
      </c>
      <c r="M108" s="168" t="s">
        <v>2762</v>
      </c>
    </row>
    <row r="109" spans="1:13" s="165" customFormat="1" ht="18" customHeight="1" x14ac:dyDescent="0.25">
      <c r="D109" s="428"/>
      <c r="E109" s="430"/>
      <c r="F109" s="427"/>
      <c r="G109" s="427"/>
      <c r="H109" s="427"/>
      <c r="I109" s="427"/>
      <c r="J109" s="423"/>
      <c r="K109" s="423"/>
      <c r="L109" s="175"/>
      <c r="M109" s="170" t="str">
        <f>IF(AND(J109&lt;&gt;"",L109&lt;&gt;""),L109*VLOOKUP(J109,'$DB.LOOKUP.ICW'!C:D,2,FALSE),"")</f>
        <v/>
      </c>
    </row>
    <row r="110" spans="1:13" s="165" customFormat="1" ht="18" customHeight="1" x14ac:dyDescent="0.25">
      <c r="D110" s="428"/>
      <c r="E110" s="430"/>
      <c r="F110" s="427"/>
      <c r="G110" s="427"/>
      <c r="H110" s="427"/>
      <c r="I110" s="427"/>
      <c r="J110" s="423"/>
      <c r="K110" s="423"/>
      <c r="L110" s="175"/>
      <c r="M110" s="170" t="str">
        <f>IF(AND(J110&lt;&gt;"",L110&lt;&gt;""),L110*VLOOKUP(J110,'$DB.LOOKUP.ICW'!C:D,2,FALSE),"")</f>
        <v/>
      </c>
    </row>
    <row r="111" spans="1:13" s="165" customFormat="1" ht="18" customHeight="1" x14ac:dyDescent="0.25">
      <c r="D111" s="428"/>
      <c r="E111" s="430"/>
      <c r="F111" s="427"/>
      <c r="G111" s="427"/>
      <c r="H111" s="427"/>
      <c r="I111" s="427"/>
      <c r="J111" s="423"/>
      <c r="K111" s="423"/>
      <c r="L111" s="175"/>
      <c r="M111" s="170" t="str">
        <f>IF(AND(J111&lt;&gt;"",L111&lt;&gt;""),L111*VLOOKUP(J111,'$DB.LOOKUP.ICW'!C:D,2,FALSE),"")</f>
        <v/>
      </c>
    </row>
    <row r="112" spans="1:13" s="165" customFormat="1" ht="18" customHeight="1" x14ac:dyDescent="0.25">
      <c r="D112" s="428"/>
      <c r="E112" s="430"/>
      <c r="F112" s="427"/>
      <c r="G112" s="427"/>
      <c r="H112" s="427"/>
      <c r="I112" s="427"/>
      <c r="J112" s="423"/>
      <c r="K112" s="423"/>
      <c r="L112" s="175"/>
      <c r="M112" s="170" t="str">
        <f>IF(AND(J112&lt;&gt;"",L112&lt;&gt;""),L112*VLOOKUP(J112,'$DB.LOOKUP.ICW'!C:D,2,FALSE),"")</f>
        <v/>
      </c>
    </row>
    <row r="113" spans="4:13" s="165" customFormat="1" ht="18" customHeight="1" x14ac:dyDescent="0.25">
      <c r="D113" s="428"/>
      <c r="E113" s="430"/>
      <c r="F113" s="427"/>
      <c r="G113" s="427"/>
      <c r="H113" s="427"/>
      <c r="I113" s="427"/>
      <c r="J113" s="423"/>
      <c r="K113" s="423"/>
      <c r="L113" s="175"/>
      <c r="M113" s="170" t="str">
        <f>IF(AND(J113&lt;&gt;"",L113&lt;&gt;""),L113*VLOOKUP(J113,'$DB.LOOKUP.ICW'!C:D,2,FALSE),"")</f>
        <v/>
      </c>
    </row>
    <row r="114" spans="4:13" s="165" customFormat="1" ht="18" customHeight="1" x14ac:dyDescent="0.25">
      <c r="D114" s="415" t="s">
        <v>2775</v>
      </c>
      <c r="E114" s="415"/>
      <c r="F114" s="415"/>
      <c r="G114" s="415"/>
      <c r="H114" s="415"/>
      <c r="I114" s="415"/>
      <c r="J114" s="415"/>
      <c r="K114" s="415"/>
      <c r="L114" s="415"/>
      <c r="M114" s="166">
        <f>SUM(M109:M113)</f>
        <v>0</v>
      </c>
    </row>
    <row r="115" spans="4:13" s="1" customFormat="1" ht="9" customHeight="1" x14ac:dyDescent="0.2"/>
    <row r="116" spans="4:13" s="1" customFormat="1" ht="18" customHeight="1" x14ac:dyDescent="0.2">
      <c r="D116" s="431" t="s">
        <v>2774</v>
      </c>
      <c r="E116" s="431"/>
      <c r="F116" s="431"/>
      <c r="G116" s="431"/>
      <c r="H116" s="431"/>
      <c r="I116" s="431"/>
      <c r="J116" s="431"/>
      <c r="K116" s="431"/>
      <c r="L116" s="431"/>
      <c r="M116" s="431"/>
    </row>
    <row r="117" spans="4:13" s="1" customFormat="1" ht="9" customHeight="1" x14ac:dyDescent="0.2"/>
    <row r="118" spans="4:13" s="1" customFormat="1" ht="18" customHeight="1" x14ac:dyDescent="0.2">
      <c r="D118" s="411" t="s">
        <v>2759</v>
      </c>
      <c r="E118" s="411"/>
      <c r="F118" s="411"/>
      <c r="G118" s="411"/>
      <c r="H118" s="411"/>
      <c r="I118" s="411"/>
      <c r="J118" s="411"/>
      <c r="K118" s="411"/>
      <c r="L118" s="411"/>
      <c r="M118" s="411"/>
    </row>
    <row r="119" spans="4:13" s="1" customFormat="1" ht="249.95" customHeight="1" x14ac:dyDescent="0.2">
      <c r="D119" s="412" t="s">
        <v>9317</v>
      </c>
      <c r="E119" s="413"/>
      <c r="F119" s="413"/>
      <c r="G119" s="413"/>
      <c r="H119" s="413"/>
      <c r="I119" s="413"/>
      <c r="J119" s="413"/>
      <c r="K119" s="413"/>
      <c r="L119" s="413"/>
      <c r="M119" s="414"/>
    </row>
    <row r="120" spans="4:13" s="1" customFormat="1" ht="3.95" customHeight="1" x14ac:dyDescent="0.2">
      <c r="D120" s="1" t="s">
        <v>9316</v>
      </c>
    </row>
    <row r="121" spans="4:13" s="165" customFormat="1" ht="18" customHeight="1" x14ac:dyDescent="0.25">
      <c r="D121" s="174" t="s">
        <v>2753</v>
      </c>
      <c r="E121" s="419" t="s">
        <v>2773</v>
      </c>
      <c r="F121" s="420"/>
      <c r="G121" s="420"/>
      <c r="H121" s="420"/>
      <c r="I121" s="420"/>
      <c r="J121" s="421"/>
      <c r="K121" s="168" t="s">
        <v>2772</v>
      </c>
      <c r="L121" s="168" t="s">
        <v>2771</v>
      </c>
      <c r="M121" s="168" t="s">
        <v>2762</v>
      </c>
    </row>
    <row r="122" spans="4:13" s="165" customFormat="1" ht="18" customHeight="1" x14ac:dyDescent="0.25">
      <c r="D122" s="173"/>
      <c r="E122" s="428"/>
      <c r="F122" s="429"/>
      <c r="G122" s="429"/>
      <c r="H122" s="429"/>
      <c r="I122" s="429"/>
      <c r="J122" s="430"/>
      <c r="K122" s="172"/>
      <c r="L122" s="171"/>
      <c r="M122" s="170" t="str">
        <f>IF(AND(K122&lt;&gt;"",L122&lt;&gt;""),L122/(K122/12),"")</f>
        <v/>
      </c>
    </row>
    <row r="123" spans="4:13" s="165" customFormat="1" ht="18" customHeight="1" x14ac:dyDescent="0.25">
      <c r="D123" s="173"/>
      <c r="E123" s="428"/>
      <c r="F123" s="429"/>
      <c r="G123" s="429"/>
      <c r="H123" s="429"/>
      <c r="I123" s="429"/>
      <c r="J123" s="430"/>
      <c r="K123" s="172"/>
      <c r="L123" s="171"/>
      <c r="M123" s="170" t="str">
        <f>IF(AND(K123&lt;&gt;"",L123&lt;&gt;""),L123/(K123/12),"")</f>
        <v/>
      </c>
    </row>
    <row r="124" spans="4:13" s="165" customFormat="1" ht="18" customHeight="1" x14ac:dyDescent="0.25">
      <c r="D124" s="173"/>
      <c r="E124" s="428"/>
      <c r="F124" s="429"/>
      <c r="G124" s="429"/>
      <c r="H124" s="429"/>
      <c r="I124" s="429"/>
      <c r="J124" s="430"/>
      <c r="K124" s="172"/>
      <c r="L124" s="171"/>
      <c r="M124" s="170" t="str">
        <f>IF(AND(K124&lt;&gt;"",L124&lt;&gt;""),L124/(K124/12),"")</f>
        <v/>
      </c>
    </row>
    <row r="125" spans="4:13" s="165" customFormat="1" ht="18" customHeight="1" x14ac:dyDescent="0.25">
      <c r="D125" s="173"/>
      <c r="E125" s="428"/>
      <c r="F125" s="429"/>
      <c r="G125" s="429"/>
      <c r="H125" s="429"/>
      <c r="I125" s="429"/>
      <c r="J125" s="430"/>
      <c r="K125" s="172"/>
      <c r="L125" s="171"/>
      <c r="M125" s="170" t="str">
        <f>IF(AND(K125&lt;&gt;"",L125&lt;&gt;""),L125/(K125/12),"")</f>
        <v/>
      </c>
    </row>
    <row r="126" spans="4:13" s="165" customFormat="1" ht="18" customHeight="1" x14ac:dyDescent="0.25">
      <c r="D126" s="415" t="s">
        <v>2770</v>
      </c>
      <c r="E126" s="415"/>
      <c r="F126" s="415"/>
      <c r="G126" s="415"/>
      <c r="H126" s="415"/>
      <c r="I126" s="415"/>
      <c r="J126" s="415"/>
      <c r="K126" s="415"/>
      <c r="L126" s="415"/>
      <c r="M126" s="166">
        <f>SUM(M122:M125)</f>
        <v>0</v>
      </c>
    </row>
    <row r="127" spans="4:13" s="1" customFormat="1" ht="9" customHeight="1" x14ac:dyDescent="0.2"/>
    <row r="128" spans="4:13" s="1" customFormat="1" ht="18" customHeight="1" x14ac:dyDescent="0.2">
      <c r="D128" s="431" t="s">
        <v>2769</v>
      </c>
      <c r="E128" s="431"/>
      <c r="F128" s="431"/>
      <c r="G128" s="431"/>
      <c r="H128" s="431"/>
      <c r="I128" s="431"/>
      <c r="J128" s="431"/>
      <c r="K128" s="431"/>
      <c r="L128" s="431"/>
      <c r="M128" s="431"/>
    </row>
    <row r="129" spans="4:13" s="1" customFormat="1" ht="9" customHeight="1" x14ac:dyDescent="0.2"/>
    <row r="130" spans="4:13" s="1" customFormat="1" ht="18" customHeight="1" x14ac:dyDescent="0.2">
      <c r="D130" s="411" t="s">
        <v>2759</v>
      </c>
      <c r="E130" s="411"/>
      <c r="F130" s="411"/>
      <c r="G130" s="411"/>
      <c r="H130" s="411"/>
      <c r="I130" s="411"/>
      <c r="J130" s="411"/>
      <c r="K130" s="411"/>
      <c r="L130" s="411"/>
      <c r="M130" s="411"/>
    </row>
    <row r="131" spans="4:13" s="74" customFormat="1" ht="189" customHeight="1" x14ac:dyDescent="0.25">
      <c r="D131" s="441" t="s">
        <v>9346</v>
      </c>
      <c r="E131" s="442"/>
      <c r="F131" s="442"/>
      <c r="G131" s="442"/>
      <c r="H131" s="442"/>
      <c r="I131" s="442"/>
      <c r="J131" s="442"/>
      <c r="K131" s="442"/>
      <c r="L131" s="442"/>
      <c r="M131" s="443"/>
    </row>
    <row r="132" spans="4:13" s="1" customFormat="1" ht="3.95" customHeight="1" x14ac:dyDescent="0.2"/>
    <row r="133" spans="4:13" s="165" customFormat="1" ht="18" customHeight="1" x14ac:dyDescent="0.25">
      <c r="D133" s="419" t="s">
        <v>2753</v>
      </c>
      <c r="E133" s="421"/>
      <c r="F133" s="426" t="s">
        <v>2768</v>
      </c>
      <c r="G133" s="426"/>
      <c r="H133" s="426"/>
      <c r="I133" s="426"/>
      <c r="J133" s="422" t="s">
        <v>2767</v>
      </c>
      <c r="K133" s="422"/>
      <c r="L133" s="168" t="s">
        <v>2766</v>
      </c>
      <c r="M133" s="168" t="s">
        <v>2762</v>
      </c>
    </row>
    <row r="134" spans="4:13" s="165" customFormat="1" ht="18" customHeight="1" x14ac:dyDescent="0.25">
      <c r="D134" s="428"/>
      <c r="E134" s="430"/>
      <c r="F134" s="427"/>
      <c r="G134" s="427"/>
      <c r="H134" s="427"/>
      <c r="I134" s="427"/>
      <c r="J134" s="423"/>
      <c r="K134" s="423"/>
      <c r="L134" s="169"/>
      <c r="M134" s="170" t="str">
        <f>IF(AND(J134&lt;&gt;"",L134&lt;&gt;""),L134*VLOOKUP(J134,'$DB.LOOKUP.ICW'!C:D,2,FALSE),"")</f>
        <v/>
      </c>
    </row>
    <row r="135" spans="4:13" s="165" customFormat="1" ht="18" customHeight="1" x14ac:dyDescent="0.25">
      <c r="D135" s="428"/>
      <c r="E135" s="430"/>
      <c r="F135" s="427"/>
      <c r="G135" s="427"/>
      <c r="H135" s="427"/>
      <c r="I135" s="427"/>
      <c r="J135" s="423"/>
      <c r="K135" s="423"/>
      <c r="L135" s="169"/>
      <c r="M135" s="170" t="str">
        <f>IF(AND(J135&lt;&gt;"",L135&lt;&gt;""),L135*VLOOKUP(J135,'$DB.LOOKUP.ICW'!C:D,2,FALSE),"")</f>
        <v/>
      </c>
    </row>
    <row r="136" spans="4:13" s="165" customFormat="1" ht="18" customHeight="1" x14ac:dyDescent="0.25">
      <c r="D136" s="428"/>
      <c r="E136" s="430"/>
      <c r="F136" s="427"/>
      <c r="G136" s="427"/>
      <c r="H136" s="427"/>
      <c r="I136" s="427"/>
      <c r="J136" s="423"/>
      <c r="K136" s="423"/>
      <c r="L136" s="169"/>
      <c r="M136" s="170" t="str">
        <f>IF(AND(J136&lt;&gt;"",L136&lt;&gt;""),L136*VLOOKUP(J136,'$DB.LOOKUP.ICW'!C:D,2,FALSE),"")</f>
        <v/>
      </c>
    </row>
    <row r="137" spans="4:13" s="165" customFormat="1" ht="18" customHeight="1" x14ac:dyDescent="0.25">
      <c r="D137" s="428"/>
      <c r="E137" s="430"/>
      <c r="F137" s="427"/>
      <c r="G137" s="427"/>
      <c r="H137" s="427"/>
      <c r="I137" s="427"/>
      <c r="J137" s="423"/>
      <c r="K137" s="423"/>
      <c r="L137" s="169"/>
      <c r="M137" s="170" t="str">
        <f>IF(AND(J137&lt;&gt;"",L137&lt;&gt;""),L137*VLOOKUP(J137,'$DB.LOOKUP.ICW'!C:D,2,FALSE),"")</f>
        <v/>
      </c>
    </row>
    <row r="138" spans="4:13" s="165" customFormat="1" ht="18" customHeight="1" x14ac:dyDescent="0.25">
      <c r="D138" s="415" t="s">
        <v>2765</v>
      </c>
      <c r="E138" s="415"/>
      <c r="F138" s="415"/>
      <c r="G138" s="415"/>
      <c r="H138" s="415"/>
      <c r="I138" s="415"/>
      <c r="J138" s="415"/>
      <c r="K138" s="415"/>
      <c r="L138" s="415"/>
      <c r="M138" s="166">
        <f>SUM(M134:M137)</f>
        <v>0</v>
      </c>
    </row>
    <row r="139" spans="4:13" s="1" customFormat="1" ht="9" customHeight="1" x14ac:dyDescent="0.2"/>
    <row r="140" spans="4:13" s="1" customFormat="1" ht="18" customHeight="1" x14ac:dyDescent="0.2">
      <c r="D140" s="431" t="s">
        <v>2764</v>
      </c>
      <c r="E140" s="431"/>
      <c r="F140" s="431"/>
      <c r="G140" s="431"/>
      <c r="H140" s="431"/>
      <c r="I140" s="431"/>
      <c r="J140" s="431"/>
      <c r="K140" s="431"/>
      <c r="L140" s="431"/>
      <c r="M140" s="431"/>
    </row>
    <row r="141" spans="4:13" s="1" customFormat="1" ht="9" customHeight="1" x14ac:dyDescent="0.2"/>
    <row r="142" spans="4:13" s="1" customFormat="1" ht="18" customHeight="1" x14ac:dyDescent="0.2">
      <c r="D142" s="411" t="s">
        <v>2759</v>
      </c>
      <c r="E142" s="411"/>
      <c r="F142" s="411"/>
      <c r="G142" s="411"/>
      <c r="H142" s="411"/>
      <c r="I142" s="411"/>
      <c r="J142" s="411"/>
      <c r="K142" s="411"/>
      <c r="L142" s="411"/>
      <c r="M142" s="411"/>
    </row>
    <row r="143" spans="4:13" s="1" customFormat="1" ht="153.94999999999999" customHeight="1" x14ac:dyDescent="0.2">
      <c r="D143" s="412" t="s">
        <v>9324</v>
      </c>
      <c r="E143" s="413"/>
      <c r="F143" s="413"/>
      <c r="G143" s="413"/>
      <c r="H143" s="413"/>
      <c r="I143" s="413"/>
      <c r="J143" s="413"/>
      <c r="K143" s="413"/>
      <c r="L143" s="413"/>
      <c r="M143" s="414"/>
    </row>
    <row r="144" spans="4:13" s="1" customFormat="1" ht="3.95" customHeight="1" x14ac:dyDescent="0.2"/>
    <row r="145" spans="4:13" s="165" customFormat="1" ht="18" customHeight="1" x14ac:dyDescent="0.25">
      <c r="D145" s="419" t="s">
        <v>2753</v>
      </c>
      <c r="E145" s="421"/>
      <c r="F145" s="419" t="s">
        <v>2763</v>
      </c>
      <c r="G145" s="420"/>
      <c r="H145" s="420"/>
      <c r="I145" s="421"/>
      <c r="J145" s="422" t="s">
        <v>2767</v>
      </c>
      <c r="K145" s="422"/>
      <c r="L145" s="168" t="s">
        <v>2766</v>
      </c>
      <c r="M145" s="168" t="s">
        <v>2762</v>
      </c>
    </row>
    <row r="146" spans="4:13" s="165" customFormat="1" ht="18" customHeight="1" x14ac:dyDescent="0.25">
      <c r="D146" s="428"/>
      <c r="E146" s="430"/>
      <c r="F146" s="416"/>
      <c r="G146" s="417"/>
      <c r="H146" s="417"/>
      <c r="I146" s="418"/>
      <c r="J146" s="423"/>
      <c r="K146" s="423"/>
      <c r="L146" s="169"/>
      <c r="M146" s="170" t="str">
        <f>IF(AND(J146&lt;&gt;"",L146&lt;&gt;""),L146*VLOOKUP(J146,'$DB.LOOKUP.ICW'!C:D,2,FALSE),"")</f>
        <v/>
      </c>
    </row>
    <row r="147" spans="4:13" s="165" customFormat="1" ht="18" customHeight="1" x14ac:dyDescent="0.25">
      <c r="D147" s="428"/>
      <c r="E147" s="430"/>
      <c r="F147" s="416"/>
      <c r="G147" s="417"/>
      <c r="H147" s="417"/>
      <c r="I147" s="418"/>
      <c r="J147" s="423"/>
      <c r="K147" s="423"/>
      <c r="L147" s="169"/>
      <c r="M147" s="170" t="str">
        <f>IF(AND(J147&lt;&gt;"",L147&lt;&gt;""),L147*VLOOKUP(J147,'$DB.LOOKUP.ICW'!C:D,2,FALSE),"")</f>
        <v/>
      </c>
    </row>
    <row r="148" spans="4:13" s="165" customFormat="1" ht="18" customHeight="1" x14ac:dyDescent="0.25">
      <c r="D148" s="428"/>
      <c r="E148" s="430"/>
      <c r="F148" s="416"/>
      <c r="G148" s="417"/>
      <c r="H148" s="417"/>
      <c r="I148" s="418"/>
      <c r="J148" s="423"/>
      <c r="K148" s="423"/>
      <c r="L148" s="169"/>
      <c r="M148" s="170" t="str">
        <f>IF(AND(J148&lt;&gt;"",L148&lt;&gt;""),L148*VLOOKUP(J148,'$DB.LOOKUP.ICW'!C:D,2,FALSE),"")</f>
        <v/>
      </c>
    </row>
    <row r="149" spans="4:13" s="165" customFormat="1" ht="18" customHeight="1" x14ac:dyDescent="0.25">
      <c r="D149" s="428"/>
      <c r="E149" s="430"/>
      <c r="F149" s="416"/>
      <c r="G149" s="417"/>
      <c r="H149" s="417"/>
      <c r="I149" s="418"/>
      <c r="J149" s="424"/>
      <c r="K149" s="425"/>
      <c r="L149" s="169"/>
      <c r="M149" s="170" t="str">
        <f>IF(AND(J149&lt;&gt;"",L149&lt;&gt;""),L149*VLOOKUP(J149,'$DB.LOOKUP.ICW'!C:D,2,FALSE),"")</f>
        <v/>
      </c>
    </row>
    <row r="150" spans="4:13" s="165" customFormat="1" ht="18" customHeight="1" x14ac:dyDescent="0.25">
      <c r="D150" s="428"/>
      <c r="E150" s="430"/>
      <c r="F150" s="416"/>
      <c r="G150" s="417"/>
      <c r="H150" s="417"/>
      <c r="I150" s="418"/>
      <c r="J150" s="423"/>
      <c r="K150" s="423"/>
      <c r="L150" s="169"/>
      <c r="M150" s="170" t="str">
        <f>IF(AND(J150&lt;&gt;"",L150&lt;&gt;""),L150*VLOOKUP(J150,'$DB.LOOKUP.ICW'!C:D,2,FALSE),"")</f>
        <v/>
      </c>
    </row>
    <row r="151" spans="4:13" s="165" customFormat="1" ht="18" customHeight="1" x14ac:dyDescent="0.25">
      <c r="D151" s="415" t="s">
        <v>2761</v>
      </c>
      <c r="E151" s="415"/>
      <c r="F151" s="415"/>
      <c r="G151" s="415"/>
      <c r="H151" s="415"/>
      <c r="I151" s="415"/>
      <c r="J151" s="415"/>
      <c r="K151" s="415"/>
      <c r="L151" s="415"/>
      <c r="M151" s="166">
        <f>SUM(M146:M150)</f>
        <v>0</v>
      </c>
    </row>
    <row r="152" spans="4:13" s="1" customFormat="1" ht="9" customHeight="1" x14ac:dyDescent="0.2"/>
    <row r="153" spans="4:13" s="1" customFormat="1" ht="18" customHeight="1" x14ac:dyDescent="0.2">
      <c r="D153" s="431" t="s">
        <v>2760</v>
      </c>
      <c r="E153" s="431"/>
      <c r="F153" s="431"/>
      <c r="G153" s="431"/>
      <c r="H153" s="431"/>
      <c r="I153" s="431"/>
      <c r="J153" s="431"/>
      <c r="K153" s="431"/>
      <c r="L153" s="431"/>
      <c r="M153" s="431"/>
    </row>
    <row r="154" spans="4:13" s="1" customFormat="1" ht="9" customHeight="1" x14ac:dyDescent="0.2"/>
    <row r="155" spans="4:13" s="1" customFormat="1" ht="18" customHeight="1" x14ac:dyDescent="0.2">
      <c r="D155" s="411" t="s">
        <v>2759</v>
      </c>
      <c r="E155" s="411"/>
      <c r="F155" s="411"/>
      <c r="G155" s="411"/>
      <c r="H155" s="411"/>
      <c r="I155" s="411"/>
      <c r="J155" s="411"/>
      <c r="K155" s="411"/>
      <c r="L155" s="411"/>
      <c r="M155" s="411"/>
    </row>
    <row r="156" spans="4:13" s="1" customFormat="1" ht="92.1" customHeight="1" x14ac:dyDescent="0.2">
      <c r="D156" s="412" t="s">
        <v>9319</v>
      </c>
      <c r="E156" s="413"/>
      <c r="F156" s="413"/>
      <c r="G156" s="413"/>
      <c r="H156" s="413"/>
      <c r="I156" s="413"/>
      <c r="J156" s="413"/>
      <c r="K156" s="413"/>
      <c r="L156" s="413"/>
      <c r="M156" s="414"/>
    </row>
    <row r="157" spans="4:13" s="1" customFormat="1" ht="3.95" customHeight="1" x14ac:dyDescent="0.2"/>
    <row r="158" spans="4:13" s="165" customFormat="1" ht="18" customHeight="1" x14ac:dyDescent="0.25">
      <c r="D158" s="426" t="s">
        <v>2753</v>
      </c>
      <c r="E158" s="426"/>
      <c r="F158" s="426"/>
      <c r="G158" s="426"/>
      <c r="H158" s="426"/>
      <c r="I158" s="422" t="s">
        <v>2758</v>
      </c>
      <c r="J158" s="422"/>
      <c r="K158" s="422" t="s">
        <v>2757</v>
      </c>
      <c r="L158" s="422"/>
      <c r="M158" s="168" t="s">
        <v>2756</v>
      </c>
    </row>
    <row r="159" spans="4:13" s="165" customFormat="1" ht="18" customHeight="1" x14ac:dyDescent="0.25">
      <c r="D159" s="427"/>
      <c r="E159" s="427"/>
      <c r="F159" s="427"/>
      <c r="G159" s="427"/>
      <c r="H159" s="427"/>
      <c r="I159" s="456"/>
      <c r="J159" s="456"/>
      <c r="K159" s="455" t="str">
        <f>IF(I159&lt;&gt;"",I159*0.75,"")</f>
        <v/>
      </c>
      <c r="L159" s="455"/>
      <c r="M159" s="167" t="str">
        <f>IF(K159&lt;&gt;"",K159*12,"")</f>
        <v/>
      </c>
    </row>
    <row r="160" spans="4:13" s="165" customFormat="1" ht="18" customHeight="1" x14ac:dyDescent="0.25">
      <c r="D160" s="427"/>
      <c r="E160" s="427"/>
      <c r="F160" s="427"/>
      <c r="G160" s="427"/>
      <c r="H160" s="427"/>
      <c r="I160" s="456"/>
      <c r="J160" s="456"/>
      <c r="K160" s="455" t="str">
        <f>IF(I160&lt;&gt;"",I160*0.75,"")</f>
        <v/>
      </c>
      <c r="L160" s="455"/>
      <c r="M160" s="167" t="str">
        <f>IF(K160&lt;&gt;"",K160*12,"")</f>
        <v/>
      </c>
    </row>
    <row r="161" spans="4:13" s="165" customFormat="1" ht="18" customHeight="1" x14ac:dyDescent="0.25">
      <c r="D161" s="427"/>
      <c r="E161" s="427"/>
      <c r="F161" s="427"/>
      <c r="G161" s="427"/>
      <c r="H161" s="427"/>
      <c r="I161" s="456"/>
      <c r="J161" s="456"/>
      <c r="K161" s="455" t="str">
        <f>IF(I161&lt;&gt;"",I161*0.75,"")</f>
        <v/>
      </c>
      <c r="L161" s="455"/>
      <c r="M161" s="167" t="str">
        <f>IF(K161&lt;&gt;"",K161*12,"")</f>
        <v/>
      </c>
    </row>
    <row r="162" spans="4:13" s="165" customFormat="1" ht="18" customHeight="1" x14ac:dyDescent="0.25">
      <c r="D162" s="415" t="s">
        <v>2755</v>
      </c>
      <c r="E162" s="415"/>
      <c r="F162" s="415"/>
      <c r="G162" s="415"/>
      <c r="H162" s="415"/>
      <c r="I162" s="415"/>
      <c r="J162" s="415"/>
      <c r="K162" s="415"/>
      <c r="L162" s="415"/>
      <c r="M162" s="166">
        <f>SUM(M159:M161)</f>
        <v>0</v>
      </c>
    </row>
    <row r="163" spans="4:13" s="1" customFormat="1" ht="9" customHeight="1" x14ac:dyDescent="0.2"/>
    <row r="164" spans="4:13" s="1" customFormat="1" ht="18" customHeight="1" x14ac:dyDescent="0.2">
      <c r="D164" s="431" t="s">
        <v>2754</v>
      </c>
      <c r="E164" s="431"/>
      <c r="F164" s="431"/>
      <c r="G164" s="431"/>
      <c r="H164" s="431"/>
      <c r="I164" s="431"/>
      <c r="J164" s="431"/>
      <c r="K164" s="431"/>
      <c r="L164" s="431"/>
      <c r="M164" s="431"/>
    </row>
    <row r="165" spans="4:13" s="1" customFormat="1" ht="9" customHeight="1" x14ac:dyDescent="0.2"/>
    <row r="166" spans="4:13" s="1" customFormat="1" ht="18" customHeight="1" x14ac:dyDescent="0.2">
      <c r="D166" s="411" t="s">
        <v>2354</v>
      </c>
      <c r="E166" s="411"/>
      <c r="F166" s="411"/>
      <c r="G166" s="411"/>
      <c r="H166" s="411"/>
      <c r="I166" s="411"/>
      <c r="J166" s="411"/>
      <c r="K166" s="411"/>
      <c r="L166" s="411"/>
      <c r="M166" s="411"/>
    </row>
    <row r="167" spans="4:13" s="1" customFormat="1" ht="33.75" customHeight="1" x14ac:dyDescent="0.2">
      <c r="D167" s="441" t="s">
        <v>9320</v>
      </c>
      <c r="E167" s="442"/>
      <c r="F167" s="442"/>
      <c r="G167" s="442"/>
      <c r="H167" s="442"/>
      <c r="I167" s="442"/>
      <c r="J167" s="442"/>
      <c r="K167" s="442"/>
      <c r="L167" s="442"/>
      <c r="M167" s="443"/>
    </row>
    <row r="168" spans="4:13" s="1" customFormat="1" ht="3.95" customHeight="1" x14ac:dyDescent="0.2"/>
    <row r="169" spans="4:13" s="1" customFormat="1" ht="18" customHeight="1" x14ac:dyDescent="0.2">
      <c r="D169" s="426" t="s">
        <v>2753</v>
      </c>
      <c r="E169" s="426"/>
      <c r="F169" s="426"/>
      <c r="G169" s="426"/>
      <c r="H169" s="426"/>
      <c r="I169" s="426"/>
      <c r="J169" s="426"/>
      <c r="K169" s="426"/>
      <c r="L169" s="426"/>
      <c r="M169" s="426"/>
    </row>
    <row r="170" spans="4:13" s="1" customFormat="1" ht="18" customHeight="1" x14ac:dyDescent="0.2">
      <c r="D170" s="427"/>
      <c r="E170" s="427"/>
      <c r="F170" s="427"/>
      <c r="G170" s="427"/>
      <c r="H170" s="427"/>
      <c r="I170" s="427"/>
      <c r="J170" s="427"/>
      <c r="K170" s="427"/>
      <c r="L170" s="427"/>
      <c r="M170" s="427"/>
    </row>
    <row r="171" spans="4:13" s="1" customFormat="1" ht="18" customHeight="1" x14ac:dyDescent="0.2">
      <c r="D171" s="427"/>
      <c r="E171" s="427"/>
      <c r="F171" s="427"/>
      <c r="G171" s="427"/>
      <c r="H171" s="427"/>
      <c r="I171" s="427"/>
      <c r="J171" s="427"/>
      <c r="K171" s="427"/>
      <c r="L171" s="427"/>
      <c r="M171" s="427"/>
    </row>
    <row r="172" spans="4:13" s="1" customFormat="1" ht="18" customHeight="1" x14ac:dyDescent="0.2">
      <c r="D172" s="427"/>
      <c r="E172" s="427"/>
      <c r="F172" s="427"/>
      <c r="G172" s="427"/>
      <c r="H172" s="427"/>
      <c r="I172" s="427"/>
      <c r="J172" s="427"/>
      <c r="K172" s="427"/>
      <c r="L172" s="427"/>
      <c r="M172" s="427"/>
    </row>
    <row r="173" spans="4:13" s="1" customFormat="1" ht="18" customHeight="1" x14ac:dyDescent="0.2">
      <c r="D173" s="427"/>
      <c r="E173" s="427"/>
      <c r="F173" s="427"/>
      <c r="G173" s="427"/>
      <c r="H173" s="427"/>
      <c r="I173" s="427"/>
      <c r="J173" s="427"/>
      <c r="K173" s="427"/>
      <c r="L173" s="427"/>
      <c r="M173" s="427"/>
    </row>
    <row r="174" spans="4:13" s="1" customFormat="1" ht="18" customHeight="1" x14ac:dyDescent="0.2">
      <c r="D174" s="427"/>
      <c r="E174" s="427"/>
      <c r="F174" s="427"/>
      <c r="G174" s="427"/>
      <c r="H174" s="427"/>
      <c r="I174" s="427"/>
      <c r="J174" s="427"/>
      <c r="K174" s="427"/>
      <c r="L174" s="427"/>
      <c r="M174" s="427"/>
    </row>
    <row r="175" spans="4:13" ht="18" customHeight="1" x14ac:dyDescent="0.25"/>
  </sheetData>
  <sheetProtection algorithmName="SHA-512" hashValue="OTK1XpfPaAxNmVP8KIe0xn/lkdp0CmcMZj0iVFf7aGohV0LvdBnxj/yVH++02564bNpEWxBYe7NvICPvqD3fng==" saltValue="7h4auoXUoC5jd+3hbao37g==" spinCount="100000" sheet="1" objects="1" scenarios="1"/>
  <dataConsolidate/>
  <mergeCells count="220">
    <mergeCell ref="F70:G70"/>
    <mergeCell ref="I70:J70"/>
    <mergeCell ref="K70:L70"/>
    <mergeCell ref="F71:G71"/>
    <mergeCell ref="I71:J71"/>
    <mergeCell ref="K71:L71"/>
    <mergeCell ref="M71:M75"/>
    <mergeCell ref="F72:G72"/>
    <mergeCell ref="I72:J72"/>
    <mergeCell ref="K72:L72"/>
    <mergeCell ref="F73:G73"/>
    <mergeCell ref="I73:J73"/>
    <mergeCell ref="K73:L73"/>
    <mergeCell ref="F74:G74"/>
    <mergeCell ref="I74:J74"/>
    <mergeCell ref="K74:L74"/>
    <mergeCell ref="F75:G75"/>
    <mergeCell ref="I75:J75"/>
    <mergeCell ref="K75:L75"/>
    <mergeCell ref="F63:G63"/>
    <mergeCell ref="I63:J63"/>
    <mergeCell ref="K63:L63"/>
    <mergeCell ref="F64:G64"/>
    <mergeCell ref="I64:J64"/>
    <mergeCell ref="K64:L64"/>
    <mergeCell ref="M64:M68"/>
    <mergeCell ref="F65:G65"/>
    <mergeCell ref="I65:J65"/>
    <mergeCell ref="K65:L65"/>
    <mergeCell ref="F66:G66"/>
    <mergeCell ref="I66:J66"/>
    <mergeCell ref="K66:L66"/>
    <mergeCell ref="F67:G67"/>
    <mergeCell ref="I67:J67"/>
    <mergeCell ref="K67:L67"/>
    <mergeCell ref="F68:G68"/>
    <mergeCell ref="I68:J68"/>
    <mergeCell ref="K68:L68"/>
    <mergeCell ref="M50:M54"/>
    <mergeCell ref="F56:G56"/>
    <mergeCell ref="I56:J56"/>
    <mergeCell ref="K56:L56"/>
    <mergeCell ref="F57:G57"/>
    <mergeCell ref="I57:J57"/>
    <mergeCell ref="K57:L57"/>
    <mergeCell ref="M57:M61"/>
    <mergeCell ref="F58:G58"/>
    <mergeCell ref="I58:J58"/>
    <mergeCell ref="K58:L58"/>
    <mergeCell ref="F59:G59"/>
    <mergeCell ref="I59:J59"/>
    <mergeCell ref="K59:L59"/>
    <mergeCell ref="F60:G60"/>
    <mergeCell ref="I60:J60"/>
    <mergeCell ref="K60:L60"/>
    <mergeCell ref="F61:G61"/>
    <mergeCell ref="I61:J61"/>
    <mergeCell ref="K61:L61"/>
    <mergeCell ref="F53:G53"/>
    <mergeCell ref="F54:G54"/>
    <mergeCell ref="I53:J53"/>
    <mergeCell ref="I54:J54"/>
    <mergeCell ref="K53:L53"/>
    <mergeCell ref="K54:L54"/>
    <mergeCell ref="F49:G49"/>
    <mergeCell ref="I49:J49"/>
    <mergeCell ref="K49:L49"/>
    <mergeCell ref="F50:G50"/>
    <mergeCell ref="I50:J50"/>
    <mergeCell ref="K50:L50"/>
    <mergeCell ref="F51:G51"/>
    <mergeCell ref="F52:G52"/>
    <mergeCell ref="I51:J51"/>
    <mergeCell ref="I52:J52"/>
    <mergeCell ref="K51:L51"/>
    <mergeCell ref="K52:L52"/>
    <mergeCell ref="I160:J160"/>
    <mergeCell ref="I158:J158"/>
    <mergeCell ref="D155:M155"/>
    <mergeCell ref="D156:M156"/>
    <mergeCell ref="J108:K108"/>
    <mergeCell ref="J109:K109"/>
    <mergeCell ref="J110:K110"/>
    <mergeCell ref="J111:K111"/>
    <mergeCell ref="J112:K112"/>
    <mergeCell ref="D126:L126"/>
    <mergeCell ref="D138:L138"/>
    <mergeCell ref="D135:E135"/>
    <mergeCell ref="D136:E136"/>
    <mergeCell ref="D137:E137"/>
    <mergeCell ref="D130:M130"/>
    <mergeCell ref="J134:K134"/>
    <mergeCell ref="J135:K135"/>
    <mergeCell ref="J133:K133"/>
    <mergeCell ref="F136:I136"/>
    <mergeCell ref="F109:I109"/>
    <mergeCell ref="D113:E113"/>
    <mergeCell ref="D111:E111"/>
    <mergeCell ref="D146:E146"/>
    <mergeCell ref="D147:E147"/>
    <mergeCell ref="F110:I110"/>
    <mergeCell ref="F108:I108"/>
    <mergeCell ref="D145:E145"/>
    <mergeCell ref="D101:L101"/>
    <mergeCell ref="K159:L159"/>
    <mergeCell ref="K160:L160"/>
    <mergeCell ref="D162:L162"/>
    <mergeCell ref="D161:H161"/>
    <mergeCell ref="I161:J161"/>
    <mergeCell ref="K161:L161"/>
    <mergeCell ref="F111:I111"/>
    <mergeCell ref="F112:I112"/>
    <mergeCell ref="D114:L114"/>
    <mergeCell ref="F113:I113"/>
    <mergeCell ref="J136:K136"/>
    <mergeCell ref="E121:J121"/>
    <mergeCell ref="E122:J122"/>
    <mergeCell ref="E123:J123"/>
    <mergeCell ref="E124:J124"/>
    <mergeCell ref="E125:J125"/>
    <mergeCell ref="D158:H158"/>
    <mergeCell ref="D159:H159"/>
    <mergeCell ref="D160:H160"/>
    <mergeCell ref="I159:J159"/>
    <mergeCell ref="K158:L158"/>
    <mergeCell ref="J113:K113"/>
    <mergeCell ref="D112:E112"/>
    <mergeCell ref="D153:M153"/>
    <mergeCell ref="D6:M6"/>
    <mergeCell ref="D19:M19"/>
    <mergeCell ref="D21:M21"/>
    <mergeCell ref="D13:M13"/>
    <mergeCell ref="F8:H8"/>
    <mergeCell ref="F9:H9"/>
    <mergeCell ref="K11:M11"/>
    <mergeCell ref="D11:J11"/>
    <mergeCell ref="E82:K82"/>
    <mergeCell ref="E83:K83"/>
    <mergeCell ref="E84:K84"/>
    <mergeCell ref="E85:K85"/>
    <mergeCell ref="E86:K86"/>
    <mergeCell ref="E87:K87"/>
    <mergeCell ref="D8:E8"/>
    <mergeCell ref="D9:E9"/>
    <mergeCell ref="D110:E110"/>
    <mergeCell ref="D103:M103"/>
    <mergeCell ref="F137:I137"/>
    <mergeCell ref="J137:K137"/>
    <mergeCell ref="D173:M173"/>
    <mergeCell ref="D174:M174"/>
    <mergeCell ref="D79:M79"/>
    <mergeCell ref="D88:L88"/>
    <mergeCell ref="D164:M164"/>
    <mergeCell ref="D166:M166"/>
    <mergeCell ref="D167:M167"/>
    <mergeCell ref="D169:M169"/>
    <mergeCell ref="D170:M170"/>
    <mergeCell ref="D118:M118"/>
    <mergeCell ref="D119:M119"/>
    <mergeCell ref="F133:I133"/>
    <mergeCell ref="D143:M143"/>
    <mergeCell ref="D149:E149"/>
    <mergeCell ref="D151:L151"/>
    <mergeCell ref="D108:E108"/>
    <mergeCell ref="D109:E109"/>
    <mergeCell ref="D105:M105"/>
    <mergeCell ref="D106:M106"/>
    <mergeCell ref="D150:E150"/>
    <mergeCell ref="D140:M140"/>
    <mergeCell ref="D128:M128"/>
    <mergeCell ref="D131:M131"/>
    <mergeCell ref="D142:M142"/>
    <mergeCell ref="G97:L97"/>
    <mergeCell ref="G98:L98"/>
    <mergeCell ref="G99:L99"/>
    <mergeCell ref="G100:L100"/>
    <mergeCell ref="D16:M16"/>
    <mergeCell ref="D17:M17"/>
    <mergeCell ref="K2:M2"/>
    <mergeCell ref="D171:M171"/>
    <mergeCell ref="D172:M172"/>
    <mergeCell ref="D22:M22"/>
    <mergeCell ref="M25:M27"/>
    <mergeCell ref="M30:M32"/>
    <mergeCell ref="M35:M37"/>
    <mergeCell ref="F134:I134"/>
    <mergeCell ref="F135:I135"/>
    <mergeCell ref="D133:E133"/>
    <mergeCell ref="D134:E134"/>
    <mergeCell ref="M40:M42"/>
    <mergeCell ref="D44:L44"/>
    <mergeCell ref="D90:M90"/>
    <mergeCell ref="D148:E148"/>
    <mergeCell ref="D116:M116"/>
    <mergeCell ref="D93:L93"/>
    <mergeCell ref="D91:M91"/>
    <mergeCell ref="D46:M46"/>
    <mergeCell ref="D47:M47"/>
    <mergeCell ref="D77:L77"/>
    <mergeCell ref="F146:I146"/>
    <mergeCell ref="F145:I145"/>
    <mergeCell ref="F147:I147"/>
    <mergeCell ref="F148:I148"/>
    <mergeCell ref="F149:I149"/>
    <mergeCell ref="F150:I150"/>
    <mergeCell ref="J145:K145"/>
    <mergeCell ref="J146:K146"/>
    <mergeCell ref="J147:K147"/>
    <mergeCell ref="J148:K148"/>
    <mergeCell ref="J149:K149"/>
    <mergeCell ref="J150:K150"/>
    <mergeCell ref="D80:M80"/>
    <mergeCell ref="E95:F95"/>
    <mergeCell ref="E96:F96"/>
    <mergeCell ref="E97:F97"/>
    <mergeCell ref="E98:F98"/>
    <mergeCell ref="E99:F99"/>
    <mergeCell ref="E100:F100"/>
    <mergeCell ref="G95:L95"/>
    <mergeCell ref="G96:L96"/>
  </mergeCells>
  <conditionalFormatting sqref="D93:M93">
    <cfRule type="expression" dxfId="11" priority="10">
      <formula>ICW_BONUS_SUBTOTAL=0</formula>
    </cfRule>
  </conditionalFormatting>
  <conditionalFormatting sqref="I25 I30 I35 I40">
    <cfRule type="expression" dxfId="10" priority="11">
      <formula>IF($M25&lt;&gt;"",$I25&gt;$L25,FALSE)</formula>
    </cfRule>
  </conditionalFormatting>
  <conditionalFormatting sqref="I52:J52">
    <cfRule type="expression" dxfId="9" priority="8">
      <formula>AND(I52&lt;&gt;"",I52&gt;K50)</formula>
    </cfRule>
  </conditionalFormatting>
  <conditionalFormatting sqref="I59:J59">
    <cfRule type="expression" dxfId="8" priority="6">
      <formula>AND(I59&lt;&gt;"",I59&gt;K57)</formula>
    </cfRule>
  </conditionalFormatting>
  <conditionalFormatting sqref="I66:J66">
    <cfRule type="expression" dxfId="7" priority="4">
      <formula>AND(I66&lt;&gt;"",I66&gt;K64)</formula>
    </cfRule>
  </conditionalFormatting>
  <conditionalFormatting sqref="I73:J73">
    <cfRule type="expression" dxfId="6" priority="2">
      <formula>AND(I73&lt;&gt;"",I73&gt;K71)</formula>
    </cfRule>
  </conditionalFormatting>
  <conditionalFormatting sqref="K50:L50">
    <cfRule type="expression" dxfId="5" priority="7">
      <formula>AND(K50&lt;&gt;"",K50&gt;=I52)</formula>
    </cfRule>
  </conditionalFormatting>
  <conditionalFormatting sqref="K57:L57">
    <cfRule type="expression" dxfId="4" priority="5">
      <formula>AND(K57&lt;&gt;"",K57&gt;=I59)</formula>
    </cfRule>
  </conditionalFormatting>
  <conditionalFormatting sqref="K64:L64">
    <cfRule type="expression" dxfId="3" priority="3">
      <formula>AND(K64&lt;&gt;"",K64&gt;=I66)</formula>
    </cfRule>
  </conditionalFormatting>
  <conditionalFormatting sqref="K71:L71">
    <cfRule type="expression" dxfId="2" priority="1">
      <formula>AND(K71&lt;&gt;"",K71&gt;=I73)</formula>
    </cfRule>
  </conditionalFormatting>
  <conditionalFormatting sqref="L25 L30 L35 L40">
    <cfRule type="expression" dxfId="1" priority="12">
      <formula>IF($M25&lt;&gt;"",$I25&lt;=$L25,FALSE)</formula>
    </cfRule>
  </conditionalFormatting>
  <conditionalFormatting sqref="M93">
    <cfRule type="iconSet" priority="9">
      <iconSet iconSet="3Symbols" showValue="0">
        <cfvo type="percent" val="0"/>
        <cfvo type="num" val="0" gte="0"/>
        <cfvo type="num" val="2"/>
      </iconSet>
    </cfRule>
  </conditionalFormatting>
  <dataValidations count="15">
    <dataValidation operator="greaterThan" allowBlank="1" showInputMessage="1" showErrorMessage="1" sqref="I25 I30 I35 I40 K50:L50 K52:L52 K54:L54 K57:L57 K59:L59 K61:L61 K64:L64 K66:L66 K68:L68 K71:L71 K73:L73 K75:L75" xr:uid="{00000000-0002-0000-0400-000000000000}"/>
    <dataValidation type="whole" allowBlank="1" showInputMessage="1" showErrorMessage="1" sqref="K9" xr:uid="{00000000-0002-0000-0400-000001000000}">
      <formula1>0</formula1>
      <formula2>20</formula2>
    </dataValidation>
    <dataValidation type="list" allowBlank="1" showInputMessage="1" showErrorMessage="1" sqref="F134:I137" xr:uid="{00000000-0002-0000-0400-000002000000}">
      <formula1>RANGE_LOOKUP_DEPENDENTS</formula1>
    </dataValidation>
    <dataValidation type="whole" allowBlank="1" showInputMessage="1" showErrorMessage="1" sqref="J9 L14:L15 L18" xr:uid="{00000000-0002-0000-0400-000003000000}">
      <formula1>1</formula1>
      <formula2>20</formula2>
    </dataValidation>
    <dataValidation type="decimal" operator="greaterThanOrEqual" allowBlank="1" showInputMessage="1" showErrorMessage="1" sqref="L122:L125 H123:H125" xr:uid="{00000000-0002-0000-0400-000004000000}">
      <formula1>0</formula1>
    </dataValidation>
    <dataValidation type="whole" allowBlank="1" showInputMessage="1" showErrorMessage="1" sqref="G123:G125 K122:K125" xr:uid="{00000000-0002-0000-0400-000005000000}">
      <formula1>1</formula1>
      <formula2>12</formula2>
    </dataValidation>
    <dataValidation type="date" operator="greaterThanOrEqual" allowBlank="1" showInputMessage="1" showErrorMessage="1" sqref="F40 L83:L87 F25 F30 F35 L97:L100 D52 D59 D66 D73" xr:uid="{00000000-0002-0000-0400-000006000000}">
      <formula1>1</formula1>
    </dataValidation>
    <dataValidation type="list" allowBlank="1" sqref="H25 H30 H35 H40" xr:uid="{00000000-0002-0000-0400-000007000000}">
      <formula1>RANGE_LOOKUP_PAYSTUBS_PER_YEAR</formula1>
    </dataValidation>
    <dataValidation type="list" operator="greaterThanOrEqual" allowBlank="1" showInputMessage="1" sqref="F146:F150" xr:uid="{00000000-0002-0000-0400-000009000000}">
      <formula1>RANGE_LOOKUP_SECTD_INCOMESOURCE</formula1>
    </dataValidation>
    <dataValidation type="list" allowBlank="1" showInputMessage="1" sqref="F109:I113" xr:uid="{00000000-0002-0000-0400-00000A000000}">
      <formula1>RANGE_LOOKUP_SECTE_INCOMESOURCE</formula1>
    </dataValidation>
    <dataValidation type="list" allowBlank="1" showInputMessage="1" showErrorMessage="1" sqref="J134:K137 J109:K113 J146:K150" xr:uid="{00000000-0002-0000-0400-00000B000000}">
      <formula1>RANGE_LOOKUP_CHILDSUPPORT_PYMT_FREQ</formula1>
    </dataValidation>
    <dataValidation type="decimal" operator="greaterThan" allowBlank="1" showInputMessage="1" showErrorMessage="1" sqref="L134:L137 M83:M87 M96:M100 I159:J161 J25 J30 J35 J40 L109:L113 L146:L150 F50:G50 I50:J50 F52:G52 F54:J54 I52:J52 F57:G57 I57:J57 F59:G59 F61:J61 I59:J59 F64:G64 I64:J64 F66:G66 F68:J68 I66:J66 F71:G71 I71:J71 F73:G73 F75:J75 I73:J73" xr:uid="{00000000-0002-0000-0400-00000C000000}">
      <formula1>0</formula1>
    </dataValidation>
    <dataValidation type="date" operator="greaterThan" allowBlank="1" showInputMessage="1" showErrorMessage="1" error="End of Pay Period must be after employment start date_x000a_" sqref="G25 G30 G35 G40" xr:uid="{00000000-0002-0000-0400-00000D000000}">
      <formula1>F25</formula1>
    </dataValidation>
    <dataValidation type="list" allowBlank="1" showInputMessage="1" showErrorMessage="1" sqref="H50 H57 H64 H71" xr:uid="{48FD66B6-091E-4A7D-80AB-87DCB23798CA}">
      <formula1>RANGE_LOOKUP_VOE_PYMT_FREQ</formula1>
    </dataValidation>
    <dataValidation type="date" operator="greaterThan" allowBlank="1" showInputMessage="1" showErrorMessage="1" error="Must be after Date of Employment_x000a_" sqref="E52 E59 E66 E73" xr:uid="{11D1779B-DC0D-4C55-969C-4BA48DEC24C9}">
      <formula1>D52</formula1>
    </dataValidation>
  </dataValidations>
  <printOptions horizontalCentered="1"/>
  <pageMargins left="0.25" right="0.25" top="0.25" bottom="0.25" header="0.3" footer="0.3"/>
  <pageSetup scale="81" fitToHeight="0" orientation="landscape" r:id="rId1"/>
  <headerFooter>
    <oddFooter>&amp;RPage &amp;P of &amp;N</oddFooter>
  </headerFooter>
  <rowBreaks count="8" manualBreakCount="8">
    <brk id="17" min="2" max="13" man="1"/>
    <brk id="44" min="2" max="13" man="1"/>
    <brk id="61" min="2" max="13" man="1"/>
    <brk id="77" min="2" max="13" man="1"/>
    <brk id="101" min="2" max="13" man="1"/>
    <brk id="114" min="2" max="13" man="1"/>
    <brk id="126" min="2" max="13" man="1"/>
    <brk id="151" min="2" max="13" man="1"/>
  </rowBreaks>
  <drawing r:id="rId2"/>
  <legacyDrawing r:id="rId3"/>
  <mc:AlternateContent xmlns:mc="http://schemas.openxmlformats.org/markup-compatibility/2006">
    <mc:Choice Requires="x14">
      <controls>
        <mc:AlternateContent xmlns:mc="http://schemas.openxmlformats.org/markup-compatibility/2006">
          <mc:Choice Requires="x14">
            <control shapeId="58369" r:id="rId4" name="Check Box 1">
              <controlPr defaultSize="0" autoFill="0" autoLine="0" autoPict="0">
                <anchor moveWithCells="1">
                  <from>
                    <xdr:col>3</xdr:col>
                    <xdr:colOff>28575</xdr:colOff>
                    <xdr:row>92</xdr:row>
                    <xdr:rowOff>28575</xdr:rowOff>
                  </from>
                  <to>
                    <xdr:col>11</xdr:col>
                    <xdr:colOff>904875</xdr:colOff>
                    <xdr:row>92</xdr:row>
                    <xdr:rowOff>238125</xdr:rowOff>
                  </to>
                </anchor>
              </controlPr>
            </control>
          </mc:Choice>
        </mc:AlternateContent>
        <mc:AlternateContent xmlns:mc="http://schemas.openxmlformats.org/markup-compatibility/2006">
          <mc:Choice Requires="x14">
            <control shapeId="58371" r:id="rId5" name="PAYSTUB_1_PRIORYEAR_PAYPERIOD">
              <controlPr defaultSize="0" autoFill="0" autoLine="0" autoPict="0">
                <anchor moveWithCells="1">
                  <from>
                    <xdr:col>3</xdr:col>
                    <xdr:colOff>9525</xdr:colOff>
                    <xdr:row>25</xdr:row>
                    <xdr:rowOff>9525</xdr:rowOff>
                  </from>
                  <to>
                    <xdr:col>4</xdr:col>
                    <xdr:colOff>1343025</xdr:colOff>
                    <xdr:row>26</xdr:row>
                    <xdr:rowOff>9525</xdr:rowOff>
                  </to>
                </anchor>
              </controlPr>
            </control>
          </mc:Choice>
        </mc:AlternateContent>
        <mc:AlternateContent xmlns:mc="http://schemas.openxmlformats.org/markup-compatibility/2006">
          <mc:Choice Requires="x14">
            <control shapeId="58372" r:id="rId6" name="Check Box 4">
              <controlPr defaultSize="0" autoFill="0" autoLine="0" autoPict="0">
                <anchor moveWithCells="1">
                  <from>
                    <xdr:col>3</xdr:col>
                    <xdr:colOff>9525</xdr:colOff>
                    <xdr:row>30</xdr:row>
                    <xdr:rowOff>9525</xdr:rowOff>
                  </from>
                  <to>
                    <xdr:col>4</xdr:col>
                    <xdr:colOff>1343025</xdr:colOff>
                    <xdr:row>31</xdr:row>
                    <xdr:rowOff>9525</xdr:rowOff>
                  </to>
                </anchor>
              </controlPr>
            </control>
          </mc:Choice>
        </mc:AlternateContent>
        <mc:AlternateContent xmlns:mc="http://schemas.openxmlformats.org/markup-compatibility/2006">
          <mc:Choice Requires="x14">
            <control shapeId="58373" r:id="rId7" name="Check Box 5">
              <controlPr defaultSize="0" autoFill="0" autoLine="0" autoPict="0">
                <anchor moveWithCells="1">
                  <from>
                    <xdr:col>3</xdr:col>
                    <xdr:colOff>9525</xdr:colOff>
                    <xdr:row>35</xdr:row>
                    <xdr:rowOff>9525</xdr:rowOff>
                  </from>
                  <to>
                    <xdr:col>4</xdr:col>
                    <xdr:colOff>1343025</xdr:colOff>
                    <xdr:row>36</xdr:row>
                    <xdr:rowOff>9525</xdr:rowOff>
                  </to>
                </anchor>
              </controlPr>
            </control>
          </mc:Choice>
        </mc:AlternateContent>
        <mc:AlternateContent xmlns:mc="http://schemas.openxmlformats.org/markup-compatibility/2006">
          <mc:Choice Requires="x14">
            <control shapeId="58374" r:id="rId8" name="Check Box 6">
              <controlPr defaultSize="0" autoFill="0" autoLine="0" autoPict="0">
                <anchor moveWithCells="1">
                  <from>
                    <xdr:col>3</xdr:col>
                    <xdr:colOff>9525</xdr:colOff>
                    <xdr:row>40</xdr:row>
                    <xdr:rowOff>9525</xdr:rowOff>
                  </from>
                  <to>
                    <xdr:col>4</xdr:col>
                    <xdr:colOff>1343025</xdr:colOff>
                    <xdr:row>41</xdr:row>
                    <xdr:rowOff>9525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B3FA1-8522-431A-ADAD-3B00FEAF1631}">
  <dimension ref="A1:I29"/>
  <sheetViews>
    <sheetView showGridLines="0" showRowColHeaders="0" workbookViewId="0">
      <pane ySplit="7" topLeftCell="A8" activePane="bottomLeft" state="frozen"/>
      <selection activeCell="D1" sqref="D1"/>
      <selection pane="bottomLeft" activeCell="C8" sqref="C8"/>
    </sheetView>
  </sheetViews>
  <sheetFormatPr defaultColWidth="0" defaultRowHeight="15" zeroHeight="1" x14ac:dyDescent="0.25"/>
  <cols>
    <col min="1" max="1" width="22.28515625" hidden="1" customWidth="1"/>
    <col min="2" max="2" width="31.42578125" hidden="1" customWidth="1"/>
    <col min="3" max="3" width="1.42578125" customWidth="1"/>
    <col min="4" max="4" width="31.28515625" customWidth="1"/>
    <col min="5" max="8" width="18.7109375" customWidth="1"/>
    <col min="9" max="9" width="1.42578125" customWidth="1"/>
    <col min="10" max="16384" width="9.140625" hidden="1"/>
  </cols>
  <sheetData>
    <row r="1" spans="1:9" ht="11.1" customHeight="1" x14ac:dyDescent="0.25"/>
    <row r="2" spans="1:9" ht="24.95" customHeight="1" x14ac:dyDescent="0.25">
      <c r="A2" s="43" t="s">
        <v>179</v>
      </c>
      <c r="B2" s="43" t="s">
        <v>178</v>
      </c>
      <c r="F2" s="433" t="str">
        <f>HYPERLINK("#"&amp;$B$4,$B$5)</f>
        <v xml:space="preserve">Return to </v>
      </c>
      <c r="G2" s="433"/>
      <c r="H2" s="433"/>
    </row>
    <row r="3" spans="1:9" ht="11.1" customHeight="1" x14ac:dyDescent="0.25"/>
    <row r="4" spans="1:9" ht="21.75" customHeight="1" x14ac:dyDescent="0.25">
      <c r="A4" t="s">
        <v>2852</v>
      </c>
      <c r="B4" t="str">
        <f>"TARGET_" &amp;CONFIG_EFORM_TYPE_CODE&amp;"_"&amp;CONFIG_FHC_PROG_ID&amp;"_ICW_BOOKMARK"</f>
        <v>TARGET___ICW_BOOKMARK</v>
      </c>
      <c r="C4" s="210"/>
      <c r="D4" s="212" t="str">
        <f>"Mortgage Revenue Bond Median Income Guidelines: New Jersey State ("&amp;Configuration!M53&amp;")"</f>
        <v>Mortgage Revenue Bond Median Income Guidelines: New Jersey State (2025)</v>
      </c>
      <c r="E4" s="212"/>
      <c r="F4" s="210"/>
      <c r="G4" s="210"/>
      <c r="H4" s="250"/>
      <c r="I4" s="210"/>
    </row>
    <row r="5" spans="1:9" s="208" customFormat="1" ht="9" customHeight="1" x14ac:dyDescent="0.25">
      <c r="A5" s="36" t="s">
        <v>2853</v>
      </c>
      <c r="B5" s="36" t="str">
        <f>"Return to "&amp;CONFIG_EFORM_TYPE_NAME</f>
        <v xml:space="preserve">Return to </v>
      </c>
      <c r="C5" s="207"/>
      <c r="D5" s="251"/>
      <c r="E5" s="209"/>
    </row>
    <row r="6" spans="1:9" s="208" customFormat="1" ht="21" customHeight="1" x14ac:dyDescent="0.25">
      <c r="A6" s="36"/>
      <c r="B6" s="36"/>
      <c r="C6" s="207"/>
      <c r="D6" s="224"/>
      <c r="E6" s="461" t="s">
        <v>2902</v>
      </c>
      <c r="F6" s="461"/>
      <c r="G6" s="461" t="s">
        <v>2903</v>
      </c>
      <c r="H6" s="461"/>
    </row>
    <row r="7" spans="1:9" s="208" customFormat="1" ht="20.100000000000001" customHeight="1" x14ac:dyDescent="0.25">
      <c r="A7"/>
      <c r="B7"/>
      <c r="C7"/>
      <c r="D7" s="248" t="s">
        <v>105</v>
      </c>
      <c r="E7" s="168" t="s">
        <v>2901</v>
      </c>
      <c r="F7" s="247">
        <v>0.8</v>
      </c>
      <c r="G7" s="168" t="s">
        <v>2901</v>
      </c>
      <c r="H7" s="247">
        <v>0.8</v>
      </c>
    </row>
    <row r="8" spans="1:9" s="36" customFormat="1" ht="20.100000000000001" customHeight="1" x14ac:dyDescent="0.25">
      <c r="A8" s="36" t="s">
        <v>2904</v>
      </c>
      <c r="B8" s="36" t="str">
        <f>"NJ_"&amp;UPPER(D8)</f>
        <v>NJ_ATLANTIC</v>
      </c>
      <c r="D8" s="249" t="s">
        <v>1326</v>
      </c>
      <c r="E8" s="252">
        <f>F8/0.8</f>
        <v>131700</v>
      </c>
      <c r="F8" s="252">
        <f t="shared" ref="F8:F28" si="0">VLOOKUP(B8,LOOKUP_AMI_TABLE,5,FALSE)</f>
        <v>105360</v>
      </c>
      <c r="G8" s="252">
        <f>H8/0.8</f>
        <v>151455</v>
      </c>
      <c r="H8" s="252">
        <f t="shared" ref="H8:H28" si="1">VLOOKUP(B8,LOOKUP_AMI_TABLE,7,FALSE)</f>
        <v>121164</v>
      </c>
    </row>
    <row r="9" spans="1:9" s="36" customFormat="1" ht="20.100000000000001" customHeight="1" x14ac:dyDescent="0.25">
      <c r="A9" s="36" t="s">
        <v>2904</v>
      </c>
      <c r="B9" s="36" t="str">
        <f t="shared" ref="B9:B28" si="2">"NJ_"&amp;UPPER(D9)</f>
        <v>NJ_BERGEN</v>
      </c>
      <c r="D9" s="249" t="s">
        <v>1327</v>
      </c>
      <c r="E9" s="252">
        <f t="shared" ref="E9:G28" si="3">F9/0.8</f>
        <v>131700</v>
      </c>
      <c r="F9" s="252">
        <f t="shared" si="0"/>
        <v>105360</v>
      </c>
      <c r="G9" s="252">
        <f t="shared" si="3"/>
        <v>157665</v>
      </c>
      <c r="H9" s="252">
        <f t="shared" si="1"/>
        <v>126132</v>
      </c>
    </row>
    <row r="10" spans="1:9" s="36" customFormat="1" ht="20.100000000000001" customHeight="1" x14ac:dyDescent="0.25">
      <c r="A10" s="36" t="s">
        <v>2904</v>
      </c>
      <c r="B10" s="36" t="str">
        <f t="shared" si="2"/>
        <v>NJ_BURLINGTON</v>
      </c>
      <c r="D10" s="249" t="s">
        <v>1328</v>
      </c>
      <c r="E10" s="252">
        <f t="shared" si="3"/>
        <v>131700</v>
      </c>
      <c r="F10" s="252">
        <f t="shared" si="0"/>
        <v>105360</v>
      </c>
      <c r="G10" s="252">
        <f t="shared" si="3"/>
        <v>151455</v>
      </c>
      <c r="H10" s="252">
        <f t="shared" si="1"/>
        <v>121164</v>
      </c>
    </row>
    <row r="11" spans="1:9" s="36" customFormat="1" ht="20.100000000000001" customHeight="1" x14ac:dyDescent="0.25">
      <c r="A11" s="36" t="s">
        <v>2904</v>
      </c>
      <c r="B11" s="36" t="str">
        <f t="shared" si="2"/>
        <v>NJ_CAMDEN</v>
      </c>
      <c r="D11" s="249" t="s">
        <v>537</v>
      </c>
      <c r="E11" s="252">
        <f t="shared" si="3"/>
        <v>131700</v>
      </c>
      <c r="F11" s="252">
        <f t="shared" si="0"/>
        <v>105360</v>
      </c>
      <c r="G11" s="252">
        <f t="shared" si="3"/>
        <v>151455</v>
      </c>
      <c r="H11" s="252">
        <f t="shared" si="1"/>
        <v>121164</v>
      </c>
    </row>
    <row r="12" spans="1:9" s="36" customFormat="1" ht="20.100000000000001" customHeight="1" x14ac:dyDescent="0.25">
      <c r="A12" s="36" t="s">
        <v>2904</v>
      </c>
      <c r="B12" s="36" t="str">
        <f t="shared" si="2"/>
        <v>NJ_CAPE MAY</v>
      </c>
      <c r="D12" s="249" t="s">
        <v>1329</v>
      </c>
      <c r="E12" s="252">
        <f t="shared" si="3"/>
        <v>131700</v>
      </c>
      <c r="F12" s="252">
        <f t="shared" si="0"/>
        <v>105360</v>
      </c>
      <c r="G12" s="252">
        <f t="shared" si="3"/>
        <v>151455</v>
      </c>
      <c r="H12" s="252">
        <f t="shared" si="1"/>
        <v>121164</v>
      </c>
    </row>
    <row r="13" spans="1:9" s="36" customFormat="1" ht="20.100000000000001" customHeight="1" x14ac:dyDescent="0.25">
      <c r="A13" s="36" t="s">
        <v>2904</v>
      </c>
      <c r="B13" s="36" t="str">
        <f t="shared" si="2"/>
        <v>NJ_CUMBERLAND</v>
      </c>
      <c r="D13" s="249" t="s">
        <v>677</v>
      </c>
      <c r="E13" s="252">
        <f t="shared" si="3"/>
        <v>131700</v>
      </c>
      <c r="F13" s="252">
        <f t="shared" si="0"/>
        <v>105360</v>
      </c>
      <c r="G13" s="252">
        <f t="shared" si="3"/>
        <v>151455</v>
      </c>
      <c r="H13" s="252">
        <f t="shared" si="1"/>
        <v>121164</v>
      </c>
    </row>
    <row r="14" spans="1:9" s="36" customFormat="1" ht="20.100000000000001" customHeight="1" x14ac:dyDescent="0.25">
      <c r="A14" s="36" t="s">
        <v>2904</v>
      </c>
      <c r="B14" s="36" t="str">
        <f t="shared" si="2"/>
        <v>NJ_ESSEX</v>
      </c>
      <c r="D14" s="249" t="s">
        <v>1025</v>
      </c>
      <c r="E14" s="252">
        <f t="shared" si="3"/>
        <v>135300</v>
      </c>
      <c r="F14" s="252">
        <f t="shared" si="0"/>
        <v>108240</v>
      </c>
      <c r="G14" s="252">
        <f t="shared" si="3"/>
        <v>155595</v>
      </c>
      <c r="H14" s="252">
        <f t="shared" si="1"/>
        <v>124476</v>
      </c>
    </row>
    <row r="15" spans="1:9" s="36" customFormat="1" ht="20.100000000000001" customHeight="1" x14ac:dyDescent="0.25">
      <c r="A15" s="36" t="s">
        <v>2904</v>
      </c>
      <c r="B15" s="36" t="str">
        <f t="shared" si="2"/>
        <v>NJ_GLOUCESTER</v>
      </c>
      <c r="D15" s="249" t="s">
        <v>1330</v>
      </c>
      <c r="E15" s="252">
        <f t="shared" si="3"/>
        <v>131700</v>
      </c>
      <c r="F15" s="252">
        <f t="shared" si="0"/>
        <v>105360</v>
      </c>
      <c r="G15" s="252">
        <f t="shared" si="3"/>
        <v>151455</v>
      </c>
      <c r="H15" s="252">
        <f t="shared" si="1"/>
        <v>121164</v>
      </c>
    </row>
    <row r="16" spans="1:9" s="36" customFormat="1" ht="20.100000000000001" customHeight="1" x14ac:dyDescent="0.25">
      <c r="A16" s="36" t="s">
        <v>2904</v>
      </c>
      <c r="B16" s="36" t="str">
        <f t="shared" si="2"/>
        <v>NJ_HUDSON</v>
      </c>
      <c r="D16" s="249" t="s">
        <v>1331</v>
      </c>
      <c r="E16" s="252">
        <f t="shared" si="3"/>
        <v>131700</v>
      </c>
      <c r="F16" s="252">
        <f t="shared" si="0"/>
        <v>105360</v>
      </c>
      <c r="G16" s="252">
        <f t="shared" si="3"/>
        <v>151455</v>
      </c>
      <c r="H16" s="252">
        <f t="shared" si="1"/>
        <v>121164</v>
      </c>
    </row>
    <row r="17" spans="1:8" s="36" customFormat="1" ht="20.100000000000001" customHeight="1" x14ac:dyDescent="0.25">
      <c r="A17" s="36" t="s">
        <v>2904</v>
      </c>
      <c r="B17" s="36" t="str">
        <f t="shared" si="2"/>
        <v>NJ_HUNTERDON</v>
      </c>
      <c r="D17" s="249" t="s">
        <v>1332</v>
      </c>
      <c r="E17" s="252">
        <f t="shared" si="3"/>
        <v>153400</v>
      </c>
      <c r="F17" s="252">
        <f t="shared" si="0"/>
        <v>122720</v>
      </c>
      <c r="G17" s="252">
        <f t="shared" si="3"/>
        <v>176410</v>
      </c>
      <c r="H17" s="252">
        <f t="shared" si="1"/>
        <v>141128</v>
      </c>
    </row>
    <row r="18" spans="1:8" s="36" customFormat="1" ht="20.100000000000001" customHeight="1" x14ac:dyDescent="0.25">
      <c r="A18" s="36" t="s">
        <v>2904</v>
      </c>
      <c r="B18" s="36" t="str">
        <f t="shared" si="2"/>
        <v>NJ_MERCER</v>
      </c>
      <c r="D18" s="249" t="s">
        <v>703</v>
      </c>
      <c r="E18" s="252">
        <f t="shared" si="3"/>
        <v>131700</v>
      </c>
      <c r="F18" s="252">
        <f t="shared" si="0"/>
        <v>105360</v>
      </c>
      <c r="G18" s="252">
        <f t="shared" si="3"/>
        <v>151455</v>
      </c>
      <c r="H18" s="252">
        <f t="shared" si="1"/>
        <v>121164</v>
      </c>
    </row>
    <row r="19" spans="1:8" s="36" customFormat="1" ht="20.100000000000001" customHeight="1" x14ac:dyDescent="0.25">
      <c r="A19" s="36" t="s">
        <v>2904</v>
      </c>
      <c r="B19" s="36" t="str">
        <f t="shared" si="2"/>
        <v>NJ_MIDDLESEX</v>
      </c>
      <c r="D19" s="249" t="s">
        <v>463</v>
      </c>
      <c r="E19" s="252">
        <f t="shared" si="3"/>
        <v>153400</v>
      </c>
      <c r="F19" s="252">
        <f t="shared" si="0"/>
        <v>122720</v>
      </c>
      <c r="G19" s="252">
        <f t="shared" si="3"/>
        <v>176410</v>
      </c>
      <c r="H19" s="252">
        <f t="shared" si="1"/>
        <v>141128</v>
      </c>
    </row>
    <row r="20" spans="1:8" s="36" customFormat="1" ht="20.100000000000001" customHeight="1" x14ac:dyDescent="0.25">
      <c r="A20" s="36" t="s">
        <v>2904</v>
      </c>
      <c r="B20" s="36" t="str">
        <f t="shared" si="2"/>
        <v>NJ_MONMOUTH</v>
      </c>
      <c r="D20" s="249" t="s">
        <v>1333</v>
      </c>
      <c r="E20" s="252">
        <f t="shared" si="3"/>
        <v>136800</v>
      </c>
      <c r="F20" s="252">
        <f t="shared" si="0"/>
        <v>109440</v>
      </c>
      <c r="G20" s="252">
        <f t="shared" si="3"/>
        <v>157320</v>
      </c>
      <c r="H20" s="252">
        <f t="shared" si="1"/>
        <v>125856</v>
      </c>
    </row>
    <row r="21" spans="1:8" s="36" customFormat="1" ht="20.100000000000001" customHeight="1" x14ac:dyDescent="0.25">
      <c r="A21" s="36" t="s">
        <v>2904</v>
      </c>
      <c r="B21" s="36" t="str">
        <f t="shared" si="2"/>
        <v>NJ_MORRIS</v>
      </c>
      <c r="D21" s="249" t="s">
        <v>841</v>
      </c>
      <c r="E21" s="252">
        <f t="shared" si="3"/>
        <v>135300</v>
      </c>
      <c r="F21" s="252">
        <f t="shared" si="0"/>
        <v>108240</v>
      </c>
      <c r="G21" s="252">
        <f t="shared" si="3"/>
        <v>155595</v>
      </c>
      <c r="H21" s="252">
        <f t="shared" si="1"/>
        <v>124476</v>
      </c>
    </row>
    <row r="22" spans="1:8" s="36" customFormat="1" ht="20.100000000000001" customHeight="1" x14ac:dyDescent="0.25">
      <c r="A22" s="36" t="s">
        <v>2904</v>
      </c>
      <c r="B22" s="36" t="str">
        <f t="shared" si="2"/>
        <v>NJ_OCEAN</v>
      </c>
      <c r="D22" s="249" t="s">
        <v>1334</v>
      </c>
      <c r="E22" s="252">
        <f t="shared" si="3"/>
        <v>136800</v>
      </c>
      <c r="F22" s="252">
        <f t="shared" si="0"/>
        <v>109440</v>
      </c>
      <c r="G22" s="252">
        <f t="shared" si="3"/>
        <v>157320</v>
      </c>
      <c r="H22" s="252">
        <f t="shared" si="1"/>
        <v>125856</v>
      </c>
    </row>
    <row r="23" spans="1:8" s="36" customFormat="1" ht="20.100000000000001" customHeight="1" x14ac:dyDescent="0.25">
      <c r="A23" s="36" t="s">
        <v>2904</v>
      </c>
      <c r="B23" s="36" t="str">
        <f t="shared" si="2"/>
        <v>NJ_PASSAIC</v>
      </c>
      <c r="D23" s="249" t="s">
        <v>1335</v>
      </c>
      <c r="E23" s="252">
        <f t="shared" si="3"/>
        <v>131700</v>
      </c>
      <c r="F23" s="252">
        <f t="shared" si="0"/>
        <v>105360</v>
      </c>
      <c r="G23" s="252">
        <f t="shared" si="3"/>
        <v>157665</v>
      </c>
      <c r="H23" s="252">
        <f t="shared" si="1"/>
        <v>126132</v>
      </c>
    </row>
    <row r="24" spans="1:8" s="36" customFormat="1" ht="20.100000000000001" customHeight="1" x14ac:dyDescent="0.25">
      <c r="A24" s="36" t="s">
        <v>2904</v>
      </c>
      <c r="B24" s="36" t="str">
        <f t="shared" si="2"/>
        <v>NJ_SALEM</v>
      </c>
      <c r="D24" s="249" t="s">
        <v>1336</v>
      </c>
      <c r="E24" s="252">
        <f t="shared" si="3"/>
        <v>131700</v>
      </c>
      <c r="F24" s="252">
        <f t="shared" si="0"/>
        <v>105360</v>
      </c>
      <c r="G24" s="252">
        <f t="shared" si="3"/>
        <v>151455</v>
      </c>
      <c r="H24" s="252">
        <f t="shared" si="1"/>
        <v>121164</v>
      </c>
    </row>
    <row r="25" spans="1:8" s="36" customFormat="1" ht="20.100000000000001" customHeight="1" x14ac:dyDescent="0.25">
      <c r="A25" s="36" t="s">
        <v>2904</v>
      </c>
      <c r="B25" s="36" t="str">
        <f t="shared" si="2"/>
        <v>NJ_SOMERSET</v>
      </c>
      <c r="D25" s="249" t="s">
        <v>1001</v>
      </c>
      <c r="E25" s="252">
        <f t="shared" si="3"/>
        <v>153400</v>
      </c>
      <c r="F25" s="252">
        <f t="shared" si="0"/>
        <v>122720</v>
      </c>
      <c r="G25" s="252">
        <f t="shared" si="3"/>
        <v>176410</v>
      </c>
      <c r="H25" s="252">
        <f t="shared" si="1"/>
        <v>141128</v>
      </c>
    </row>
    <row r="26" spans="1:8" s="36" customFormat="1" ht="20.100000000000001" customHeight="1" x14ac:dyDescent="0.25">
      <c r="A26" s="36" t="s">
        <v>2904</v>
      </c>
      <c r="B26" s="36" t="str">
        <f t="shared" si="2"/>
        <v>NJ_SUSSEX</v>
      </c>
      <c r="D26" s="249" t="s">
        <v>470</v>
      </c>
      <c r="E26" s="252">
        <f t="shared" si="3"/>
        <v>135300</v>
      </c>
      <c r="F26" s="252">
        <f t="shared" si="0"/>
        <v>108240</v>
      </c>
      <c r="G26" s="252">
        <f t="shared" si="3"/>
        <v>155595</v>
      </c>
      <c r="H26" s="252">
        <f t="shared" si="1"/>
        <v>124476</v>
      </c>
    </row>
    <row r="27" spans="1:8" s="36" customFormat="1" ht="20.100000000000001" customHeight="1" x14ac:dyDescent="0.25">
      <c r="A27" s="36" t="s">
        <v>2904</v>
      </c>
      <c r="B27" s="36" t="str">
        <f t="shared" si="2"/>
        <v>NJ_UNION</v>
      </c>
      <c r="D27" s="249" t="s">
        <v>345</v>
      </c>
      <c r="E27" s="252">
        <f t="shared" si="3"/>
        <v>135300</v>
      </c>
      <c r="F27" s="252">
        <f t="shared" si="0"/>
        <v>108240</v>
      </c>
      <c r="G27" s="252">
        <f t="shared" si="3"/>
        <v>155595</v>
      </c>
      <c r="H27" s="252">
        <f t="shared" si="1"/>
        <v>124476</v>
      </c>
    </row>
    <row r="28" spans="1:8" s="36" customFormat="1" ht="20.100000000000001" customHeight="1" x14ac:dyDescent="0.25">
      <c r="A28" s="36" t="s">
        <v>2904</v>
      </c>
      <c r="B28" s="36" t="str">
        <f t="shared" si="2"/>
        <v>NJ_WARREN</v>
      </c>
      <c r="D28" s="249" t="s">
        <v>622</v>
      </c>
      <c r="E28" s="252">
        <f t="shared" si="3"/>
        <v>133700</v>
      </c>
      <c r="F28" s="252">
        <f t="shared" si="0"/>
        <v>106960</v>
      </c>
      <c r="G28" s="252">
        <f t="shared" si="3"/>
        <v>153755</v>
      </c>
      <c r="H28" s="252">
        <f t="shared" si="1"/>
        <v>123004</v>
      </c>
    </row>
    <row r="29" spans="1:8" x14ac:dyDescent="0.25"/>
  </sheetData>
  <sheetProtection algorithmName="SHA-512" hashValue="fwFw+d7mi+WEscI7eebY5W/KXFslQbPBTMLgoJ9wlafhpgVl/PY8o9E2VLHJKEMsGfDsPxfRuw789ZRhK5aEOQ==" saltValue="CUIoAnSwVvUWWZw+B+PUyA==" spinCount="100000" sheet="1" objects="1" scenarios="1"/>
  <mergeCells count="3">
    <mergeCell ref="F2:H2"/>
    <mergeCell ref="E6:F6"/>
    <mergeCell ref="G6:H6"/>
  </mergeCells>
  <pageMargins left="0.7" right="0.7" top="0.75" bottom="0.75" header="0.3" footer="0.3"/>
  <pageSetup scale="82" orientation="portrait" horizontalDpi="0" verticalDpi="0" r:id="rId1"/>
  <headerFooter>
    <oddFooter>Page &amp;P of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1DF4F-A88C-42F7-B8E3-CF36970475ED}">
  <dimension ref="A1:I70"/>
  <sheetViews>
    <sheetView showGridLines="0" showRowColHeaders="0" topLeftCell="C1" workbookViewId="0">
      <pane ySplit="7" topLeftCell="A8" activePane="bottomLeft" state="frozen"/>
      <selection activeCell="C1" sqref="C1"/>
      <selection pane="bottomLeft" activeCell="C8" sqref="C8"/>
    </sheetView>
  </sheetViews>
  <sheetFormatPr defaultColWidth="0" defaultRowHeight="15" customHeight="1" zeroHeight="1" x14ac:dyDescent="0.25"/>
  <cols>
    <col min="1" max="1" width="22.28515625" hidden="1" customWidth="1"/>
    <col min="2" max="2" width="31.42578125" hidden="1" customWidth="1"/>
    <col min="3" max="3" width="1.42578125" customWidth="1"/>
    <col min="4" max="4" width="31.28515625" customWidth="1"/>
    <col min="5" max="8" width="18.7109375" customWidth="1"/>
    <col min="9" max="9" width="1.42578125" customWidth="1"/>
    <col min="10" max="16384" width="9.140625" hidden="1"/>
  </cols>
  <sheetData>
    <row r="1" spans="1:9" ht="11.1" customHeight="1" x14ac:dyDescent="0.25"/>
    <row r="2" spans="1:9" ht="24.95" customHeight="1" x14ac:dyDescent="0.25">
      <c r="A2" s="43" t="s">
        <v>179</v>
      </c>
      <c r="B2" s="43" t="s">
        <v>178</v>
      </c>
      <c r="F2" s="433" t="str">
        <f>HYPERLINK("#"&amp;$B$4,$B$5)</f>
        <v xml:space="preserve">Return to </v>
      </c>
      <c r="G2" s="433"/>
      <c r="H2" s="433"/>
    </row>
    <row r="3" spans="1:9" ht="11.1" customHeight="1" x14ac:dyDescent="0.25"/>
    <row r="4" spans="1:9" ht="21.75" customHeight="1" x14ac:dyDescent="0.25">
      <c r="A4" t="s">
        <v>2852</v>
      </c>
      <c r="B4" t="str">
        <f>"TARGET_" &amp;CONFIG_EFORM_TYPE_CODE&amp;"_"&amp;CONFIG_FHC_PROG_ID&amp;"_ICW_BOOKMARK"</f>
        <v>TARGET___ICW_BOOKMARK</v>
      </c>
      <c r="C4" s="210"/>
      <c r="D4" s="212" t="str">
        <f>"Mortgage Revenue Bond Median Income Guidelines: New York State ("&amp;Configuration!M54&amp;")"</f>
        <v>Mortgage Revenue Bond Median Income Guidelines: New York State (2025)</v>
      </c>
      <c r="E4" s="212"/>
      <c r="F4" s="210"/>
      <c r="G4" s="210"/>
      <c r="H4" s="250"/>
      <c r="I4" s="210"/>
    </row>
    <row r="5" spans="1:9" s="208" customFormat="1" ht="9" customHeight="1" x14ac:dyDescent="0.25">
      <c r="A5" s="36" t="s">
        <v>2853</v>
      </c>
      <c r="B5" s="36" t="str">
        <f>"Return to "&amp;CONFIG_EFORM_TYPE_NAME</f>
        <v xml:space="preserve">Return to </v>
      </c>
      <c r="C5" s="207"/>
      <c r="D5" s="251"/>
      <c r="E5" s="209"/>
    </row>
    <row r="6" spans="1:9" s="208" customFormat="1" ht="21" customHeight="1" x14ac:dyDescent="0.25">
      <c r="A6" s="36"/>
      <c r="B6" s="36"/>
      <c r="C6" s="207"/>
      <c r="D6" s="224"/>
      <c r="E6" s="461" t="s">
        <v>2902</v>
      </c>
      <c r="F6" s="461"/>
      <c r="G6" s="461" t="s">
        <v>2903</v>
      </c>
      <c r="H6" s="461"/>
    </row>
    <row r="7" spans="1:9" s="208" customFormat="1" ht="20.100000000000001" customHeight="1" x14ac:dyDescent="0.25">
      <c r="A7"/>
      <c r="B7"/>
      <c r="C7"/>
      <c r="D7" s="248" t="s">
        <v>105</v>
      </c>
      <c r="E7" s="168" t="s">
        <v>2901</v>
      </c>
      <c r="F7" s="247">
        <v>0.8</v>
      </c>
      <c r="G7" s="168" t="s">
        <v>2901</v>
      </c>
      <c r="H7" s="247">
        <v>0.8</v>
      </c>
    </row>
    <row r="8" spans="1:9" s="36" customFormat="1" ht="20.100000000000001" customHeight="1" x14ac:dyDescent="0.25">
      <c r="A8" s="36" t="s">
        <v>2904</v>
      </c>
      <c r="B8" s="36" t="str">
        <f>"NY_"&amp;UPPER(D8)</f>
        <v>NY_ALBANY</v>
      </c>
      <c r="D8" s="249" t="s">
        <v>1361</v>
      </c>
      <c r="E8" s="252">
        <f>F8/0.8</f>
        <v>116100</v>
      </c>
      <c r="F8" s="252">
        <f t="shared" ref="F8:F39" si="0">VLOOKUP(B8,LOOKUP_AMI_TABLE,5,FALSE)</f>
        <v>92880</v>
      </c>
      <c r="G8" s="252">
        <f>H8/0.8</f>
        <v>133515</v>
      </c>
      <c r="H8" s="252">
        <f t="shared" ref="H8:H39" si="1">VLOOKUP(B8,LOOKUP_AMI_TABLE,7,FALSE)</f>
        <v>106812</v>
      </c>
    </row>
    <row r="9" spans="1:9" s="36" customFormat="1" ht="20.100000000000001" customHeight="1" x14ac:dyDescent="0.25">
      <c r="A9" s="36" t="s">
        <v>2904</v>
      </c>
      <c r="B9" s="36" t="str">
        <f t="shared" ref="B9:B69" si="2">"NY_"&amp;UPPER(D9)</f>
        <v>NY_ALLEGANY</v>
      </c>
      <c r="D9" s="249" t="s">
        <v>1004</v>
      </c>
      <c r="E9" s="252">
        <f t="shared" ref="E9:G24" si="3">F9/0.8</f>
        <v>110200</v>
      </c>
      <c r="F9" s="252">
        <f t="shared" si="0"/>
        <v>88160</v>
      </c>
      <c r="G9" s="252">
        <f t="shared" si="3"/>
        <v>126730</v>
      </c>
      <c r="H9" s="252">
        <f t="shared" si="1"/>
        <v>101384</v>
      </c>
    </row>
    <row r="10" spans="1:9" s="36" customFormat="1" ht="20.100000000000001" customHeight="1" x14ac:dyDescent="0.25">
      <c r="A10" s="36" t="s">
        <v>2904</v>
      </c>
      <c r="B10" s="36" t="str">
        <f t="shared" si="2"/>
        <v>NY_BRONX</v>
      </c>
      <c r="D10" s="249" t="s">
        <v>1362</v>
      </c>
      <c r="E10" s="252">
        <f t="shared" si="3"/>
        <v>194400</v>
      </c>
      <c r="F10" s="252">
        <f t="shared" si="0"/>
        <v>155520</v>
      </c>
      <c r="G10" s="252">
        <f t="shared" si="3"/>
        <v>226800</v>
      </c>
      <c r="H10" s="252">
        <f t="shared" si="1"/>
        <v>181440</v>
      </c>
    </row>
    <row r="11" spans="1:9" s="36" customFormat="1" ht="20.100000000000001" customHeight="1" x14ac:dyDescent="0.25">
      <c r="A11" s="36" t="s">
        <v>2904</v>
      </c>
      <c r="B11" s="36" t="str">
        <f t="shared" si="2"/>
        <v>NY_BROOME</v>
      </c>
      <c r="D11" s="249" t="s">
        <v>1363</v>
      </c>
      <c r="E11" s="252">
        <f t="shared" si="3"/>
        <v>110200</v>
      </c>
      <c r="F11" s="252">
        <f t="shared" si="0"/>
        <v>88160</v>
      </c>
      <c r="G11" s="252">
        <f t="shared" si="3"/>
        <v>126730</v>
      </c>
      <c r="H11" s="252">
        <f t="shared" si="1"/>
        <v>101384</v>
      </c>
    </row>
    <row r="12" spans="1:9" s="36" customFormat="1" ht="20.100000000000001" customHeight="1" x14ac:dyDescent="0.25">
      <c r="A12" s="36" t="s">
        <v>2904</v>
      </c>
      <c r="B12" s="36" t="str">
        <f t="shared" si="2"/>
        <v>NY_CATTARAUGUS</v>
      </c>
      <c r="D12" s="249" t="s">
        <v>1364</v>
      </c>
      <c r="E12" s="252">
        <f t="shared" si="3"/>
        <v>110200</v>
      </c>
      <c r="F12" s="252">
        <f t="shared" si="0"/>
        <v>88160</v>
      </c>
      <c r="G12" s="252">
        <f t="shared" si="3"/>
        <v>126730</v>
      </c>
      <c r="H12" s="252">
        <f t="shared" si="1"/>
        <v>101384</v>
      </c>
    </row>
    <row r="13" spans="1:9" s="36" customFormat="1" ht="20.100000000000001" customHeight="1" x14ac:dyDescent="0.25">
      <c r="A13" s="36" t="s">
        <v>2904</v>
      </c>
      <c r="B13" s="36" t="str">
        <f t="shared" si="2"/>
        <v>NY_CAYUGA</v>
      </c>
      <c r="D13" s="249" t="s">
        <v>1365</v>
      </c>
      <c r="E13" s="252">
        <f t="shared" si="3"/>
        <v>110200</v>
      </c>
      <c r="F13" s="252">
        <f t="shared" si="0"/>
        <v>88160</v>
      </c>
      <c r="G13" s="252">
        <f t="shared" si="3"/>
        <v>126730</v>
      </c>
      <c r="H13" s="252">
        <f t="shared" si="1"/>
        <v>101384</v>
      </c>
    </row>
    <row r="14" spans="1:9" s="36" customFormat="1" ht="20.100000000000001" customHeight="1" x14ac:dyDescent="0.25">
      <c r="A14" s="36" t="s">
        <v>2904</v>
      </c>
      <c r="B14" s="36" t="str">
        <f t="shared" si="2"/>
        <v>NY_CHAUTAUQUA</v>
      </c>
      <c r="D14" s="249" t="s">
        <v>814</v>
      </c>
      <c r="E14" s="252">
        <f t="shared" si="3"/>
        <v>110200</v>
      </c>
      <c r="F14" s="252">
        <f t="shared" si="0"/>
        <v>88160</v>
      </c>
      <c r="G14" s="252">
        <f t="shared" si="3"/>
        <v>126730</v>
      </c>
      <c r="H14" s="252">
        <f t="shared" si="1"/>
        <v>101384</v>
      </c>
    </row>
    <row r="15" spans="1:9" s="36" customFormat="1" ht="20.100000000000001" customHeight="1" x14ac:dyDescent="0.25">
      <c r="A15" s="36" t="s">
        <v>2904</v>
      </c>
      <c r="B15" s="36" t="str">
        <f t="shared" si="2"/>
        <v>NY_CHEMUNG</v>
      </c>
      <c r="D15" s="249" t="s">
        <v>1366</v>
      </c>
      <c r="E15" s="252">
        <f t="shared" si="3"/>
        <v>110200</v>
      </c>
      <c r="F15" s="252">
        <f t="shared" si="0"/>
        <v>88160</v>
      </c>
      <c r="G15" s="252">
        <f t="shared" si="3"/>
        <v>126730</v>
      </c>
      <c r="H15" s="252">
        <f t="shared" si="1"/>
        <v>101384</v>
      </c>
    </row>
    <row r="16" spans="1:9" s="36" customFormat="1" ht="20.100000000000001" customHeight="1" x14ac:dyDescent="0.25">
      <c r="A16" s="36" t="s">
        <v>2904</v>
      </c>
      <c r="B16" s="36" t="str">
        <f t="shared" si="2"/>
        <v>NY_CHENANGO</v>
      </c>
      <c r="D16" s="249" t="s">
        <v>1367</v>
      </c>
      <c r="E16" s="252">
        <f t="shared" si="3"/>
        <v>110200</v>
      </c>
      <c r="F16" s="252">
        <f t="shared" si="0"/>
        <v>88160</v>
      </c>
      <c r="G16" s="252">
        <f t="shared" si="3"/>
        <v>126730</v>
      </c>
      <c r="H16" s="252">
        <f t="shared" si="1"/>
        <v>101384</v>
      </c>
    </row>
    <row r="17" spans="1:8" s="36" customFormat="1" ht="20.100000000000001" customHeight="1" x14ac:dyDescent="0.25">
      <c r="A17" s="36" t="s">
        <v>2904</v>
      </c>
      <c r="B17" s="36" t="str">
        <f t="shared" si="2"/>
        <v>NY_CLINTON</v>
      </c>
      <c r="D17" s="249" t="s">
        <v>675</v>
      </c>
      <c r="E17" s="252">
        <f t="shared" si="3"/>
        <v>110200</v>
      </c>
      <c r="F17" s="252">
        <f t="shared" si="0"/>
        <v>88160</v>
      </c>
      <c r="G17" s="252">
        <f t="shared" si="3"/>
        <v>126730</v>
      </c>
      <c r="H17" s="252">
        <f t="shared" si="1"/>
        <v>101384</v>
      </c>
    </row>
    <row r="18" spans="1:8" s="36" customFormat="1" ht="20.100000000000001" customHeight="1" x14ac:dyDescent="0.25">
      <c r="A18" s="36" t="s">
        <v>2904</v>
      </c>
      <c r="B18" s="36" t="str">
        <f t="shared" si="2"/>
        <v>NY_COLUMBIA</v>
      </c>
      <c r="D18" s="249" t="s">
        <v>303</v>
      </c>
      <c r="E18" s="252">
        <f t="shared" si="3"/>
        <v>112700</v>
      </c>
      <c r="F18" s="252">
        <f t="shared" si="0"/>
        <v>90160</v>
      </c>
      <c r="G18" s="252">
        <f t="shared" si="3"/>
        <v>129605</v>
      </c>
      <c r="H18" s="252">
        <f t="shared" si="1"/>
        <v>103684</v>
      </c>
    </row>
    <row r="19" spans="1:8" s="36" customFormat="1" ht="20.100000000000001" customHeight="1" x14ac:dyDescent="0.25">
      <c r="A19" s="36" t="s">
        <v>2904</v>
      </c>
      <c r="B19" s="36" t="str">
        <f t="shared" si="2"/>
        <v>NY_CORTLAND</v>
      </c>
      <c r="D19" s="249" t="s">
        <v>1368</v>
      </c>
      <c r="E19" s="252">
        <f t="shared" si="3"/>
        <v>110200</v>
      </c>
      <c r="F19" s="252">
        <f t="shared" si="0"/>
        <v>88160</v>
      </c>
      <c r="G19" s="252">
        <f t="shared" si="3"/>
        <v>126730</v>
      </c>
      <c r="H19" s="252">
        <f t="shared" si="1"/>
        <v>101384</v>
      </c>
    </row>
    <row r="20" spans="1:8" s="36" customFormat="1" ht="20.100000000000001" customHeight="1" x14ac:dyDescent="0.25">
      <c r="A20" s="36" t="s">
        <v>2904</v>
      </c>
      <c r="B20" s="36" t="str">
        <f t="shared" si="2"/>
        <v>NY_DELAWARE</v>
      </c>
      <c r="D20" s="249" t="s">
        <v>727</v>
      </c>
      <c r="E20" s="252">
        <f t="shared" si="3"/>
        <v>110200</v>
      </c>
      <c r="F20" s="252">
        <f t="shared" si="0"/>
        <v>88160</v>
      </c>
      <c r="G20" s="252">
        <f t="shared" si="3"/>
        <v>126730</v>
      </c>
      <c r="H20" s="252">
        <f t="shared" si="1"/>
        <v>101384</v>
      </c>
    </row>
    <row r="21" spans="1:8" s="36" customFormat="1" ht="20.100000000000001" customHeight="1" x14ac:dyDescent="0.25">
      <c r="A21" s="36" t="s">
        <v>2904</v>
      </c>
      <c r="B21" s="36" t="str">
        <f t="shared" si="2"/>
        <v>NY_DUTCHESS</v>
      </c>
      <c r="D21" s="249" t="s">
        <v>1369</v>
      </c>
      <c r="E21" s="252">
        <f t="shared" si="3"/>
        <v>123000</v>
      </c>
      <c r="F21" s="252">
        <f t="shared" si="0"/>
        <v>98400</v>
      </c>
      <c r="G21" s="252">
        <f t="shared" si="3"/>
        <v>141450</v>
      </c>
      <c r="H21" s="252">
        <f t="shared" si="1"/>
        <v>113160</v>
      </c>
    </row>
    <row r="22" spans="1:8" s="36" customFormat="1" ht="20.100000000000001" customHeight="1" x14ac:dyDescent="0.25">
      <c r="A22" s="36" t="s">
        <v>2904</v>
      </c>
      <c r="B22" s="36" t="str">
        <f t="shared" si="2"/>
        <v>NY_ERIE</v>
      </c>
      <c r="D22" s="249" t="s">
        <v>1370</v>
      </c>
      <c r="E22" s="252">
        <f t="shared" si="3"/>
        <v>110200</v>
      </c>
      <c r="F22" s="252">
        <f t="shared" si="0"/>
        <v>88160</v>
      </c>
      <c r="G22" s="252">
        <f t="shared" si="3"/>
        <v>126730</v>
      </c>
      <c r="H22" s="252">
        <f t="shared" si="1"/>
        <v>101384</v>
      </c>
    </row>
    <row r="23" spans="1:8" s="36" customFormat="1" ht="20.100000000000001" customHeight="1" x14ac:dyDescent="0.25">
      <c r="A23" s="36" t="s">
        <v>2904</v>
      </c>
      <c r="B23" s="36" t="str">
        <f t="shared" si="2"/>
        <v>NY_ESSEX</v>
      </c>
      <c r="D23" s="249" t="s">
        <v>1025</v>
      </c>
      <c r="E23" s="252">
        <f t="shared" si="3"/>
        <v>110200</v>
      </c>
      <c r="F23" s="252">
        <f t="shared" si="0"/>
        <v>88160</v>
      </c>
      <c r="G23" s="252">
        <f t="shared" si="3"/>
        <v>126730</v>
      </c>
      <c r="H23" s="252">
        <f t="shared" si="1"/>
        <v>101384</v>
      </c>
    </row>
    <row r="24" spans="1:8" s="36" customFormat="1" ht="20.100000000000001" customHeight="1" x14ac:dyDescent="0.25">
      <c r="A24" s="36" t="s">
        <v>2904</v>
      </c>
      <c r="B24" s="36" t="str">
        <f t="shared" si="2"/>
        <v>NY_FRANKLIN</v>
      </c>
      <c r="D24" s="249" t="s">
        <v>223</v>
      </c>
      <c r="E24" s="252">
        <f t="shared" si="3"/>
        <v>110200</v>
      </c>
      <c r="F24" s="252">
        <f t="shared" si="0"/>
        <v>88160</v>
      </c>
      <c r="G24" s="252">
        <f t="shared" si="3"/>
        <v>126730</v>
      </c>
      <c r="H24" s="252">
        <f t="shared" si="1"/>
        <v>101384</v>
      </c>
    </row>
    <row r="25" spans="1:8" s="36" customFormat="1" ht="20.100000000000001" customHeight="1" x14ac:dyDescent="0.25">
      <c r="A25" s="36" t="s">
        <v>2904</v>
      </c>
      <c r="B25" s="36" t="str">
        <f t="shared" si="2"/>
        <v>NY_FULTON</v>
      </c>
      <c r="D25" s="249" t="s">
        <v>312</v>
      </c>
      <c r="E25" s="252">
        <f t="shared" ref="E25:G28" si="4">F25/0.8</f>
        <v>110200</v>
      </c>
      <c r="F25" s="252">
        <f t="shared" si="0"/>
        <v>88160</v>
      </c>
      <c r="G25" s="252">
        <f t="shared" si="4"/>
        <v>126730</v>
      </c>
      <c r="H25" s="252">
        <f t="shared" si="1"/>
        <v>101384</v>
      </c>
    </row>
    <row r="26" spans="1:8" s="36" customFormat="1" ht="20.100000000000001" customHeight="1" x14ac:dyDescent="0.25">
      <c r="A26" s="36" t="s">
        <v>2904</v>
      </c>
      <c r="B26" s="36" t="str">
        <f t="shared" si="2"/>
        <v>NY_GENESEE</v>
      </c>
      <c r="D26" s="249" t="s">
        <v>1046</v>
      </c>
      <c r="E26" s="252">
        <f t="shared" si="4"/>
        <v>110200</v>
      </c>
      <c r="F26" s="252">
        <f t="shared" si="0"/>
        <v>88160</v>
      </c>
      <c r="G26" s="252">
        <f t="shared" si="4"/>
        <v>126730</v>
      </c>
      <c r="H26" s="252">
        <f t="shared" si="1"/>
        <v>101384</v>
      </c>
    </row>
    <row r="27" spans="1:8" s="36" customFormat="1" ht="20.100000000000001" customHeight="1" x14ac:dyDescent="0.25">
      <c r="A27" s="36" t="s">
        <v>2904</v>
      </c>
      <c r="B27" s="36" t="str">
        <f t="shared" si="2"/>
        <v>NY_GREENE</v>
      </c>
      <c r="D27" s="249" t="s">
        <v>225</v>
      </c>
      <c r="E27" s="252">
        <f t="shared" si="4"/>
        <v>110200</v>
      </c>
      <c r="F27" s="252">
        <f t="shared" si="0"/>
        <v>88160</v>
      </c>
      <c r="G27" s="252">
        <f t="shared" si="4"/>
        <v>126730</v>
      </c>
      <c r="H27" s="252">
        <f t="shared" si="1"/>
        <v>101384</v>
      </c>
    </row>
    <row r="28" spans="1:8" s="36" customFormat="1" ht="20.100000000000001" customHeight="1" x14ac:dyDescent="0.25">
      <c r="A28" s="36" t="s">
        <v>2904</v>
      </c>
      <c r="B28" s="36" t="str">
        <f t="shared" si="2"/>
        <v>NY_HAMILTON</v>
      </c>
      <c r="D28" s="249" t="s">
        <v>491</v>
      </c>
      <c r="E28" s="252">
        <f t="shared" si="4"/>
        <v>110200</v>
      </c>
      <c r="F28" s="252">
        <f t="shared" si="0"/>
        <v>88160</v>
      </c>
      <c r="G28" s="252">
        <f t="shared" si="4"/>
        <v>126730</v>
      </c>
      <c r="H28" s="252">
        <f t="shared" si="1"/>
        <v>101384</v>
      </c>
    </row>
    <row r="29" spans="1:8" s="36" customFormat="1" ht="20.100000000000001" customHeight="1" x14ac:dyDescent="0.25">
      <c r="A29" s="36" t="s">
        <v>2904</v>
      </c>
      <c r="B29" s="36" t="str">
        <f t="shared" si="2"/>
        <v>NY_HERKIMER</v>
      </c>
      <c r="D29" s="249" t="s">
        <v>1371</v>
      </c>
      <c r="E29" s="252">
        <f t="shared" ref="E29" si="5">F29/0.8</f>
        <v>110200</v>
      </c>
      <c r="F29" s="252">
        <f t="shared" si="0"/>
        <v>88160</v>
      </c>
      <c r="G29" s="252">
        <f t="shared" ref="G29" si="6">H29/0.8</f>
        <v>126730</v>
      </c>
      <c r="H29" s="252">
        <f t="shared" si="1"/>
        <v>101384</v>
      </c>
    </row>
    <row r="30" spans="1:8" s="36" customFormat="1" ht="20.100000000000001" customHeight="1" x14ac:dyDescent="0.25">
      <c r="A30" s="36" t="s">
        <v>2904</v>
      </c>
      <c r="B30" s="36" t="str">
        <f t="shared" si="2"/>
        <v>NY_JEFFERSON</v>
      </c>
      <c r="D30" s="249" t="s">
        <v>230</v>
      </c>
      <c r="E30" s="252">
        <f t="shared" ref="E30" si="7">F30/0.8</f>
        <v>110200</v>
      </c>
      <c r="F30" s="252">
        <f t="shared" si="0"/>
        <v>88160</v>
      </c>
      <c r="G30" s="252">
        <f t="shared" ref="G30" si="8">H30/0.8</f>
        <v>126730</v>
      </c>
      <c r="H30" s="252">
        <f t="shared" si="1"/>
        <v>101384</v>
      </c>
    </row>
    <row r="31" spans="1:8" s="36" customFormat="1" ht="20.100000000000001" customHeight="1" x14ac:dyDescent="0.25">
      <c r="A31" s="36" t="s">
        <v>2904</v>
      </c>
      <c r="B31" s="36" t="str">
        <f t="shared" si="2"/>
        <v>NY_KINGS</v>
      </c>
      <c r="D31" s="249" t="s">
        <v>365</v>
      </c>
      <c r="E31" s="252">
        <f t="shared" ref="E31" si="9">F31/0.8</f>
        <v>194400</v>
      </c>
      <c r="F31" s="252">
        <f t="shared" si="0"/>
        <v>155520</v>
      </c>
      <c r="G31" s="252">
        <f t="shared" ref="G31" si="10">H31/0.8</f>
        <v>226800</v>
      </c>
      <c r="H31" s="252">
        <f t="shared" si="1"/>
        <v>181440</v>
      </c>
    </row>
    <row r="32" spans="1:8" s="36" customFormat="1" ht="20.100000000000001" customHeight="1" x14ac:dyDescent="0.25">
      <c r="A32" s="36" t="s">
        <v>2904</v>
      </c>
      <c r="B32" s="36" t="str">
        <f t="shared" si="2"/>
        <v>NY_LEWIS</v>
      </c>
      <c r="D32" s="249" t="s">
        <v>657</v>
      </c>
      <c r="E32" s="252">
        <f t="shared" ref="E32" si="11">F32/0.8</f>
        <v>110200</v>
      </c>
      <c r="F32" s="252">
        <f t="shared" si="0"/>
        <v>88160</v>
      </c>
      <c r="G32" s="252">
        <f t="shared" ref="G32" si="12">H32/0.8</f>
        <v>126730</v>
      </c>
      <c r="H32" s="252">
        <f t="shared" si="1"/>
        <v>101384</v>
      </c>
    </row>
    <row r="33" spans="1:8" s="36" customFormat="1" ht="20.100000000000001" customHeight="1" x14ac:dyDescent="0.25">
      <c r="A33" s="36" t="s">
        <v>2904</v>
      </c>
      <c r="B33" s="36" t="str">
        <f t="shared" si="2"/>
        <v>NY_LIVINGSTON</v>
      </c>
      <c r="D33" s="249" t="s">
        <v>695</v>
      </c>
      <c r="E33" s="252">
        <f t="shared" ref="E33" si="13">F33/0.8</f>
        <v>110200</v>
      </c>
      <c r="F33" s="252">
        <f t="shared" si="0"/>
        <v>88160</v>
      </c>
      <c r="G33" s="252">
        <f t="shared" ref="G33" si="14">H33/0.8</f>
        <v>126730</v>
      </c>
      <c r="H33" s="252">
        <f t="shared" si="1"/>
        <v>101384</v>
      </c>
    </row>
    <row r="34" spans="1:8" s="36" customFormat="1" ht="20.100000000000001" customHeight="1" x14ac:dyDescent="0.25">
      <c r="A34" s="36" t="s">
        <v>2904</v>
      </c>
      <c r="B34" s="36" t="str">
        <f t="shared" si="2"/>
        <v>NY_MADISON</v>
      </c>
      <c r="D34" s="249" t="s">
        <v>238</v>
      </c>
      <c r="E34" s="252">
        <f t="shared" ref="E34" si="15">F34/0.8</f>
        <v>110200</v>
      </c>
      <c r="F34" s="252">
        <f t="shared" si="0"/>
        <v>88160</v>
      </c>
      <c r="G34" s="252">
        <f t="shared" ref="G34" si="16">H34/0.8</f>
        <v>126730</v>
      </c>
      <c r="H34" s="252">
        <f t="shared" si="1"/>
        <v>101384</v>
      </c>
    </row>
    <row r="35" spans="1:8" s="36" customFormat="1" ht="20.100000000000001" customHeight="1" x14ac:dyDescent="0.25">
      <c r="A35" s="36" t="s">
        <v>2904</v>
      </c>
      <c r="B35" s="36" t="str">
        <f t="shared" si="2"/>
        <v>NY_MONROE</v>
      </c>
      <c r="D35" s="249" t="s">
        <v>243</v>
      </c>
      <c r="E35" s="252">
        <f t="shared" ref="E35" si="17">F35/0.8</f>
        <v>110200</v>
      </c>
      <c r="F35" s="252">
        <f t="shared" si="0"/>
        <v>88160</v>
      </c>
      <c r="G35" s="252">
        <f t="shared" ref="G35" si="18">H35/0.8</f>
        <v>126730</v>
      </c>
      <c r="H35" s="252">
        <f t="shared" si="1"/>
        <v>101384</v>
      </c>
    </row>
    <row r="36" spans="1:8" s="36" customFormat="1" ht="20.100000000000001" customHeight="1" x14ac:dyDescent="0.25">
      <c r="A36" s="36" t="s">
        <v>2904</v>
      </c>
      <c r="B36" s="36" t="str">
        <f t="shared" si="2"/>
        <v>NY_MONTGOMERY</v>
      </c>
      <c r="D36" s="249" t="s">
        <v>244</v>
      </c>
      <c r="E36" s="252">
        <f t="shared" ref="E36" si="19">F36/0.8</f>
        <v>110200</v>
      </c>
      <c r="F36" s="252">
        <f t="shared" si="0"/>
        <v>88160</v>
      </c>
      <c r="G36" s="252">
        <f t="shared" ref="G36" si="20">H36/0.8</f>
        <v>126730</v>
      </c>
      <c r="H36" s="252">
        <f t="shared" si="1"/>
        <v>101384</v>
      </c>
    </row>
    <row r="37" spans="1:8" s="36" customFormat="1" ht="20.100000000000001" customHeight="1" x14ac:dyDescent="0.25">
      <c r="A37" s="36" t="s">
        <v>2904</v>
      </c>
      <c r="B37" s="36" t="str">
        <f t="shared" si="2"/>
        <v>NY_NASSAU</v>
      </c>
      <c r="D37" s="249" t="s">
        <v>504</v>
      </c>
      <c r="E37" s="252">
        <f t="shared" ref="E37" si="21">F37/0.8</f>
        <v>197880</v>
      </c>
      <c r="F37" s="252">
        <f t="shared" si="0"/>
        <v>158304</v>
      </c>
      <c r="G37" s="252">
        <f t="shared" ref="G37" si="22">H37/0.8</f>
        <v>230860</v>
      </c>
      <c r="H37" s="252">
        <f t="shared" si="1"/>
        <v>184688</v>
      </c>
    </row>
    <row r="38" spans="1:8" s="36" customFormat="1" ht="20.100000000000001" customHeight="1" x14ac:dyDescent="0.25">
      <c r="A38" s="36" t="s">
        <v>2904</v>
      </c>
      <c r="B38" s="36" t="str">
        <f t="shared" si="2"/>
        <v>NY_NEW YORK</v>
      </c>
      <c r="D38" s="249" t="s">
        <v>1372</v>
      </c>
      <c r="E38" s="252">
        <f t="shared" ref="E38" si="23">F38/0.8</f>
        <v>194400</v>
      </c>
      <c r="F38" s="252">
        <f t="shared" si="0"/>
        <v>155520</v>
      </c>
      <c r="G38" s="252">
        <f t="shared" ref="G38" si="24">H38/0.8</f>
        <v>226800</v>
      </c>
      <c r="H38" s="252">
        <f t="shared" si="1"/>
        <v>181440</v>
      </c>
    </row>
    <row r="39" spans="1:8" s="36" customFormat="1" ht="20.100000000000001" customHeight="1" x14ac:dyDescent="0.25">
      <c r="A39" s="36" t="s">
        <v>2904</v>
      </c>
      <c r="B39" s="36" t="str">
        <f t="shared" si="2"/>
        <v>NY_NIAGARA</v>
      </c>
      <c r="D39" s="249" t="s">
        <v>1373</v>
      </c>
      <c r="E39" s="252">
        <f t="shared" ref="E39" si="25">F39/0.8</f>
        <v>110200</v>
      </c>
      <c r="F39" s="252">
        <f t="shared" si="0"/>
        <v>88160</v>
      </c>
      <c r="G39" s="252">
        <f t="shared" ref="G39" si="26">H39/0.8</f>
        <v>126730</v>
      </c>
      <c r="H39" s="252">
        <f t="shared" si="1"/>
        <v>101384</v>
      </c>
    </row>
    <row r="40" spans="1:8" s="36" customFormat="1" ht="20.100000000000001" customHeight="1" x14ac:dyDescent="0.25">
      <c r="A40" s="36" t="s">
        <v>2904</v>
      </c>
      <c r="B40" s="36" t="str">
        <f t="shared" si="2"/>
        <v>NY_ONEIDA</v>
      </c>
      <c r="D40" s="249" t="s">
        <v>660</v>
      </c>
      <c r="E40" s="252">
        <f t="shared" ref="E40" si="27">F40/0.8</f>
        <v>110200</v>
      </c>
      <c r="F40" s="252">
        <f t="shared" ref="F40:F69" si="28">VLOOKUP(B40,LOOKUP_AMI_TABLE,5,FALSE)</f>
        <v>88160</v>
      </c>
      <c r="G40" s="252">
        <f t="shared" ref="G40" si="29">H40/0.8</f>
        <v>126730</v>
      </c>
      <c r="H40" s="252">
        <f t="shared" ref="H40:H69" si="30">VLOOKUP(B40,LOOKUP_AMI_TABLE,7,FALSE)</f>
        <v>101384</v>
      </c>
    </row>
    <row r="41" spans="1:8" s="36" customFormat="1" ht="20.100000000000001" customHeight="1" x14ac:dyDescent="0.25">
      <c r="A41" s="36" t="s">
        <v>2904</v>
      </c>
      <c r="B41" s="36" t="str">
        <f t="shared" si="2"/>
        <v>NY_ONONDAGA</v>
      </c>
      <c r="D41" s="249" t="s">
        <v>1374</v>
      </c>
      <c r="E41" s="252">
        <f t="shared" ref="E41" si="31">F41/0.8</f>
        <v>110200</v>
      </c>
      <c r="F41" s="252">
        <f t="shared" si="28"/>
        <v>88160</v>
      </c>
      <c r="G41" s="252">
        <f t="shared" ref="G41" si="32">H41/0.8</f>
        <v>126730</v>
      </c>
      <c r="H41" s="252">
        <f t="shared" si="30"/>
        <v>101384</v>
      </c>
    </row>
    <row r="42" spans="1:8" s="36" customFormat="1" ht="20.100000000000001" customHeight="1" x14ac:dyDescent="0.25">
      <c r="A42" s="36" t="s">
        <v>2904</v>
      </c>
      <c r="B42" s="36" t="str">
        <f t="shared" si="2"/>
        <v>NY_ONTARIO</v>
      </c>
      <c r="D42" s="249" t="s">
        <v>1375</v>
      </c>
      <c r="E42" s="252">
        <f t="shared" ref="E42" si="33">F42/0.8</f>
        <v>110200</v>
      </c>
      <c r="F42" s="252">
        <f t="shared" si="28"/>
        <v>88160</v>
      </c>
      <c r="G42" s="252">
        <f t="shared" ref="G42" si="34">H42/0.8</f>
        <v>126730</v>
      </c>
      <c r="H42" s="252">
        <f t="shared" si="30"/>
        <v>101384</v>
      </c>
    </row>
    <row r="43" spans="1:8" s="36" customFormat="1" ht="20.100000000000001" customHeight="1" x14ac:dyDescent="0.25">
      <c r="A43" s="36" t="s">
        <v>2904</v>
      </c>
      <c r="B43" s="36" t="str">
        <f t="shared" si="2"/>
        <v>NY_ORANGE</v>
      </c>
      <c r="D43" s="249" t="s">
        <v>378</v>
      </c>
      <c r="E43" s="252">
        <f t="shared" ref="E43" si="35">F43/0.8</f>
        <v>123000</v>
      </c>
      <c r="F43" s="252">
        <f t="shared" si="28"/>
        <v>98400</v>
      </c>
      <c r="G43" s="252">
        <f t="shared" ref="G43" si="36">H43/0.8</f>
        <v>141450</v>
      </c>
      <c r="H43" s="252">
        <f t="shared" si="30"/>
        <v>113160</v>
      </c>
    </row>
    <row r="44" spans="1:8" s="36" customFormat="1" ht="20.100000000000001" customHeight="1" x14ac:dyDescent="0.25">
      <c r="A44" s="36" t="s">
        <v>2904</v>
      </c>
      <c r="B44" s="36" t="str">
        <f t="shared" si="2"/>
        <v>NY_ORLEANS</v>
      </c>
      <c r="D44" s="249" t="s">
        <v>1376</v>
      </c>
      <c r="E44" s="252">
        <f t="shared" ref="E44" si="37">F44/0.8</f>
        <v>110200</v>
      </c>
      <c r="F44" s="252">
        <f t="shared" si="28"/>
        <v>88160</v>
      </c>
      <c r="G44" s="252">
        <f t="shared" ref="G44" si="38">H44/0.8</f>
        <v>126730</v>
      </c>
      <c r="H44" s="252">
        <f t="shared" si="30"/>
        <v>101384</v>
      </c>
    </row>
    <row r="45" spans="1:8" s="36" customFormat="1" ht="20.100000000000001" customHeight="1" x14ac:dyDescent="0.25">
      <c r="A45" s="36" t="s">
        <v>2904</v>
      </c>
      <c r="B45" s="36" t="str">
        <f t="shared" si="2"/>
        <v>NY_OSWEGO</v>
      </c>
      <c r="D45" s="249" t="s">
        <v>1377</v>
      </c>
      <c r="E45" s="252">
        <f t="shared" ref="E45" si="39">F45/0.8</f>
        <v>110200</v>
      </c>
      <c r="F45" s="252">
        <f t="shared" si="28"/>
        <v>88160</v>
      </c>
      <c r="G45" s="252">
        <f t="shared" ref="G45" si="40">H45/0.8</f>
        <v>126730</v>
      </c>
      <c r="H45" s="252">
        <f t="shared" si="30"/>
        <v>101384</v>
      </c>
    </row>
    <row r="46" spans="1:8" s="36" customFormat="1" ht="20.100000000000001" customHeight="1" x14ac:dyDescent="0.25">
      <c r="A46" s="36" t="s">
        <v>2904</v>
      </c>
      <c r="B46" s="36" t="str">
        <f t="shared" si="2"/>
        <v>NY_OTSEGO</v>
      </c>
      <c r="D46" s="249" t="s">
        <v>1083</v>
      </c>
      <c r="E46" s="252">
        <f t="shared" ref="E46" si="41">F46/0.8</f>
        <v>110200</v>
      </c>
      <c r="F46" s="252">
        <f t="shared" si="28"/>
        <v>88160</v>
      </c>
      <c r="G46" s="252">
        <f t="shared" ref="G46" si="42">H46/0.8</f>
        <v>126730</v>
      </c>
      <c r="H46" s="252">
        <f t="shared" si="30"/>
        <v>101384</v>
      </c>
    </row>
    <row r="47" spans="1:8" s="36" customFormat="1" ht="20.100000000000001" customHeight="1" x14ac:dyDescent="0.25">
      <c r="A47" s="36" t="s">
        <v>2904</v>
      </c>
      <c r="B47" s="36" t="str">
        <f t="shared" si="2"/>
        <v>NY_PUTNAM</v>
      </c>
      <c r="D47" s="249" t="s">
        <v>511</v>
      </c>
      <c r="E47" s="252">
        <f t="shared" ref="E47" si="43">F47/0.8</f>
        <v>194400</v>
      </c>
      <c r="F47" s="252">
        <f t="shared" si="28"/>
        <v>155520</v>
      </c>
      <c r="G47" s="252">
        <f t="shared" ref="G47" si="44">H47/0.8</f>
        <v>226800</v>
      </c>
      <c r="H47" s="252">
        <f t="shared" si="30"/>
        <v>181440</v>
      </c>
    </row>
    <row r="48" spans="1:8" s="36" customFormat="1" ht="20.100000000000001" customHeight="1" x14ac:dyDescent="0.25">
      <c r="A48" s="36" t="s">
        <v>2904</v>
      </c>
      <c r="B48" s="36" t="str">
        <f t="shared" si="2"/>
        <v>NY_QUEENS</v>
      </c>
      <c r="D48" s="249" t="s">
        <v>1378</v>
      </c>
      <c r="E48" s="252">
        <f t="shared" ref="E48" si="45">F48/0.8</f>
        <v>194400</v>
      </c>
      <c r="F48" s="252">
        <f t="shared" si="28"/>
        <v>155520</v>
      </c>
      <c r="G48" s="252">
        <f t="shared" ref="G48" si="46">H48/0.8</f>
        <v>226800</v>
      </c>
      <c r="H48" s="252">
        <f t="shared" si="30"/>
        <v>181440</v>
      </c>
    </row>
    <row r="49" spans="1:8" s="36" customFormat="1" ht="20.100000000000001" customHeight="1" x14ac:dyDescent="0.25">
      <c r="A49" s="36" t="s">
        <v>2904</v>
      </c>
      <c r="B49" s="36" t="str">
        <f t="shared" si="2"/>
        <v>NY_RENSSELAER</v>
      </c>
      <c r="D49" s="249" t="s">
        <v>1379</v>
      </c>
      <c r="E49" s="252">
        <f t="shared" ref="E49" si="47">F49/0.8</f>
        <v>116100</v>
      </c>
      <c r="F49" s="252">
        <f t="shared" si="28"/>
        <v>92880</v>
      </c>
      <c r="G49" s="252">
        <f t="shared" ref="G49" si="48">H49/0.8</f>
        <v>133515</v>
      </c>
      <c r="H49" s="252">
        <f t="shared" si="30"/>
        <v>106812</v>
      </c>
    </row>
    <row r="50" spans="1:8" s="36" customFormat="1" ht="20.100000000000001" customHeight="1" x14ac:dyDescent="0.25">
      <c r="A50" s="36" t="s">
        <v>2904</v>
      </c>
      <c r="B50" s="36" t="str">
        <f t="shared" si="2"/>
        <v>NY_RICHMOND</v>
      </c>
      <c r="D50" s="249" t="s">
        <v>600</v>
      </c>
      <c r="E50" s="252">
        <f t="shared" ref="E50" si="49">F50/0.8</f>
        <v>194400</v>
      </c>
      <c r="F50" s="252">
        <f t="shared" si="28"/>
        <v>155520</v>
      </c>
      <c r="G50" s="252">
        <f t="shared" ref="G50" si="50">H50/0.8</f>
        <v>226800</v>
      </c>
      <c r="H50" s="252">
        <f t="shared" si="30"/>
        <v>181440</v>
      </c>
    </row>
    <row r="51" spans="1:8" s="36" customFormat="1" ht="20.100000000000001" customHeight="1" x14ac:dyDescent="0.25">
      <c r="A51" s="36" t="s">
        <v>2904</v>
      </c>
      <c r="B51" s="36" t="str">
        <f t="shared" si="2"/>
        <v>NY_ROCKLAND</v>
      </c>
      <c r="D51" s="249" t="s">
        <v>1380</v>
      </c>
      <c r="E51" s="252">
        <f t="shared" ref="E51" si="51">F51/0.8</f>
        <v>194400</v>
      </c>
      <c r="F51" s="252">
        <f t="shared" si="28"/>
        <v>155520</v>
      </c>
      <c r="G51" s="252">
        <f t="shared" ref="G51" si="52">H51/0.8</f>
        <v>226800</v>
      </c>
      <c r="H51" s="252">
        <f t="shared" si="30"/>
        <v>181440</v>
      </c>
    </row>
    <row r="52" spans="1:8" s="36" customFormat="1" ht="20.100000000000001" customHeight="1" x14ac:dyDescent="0.25">
      <c r="A52" s="36" t="s">
        <v>2904</v>
      </c>
      <c r="B52" s="36" t="str">
        <f t="shared" si="2"/>
        <v>NY_SARATOGA</v>
      </c>
      <c r="D52" s="249" t="s">
        <v>1382</v>
      </c>
      <c r="E52" s="252">
        <f t="shared" ref="E52" si="53">F52/0.8</f>
        <v>116100</v>
      </c>
      <c r="F52" s="252">
        <f t="shared" si="28"/>
        <v>92880</v>
      </c>
      <c r="G52" s="252">
        <f t="shared" ref="G52" si="54">H52/0.8</f>
        <v>133515</v>
      </c>
      <c r="H52" s="252">
        <f t="shared" si="30"/>
        <v>106812</v>
      </c>
    </row>
    <row r="53" spans="1:8" s="36" customFormat="1" ht="20.100000000000001" customHeight="1" x14ac:dyDescent="0.25">
      <c r="A53" s="36" t="s">
        <v>2904</v>
      </c>
      <c r="B53" s="36" t="str">
        <f t="shared" si="2"/>
        <v>NY_SCHENECTADY</v>
      </c>
      <c r="D53" s="249" t="s">
        <v>1383</v>
      </c>
      <c r="E53" s="252">
        <f t="shared" ref="E53" si="55">F53/0.8</f>
        <v>116100</v>
      </c>
      <c r="F53" s="252">
        <f t="shared" si="28"/>
        <v>92880</v>
      </c>
      <c r="G53" s="252">
        <f t="shared" ref="G53" si="56">H53/0.8</f>
        <v>133515</v>
      </c>
      <c r="H53" s="252">
        <f t="shared" si="30"/>
        <v>106812</v>
      </c>
    </row>
    <row r="54" spans="1:8" s="36" customFormat="1" ht="20.100000000000001" customHeight="1" x14ac:dyDescent="0.25">
      <c r="A54" s="36" t="s">
        <v>2904</v>
      </c>
      <c r="B54" s="36" t="str">
        <f t="shared" si="2"/>
        <v>NY_SCHOHARIE</v>
      </c>
      <c r="D54" s="249" t="s">
        <v>1384</v>
      </c>
      <c r="E54" s="252">
        <f t="shared" ref="E54" si="57">F54/0.8</f>
        <v>116100</v>
      </c>
      <c r="F54" s="252">
        <f t="shared" si="28"/>
        <v>92880</v>
      </c>
      <c r="G54" s="252">
        <f t="shared" ref="G54" si="58">H54/0.8</f>
        <v>133515</v>
      </c>
      <c r="H54" s="252">
        <f t="shared" si="30"/>
        <v>106812</v>
      </c>
    </row>
    <row r="55" spans="1:8" s="36" customFormat="1" ht="20.100000000000001" customHeight="1" x14ac:dyDescent="0.25">
      <c r="A55" s="36" t="s">
        <v>2904</v>
      </c>
      <c r="B55" s="36" t="str">
        <f t="shared" si="2"/>
        <v>NY_SCHUYLER</v>
      </c>
      <c r="D55" s="249" t="s">
        <v>711</v>
      </c>
      <c r="E55" s="252">
        <f t="shared" ref="E55" si="59">F55/0.8</f>
        <v>110200</v>
      </c>
      <c r="F55" s="252">
        <f t="shared" si="28"/>
        <v>88160</v>
      </c>
      <c r="G55" s="252">
        <f t="shared" ref="G55" si="60">H55/0.8</f>
        <v>126730</v>
      </c>
      <c r="H55" s="252">
        <f t="shared" si="30"/>
        <v>101384</v>
      </c>
    </row>
    <row r="56" spans="1:8" s="36" customFormat="1" ht="20.100000000000001" customHeight="1" x14ac:dyDescent="0.25">
      <c r="A56" s="36" t="s">
        <v>2904</v>
      </c>
      <c r="B56" s="36" t="str">
        <f t="shared" si="2"/>
        <v>NY_SENECA</v>
      </c>
      <c r="D56" s="249" t="s">
        <v>1385</v>
      </c>
      <c r="E56" s="252">
        <f t="shared" ref="E56" si="61">F56/0.8</f>
        <v>110200</v>
      </c>
      <c r="F56" s="252">
        <f t="shared" si="28"/>
        <v>88160</v>
      </c>
      <c r="G56" s="252">
        <f t="shared" ref="G56" si="62">H56/0.8</f>
        <v>126730</v>
      </c>
      <c r="H56" s="252">
        <f t="shared" si="30"/>
        <v>101384</v>
      </c>
    </row>
    <row r="57" spans="1:8" s="36" customFormat="1" ht="20.100000000000001" customHeight="1" x14ac:dyDescent="0.25">
      <c r="A57" s="36" t="s">
        <v>2904</v>
      </c>
      <c r="B57" s="36" t="str">
        <f t="shared" si="2"/>
        <v>NY_ST. LAWRENCE</v>
      </c>
      <c r="D57" s="249" t="s">
        <v>1381</v>
      </c>
      <c r="E57" s="252">
        <f t="shared" ref="E57" si="63">F57/0.8</f>
        <v>110200</v>
      </c>
      <c r="F57" s="252">
        <f t="shared" si="28"/>
        <v>88160</v>
      </c>
      <c r="G57" s="252">
        <f t="shared" ref="G57" si="64">H57/0.8</f>
        <v>126730</v>
      </c>
      <c r="H57" s="252">
        <f t="shared" si="30"/>
        <v>101384</v>
      </c>
    </row>
    <row r="58" spans="1:8" s="36" customFormat="1" ht="20.100000000000001" customHeight="1" x14ac:dyDescent="0.25">
      <c r="A58" s="36" t="s">
        <v>2904</v>
      </c>
      <c r="B58" s="36" t="str">
        <f t="shared" si="2"/>
        <v>NY_STEUBEN</v>
      </c>
      <c r="D58" s="249" t="s">
        <v>752</v>
      </c>
      <c r="E58" s="252">
        <f t="shared" ref="E58" si="65">F58/0.8</f>
        <v>110200</v>
      </c>
      <c r="F58" s="252">
        <f t="shared" si="28"/>
        <v>88160</v>
      </c>
      <c r="G58" s="252">
        <f t="shared" ref="G58" si="66">H58/0.8</f>
        <v>126730</v>
      </c>
      <c r="H58" s="252">
        <f t="shared" si="30"/>
        <v>101384</v>
      </c>
    </row>
    <row r="59" spans="1:8" s="36" customFormat="1" ht="20.100000000000001" customHeight="1" x14ac:dyDescent="0.25">
      <c r="A59" s="36" t="s">
        <v>2904</v>
      </c>
      <c r="B59" s="36" t="str">
        <f t="shared" si="2"/>
        <v>NY_SUFFOLK</v>
      </c>
      <c r="D59" s="249" t="s">
        <v>1030</v>
      </c>
      <c r="E59" s="252">
        <f t="shared" ref="E59" si="67">F59/0.8</f>
        <v>197880</v>
      </c>
      <c r="F59" s="252">
        <f t="shared" si="28"/>
        <v>158304</v>
      </c>
      <c r="G59" s="252">
        <f t="shared" ref="G59" si="68">H59/0.8</f>
        <v>230860</v>
      </c>
      <c r="H59" s="252">
        <f t="shared" si="30"/>
        <v>184688</v>
      </c>
    </row>
    <row r="60" spans="1:8" s="36" customFormat="1" ht="20.100000000000001" customHeight="1" x14ac:dyDescent="0.25">
      <c r="A60" s="36" t="s">
        <v>2904</v>
      </c>
      <c r="B60" s="36" t="str">
        <f t="shared" si="2"/>
        <v>NY_SULLIVAN</v>
      </c>
      <c r="D60" s="249" t="s">
        <v>753</v>
      </c>
      <c r="E60" s="252">
        <f t="shared" ref="E60" si="69">F60/0.8</f>
        <v>110200</v>
      </c>
      <c r="F60" s="252">
        <f t="shared" si="28"/>
        <v>88160</v>
      </c>
      <c r="G60" s="252">
        <f t="shared" ref="G60" si="70">H60/0.8</f>
        <v>126730</v>
      </c>
      <c r="H60" s="252">
        <f t="shared" si="30"/>
        <v>101384</v>
      </c>
    </row>
    <row r="61" spans="1:8" s="36" customFormat="1" ht="20.100000000000001" customHeight="1" x14ac:dyDescent="0.25">
      <c r="A61" s="36" t="s">
        <v>2904</v>
      </c>
      <c r="B61" s="36" t="str">
        <f t="shared" si="2"/>
        <v>NY_TIOGA</v>
      </c>
      <c r="D61" s="249" t="s">
        <v>1386</v>
      </c>
      <c r="E61" s="252">
        <f t="shared" ref="E61" si="71">F61/0.8</f>
        <v>110200</v>
      </c>
      <c r="F61" s="252">
        <f t="shared" si="28"/>
        <v>88160</v>
      </c>
      <c r="G61" s="252">
        <f t="shared" ref="G61" si="72">H61/0.8</f>
        <v>126730</v>
      </c>
      <c r="H61" s="252">
        <f t="shared" si="30"/>
        <v>101384</v>
      </c>
    </row>
    <row r="62" spans="1:8" s="36" customFormat="1" ht="20.100000000000001" customHeight="1" x14ac:dyDescent="0.25">
      <c r="A62" s="36" t="s">
        <v>2904</v>
      </c>
      <c r="B62" s="36" t="str">
        <f t="shared" si="2"/>
        <v>NY_TOMPKINS</v>
      </c>
      <c r="D62" s="249" t="s">
        <v>1387</v>
      </c>
      <c r="E62" s="252">
        <f t="shared" ref="E62" si="73">F62/0.8</f>
        <v>120300</v>
      </c>
      <c r="F62" s="252">
        <f t="shared" si="28"/>
        <v>96240</v>
      </c>
      <c r="G62" s="252">
        <f t="shared" ref="G62" si="74">H62/0.8</f>
        <v>138345</v>
      </c>
      <c r="H62" s="252">
        <f t="shared" si="30"/>
        <v>110676</v>
      </c>
    </row>
    <row r="63" spans="1:8" s="36" customFormat="1" ht="20.100000000000001" customHeight="1" x14ac:dyDescent="0.25">
      <c r="A63" s="36" t="s">
        <v>2904</v>
      </c>
      <c r="B63" s="36" t="str">
        <f t="shared" si="2"/>
        <v>NY_ULSTER</v>
      </c>
      <c r="D63" s="249" t="s">
        <v>1388</v>
      </c>
      <c r="E63" s="252">
        <f t="shared" ref="E63" si="75">F63/0.8</f>
        <v>119800</v>
      </c>
      <c r="F63" s="252">
        <f t="shared" si="28"/>
        <v>95840</v>
      </c>
      <c r="G63" s="252">
        <f t="shared" ref="G63" si="76">H63/0.8</f>
        <v>137770</v>
      </c>
      <c r="H63" s="252">
        <f t="shared" si="30"/>
        <v>110216</v>
      </c>
    </row>
    <row r="64" spans="1:8" s="36" customFormat="1" ht="20.100000000000001" customHeight="1" x14ac:dyDescent="0.25">
      <c r="A64" s="36" t="s">
        <v>2904</v>
      </c>
      <c r="B64" s="36" t="str">
        <f t="shared" si="2"/>
        <v>NY_WARREN</v>
      </c>
      <c r="D64" s="249" t="s">
        <v>622</v>
      </c>
      <c r="E64" s="252">
        <f t="shared" ref="E64" si="77">F64/0.8</f>
        <v>110200</v>
      </c>
      <c r="F64" s="252">
        <f t="shared" si="28"/>
        <v>88160</v>
      </c>
      <c r="G64" s="252">
        <f t="shared" ref="G64" si="78">H64/0.8</f>
        <v>126730</v>
      </c>
      <c r="H64" s="252">
        <f t="shared" si="30"/>
        <v>101384</v>
      </c>
    </row>
    <row r="65" spans="1:8" s="36" customFormat="1" ht="20.100000000000001" customHeight="1" x14ac:dyDescent="0.25">
      <c r="A65" s="36" t="s">
        <v>2904</v>
      </c>
      <c r="B65" s="36" t="str">
        <f t="shared" si="2"/>
        <v>NY_WASHINGTON</v>
      </c>
      <c r="D65" s="249" t="s">
        <v>258</v>
      </c>
      <c r="E65" s="252">
        <f t="shared" ref="E65" si="79">F65/0.8</f>
        <v>110200</v>
      </c>
      <c r="F65" s="252">
        <f t="shared" si="28"/>
        <v>88160</v>
      </c>
      <c r="G65" s="252">
        <f t="shared" ref="G65" si="80">H65/0.8</f>
        <v>126730</v>
      </c>
      <c r="H65" s="252">
        <f t="shared" si="30"/>
        <v>101384</v>
      </c>
    </row>
    <row r="66" spans="1:8" s="36" customFormat="1" ht="20.100000000000001" customHeight="1" x14ac:dyDescent="0.25">
      <c r="A66" s="36" t="s">
        <v>2904</v>
      </c>
      <c r="B66" s="36" t="str">
        <f t="shared" si="2"/>
        <v>NY_WAYNE</v>
      </c>
      <c r="D66" s="249" t="s">
        <v>623</v>
      </c>
      <c r="E66" s="252">
        <f t="shared" ref="E66" si="81">F66/0.8</f>
        <v>110200</v>
      </c>
      <c r="F66" s="252">
        <f t="shared" si="28"/>
        <v>88160</v>
      </c>
      <c r="G66" s="252">
        <f t="shared" ref="G66" si="82">H66/0.8</f>
        <v>126730</v>
      </c>
      <c r="H66" s="252">
        <f t="shared" si="30"/>
        <v>101384</v>
      </c>
    </row>
    <row r="67" spans="1:8" s="36" customFormat="1" ht="20.100000000000001" customHeight="1" x14ac:dyDescent="0.25">
      <c r="A67" s="36" t="s">
        <v>2904</v>
      </c>
      <c r="B67" s="36" t="str">
        <f t="shared" si="2"/>
        <v>NY_WESTCHESTER</v>
      </c>
      <c r="D67" s="249" t="s">
        <v>1389</v>
      </c>
      <c r="E67" s="252">
        <f t="shared" ref="E67" si="83">F67/0.8</f>
        <v>204000</v>
      </c>
      <c r="F67" s="252">
        <f t="shared" si="28"/>
        <v>163200</v>
      </c>
      <c r="G67" s="252">
        <f t="shared" ref="G67" si="84">H67/0.8</f>
        <v>238000</v>
      </c>
      <c r="H67" s="252">
        <f t="shared" si="30"/>
        <v>190400</v>
      </c>
    </row>
    <row r="68" spans="1:8" s="36" customFormat="1" ht="20.100000000000001" customHeight="1" x14ac:dyDescent="0.25">
      <c r="A68" s="36" t="s">
        <v>2904</v>
      </c>
      <c r="B68" s="36" t="str">
        <f t="shared" si="2"/>
        <v>NY_WYOMING</v>
      </c>
      <c r="D68" s="249" t="s">
        <v>1390</v>
      </c>
      <c r="E68" s="252">
        <f t="shared" ref="E68" si="85">F68/0.8</f>
        <v>110200</v>
      </c>
      <c r="F68" s="252">
        <f t="shared" si="28"/>
        <v>88160</v>
      </c>
      <c r="G68" s="252">
        <f t="shared" ref="G68" si="86">H68/0.8</f>
        <v>126730</v>
      </c>
      <c r="H68" s="252">
        <f t="shared" si="30"/>
        <v>101384</v>
      </c>
    </row>
    <row r="69" spans="1:8" s="36" customFormat="1" ht="20.100000000000001" customHeight="1" x14ac:dyDescent="0.25">
      <c r="A69" s="36" t="s">
        <v>2904</v>
      </c>
      <c r="B69" s="36" t="str">
        <f t="shared" si="2"/>
        <v>NY_YATES</v>
      </c>
      <c r="D69" s="249" t="s">
        <v>1391</v>
      </c>
      <c r="E69" s="252">
        <f t="shared" ref="E69" si="87">F69/0.8</f>
        <v>110200</v>
      </c>
      <c r="F69" s="252">
        <f t="shared" si="28"/>
        <v>88160</v>
      </c>
      <c r="G69" s="252">
        <f t="shared" ref="G69" si="88">H69/0.8</f>
        <v>126730</v>
      </c>
      <c r="H69" s="252">
        <f t="shared" si="30"/>
        <v>101384</v>
      </c>
    </row>
    <row r="70" spans="1:8" ht="15" customHeight="1" x14ac:dyDescent="0.25"/>
  </sheetData>
  <sheetProtection algorithmName="SHA-512" hashValue="TjsBH9UnNenhtgvcbwiQR8UqMA7SieuOPlJxPfdPL/aoO0HmuBf2ChHdA+K1J3O6XL8ahWBLC1Tjxdzd5yBENQ==" saltValue="8Jb5pX9EsclYcuQU91qfQg==" spinCount="100000" sheet="1" objects="1" scenarios="1"/>
  <mergeCells count="3">
    <mergeCell ref="F2:H2"/>
    <mergeCell ref="E6:F6"/>
    <mergeCell ref="G6:H6"/>
  </mergeCells>
  <pageMargins left="0.7" right="0.7" top="0.75" bottom="0.75" header="0.3" footer="0.3"/>
  <pageSetup scale="82" orientation="portrait" horizontalDpi="0" verticalDpi="0" r:id="rId1"/>
  <headerFooter>
    <oddFooter>Page &amp;P of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DAD7A-EB2E-4B6E-9EFF-5B5C9C515EDE}">
  <sheetPr>
    <pageSetUpPr fitToPage="1"/>
  </sheetPr>
  <dimension ref="A1:I86"/>
  <sheetViews>
    <sheetView showGridLines="0" showRowColHeaders="0" topLeftCell="C1" workbookViewId="0">
      <pane ySplit="7" topLeftCell="A8" activePane="bottomLeft" state="frozen"/>
      <selection activeCell="C1" sqref="C1"/>
      <selection pane="bottomLeft" activeCell="C8" sqref="C8"/>
    </sheetView>
  </sheetViews>
  <sheetFormatPr defaultColWidth="0" defaultRowHeight="15" customHeight="1" zeroHeight="1" x14ac:dyDescent="0.25"/>
  <cols>
    <col min="1" max="1" width="22.28515625" hidden="1" customWidth="1"/>
    <col min="2" max="2" width="31.42578125" hidden="1" customWidth="1"/>
    <col min="3" max="3" width="1.42578125" customWidth="1"/>
    <col min="4" max="4" width="31.28515625" customWidth="1"/>
    <col min="5" max="8" width="18.7109375" customWidth="1"/>
    <col min="9" max="9" width="1.42578125" customWidth="1"/>
    <col min="10" max="16384" width="9.140625" hidden="1"/>
  </cols>
  <sheetData>
    <row r="1" spans="1:9" ht="11.1" customHeight="1" x14ac:dyDescent="0.25"/>
    <row r="2" spans="1:9" ht="24.95" customHeight="1" x14ac:dyDescent="0.25">
      <c r="A2" s="43" t="s">
        <v>179</v>
      </c>
      <c r="B2" s="43" t="s">
        <v>178</v>
      </c>
      <c r="F2" s="433" t="str">
        <f>HYPERLINK("#"&amp;$B$4,$B$5)</f>
        <v xml:space="preserve">Return to </v>
      </c>
      <c r="G2" s="433"/>
      <c r="H2" s="433"/>
    </row>
    <row r="3" spans="1:9" ht="11.1" customHeight="1" x14ac:dyDescent="0.25"/>
    <row r="4" spans="1:9" ht="21.75" customHeight="1" x14ac:dyDescent="0.25">
      <c r="A4" t="s">
        <v>2852</v>
      </c>
      <c r="B4" t="str">
        <f>"TARGET_" &amp;CONFIG_EFORM_TYPE_CODE&amp;"_"&amp;CONFIG_FHC_PROG_ID&amp;"_ICW_BOOKMARK"</f>
        <v>TARGET___ICW_BOOKMARK</v>
      </c>
      <c r="C4" s="210"/>
      <c r="D4" s="212" t="str">
        <f>"Mortgage Revenue Bond Median Income Guidelines: Puerto Rico ("&amp;Configuration!M55&amp;")"</f>
        <v>Mortgage Revenue Bond Median Income Guidelines: Puerto Rico (2025)</v>
      </c>
      <c r="E4" s="212"/>
      <c r="F4" s="210"/>
      <c r="G4" s="210"/>
      <c r="H4" s="250"/>
      <c r="I4" s="210"/>
    </row>
    <row r="5" spans="1:9" s="208" customFormat="1" ht="9" customHeight="1" x14ac:dyDescent="0.25">
      <c r="A5" s="36" t="s">
        <v>2853</v>
      </c>
      <c r="B5" s="36" t="str">
        <f>"Return to "&amp;CONFIG_EFORM_TYPE_NAME</f>
        <v xml:space="preserve">Return to </v>
      </c>
      <c r="C5" s="207"/>
      <c r="D5" s="251"/>
      <c r="E5" s="209"/>
    </row>
    <row r="6" spans="1:9" s="208" customFormat="1" ht="21" customHeight="1" x14ac:dyDescent="0.25">
      <c r="A6" s="36"/>
      <c r="B6" s="36"/>
      <c r="C6" s="207"/>
      <c r="D6" s="224"/>
      <c r="E6" s="461" t="s">
        <v>2902</v>
      </c>
      <c r="F6" s="461"/>
      <c r="G6" s="461" t="s">
        <v>2903</v>
      </c>
      <c r="H6" s="461"/>
    </row>
    <row r="7" spans="1:9" s="208" customFormat="1" ht="20.100000000000001" customHeight="1" x14ac:dyDescent="0.25">
      <c r="A7"/>
      <c r="B7"/>
      <c r="C7"/>
      <c r="D7" s="248" t="s">
        <v>105</v>
      </c>
      <c r="E7" s="168" t="s">
        <v>2901</v>
      </c>
      <c r="F7" s="247">
        <v>0.8</v>
      </c>
      <c r="G7" s="168" t="s">
        <v>2901</v>
      </c>
      <c r="H7" s="247">
        <v>0.8</v>
      </c>
    </row>
    <row r="8" spans="1:9" s="36" customFormat="1" ht="20.100000000000001" customHeight="1" x14ac:dyDescent="0.25">
      <c r="A8" s="36" t="s">
        <v>2904</v>
      </c>
      <c r="B8" s="36" t="str">
        <f>"PR_"&amp;UPPER(TRIM(D8))</f>
        <v>PR_ADJUNTAS</v>
      </c>
      <c r="D8" s="249" t="s">
        <v>2406</v>
      </c>
      <c r="E8" s="252">
        <f>F8/0.8</f>
        <v>28320</v>
      </c>
      <c r="F8" s="252">
        <f t="shared" ref="F8:F39" si="0">VLOOKUP(B8,LOOKUP_AMI_TABLE,5,FALSE)</f>
        <v>22656</v>
      </c>
      <c r="G8" s="252">
        <f>H8/0.8</f>
        <v>33040</v>
      </c>
      <c r="H8" s="252">
        <f t="shared" ref="H8:H39" si="1">VLOOKUP(B8,LOOKUP_AMI_TABLE,7,FALSE)</f>
        <v>26432</v>
      </c>
    </row>
    <row r="9" spans="1:9" s="36" customFormat="1" ht="20.100000000000001" customHeight="1" x14ac:dyDescent="0.25">
      <c r="A9" s="36" t="s">
        <v>2904</v>
      </c>
      <c r="B9" s="36" t="str">
        <f t="shared" ref="B9:B72" si="2">"PR_"&amp;UPPER(TRIM(D9))</f>
        <v>PR_AGUADA</v>
      </c>
      <c r="D9" s="249" t="s">
        <v>2407</v>
      </c>
      <c r="E9" s="252">
        <f t="shared" ref="E9:G24" si="3">F9/0.8</f>
        <v>30600</v>
      </c>
      <c r="F9" s="252">
        <f t="shared" si="0"/>
        <v>24480</v>
      </c>
      <c r="G9" s="252">
        <f t="shared" si="3"/>
        <v>35700</v>
      </c>
      <c r="H9" s="252">
        <f t="shared" si="1"/>
        <v>28560</v>
      </c>
    </row>
    <row r="10" spans="1:9" s="36" customFormat="1" ht="20.100000000000001" customHeight="1" x14ac:dyDescent="0.25">
      <c r="A10" s="36" t="s">
        <v>2904</v>
      </c>
      <c r="B10" s="36" t="str">
        <f t="shared" si="2"/>
        <v>PR_AGUADILLA</v>
      </c>
      <c r="D10" s="249" t="s">
        <v>2408</v>
      </c>
      <c r="E10" s="252">
        <f t="shared" si="3"/>
        <v>30600</v>
      </c>
      <c r="F10" s="252">
        <f t="shared" si="0"/>
        <v>24480</v>
      </c>
      <c r="G10" s="252">
        <f t="shared" si="3"/>
        <v>35700</v>
      </c>
      <c r="H10" s="252">
        <f t="shared" si="1"/>
        <v>28560</v>
      </c>
    </row>
    <row r="11" spans="1:9" s="36" customFormat="1" ht="20.100000000000001" customHeight="1" x14ac:dyDescent="0.25">
      <c r="A11" s="36" t="s">
        <v>2904</v>
      </c>
      <c r="B11" s="36" t="str">
        <f t="shared" si="2"/>
        <v>PR_AGUAS BUENAS</v>
      </c>
      <c r="D11" s="249" t="s">
        <v>2409</v>
      </c>
      <c r="E11" s="252">
        <f t="shared" si="3"/>
        <v>39960</v>
      </c>
      <c r="F11" s="252">
        <f t="shared" si="0"/>
        <v>31968</v>
      </c>
      <c r="G11" s="252">
        <f t="shared" si="3"/>
        <v>46620</v>
      </c>
      <c r="H11" s="252">
        <f t="shared" si="1"/>
        <v>37296</v>
      </c>
    </row>
    <row r="12" spans="1:9" s="36" customFormat="1" ht="20.100000000000001" customHeight="1" x14ac:dyDescent="0.25">
      <c r="A12" s="36" t="s">
        <v>2904</v>
      </c>
      <c r="B12" s="36" t="str">
        <f t="shared" si="2"/>
        <v>PR_AIBONITO</v>
      </c>
      <c r="D12" s="249" t="s">
        <v>2410</v>
      </c>
      <c r="E12" s="252">
        <f t="shared" si="3"/>
        <v>28560</v>
      </c>
      <c r="F12" s="252">
        <f t="shared" si="0"/>
        <v>22848</v>
      </c>
      <c r="G12" s="252">
        <f t="shared" si="3"/>
        <v>33320</v>
      </c>
      <c r="H12" s="252">
        <f t="shared" si="1"/>
        <v>26656</v>
      </c>
    </row>
    <row r="13" spans="1:9" s="36" customFormat="1" ht="20.100000000000001" customHeight="1" x14ac:dyDescent="0.25">
      <c r="A13" s="36" t="s">
        <v>2904</v>
      </c>
      <c r="B13" s="36" t="str">
        <f t="shared" si="2"/>
        <v>PR_ANASCO</v>
      </c>
      <c r="D13" s="249" t="s">
        <v>2411</v>
      </c>
      <c r="E13" s="252">
        <f t="shared" si="3"/>
        <v>30600</v>
      </c>
      <c r="F13" s="252">
        <f t="shared" si="0"/>
        <v>24480</v>
      </c>
      <c r="G13" s="252">
        <f t="shared" si="3"/>
        <v>35700</v>
      </c>
      <c r="H13" s="252">
        <f t="shared" si="1"/>
        <v>28560</v>
      </c>
    </row>
    <row r="14" spans="1:9" s="36" customFormat="1" ht="20.100000000000001" customHeight="1" x14ac:dyDescent="0.25">
      <c r="A14" s="36" t="s">
        <v>2904</v>
      </c>
      <c r="B14" s="36" t="str">
        <f t="shared" si="2"/>
        <v>PR_ARECIBO</v>
      </c>
      <c r="D14" s="249" t="s">
        <v>2412</v>
      </c>
      <c r="E14" s="252">
        <f t="shared" si="3"/>
        <v>33840</v>
      </c>
      <c r="F14" s="252">
        <f t="shared" si="0"/>
        <v>27072</v>
      </c>
      <c r="G14" s="252">
        <f t="shared" si="3"/>
        <v>39480</v>
      </c>
      <c r="H14" s="252">
        <f t="shared" si="1"/>
        <v>31584</v>
      </c>
    </row>
    <row r="15" spans="1:9" s="36" customFormat="1" ht="20.100000000000001" customHeight="1" x14ac:dyDescent="0.25">
      <c r="A15" s="36" t="s">
        <v>2904</v>
      </c>
      <c r="B15" s="36" t="str">
        <f t="shared" si="2"/>
        <v>PR_ARROYO</v>
      </c>
      <c r="D15" s="249" t="s">
        <v>2413</v>
      </c>
      <c r="E15" s="252">
        <f t="shared" si="3"/>
        <v>35640</v>
      </c>
      <c r="F15" s="252">
        <f t="shared" si="0"/>
        <v>28512</v>
      </c>
      <c r="G15" s="252">
        <f t="shared" si="3"/>
        <v>41580</v>
      </c>
      <c r="H15" s="252">
        <f t="shared" si="1"/>
        <v>33264</v>
      </c>
    </row>
    <row r="16" spans="1:9" s="36" customFormat="1" ht="20.100000000000001" customHeight="1" x14ac:dyDescent="0.25">
      <c r="A16" s="36" t="s">
        <v>2904</v>
      </c>
      <c r="B16" s="36" t="str">
        <f t="shared" si="2"/>
        <v>PR_BARCELONETA</v>
      </c>
      <c r="D16" s="249" t="s">
        <v>2414</v>
      </c>
      <c r="E16" s="252">
        <f t="shared" si="3"/>
        <v>39960</v>
      </c>
      <c r="F16" s="252">
        <f t="shared" si="0"/>
        <v>31968</v>
      </c>
      <c r="G16" s="252">
        <f t="shared" si="3"/>
        <v>46620</v>
      </c>
      <c r="H16" s="252">
        <f t="shared" si="1"/>
        <v>37296</v>
      </c>
    </row>
    <row r="17" spans="1:8" s="36" customFormat="1" ht="20.100000000000001" customHeight="1" x14ac:dyDescent="0.25">
      <c r="A17" s="36" t="s">
        <v>2904</v>
      </c>
      <c r="B17" s="36" t="str">
        <f t="shared" si="2"/>
        <v>PR_BARRANQUITAS</v>
      </c>
      <c r="D17" s="249" t="s">
        <v>2415</v>
      </c>
      <c r="E17" s="252">
        <f t="shared" si="3"/>
        <v>28560</v>
      </c>
      <c r="F17" s="252">
        <f t="shared" si="0"/>
        <v>22848</v>
      </c>
      <c r="G17" s="252">
        <f t="shared" si="3"/>
        <v>33320</v>
      </c>
      <c r="H17" s="252">
        <f t="shared" si="1"/>
        <v>26656</v>
      </c>
    </row>
    <row r="18" spans="1:8" s="36" customFormat="1" ht="20.100000000000001" customHeight="1" x14ac:dyDescent="0.25">
      <c r="A18" s="36" t="s">
        <v>2904</v>
      </c>
      <c r="B18" s="36" t="str">
        <f t="shared" si="2"/>
        <v>PR_BAYAMON</v>
      </c>
      <c r="D18" s="249" t="s">
        <v>2416</v>
      </c>
      <c r="E18" s="252">
        <f t="shared" si="3"/>
        <v>39960</v>
      </c>
      <c r="F18" s="252">
        <f t="shared" si="0"/>
        <v>31968</v>
      </c>
      <c r="G18" s="252">
        <f t="shared" si="3"/>
        <v>46620</v>
      </c>
      <c r="H18" s="252">
        <f t="shared" si="1"/>
        <v>37296</v>
      </c>
    </row>
    <row r="19" spans="1:8" s="36" customFormat="1" ht="20.100000000000001" customHeight="1" x14ac:dyDescent="0.25">
      <c r="A19" s="36" t="s">
        <v>2904</v>
      </c>
      <c r="B19" s="36" t="str">
        <f t="shared" si="2"/>
        <v>PR_CABO ROJO</v>
      </c>
      <c r="D19" s="249" t="s">
        <v>2417</v>
      </c>
      <c r="E19" s="252">
        <f t="shared" si="3"/>
        <v>28320</v>
      </c>
      <c r="F19" s="252">
        <f t="shared" si="0"/>
        <v>22656</v>
      </c>
      <c r="G19" s="252">
        <f t="shared" si="3"/>
        <v>33040</v>
      </c>
      <c r="H19" s="252">
        <f t="shared" si="1"/>
        <v>26432</v>
      </c>
    </row>
    <row r="20" spans="1:8" s="36" customFormat="1" ht="20.100000000000001" customHeight="1" x14ac:dyDescent="0.25">
      <c r="A20" s="36" t="s">
        <v>2904</v>
      </c>
      <c r="B20" s="36" t="str">
        <f t="shared" si="2"/>
        <v>PR_CAGUAS</v>
      </c>
      <c r="D20" s="249" t="s">
        <v>2418</v>
      </c>
      <c r="E20" s="252">
        <f t="shared" si="3"/>
        <v>37200</v>
      </c>
      <c r="F20" s="252">
        <f t="shared" si="0"/>
        <v>29760</v>
      </c>
      <c r="G20" s="252">
        <f t="shared" si="3"/>
        <v>43400</v>
      </c>
      <c r="H20" s="252">
        <f t="shared" si="1"/>
        <v>34720</v>
      </c>
    </row>
    <row r="21" spans="1:8" s="36" customFormat="1" ht="20.100000000000001" customHeight="1" x14ac:dyDescent="0.25">
      <c r="A21" s="36" t="s">
        <v>2904</v>
      </c>
      <c r="B21" s="36" t="str">
        <f t="shared" si="2"/>
        <v>PR_CAMUY</v>
      </c>
      <c r="D21" s="249" t="s">
        <v>2419</v>
      </c>
      <c r="E21" s="252">
        <f t="shared" si="3"/>
        <v>33840</v>
      </c>
      <c r="F21" s="252">
        <f t="shared" si="0"/>
        <v>27072</v>
      </c>
      <c r="G21" s="252">
        <f t="shared" si="3"/>
        <v>39480</v>
      </c>
      <c r="H21" s="252">
        <f t="shared" si="1"/>
        <v>31584</v>
      </c>
    </row>
    <row r="22" spans="1:8" s="36" customFormat="1" ht="20.100000000000001" customHeight="1" x14ac:dyDescent="0.25">
      <c r="A22" s="36" t="s">
        <v>2904</v>
      </c>
      <c r="B22" s="36" t="str">
        <f t="shared" si="2"/>
        <v>PR_CANOVANAS</v>
      </c>
      <c r="D22" s="249" t="s">
        <v>2420</v>
      </c>
      <c r="E22" s="252">
        <f t="shared" si="3"/>
        <v>39960</v>
      </c>
      <c r="F22" s="252">
        <f t="shared" si="0"/>
        <v>31968</v>
      </c>
      <c r="G22" s="252">
        <f t="shared" si="3"/>
        <v>46620</v>
      </c>
      <c r="H22" s="252">
        <f t="shared" si="1"/>
        <v>37296</v>
      </c>
    </row>
    <row r="23" spans="1:8" s="36" customFormat="1" ht="20.100000000000001" customHeight="1" x14ac:dyDescent="0.25">
      <c r="A23" s="36" t="s">
        <v>2904</v>
      </c>
      <c r="B23" s="36" t="str">
        <f t="shared" si="2"/>
        <v>PR_CAROLINA</v>
      </c>
      <c r="D23" s="249" t="s">
        <v>2421</v>
      </c>
      <c r="E23" s="252">
        <f t="shared" si="3"/>
        <v>39960</v>
      </c>
      <c r="F23" s="252">
        <f t="shared" si="0"/>
        <v>31968</v>
      </c>
      <c r="G23" s="252">
        <f t="shared" si="3"/>
        <v>46620</v>
      </c>
      <c r="H23" s="252">
        <f t="shared" si="1"/>
        <v>37296</v>
      </c>
    </row>
    <row r="24" spans="1:8" s="36" customFormat="1" ht="20.100000000000001" customHeight="1" x14ac:dyDescent="0.25">
      <c r="A24" s="36" t="s">
        <v>2904</v>
      </c>
      <c r="B24" s="36" t="str">
        <f t="shared" si="2"/>
        <v>PR_CATANO</v>
      </c>
      <c r="D24" s="249" t="s">
        <v>2422</v>
      </c>
      <c r="E24" s="252">
        <f t="shared" si="3"/>
        <v>39960</v>
      </c>
      <c r="F24" s="252">
        <f t="shared" si="0"/>
        <v>31968</v>
      </c>
      <c r="G24" s="252">
        <f t="shared" si="3"/>
        <v>46620</v>
      </c>
      <c r="H24" s="252">
        <f t="shared" si="1"/>
        <v>37296</v>
      </c>
    </row>
    <row r="25" spans="1:8" s="36" customFormat="1" ht="20.100000000000001" customHeight="1" x14ac:dyDescent="0.25">
      <c r="A25" s="36" t="s">
        <v>2904</v>
      </c>
      <c r="B25" s="36" t="str">
        <f t="shared" si="2"/>
        <v>PR_CAYEY</v>
      </c>
      <c r="D25" s="249" t="s">
        <v>2423</v>
      </c>
      <c r="E25" s="252">
        <f t="shared" ref="E25:G40" si="4">F25/0.8</f>
        <v>37200</v>
      </c>
      <c r="F25" s="252">
        <f t="shared" si="0"/>
        <v>29760</v>
      </c>
      <c r="G25" s="252">
        <f t="shared" si="4"/>
        <v>43400</v>
      </c>
      <c r="H25" s="252">
        <f t="shared" si="1"/>
        <v>34720</v>
      </c>
    </row>
    <row r="26" spans="1:8" s="36" customFormat="1" ht="20.100000000000001" customHeight="1" x14ac:dyDescent="0.25">
      <c r="A26" s="36" t="s">
        <v>2904</v>
      </c>
      <c r="B26" s="36" t="str">
        <f t="shared" si="2"/>
        <v>PR_CEIBA</v>
      </c>
      <c r="D26" s="249" t="s">
        <v>2424</v>
      </c>
      <c r="E26" s="252">
        <f t="shared" si="4"/>
        <v>36360</v>
      </c>
      <c r="F26" s="252">
        <f t="shared" si="0"/>
        <v>29088</v>
      </c>
      <c r="G26" s="252">
        <f t="shared" si="4"/>
        <v>42420</v>
      </c>
      <c r="H26" s="252">
        <f t="shared" si="1"/>
        <v>33936</v>
      </c>
    </row>
    <row r="27" spans="1:8" s="36" customFormat="1" ht="20.100000000000001" customHeight="1" x14ac:dyDescent="0.25">
      <c r="A27" s="36" t="s">
        <v>2904</v>
      </c>
      <c r="B27" s="36" t="str">
        <f t="shared" si="2"/>
        <v>PR_CIALES</v>
      </c>
      <c r="D27" s="249" t="s">
        <v>2425</v>
      </c>
      <c r="E27" s="252">
        <f t="shared" si="4"/>
        <v>28560</v>
      </c>
      <c r="F27" s="252">
        <f t="shared" si="0"/>
        <v>22848</v>
      </c>
      <c r="G27" s="252">
        <f t="shared" si="4"/>
        <v>33320</v>
      </c>
      <c r="H27" s="252">
        <f t="shared" si="1"/>
        <v>26656</v>
      </c>
    </row>
    <row r="28" spans="1:8" s="36" customFormat="1" ht="20.100000000000001" customHeight="1" x14ac:dyDescent="0.25">
      <c r="A28" s="36" t="s">
        <v>2904</v>
      </c>
      <c r="B28" s="36" t="str">
        <f t="shared" si="2"/>
        <v>PR_CIDRA</v>
      </c>
      <c r="D28" s="249" t="s">
        <v>2426</v>
      </c>
      <c r="E28" s="252">
        <f t="shared" si="4"/>
        <v>37200</v>
      </c>
      <c r="F28" s="252">
        <f t="shared" si="0"/>
        <v>29760</v>
      </c>
      <c r="G28" s="252">
        <f t="shared" si="4"/>
        <v>43400</v>
      </c>
      <c r="H28" s="252">
        <f t="shared" si="1"/>
        <v>34720</v>
      </c>
    </row>
    <row r="29" spans="1:8" s="36" customFormat="1" ht="20.100000000000001" customHeight="1" x14ac:dyDescent="0.25">
      <c r="A29" s="36" t="s">
        <v>2904</v>
      </c>
      <c r="B29" s="36" t="str">
        <f t="shared" si="2"/>
        <v>PR_COAMO</v>
      </c>
      <c r="D29" s="249" t="s">
        <v>2427</v>
      </c>
      <c r="E29" s="252">
        <f t="shared" si="4"/>
        <v>28320</v>
      </c>
      <c r="F29" s="252">
        <f t="shared" si="0"/>
        <v>22656</v>
      </c>
      <c r="G29" s="252">
        <f t="shared" si="4"/>
        <v>33040</v>
      </c>
      <c r="H29" s="252">
        <f t="shared" si="1"/>
        <v>26432</v>
      </c>
    </row>
    <row r="30" spans="1:8" s="36" customFormat="1" ht="20.100000000000001" customHeight="1" x14ac:dyDescent="0.25">
      <c r="A30" s="36" t="s">
        <v>2904</v>
      </c>
      <c r="B30" s="36" t="str">
        <f t="shared" si="2"/>
        <v>PR_COMERIO</v>
      </c>
      <c r="D30" s="249" t="s">
        <v>2428</v>
      </c>
      <c r="E30" s="252">
        <f t="shared" si="4"/>
        <v>39960</v>
      </c>
      <c r="F30" s="252">
        <f t="shared" si="0"/>
        <v>31968</v>
      </c>
      <c r="G30" s="252">
        <f t="shared" si="4"/>
        <v>46620</v>
      </c>
      <c r="H30" s="252">
        <f t="shared" si="1"/>
        <v>37296</v>
      </c>
    </row>
    <row r="31" spans="1:8" s="36" customFormat="1" ht="20.100000000000001" customHeight="1" x14ac:dyDescent="0.25">
      <c r="A31" s="36" t="s">
        <v>2904</v>
      </c>
      <c r="B31" s="36" t="str">
        <f t="shared" si="2"/>
        <v>PR_COROZAL</v>
      </c>
      <c r="D31" s="249" t="s">
        <v>2429</v>
      </c>
      <c r="E31" s="252">
        <f t="shared" si="4"/>
        <v>39960</v>
      </c>
      <c r="F31" s="252">
        <f t="shared" si="0"/>
        <v>31968</v>
      </c>
      <c r="G31" s="252">
        <f t="shared" si="4"/>
        <v>46620</v>
      </c>
      <c r="H31" s="252">
        <f t="shared" si="1"/>
        <v>37296</v>
      </c>
    </row>
    <row r="32" spans="1:8" s="36" customFormat="1" ht="20.100000000000001" customHeight="1" x14ac:dyDescent="0.25">
      <c r="A32" s="36" t="s">
        <v>2904</v>
      </c>
      <c r="B32" s="36" t="str">
        <f t="shared" si="2"/>
        <v>PR_CULEBRA</v>
      </c>
      <c r="D32" s="249" t="s">
        <v>2430</v>
      </c>
      <c r="E32" s="252">
        <f t="shared" si="4"/>
        <v>28320</v>
      </c>
      <c r="F32" s="252">
        <f t="shared" si="0"/>
        <v>22656</v>
      </c>
      <c r="G32" s="252">
        <f t="shared" si="4"/>
        <v>33040</v>
      </c>
      <c r="H32" s="252">
        <f t="shared" si="1"/>
        <v>26432</v>
      </c>
    </row>
    <row r="33" spans="1:8" s="36" customFormat="1" ht="20.100000000000001" customHeight="1" x14ac:dyDescent="0.25">
      <c r="A33" s="36" t="s">
        <v>2904</v>
      </c>
      <c r="B33" s="36" t="str">
        <f t="shared" si="2"/>
        <v>PR_DORADO</v>
      </c>
      <c r="D33" s="249" t="s">
        <v>2431</v>
      </c>
      <c r="E33" s="252">
        <f t="shared" si="4"/>
        <v>39960</v>
      </c>
      <c r="F33" s="252">
        <f t="shared" si="0"/>
        <v>31968</v>
      </c>
      <c r="G33" s="252">
        <f t="shared" si="4"/>
        <v>46620</v>
      </c>
      <c r="H33" s="252">
        <f t="shared" si="1"/>
        <v>37296</v>
      </c>
    </row>
    <row r="34" spans="1:8" s="36" customFormat="1" ht="20.100000000000001" customHeight="1" x14ac:dyDescent="0.25">
      <c r="A34" s="36" t="s">
        <v>2904</v>
      </c>
      <c r="B34" s="36" t="str">
        <f t="shared" si="2"/>
        <v>PR_FAJARDO</v>
      </c>
      <c r="D34" s="249" t="s">
        <v>2432</v>
      </c>
      <c r="E34" s="252">
        <f t="shared" si="4"/>
        <v>36360</v>
      </c>
      <c r="F34" s="252">
        <f t="shared" si="0"/>
        <v>29088</v>
      </c>
      <c r="G34" s="252">
        <f t="shared" si="4"/>
        <v>42420</v>
      </c>
      <c r="H34" s="252">
        <f t="shared" si="1"/>
        <v>33936</v>
      </c>
    </row>
    <row r="35" spans="1:8" s="36" customFormat="1" ht="20.100000000000001" customHeight="1" x14ac:dyDescent="0.25">
      <c r="A35" s="36" t="s">
        <v>2904</v>
      </c>
      <c r="B35" s="36" t="str">
        <f t="shared" si="2"/>
        <v>PR_FLORIDA</v>
      </c>
      <c r="D35" s="249" t="s">
        <v>2433</v>
      </c>
      <c r="E35" s="252">
        <f t="shared" si="4"/>
        <v>39960</v>
      </c>
      <c r="F35" s="252">
        <f t="shared" si="0"/>
        <v>31968</v>
      </c>
      <c r="G35" s="252">
        <f t="shared" si="4"/>
        <v>46620</v>
      </c>
      <c r="H35" s="252">
        <f t="shared" si="1"/>
        <v>37296</v>
      </c>
    </row>
    <row r="36" spans="1:8" s="36" customFormat="1" ht="20.100000000000001" customHeight="1" x14ac:dyDescent="0.25">
      <c r="A36" s="36" t="s">
        <v>2904</v>
      </c>
      <c r="B36" s="36" t="str">
        <f t="shared" si="2"/>
        <v>PR_GUANICA</v>
      </c>
      <c r="D36" s="249" t="s">
        <v>2434</v>
      </c>
      <c r="E36" s="252">
        <f t="shared" si="4"/>
        <v>28680</v>
      </c>
      <c r="F36" s="252">
        <f t="shared" si="0"/>
        <v>22944</v>
      </c>
      <c r="G36" s="252">
        <f t="shared" si="4"/>
        <v>33460</v>
      </c>
      <c r="H36" s="252">
        <f t="shared" si="1"/>
        <v>26768</v>
      </c>
    </row>
    <row r="37" spans="1:8" s="36" customFormat="1" ht="20.100000000000001" customHeight="1" x14ac:dyDescent="0.25">
      <c r="A37" s="36" t="s">
        <v>2904</v>
      </c>
      <c r="B37" s="36" t="str">
        <f t="shared" si="2"/>
        <v>PR_GUAYAMA</v>
      </c>
      <c r="D37" s="249" t="s">
        <v>2435</v>
      </c>
      <c r="E37" s="252">
        <f t="shared" si="4"/>
        <v>35640</v>
      </c>
      <c r="F37" s="252">
        <f t="shared" si="0"/>
        <v>28512</v>
      </c>
      <c r="G37" s="252">
        <f t="shared" si="4"/>
        <v>41580</v>
      </c>
      <c r="H37" s="252">
        <f t="shared" si="1"/>
        <v>33264</v>
      </c>
    </row>
    <row r="38" spans="1:8" s="36" customFormat="1" ht="20.100000000000001" customHeight="1" x14ac:dyDescent="0.25">
      <c r="A38" s="36" t="s">
        <v>2904</v>
      </c>
      <c r="B38" s="36" t="str">
        <f t="shared" si="2"/>
        <v>PR_GUAYANILLA</v>
      </c>
      <c r="D38" s="249" t="s">
        <v>2436</v>
      </c>
      <c r="E38" s="252">
        <f t="shared" si="4"/>
        <v>28680</v>
      </c>
      <c r="F38" s="252">
        <f t="shared" si="0"/>
        <v>22944</v>
      </c>
      <c r="G38" s="252">
        <f t="shared" si="4"/>
        <v>33460</v>
      </c>
      <c r="H38" s="252">
        <f t="shared" si="1"/>
        <v>26768</v>
      </c>
    </row>
    <row r="39" spans="1:8" s="36" customFormat="1" ht="20.100000000000001" customHeight="1" x14ac:dyDescent="0.25">
      <c r="A39" s="36" t="s">
        <v>2904</v>
      </c>
      <c r="B39" s="36" t="str">
        <f t="shared" si="2"/>
        <v>PR_GUAYNABO</v>
      </c>
      <c r="D39" s="249" t="s">
        <v>2437</v>
      </c>
      <c r="E39" s="252">
        <f t="shared" si="4"/>
        <v>39960</v>
      </c>
      <c r="F39" s="252">
        <f t="shared" si="0"/>
        <v>31968</v>
      </c>
      <c r="G39" s="252">
        <f t="shared" si="4"/>
        <v>46620</v>
      </c>
      <c r="H39" s="252">
        <f t="shared" si="1"/>
        <v>37296</v>
      </c>
    </row>
    <row r="40" spans="1:8" s="36" customFormat="1" ht="20.100000000000001" customHeight="1" x14ac:dyDescent="0.25">
      <c r="A40" s="36" t="s">
        <v>2904</v>
      </c>
      <c r="B40" s="36" t="str">
        <f t="shared" si="2"/>
        <v>PR_GURABO</v>
      </c>
      <c r="D40" s="249" t="s">
        <v>2438</v>
      </c>
      <c r="E40" s="252">
        <f t="shared" si="4"/>
        <v>37200</v>
      </c>
      <c r="F40" s="252">
        <f t="shared" ref="F40:F71" si="5">VLOOKUP(B40,LOOKUP_AMI_TABLE,5,FALSE)</f>
        <v>29760</v>
      </c>
      <c r="G40" s="252">
        <f t="shared" si="4"/>
        <v>43400</v>
      </c>
      <c r="H40" s="252">
        <f t="shared" ref="H40:H71" si="6">VLOOKUP(B40,LOOKUP_AMI_TABLE,7,FALSE)</f>
        <v>34720</v>
      </c>
    </row>
    <row r="41" spans="1:8" s="36" customFormat="1" ht="20.100000000000001" customHeight="1" x14ac:dyDescent="0.25">
      <c r="A41" s="36" t="s">
        <v>2904</v>
      </c>
      <c r="B41" s="36" t="str">
        <f t="shared" si="2"/>
        <v>PR_HATILLO</v>
      </c>
      <c r="D41" s="249" t="s">
        <v>2439</v>
      </c>
      <c r="E41" s="252">
        <f t="shared" ref="E41:E56" si="7">F41/0.8</f>
        <v>33840</v>
      </c>
      <c r="F41" s="252">
        <f t="shared" si="5"/>
        <v>27072</v>
      </c>
      <c r="G41" s="252">
        <f t="shared" ref="G41:G56" si="8">H41/0.8</f>
        <v>39480</v>
      </c>
      <c r="H41" s="252">
        <f t="shared" si="6"/>
        <v>31584</v>
      </c>
    </row>
    <row r="42" spans="1:8" s="36" customFormat="1" ht="20.100000000000001" customHeight="1" x14ac:dyDescent="0.25">
      <c r="A42" s="36" t="s">
        <v>2904</v>
      </c>
      <c r="B42" s="36" t="str">
        <f t="shared" si="2"/>
        <v>PR_HORMIGUEROS</v>
      </c>
      <c r="D42" s="249" t="s">
        <v>2440</v>
      </c>
      <c r="E42" s="252">
        <f t="shared" si="7"/>
        <v>31800</v>
      </c>
      <c r="F42" s="252">
        <f t="shared" si="5"/>
        <v>25440</v>
      </c>
      <c r="G42" s="252">
        <f t="shared" si="8"/>
        <v>37100</v>
      </c>
      <c r="H42" s="252">
        <f t="shared" si="6"/>
        <v>29680</v>
      </c>
    </row>
    <row r="43" spans="1:8" s="36" customFormat="1" ht="20.100000000000001" customHeight="1" x14ac:dyDescent="0.25">
      <c r="A43" s="36" t="s">
        <v>2904</v>
      </c>
      <c r="B43" s="36" t="str">
        <f t="shared" si="2"/>
        <v>PR_HUMACAO</v>
      </c>
      <c r="D43" s="249" t="s">
        <v>2441</v>
      </c>
      <c r="E43" s="252">
        <f t="shared" si="7"/>
        <v>39960</v>
      </c>
      <c r="F43" s="252">
        <f t="shared" si="5"/>
        <v>31968</v>
      </c>
      <c r="G43" s="252">
        <f t="shared" si="8"/>
        <v>46620</v>
      </c>
      <c r="H43" s="252">
        <f t="shared" si="6"/>
        <v>37296</v>
      </c>
    </row>
    <row r="44" spans="1:8" s="36" customFormat="1" ht="20.100000000000001" customHeight="1" x14ac:dyDescent="0.25">
      <c r="A44" s="36" t="s">
        <v>2904</v>
      </c>
      <c r="B44" s="36" t="str">
        <f t="shared" si="2"/>
        <v>PR_ISABELA</v>
      </c>
      <c r="D44" s="249" t="s">
        <v>2442</v>
      </c>
      <c r="E44" s="252">
        <f t="shared" si="7"/>
        <v>30600</v>
      </c>
      <c r="F44" s="252">
        <f t="shared" si="5"/>
        <v>24480</v>
      </c>
      <c r="G44" s="252">
        <f t="shared" si="8"/>
        <v>35700</v>
      </c>
      <c r="H44" s="252">
        <f t="shared" si="6"/>
        <v>28560</v>
      </c>
    </row>
    <row r="45" spans="1:8" s="36" customFormat="1" ht="20.100000000000001" customHeight="1" x14ac:dyDescent="0.25">
      <c r="A45" s="36" t="s">
        <v>2904</v>
      </c>
      <c r="B45" s="36" t="str">
        <f t="shared" si="2"/>
        <v>PR_JAYUYA</v>
      </c>
      <c r="D45" s="249" t="s">
        <v>2443</v>
      </c>
      <c r="E45" s="252">
        <f t="shared" si="7"/>
        <v>28320</v>
      </c>
      <c r="F45" s="252">
        <f t="shared" si="5"/>
        <v>22656</v>
      </c>
      <c r="G45" s="252">
        <f t="shared" si="8"/>
        <v>33040</v>
      </c>
      <c r="H45" s="252">
        <f t="shared" si="6"/>
        <v>26432</v>
      </c>
    </row>
    <row r="46" spans="1:8" s="36" customFormat="1" ht="20.100000000000001" customHeight="1" x14ac:dyDescent="0.25">
      <c r="A46" s="36" t="s">
        <v>2904</v>
      </c>
      <c r="B46" s="36" t="str">
        <f t="shared" si="2"/>
        <v>PR_JUANA DIAZ</v>
      </c>
      <c r="D46" s="249" t="s">
        <v>2444</v>
      </c>
      <c r="E46" s="252">
        <f t="shared" si="7"/>
        <v>34320</v>
      </c>
      <c r="F46" s="252">
        <f t="shared" si="5"/>
        <v>27456</v>
      </c>
      <c r="G46" s="252">
        <f t="shared" si="8"/>
        <v>40040</v>
      </c>
      <c r="H46" s="252">
        <f t="shared" si="6"/>
        <v>32032</v>
      </c>
    </row>
    <row r="47" spans="1:8" s="36" customFormat="1" ht="20.100000000000001" customHeight="1" x14ac:dyDescent="0.25">
      <c r="A47" s="36" t="s">
        <v>2904</v>
      </c>
      <c r="B47" s="36" t="str">
        <f t="shared" si="2"/>
        <v>PR_JUNCOS</v>
      </c>
      <c r="D47" s="249" t="s">
        <v>2445</v>
      </c>
      <c r="E47" s="252">
        <f t="shared" si="7"/>
        <v>39960</v>
      </c>
      <c r="F47" s="252">
        <f t="shared" si="5"/>
        <v>31968</v>
      </c>
      <c r="G47" s="252">
        <f t="shared" si="8"/>
        <v>46620</v>
      </c>
      <c r="H47" s="252">
        <f t="shared" si="6"/>
        <v>37296</v>
      </c>
    </row>
    <row r="48" spans="1:8" s="36" customFormat="1" ht="20.100000000000001" customHeight="1" x14ac:dyDescent="0.25">
      <c r="A48" s="36" t="s">
        <v>2904</v>
      </c>
      <c r="B48" s="36" t="str">
        <f t="shared" si="2"/>
        <v>PR_LAJAS</v>
      </c>
      <c r="D48" s="249" t="s">
        <v>2446</v>
      </c>
      <c r="E48" s="252">
        <f t="shared" si="7"/>
        <v>28320</v>
      </c>
      <c r="F48" s="252">
        <f t="shared" si="5"/>
        <v>22656</v>
      </c>
      <c r="G48" s="252">
        <f t="shared" si="8"/>
        <v>33040</v>
      </c>
      <c r="H48" s="252">
        <f t="shared" si="6"/>
        <v>26432</v>
      </c>
    </row>
    <row r="49" spans="1:8" s="36" customFormat="1" ht="20.100000000000001" customHeight="1" x14ac:dyDescent="0.25">
      <c r="A49" s="36" t="s">
        <v>2904</v>
      </c>
      <c r="B49" s="36" t="str">
        <f t="shared" si="2"/>
        <v>PR_LARES</v>
      </c>
      <c r="D49" s="249" t="s">
        <v>2447</v>
      </c>
      <c r="E49" s="252">
        <f t="shared" si="7"/>
        <v>30600</v>
      </c>
      <c r="F49" s="252">
        <f t="shared" si="5"/>
        <v>24480</v>
      </c>
      <c r="G49" s="252">
        <f t="shared" si="8"/>
        <v>35700</v>
      </c>
      <c r="H49" s="252">
        <f t="shared" si="6"/>
        <v>28560</v>
      </c>
    </row>
    <row r="50" spans="1:8" s="36" customFormat="1" ht="20.100000000000001" customHeight="1" x14ac:dyDescent="0.25">
      <c r="A50" s="36" t="s">
        <v>2904</v>
      </c>
      <c r="B50" s="36" t="str">
        <f t="shared" si="2"/>
        <v>PR_LAS MARIAS</v>
      </c>
      <c r="D50" s="249" t="s">
        <v>2448</v>
      </c>
      <c r="E50" s="252">
        <f t="shared" si="7"/>
        <v>28320</v>
      </c>
      <c r="F50" s="252">
        <f t="shared" si="5"/>
        <v>22656</v>
      </c>
      <c r="G50" s="252">
        <f t="shared" si="8"/>
        <v>33040</v>
      </c>
      <c r="H50" s="252">
        <f t="shared" si="6"/>
        <v>26432</v>
      </c>
    </row>
    <row r="51" spans="1:8" s="36" customFormat="1" ht="20.100000000000001" customHeight="1" x14ac:dyDescent="0.25">
      <c r="A51" s="36" t="s">
        <v>2904</v>
      </c>
      <c r="B51" s="36" t="str">
        <f t="shared" si="2"/>
        <v>PR_LAS PIEDRAS</v>
      </c>
      <c r="D51" s="249" t="s">
        <v>2449</v>
      </c>
      <c r="E51" s="252">
        <f t="shared" si="7"/>
        <v>39960</v>
      </c>
      <c r="F51" s="252">
        <f t="shared" si="5"/>
        <v>31968</v>
      </c>
      <c r="G51" s="252">
        <f t="shared" si="8"/>
        <v>46620</v>
      </c>
      <c r="H51" s="252">
        <f t="shared" si="6"/>
        <v>37296</v>
      </c>
    </row>
    <row r="52" spans="1:8" s="36" customFormat="1" ht="20.100000000000001" customHeight="1" x14ac:dyDescent="0.25">
      <c r="A52" s="36" t="s">
        <v>2904</v>
      </c>
      <c r="B52" s="36" t="str">
        <f t="shared" si="2"/>
        <v>PR_LOIZA</v>
      </c>
      <c r="D52" s="249" t="s">
        <v>2450</v>
      </c>
      <c r="E52" s="252">
        <f t="shared" si="7"/>
        <v>39960</v>
      </c>
      <c r="F52" s="252">
        <f t="shared" si="5"/>
        <v>31968</v>
      </c>
      <c r="G52" s="252">
        <f t="shared" si="8"/>
        <v>46620</v>
      </c>
      <c r="H52" s="252">
        <f t="shared" si="6"/>
        <v>37296</v>
      </c>
    </row>
    <row r="53" spans="1:8" s="36" customFormat="1" ht="20.100000000000001" customHeight="1" x14ac:dyDescent="0.25">
      <c r="A53" s="36" t="s">
        <v>2904</v>
      </c>
      <c r="B53" s="36" t="str">
        <f t="shared" si="2"/>
        <v>PR_LUQUILLO</v>
      </c>
      <c r="D53" s="249" t="s">
        <v>2451</v>
      </c>
      <c r="E53" s="252">
        <f t="shared" si="7"/>
        <v>36360</v>
      </c>
      <c r="F53" s="252">
        <f t="shared" si="5"/>
        <v>29088</v>
      </c>
      <c r="G53" s="252">
        <f t="shared" si="8"/>
        <v>42420</v>
      </c>
      <c r="H53" s="252">
        <f t="shared" si="6"/>
        <v>33936</v>
      </c>
    </row>
    <row r="54" spans="1:8" s="36" customFormat="1" ht="20.100000000000001" customHeight="1" x14ac:dyDescent="0.25">
      <c r="A54" s="36" t="s">
        <v>2904</v>
      </c>
      <c r="B54" s="36" t="str">
        <f t="shared" si="2"/>
        <v>PR_MANATI</v>
      </c>
      <c r="D54" s="249" t="s">
        <v>2104</v>
      </c>
      <c r="E54" s="252">
        <f t="shared" si="7"/>
        <v>39960</v>
      </c>
      <c r="F54" s="252">
        <f t="shared" si="5"/>
        <v>31968</v>
      </c>
      <c r="G54" s="252">
        <f t="shared" si="8"/>
        <v>46620</v>
      </c>
      <c r="H54" s="252">
        <f t="shared" si="6"/>
        <v>37296</v>
      </c>
    </row>
    <row r="55" spans="1:8" s="36" customFormat="1" ht="20.100000000000001" customHeight="1" x14ac:dyDescent="0.25">
      <c r="A55" s="36" t="s">
        <v>2904</v>
      </c>
      <c r="B55" s="36" t="str">
        <f t="shared" si="2"/>
        <v>PR_MARICAO</v>
      </c>
      <c r="D55" s="249" t="s">
        <v>2452</v>
      </c>
      <c r="E55" s="252">
        <f t="shared" si="7"/>
        <v>28320</v>
      </c>
      <c r="F55" s="252">
        <f t="shared" si="5"/>
        <v>22656</v>
      </c>
      <c r="G55" s="252">
        <f t="shared" si="8"/>
        <v>33040</v>
      </c>
      <c r="H55" s="252">
        <f t="shared" si="6"/>
        <v>26432</v>
      </c>
    </row>
    <row r="56" spans="1:8" s="36" customFormat="1" ht="20.100000000000001" customHeight="1" x14ac:dyDescent="0.25">
      <c r="A56" s="36" t="s">
        <v>2904</v>
      </c>
      <c r="B56" s="36" t="str">
        <f t="shared" si="2"/>
        <v>PR_MAUNABO</v>
      </c>
      <c r="D56" s="249" t="s">
        <v>2453</v>
      </c>
      <c r="E56" s="252">
        <f t="shared" si="7"/>
        <v>28560</v>
      </c>
      <c r="F56" s="252">
        <f t="shared" si="5"/>
        <v>22848</v>
      </c>
      <c r="G56" s="252">
        <f t="shared" si="8"/>
        <v>33320</v>
      </c>
      <c r="H56" s="252">
        <f t="shared" si="6"/>
        <v>26656</v>
      </c>
    </row>
    <row r="57" spans="1:8" s="36" customFormat="1" ht="20.100000000000001" customHeight="1" x14ac:dyDescent="0.25">
      <c r="A57" s="36" t="s">
        <v>2904</v>
      </c>
      <c r="B57" s="36" t="str">
        <f t="shared" si="2"/>
        <v>PR_MAYAGUEZ</v>
      </c>
      <c r="D57" s="249" t="s">
        <v>2454</v>
      </c>
      <c r="E57" s="252">
        <f t="shared" ref="E57:E69" si="9">F57/0.8</f>
        <v>31800</v>
      </c>
      <c r="F57" s="252">
        <f t="shared" si="5"/>
        <v>25440</v>
      </c>
      <c r="G57" s="252">
        <f t="shared" ref="G57:G69" si="10">H57/0.8</f>
        <v>37100</v>
      </c>
      <c r="H57" s="252">
        <f t="shared" si="6"/>
        <v>29680</v>
      </c>
    </row>
    <row r="58" spans="1:8" s="36" customFormat="1" ht="20.100000000000001" customHeight="1" x14ac:dyDescent="0.25">
      <c r="A58" s="36" t="s">
        <v>2904</v>
      </c>
      <c r="B58" s="36" t="str">
        <f t="shared" si="2"/>
        <v>PR_MOCA</v>
      </c>
      <c r="D58" s="249" t="s">
        <v>2455</v>
      </c>
      <c r="E58" s="252">
        <f t="shared" si="9"/>
        <v>30600</v>
      </c>
      <c r="F58" s="252">
        <f t="shared" si="5"/>
        <v>24480</v>
      </c>
      <c r="G58" s="252">
        <f t="shared" si="10"/>
        <v>35700</v>
      </c>
      <c r="H58" s="252">
        <f t="shared" si="6"/>
        <v>28560</v>
      </c>
    </row>
    <row r="59" spans="1:8" s="36" customFormat="1" ht="20.100000000000001" customHeight="1" x14ac:dyDescent="0.25">
      <c r="A59" s="36" t="s">
        <v>2904</v>
      </c>
      <c r="B59" s="36" t="str">
        <f t="shared" si="2"/>
        <v>PR_MOROVIS</v>
      </c>
      <c r="D59" s="249" t="s">
        <v>2456</v>
      </c>
      <c r="E59" s="252">
        <f t="shared" si="9"/>
        <v>39960</v>
      </c>
      <c r="F59" s="252">
        <f t="shared" si="5"/>
        <v>31968</v>
      </c>
      <c r="G59" s="252">
        <f t="shared" si="10"/>
        <v>46620</v>
      </c>
      <c r="H59" s="252">
        <f t="shared" si="6"/>
        <v>37296</v>
      </c>
    </row>
    <row r="60" spans="1:8" s="36" customFormat="1" ht="20.100000000000001" customHeight="1" x14ac:dyDescent="0.25">
      <c r="A60" s="36" t="s">
        <v>2904</v>
      </c>
      <c r="B60" s="36" t="str">
        <f t="shared" si="2"/>
        <v>PR_NAGUABO</v>
      </c>
      <c r="D60" s="249" t="s">
        <v>2457</v>
      </c>
      <c r="E60" s="252">
        <f t="shared" si="9"/>
        <v>39960</v>
      </c>
      <c r="F60" s="252">
        <f t="shared" si="5"/>
        <v>31968</v>
      </c>
      <c r="G60" s="252">
        <f t="shared" si="10"/>
        <v>46620</v>
      </c>
      <c r="H60" s="252">
        <f t="shared" si="6"/>
        <v>37296</v>
      </c>
    </row>
    <row r="61" spans="1:8" s="36" customFormat="1" ht="20.100000000000001" customHeight="1" x14ac:dyDescent="0.25">
      <c r="A61" s="36" t="s">
        <v>2904</v>
      </c>
      <c r="B61" s="36" t="str">
        <f t="shared" si="2"/>
        <v>PR_NARANJITO</v>
      </c>
      <c r="D61" s="249" t="s">
        <v>2458</v>
      </c>
      <c r="E61" s="252">
        <f t="shared" si="9"/>
        <v>39960</v>
      </c>
      <c r="F61" s="252">
        <f t="shared" si="5"/>
        <v>31968</v>
      </c>
      <c r="G61" s="252">
        <f t="shared" si="10"/>
        <v>46620</v>
      </c>
      <c r="H61" s="252">
        <f t="shared" si="6"/>
        <v>37296</v>
      </c>
    </row>
    <row r="62" spans="1:8" s="36" customFormat="1" ht="20.100000000000001" customHeight="1" x14ac:dyDescent="0.25">
      <c r="A62" s="36" t="s">
        <v>2904</v>
      </c>
      <c r="B62" s="36" t="str">
        <f t="shared" si="2"/>
        <v>PR_OROCOVIS</v>
      </c>
      <c r="D62" s="249" t="s">
        <v>2459</v>
      </c>
      <c r="E62" s="252">
        <f t="shared" si="9"/>
        <v>28560</v>
      </c>
      <c r="F62" s="252">
        <f t="shared" si="5"/>
        <v>22848</v>
      </c>
      <c r="G62" s="252">
        <f t="shared" si="10"/>
        <v>33320</v>
      </c>
      <c r="H62" s="252">
        <f t="shared" si="6"/>
        <v>26656</v>
      </c>
    </row>
    <row r="63" spans="1:8" s="36" customFormat="1" ht="20.100000000000001" customHeight="1" x14ac:dyDescent="0.25">
      <c r="A63" s="36" t="s">
        <v>2904</v>
      </c>
      <c r="B63" s="36" t="str">
        <f t="shared" si="2"/>
        <v>PR_PATILLAS</v>
      </c>
      <c r="D63" s="249" t="s">
        <v>2460</v>
      </c>
      <c r="E63" s="252">
        <f t="shared" si="9"/>
        <v>35640</v>
      </c>
      <c r="F63" s="252">
        <f t="shared" si="5"/>
        <v>28512</v>
      </c>
      <c r="G63" s="252">
        <f t="shared" si="10"/>
        <v>41580</v>
      </c>
      <c r="H63" s="252">
        <f t="shared" si="6"/>
        <v>33264</v>
      </c>
    </row>
    <row r="64" spans="1:8" s="36" customFormat="1" ht="20.100000000000001" customHeight="1" x14ac:dyDescent="0.25">
      <c r="A64" s="36" t="s">
        <v>2904</v>
      </c>
      <c r="B64" s="36" t="str">
        <f t="shared" si="2"/>
        <v>PR_PENUELAS</v>
      </c>
      <c r="D64" s="249" t="s">
        <v>2461</v>
      </c>
      <c r="E64" s="252">
        <f t="shared" si="9"/>
        <v>28680</v>
      </c>
      <c r="F64" s="252">
        <f t="shared" si="5"/>
        <v>22944</v>
      </c>
      <c r="G64" s="252">
        <f t="shared" si="10"/>
        <v>33460</v>
      </c>
      <c r="H64" s="252">
        <f t="shared" si="6"/>
        <v>26768</v>
      </c>
    </row>
    <row r="65" spans="1:8" s="36" customFormat="1" ht="20.100000000000001" customHeight="1" x14ac:dyDescent="0.25">
      <c r="A65" s="36" t="s">
        <v>2904</v>
      </c>
      <c r="B65" s="36" t="str">
        <f t="shared" si="2"/>
        <v>PR_PONCE</v>
      </c>
      <c r="D65" s="249" t="s">
        <v>2462</v>
      </c>
      <c r="E65" s="252">
        <f t="shared" si="9"/>
        <v>34320</v>
      </c>
      <c r="F65" s="252">
        <f t="shared" si="5"/>
        <v>27456</v>
      </c>
      <c r="G65" s="252">
        <f t="shared" si="10"/>
        <v>40040</v>
      </c>
      <c r="H65" s="252">
        <f t="shared" si="6"/>
        <v>32032</v>
      </c>
    </row>
    <row r="66" spans="1:8" s="36" customFormat="1" ht="20.100000000000001" customHeight="1" x14ac:dyDescent="0.25">
      <c r="A66" s="36" t="s">
        <v>2904</v>
      </c>
      <c r="B66" s="36" t="str">
        <f t="shared" si="2"/>
        <v>PR_QUEBRADILLAS</v>
      </c>
      <c r="D66" s="249" t="s">
        <v>2463</v>
      </c>
      <c r="E66" s="252">
        <f t="shared" si="9"/>
        <v>28560</v>
      </c>
      <c r="F66" s="252">
        <f t="shared" si="5"/>
        <v>22848</v>
      </c>
      <c r="G66" s="252">
        <f t="shared" si="10"/>
        <v>33320</v>
      </c>
      <c r="H66" s="252">
        <f t="shared" si="6"/>
        <v>26656</v>
      </c>
    </row>
    <row r="67" spans="1:8" s="36" customFormat="1" ht="20.100000000000001" customHeight="1" x14ac:dyDescent="0.25">
      <c r="A67" s="36" t="s">
        <v>2904</v>
      </c>
      <c r="B67" s="36" t="str">
        <f t="shared" si="2"/>
        <v>PR_RINCON</v>
      </c>
      <c r="D67" s="249" t="s">
        <v>2464</v>
      </c>
      <c r="E67" s="252">
        <f t="shared" si="9"/>
        <v>30600</v>
      </c>
      <c r="F67" s="252">
        <f t="shared" si="5"/>
        <v>24480</v>
      </c>
      <c r="G67" s="252">
        <f t="shared" si="10"/>
        <v>35700</v>
      </c>
      <c r="H67" s="252">
        <f t="shared" si="6"/>
        <v>28560</v>
      </c>
    </row>
    <row r="68" spans="1:8" s="36" customFormat="1" ht="20.100000000000001" customHeight="1" x14ac:dyDescent="0.25">
      <c r="A68" s="36" t="s">
        <v>2904</v>
      </c>
      <c r="B68" s="36" t="str">
        <f t="shared" si="2"/>
        <v>PR_RIO GRANDE</v>
      </c>
      <c r="D68" s="249" t="s">
        <v>2465</v>
      </c>
      <c r="E68" s="252">
        <f t="shared" si="9"/>
        <v>39960</v>
      </c>
      <c r="F68" s="252">
        <f t="shared" si="5"/>
        <v>31968</v>
      </c>
      <c r="G68" s="252">
        <f t="shared" si="10"/>
        <v>46620</v>
      </c>
      <c r="H68" s="252">
        <f t="shared" si="6"/>
        <v>37296</v>
      </c>
    </row>
    <row r="69" spans="1:8" s="36" customFormat="1" ht="20.100000000000001" customHeight="1" x14ac:dyDescent="0.25">
      <c r="A69" s="36" t="s">
        <v>2904</v>
      </c>
      <c r="B69" s="36" t="str">
        <f t="shared" si="2"/>
        <v>PR_SABANA GRANDE</v>
      </c>
      <c r="D69" s="249" t="s">
        <v>2466</v>
      </c>
      <c r="E69" s="252">
        <f t="shared" si="9"/>
        <v>28320</v>
      </c>
      <c r="F69" s="252">
        <f t="shared" si="5"/>
        <v>22656</v>
      </c>
      <c r="G69" s="252">
        <f t="shared" si="10"/>
        <v>33040</v>
      </c>
      <c r="H69" s="252">
        <f t="shared" si="6"/>
        <v>26432</v>
      </c>
    </row>
    <row r="70" spans="1:8" s="36" customFormat="1" ht="20.100000000000001" customHeight="1" x14ac:dyDescent="0.25">
      <c r="A70" s="36" t="s">
        <v>2904</v>
      </c>
      <c r="B70" s="36" t="str">
        <f t="shared" si="2"/>
        <v>PR_SALINAS</v>
      </c>
      <c r="D70" s="249" t="s">
        <v>2467</v>
      </c>
      <c r="E70" s="252">
        <f t="shared" ref="E70" si="11">F70/0.8</f>
        <v>28320</v>
      </c>
      <c r="F70" s="252">
        <f t="shared" si="5"/>
        <v>22656</v>
      </c>
      <c r="G70" s="252">
        <f t="shared" ref="G70" si="12">H70/0.8</f>
        <v>33040</v>
      </c>
      <c r="H70" s="252">
        <f t="shared" si="6"/>
        <v>26432</v>
      </c>
    </row>
    <row r="71" spans="1:8" s="36" customFormat="1" ht="20.100000000000001" customHeight="1" x14ac:dyDescent="0.25">
      <c r="A71" s="36" t="s">
        <v>2904</v>
      </c>
      <c r="B71" s="36" t="str">
        <f t="shared" si="2"/>
        <v>PR_SAN GERMAN</v>
      </c>
      <c r="D71" s="249" t="s">
        <v>2468</v>
      </c>
      <c r="E71" s="252">
        <f t="shared" ref="E71" si="13">F71/0.8</f>
        <v>28320</v>
      </c>
      <c r="F71" s="252">
        <f t="shared" si="5"/>
        <v>22656</v>
      </c>
      <c r="G71" s="252">
        <f t="shared" ref="G71" si="14">H71/0.8</f>
        <v>33040</v>
      </c>
      <c r="H71" s="252">
        <f t="shared" si="6"/>
        <v>26432</v>
      </c>
    </row>
    <row r="72" spans="1:8" s="36" customFormat="1" ht="20.100000000000001" customHeight="1" x14ac:dyDescent="0.25">
      <c r="A72" s="36" t="s">
        <v>2904</v>
      </c>
      <c r="B72" s="36" t="str">
        <f t="shared" si="2"/>
        <v>PR_SAN JUAN</v>
      </c>
      <c r="D72" s="249" t="s">
        <v>2469</v>
      </c>
      <c r="E72" s="252">
        <f t="shared" ref="E72" si="15">F72/0.8</f>
        <v>39960</v>
      </c>
      <c r="F72" s="252">
        <f t="shared" ref="F72:F85" si="16">VLOOKUP(B72,LOOKUP_AMI_TABLE,5,FALSE)</f>
        <v>31968</v>
      </c>
      <c r="G72" s="252">
        <f t="shared" ref="G72" si="17">H72/0.8</f>
        <v>46620</v>
      </c>
      <c r="H72" s="252">
        <f t="shared" ref="H72:H85" si="18">VLOOKUP(B72,LOOKUP_AMI_TABLE,7,FALSE)</f>
        <v>37296</v>
      </c>
    </row>
    <row r="73" spans="1:8" s="36" customFormat="1" ht="20.100000000000001" customHeight="1" x14ac:dyDescent="0.25">
      <c r="A73" s="36" t="s">
        <v>2904</v>
      </c>
      <c r="B73" s="36" t="str">
        <f t="shared" ref="B73:B85" si="19">"PR_"&amp;UPPER(TRIM(D73))</f>
        <v>PR_SAN LORENZO</v>
      </c>
      <c r="D73" s="249" t="s">
        <v>2470</v>
      </c>
      <c r="E73" s="252">
        <f t="shared" ref="E73" si="20">F73/0.8</f>
        <v>37200</v>
      </c>
      <c r="F73" s="252">
        <f t="shared" si="16"/>
        <v>29760</v>
      </c>
      <c r="G73" s="252">
        <f t="shared" ref="G73" si="21">H73/0.8</f>
        <v>43400</v>
      </c>
      <c r="H73" s="252">
        <f t="shared" si="18"/>
        <v>34720</v>
      </c>
    </row>
    <row r="74" spans="1:8" s="36" customFormat="1" ht="20.100000000000001" customHeight="1" x14ac:dyDescent="0.25">
      <c r="A74" s="36" t="s">
        <v>2904</v>
      </c>
      <c r="B74" s="36" t="str">
        <f t="shared" si="19"/>
        <v>PR_SAN SEBASTIAN</v>
      </c>
      <c r="D74" s="249" t="s">
        <v>2471</v>
      </c>
      <c r="E74" s="252">
        <f t="shared" ref="E74" si="22">F74/0.8</f>
        <v>30600</v>
      </c>
      <c r="F74" s="252">
        <f t="shared" si="16"/>
        <v>24480</v>
      </c>
      <c r="G74" s="252">
        <f t="shared" ref="G74" si="23">H74/0.8</f>
        <v>35700</v>
      </c>
      <c r="H74" s="252">
        <f t="shared" si="18"/>
        <v>28560</v>
      </c>
    </row>
    <row r="75" spans="1:8" s="36" customFormat="1" ht="20.100000000000001" customHeight="1" x14ac:dyDescent="0.25">
      <c r="A75" s="36" t="s">
        <v>2904</v>
      </c>
      <c r="B75" s="36" t="str">
        <f t="shared" si="19"/>
        <v>PR_SANTA ISABEL</v>
      </c>
      <c r="D75" s="249" t="s">
        <v>2472</v>
      </c>
      <c r="E75" s="252">
        <f t="shared" ref="E75" si="24">F75/0.8</f>
        <v>28320</v>
      </c>
      <c r="F75" s="252">
        <f t="shared" si="16"/>
        <v>22656</v>
      </c>
      <c r="G75" s="252">
        <f t="shared" ref="G75" si="25">H75/0.8</f>
        <v>33040</v>
      </c>
      <c r="H75" s="252">
        <f t="shared" si="18"/>
        <v>26432</v>
      </c>
    </row>
    <row r="76" spans="1:8" s="36" customFormat="1" ht="20.100000000000001" customHeight="1" x14ac:dyDescent="0.25">
      <c r="A76" s="36" t="s">
        <v>2904</v>
      </c>
      <c r="B76" s="36" t="str">
        <f t="shared" si="19"/>
        <v>PR_TOA ALTA</v>
      </c>
      <c r="D76" s="249" t="s">
        <v>2473</v>
      </c>
      <c r="E76" s="252">
        <f t="shared" ref="E76" si="26">F76/0.8</f>
        <v>39960</v>
      </c>
      <c r="F76" s="252">
        <f t="shared" si="16"/>
        <v>31968</v>
      </c>
      <c r="G76" s="252">
        <f t="shared" ref="G76" si="27">H76/0.8</f>
        <v>46620</v>
      </c>
      <c r="H76" s="252">
        <f t="shared" si="18"/>
        <v>37296</v>
      </c>
    </row>
    <row r="77" spans="1:8" s="36" customFormat="1" ht="20.100000000000001" customHeight="1" x14ac:dyDescent="0.25">
      <c r="A77" s="36" t="s">
        <v>2904</v>
      </c>
      <c r="B77" s="36" t="str">
        <f t="shared" si="19"/>
        <v>PR_TOA BAJA</v>
      </c>
      <c r="D77" s="249" t="s">
        <v>2474</v>
      </c>
      <c r="E77" s="252">
        <f t="shared" ref="E77" si="28">F77/0.8</f>
        <v>39960</v>
      </c>
      <c r="F77" s="252">
        <f t="shared" si="16"/>
        <v>31968</v>
      </c>
      <c r="G77" s="252">
        <f t="shared" ref="G77" si="29">H77/0.8</f>
        <v>46620</v>
      </c>
      <c r="H77" s="252">
        <f t="shared" si="18"/>
        <v>37296</v>
      </c>
    </row>
    <row r="78" spans="1:8" s="36" customFormat="1" ht="20.100000000000001" customHeight="1" x14ac:dyDescent="0.25">
      <c r="A78" s="36" t="s">
        <v>2904</v>
      </c>
      <c r="B78" s="36" t="str">
        <f t="shared" si="19"/>
        <v>PR_TRUJILLO ALTO</v>
      </c>
      <c r="D78" s="249" t="s">
        <v>2475</v>
      </c>
      <c r="E78" s="252">
        <f t="shared" ref="E78" si="30">F78/0.8</f>
        <v>39960</v>
      </c>
      <c r="F78" s="252">
        <f t="shared" si="16"/>
        <v>31968</v>
      </c>
      <c r="G78" s="252">
        <f t="shared" ref="G78" si="31">H78/0.8</f>
        <v>46620</v>
      </c>
      <c r="H78" s="252">
        <f t="shared" si="18"/>
        <v>37296</v>
      </c>
    </row>
    <row r="79" spans="1:8" s="36" customFormat="1" ht="20.100000000000001" customHeight="1" x14ac:dyDescent="0.25">
      <c r="A79" s="36" t="s">
        <v>2904</v>
      </c>
      <c r="B79" s="36" t="str">
        <f t="shared" si="19"/>
        <v>PR_UTUADO</v>
      </c>
      <c r="D79" s="249" t="s">
        <v>2476</v>
      </c>
      <c r="E79" s="252">
        <f t="shared" ref="E79" si="32">F79/0.8</f>
        <v>29520</v>
      </c>
      <c r="F79" s="252">
        <f t="shared" si="16"/>
        <v>23616</v>
      </c>
      <c r="G79" s="252">
        <f t="shared" ref="G79" si="33">H79/0.8</f>
        <v>34440</v>
      </c>
      <c r="H79" s="252">
        <f t="shared" si="18"/>
        <v>27552</v>
      </c>
    </row>
    <row r="80" spans="1:8" s="36" customFormat="1" ht="20.100000000000001" customHeight="1" x14ac:dyDescent="0.25">
      <c r="A80" s="36" t="s">
        <v>2904</v>
      </c>
      <c r="B80" s="36" t="str">
        <f t="shared" si="19"/>
        <v>PR_VEGA ALTA</v>
      </c>
      <c r="D80" s="249" t="s">
        <v>2477</v>
      </c>
      <c r="E80" s="252">
        <f t="shared" ref="E80" si="34">F80/0.8</f>
        <v>39960</v>
      </c>
      <c r="F80" s="252">
        <f t="shared" si="16"/>
        <v>31968</v>
      </c>
      <c r="G80" s="252">
        <f t="shared" ref="G80" si="35">H80/0.8</f>
        <v>46620</v>
      </c>
      <c r="H80" s="252">
        <f t="shared" si="18"/>
        <v>37296</v>
      </c>
    </row>
    <row r="81" spans="1:8" s="36" customFormat="1" ht="20.100000000000001" customHeight="1" x14ac:dyDescent="0.25">
      <c r="A81" s="36" t="s">
        <v>2904</v>
      </c>
      <c r="B81" s="36" t="str">
        <f t="shared" si="19"/>
        <v>PR_VEGA BAJA</v>
      </c>
      <c r="D81" s="249" t="s">
        <v>2478</v>
      </c>
      <c r="E81" s="252">
        <f t="shared" ref="E81" si="36">F81/0.8</f>
        <v>39960</v>
      </c>
      <c r="F81" s="252">
        <f t="shared" si="16"/>
        <v>31968</v>
      </c>
      <c r="G81" s="252">
        <f t="shared" ref="G81" si="37">H81/0.8</f>
        <v>46620</v>
      </c>
      <c r="H81" s="252">
        <f t="shared" si="18"/>
        <v>37296</v>
      </c>
    </row>
    <row r="82" spans="1:8" s="36" customFormat="1" ht="20.100000000000001" customHeight="1" x14ac:dyDescent="0.25">
      <c r="A82" s="36" t="s">
        <v>2904</v>
      </c>
      <c r="B82" s="36" t="str">
        <f t="shared" si="19"/>
        <v>PR_VIEQUES</v>
      </c>
      <c r="D82" s="249" t="s">
        <v>2479</v>
      </c>
      <c r="E82" s="252">
        <f t="shared" ref="E82" si="38">F82/0.8</f>
        <v>28320</v>
      </c>
      <c r="F82" s="252">
        <f t="shared" si="16"/>
        <v>22656</v>
      </c>
      <c r="G82" s="252">
        <f t="shared" ref="G82" si="39">H82/0.8</f>
        <v>33040</v>
      </c>
      <c r="H82" s="252">
        <f t="shared" si="18"/>
        <v>26432</v>
      </c>
    </row>
    <row r="83" spans="1:8" s="36" customFormat="1" ht="20.100000000000001" customHeight="1" x14ac:dyDescent="0.25">
      <c r="A83" s="36" t="s">
        <v>2904</v>
      </c>
      <c r="B83" s="36" t="str">
        <f t="shared" si="19"/>
        <v>PR_VILLALBA</v>
      </c>
      <c r="D83" s="249" t="s">
        <v>2480</v>
      </c>
      <c r="E83" s="252">
        <f t="shared" ref="E83" si="40">F83/0.8</f>
        <v>34320</v>
      </c>
      <c r="F83" s="252">
        <f t="shared" si="16"/>
        <v>27456</v>
      </c>
      <c r="G83" s="252">
        <f t="shared" ref="G83" si="41">H83/0.8</f>
        <v>40040</v>
      </c>
      <c r="H83" s="252">
        <f t="shared" si="18"/>
        <v>32032</v>
      </c>
    </row>
    <row r="84" spans="1:8" s="36" customFormat="1" ht="20.100000000000001" customHeight="1" x14ac:dyDescent="0.25">
      <c r="A84" s="36" t="s">
        <v>2904</v>
      </c>
      <c r="B84" s="36" t="str">
        <f t="shared" si="19"/>
        <v>PR_YABUCOA</v>
      </c>
      <c r="D84" s="249" t="s">
        <v>2481</v>
      </c>
      <c r="E84" s="252">
        <f t="shared" ref="E84" si="42">F84/0.8</f>
        <v>39960</v>
      </c>
      <c r="F84" s="252">
        <f t="shared" si="16"/>
        <v>31968</v>
      </c>
      <c r="G84" s="252">
        <f t="shared" ref="G84" si="43">H84/0.8</f>
        <v>46620</v>
      </c>
      <c r="H84" s="252">
        <f t="shared" si="18"/>
        <v>37296</v>
      </c>
    </row>
    <row r="85" spans="1:8" s="36" customFormat="1" ht="20.100000000000001" customHeight="1" x14ac:dyDescent="0.25">
      <c r="A85" s="36" t="s">
        <v>2904</v>
      </c>
      <c r="B85" s="36" t="str">
        <f t="shared" si="19"/>
        <v>PR_YAUCO</v>
      </c>
      <c r="D85" s="249" t="s">
        <v>2482</v>
      </c>
      <c r="E85" s="252">
        <f t="shared" ref="E85" si="44">F85/0.8</f>
        <v>28680</v>
      </c>
      <c r="F85" s="252">
        <f t="shared" si="16"/>
        <v>22944</v>
      </c>
      <c r="G85" s="252">
        <f t="shared" ref="G85" si="45">H85/0.8</f>
        <v>33460</v>
      </c>
      <c r="H85" s="252">
        <f t="shared" si="18"/>
        <v>26768</v>
      </c>
    </row>
    <row r="86" spans="1:8" ht="15" customHeight="1" x14ac:dyDescent="0.25"/>
  </sheetData>
  <sheetProtection algorithmName="SHA-512" hashValue="C2hfJlqWcQBTCErv59j2hSnm0ueJBU6azH6SJLD22kHIgwq2pXFf/t9/0ks2LqWY+MjrFwQOzWv7xsZkVIsrFw==" saltValue="09QDRQG7aOiGyy8m4voVQg==" spinCount="100000" sheet="1" objects="1" scenarios="1"/>
  <mergeCells count="3">
    <mergeCell ref="F2:H2"/>
    <mergeCell ref="E6:F6"/>
    <mergeCell ref="G6:H6"/>
  </mergeCells>
  <pageMargins left="0.7" right="0.7" top="0.75" bottom="0.75" header="0.3" footer="0.3"/>
  <pageSetup scale="78" fitToWidth="0" fitToHeight="2" orientation="portrait" horizontalDpi="0" verticalDpi="0" r:id="rId1"/>
  <headerFooter>
    <oddFooter>Page &amp;P of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5D83D-3FAF-4D0A-9A4C-E5F8505818D7}">
  <sheetPr>
    <pageSetUpPr fitToPage="1"/>
  </sheetPr>
  <dimension ref="A1:M11"/>
  <sheetViews>
    <sheetView showGridLines="0" showRowColHeaders="0" topLeftCell="C1" workbookViewId="0">
      <selection activeCell="C8" sqref="C8"/>
    </sheetView>
  </sheetViews>
  <sheetFormatPr defaultColWidth="0" defaultRowHeight="15" customHeight="1" zeroHeight="1" x14ac:dyDescent="0.25"/>
  <cols>
    <col min="1" max="1" width="22.28515625" hidden="1" customWidth="1"/>
    <col min="2" max="2" width="31.42578125" hidden="1" customWidth="1"/>
    <col min="3" max="3" width="1.42578125" customWidth="1"/>
    <col min="4" max="4" width="31.28515625" customWidth="1"/>
    <col min="5" max="12" width="12.7109375" customWidth="1"/>
    <col min="13" max="13" width="1.42578125" customWidth="1"/>
    <col min="14" max="16384" width="9.140625" hidden="1"/>
  </cols>
  <sheetData>
    <row r="1" spans="1:13" ht="11.1" customHeight="1" x14ac:dyDescent="0.25"/>
    <row r="2" spans="1:13" ht="24.95" customHeight="1" x14ac:dyDescent="0.25">
      <c r="A2" s="43" t="s">
        <v>179</v>
      </c>
      <c r="B2" s="43" t="s">
        <v>178</v>
      </c>
      <c r="I2" s="433" t="str">
        <f>HYPERLINK("#"&amp;$B$4,$B$5)</f>
        <v xml:space="preserve">Return to </v>
      </c>
      <c r="J2" s="433"/>
      <c r="K2" s="433"/>
      <c r="L2" s="433"/>
    </row>
    <row r="3" spans="1:13" ht="11.1" customHeight="1" x14ac:dyDescent="0.25"/>
    <row r="4" spans="1:13" ht="21.75" customHeight="1" x14ac:dyDescent="0.25">
      <c r="A4" t="s">
        <v>2852</v>
      </c>
      <c r="B4" t="str">
        <f>"TARGET_" &amp;CONFIG_EFORM_TYPE_CODE&amp;"_"&amp;CONFIG_FHC_PROG_ID&amp;"_ICW_BOOKMARK"</f>
        <v>TARGET___ICW_BOOKMARK</v>
      </c>
      <c r="C4" s="210"/>
      <c r="D4" s="212" t="str">
        <f>"HUD Income Limit Guidelines: US Virgin Islands ("&amp;Configuration!M56&amp;")"</f>
        <v>HUD Income Limit Guidelines: US Virgin Islands (2025)</v>
      </c>
      <c r="E4" s="212"/>
      <c r="F4" s="210"/>
      <c r="G4" s="210"/>
      <c r="H4" s="250"/>
      <c r="I4" s="250"/>
      <c r="J4" s="250"/>
      <c r="K4" s="250"/>
      <c r="L4" s="250"/>
      <c r="M4" s="210"/>
    </row>
    <row r="5" spans="1:13" ht="9" customHeight="1" x14ac:dyDescent="0.25">
      <c r="A5" s="36" t="s">
        <v>2853</v>
      </c>
      <c r="B5" s="36" t="str">
        <f>"Return to "&amp;CONFIG_EFORM_TYPE_NAME</f>
        <v xml:space="preserve">Return to </v>
      </c>
      <c r="C5" s="207"/>
      <c r="D5" s="251"/>
      <c r="E5" s="209"/>
      <c r="F5" s="208"/>
      <c r="G5" s="208"/>
      <c r="H5" s="208"/>
      <c r="I5" s="208"/>
      <c r="J5" s="208"/>
      <c r="K5" s="208"/>
      <c r="L5" s="208"/>
      <c r="M5" s="208"/>
    </row>
    <row r="6" spans="1:13" ht="21" customHeight="1" x14ac:dyDescent="0.25">
      <c r="A6" s="36"/>
      <c r="B6" s="36"/>
      <c r="C6" s="207"/>
      <c r="D6" s="224"/>
      <c r="E6" s="461" t="s">
        <v>2795</v>
      </c>
      <c r="F6" s="461"/>
      <c r="G6" s="461"/>
      <c r="H6" s="461"/>
      <c r="I6" s="461"/>
      <c r="J6" s="461"/>
      <c r="K6" s="461"/>
      <c r="L6" s="461"/>
      <c r="M6" s="208"/>
    </row>
    <row r="7" spans="1:13" ht="20.100000000000001" customHeight="1" x14ac:dyDescent="0.25">
      <c r="D7" s="248" t="s">
        <v>1979</v>
      </c>
      <c r="E7" s="168">
        <v>1</v>
      </c>
      <c r="F7" s="168">
        <v>2</v>
      </c>
      <c r="G7" s="168">
        <v>3</v>
      </c>
      <c r="H7" s="168">
        <v>4</v>
      </c>
      <c r="I7" s="168">
        <v>5</v>
      </c>
      <c r="J7" s="168">
        <v>6</v>
      </c>
      <c r="K7" s="168">
        <v>7</v>
      </c>
      <c r="L7" s="168">
        <v>8</v>
      </c>
      <c r="M7" s="208"/>
    </row>
    <row r="8" spans="1:13" s="36" customFormat="1" ht="20.100000000000001" customHeight="1" x14ac:dyDescent="0.25">
      <c r="A8" s="36" t="s">
        <v>2904</v>
      </c>
      <c r="B8" s="36" t="str">
        <f>"VI_"&amp;UPPER(TRIM(D8))</f>
        <v>VI_ST. CROIX ISLAND, VI</v>
      </c>
      <c r="D8" s="249" t="s">
        <v>2956</v>
      </c>
      <c r="E8" s="252">
        <f t="shared" ref="E8:L10" si="0">VLOOKUP($B8,LOOKUP_AMI_TABLE,5+((E$7-1)),FALSE)</f>
        <v>45300</v>
      </c>
      <c r="F8" s="252">
        <f t="shared" si="0"/>
        <v>51750</v>
      </c>
      <c r="G8" s="252">
        <f t="shared" si="0"/>
        <v>58200</v>
      </c>
      <c r="H8" s="252">
        <f t="shared" si="0"/>
        <v>64650</v>
      </c>
      <c r="I8" s="252">
        <f t="shared" si="0"/>
        <v>69850</v>
      </c>
      <c r="J8" s="252">
        <f t="shared" si="0"/>
        <v>75000</v>
      </c>
      <c r="K8" s="252">
        <f t="shared" si="0"/>
        <v>80200</v>
      </c>
      <c r="L8" s="252">
        <f t="shared" si="0"/>
        <v>85350</v>
      </c>
    </row>
    <row r="9" spans="1:13" s="36" customFormat="1" ht="20.100000000000001" customHeight="1" x14ac:dyDescent="0.25">
      <c r="A9" s="36" t="s">
        <v>2904</v>
      </c>
      <c r="B9" s="36" t="str">
        <f t="shared" ref="B9:B10" si="1">"VI_"&amp;UPPER(TRIM(D9))</f>
        <v>VI_ST. JOHN ISLAND, VI</v>
      </c>
      <c r="D9" s="249" t="s">
        <v>2957</v>
      </c>
      <c r="E9" s="252">
        <f t="shared" si="0"/>
        <v>70500</v>
      </c>
      <c r="F9" s="252">
        <f t="shared" si="0"/>
        <v>80600</v>
      </c>
      <c r="G9" s="252">
        <f t="shared" si="0"/>
        <v>90650</v>
      </c>
      <c r="H9" s="252">
        <f t="shared" si="0"/>
        <v>100700</v>
      </c>
      <c r="I9" s="252">
        <f t="shared" si="0"/>
        <v>108800</v>
      </c>
      <c r="J9" s="252">
        <f t="shared" si="0"/>
        <v>116850</v>
      </c>
      <c r="K9" s="252">
        <f t="shared" si="0"/>
        <v>124900</v>
      </c>
      <c r="L9" s="252">
        <f t="shared" si="0"/>
        <v>132950</v>
      </c>
    </row>
    <row r="10" spans="1:13" s="36" customFormat="1" ht="20.100000000000001" customHeight="1" x14ac:dyDescent="0.25">
      <c r="A10" s="36" t="s">
        <v>2904</v>
      </c>
      <c r="B10" s="36" t="str">
        <f t="shared" si="1"/>
        <v>VI_ST. THOMAS ISLAND, VI</v>
      </c>
      <c r="D10" s="249" t="s">
        <v>2958</v>
      </c>
      <c r="E10" s="252">
        <f t="shared" si="0"/>
        <v>52000</v>
      </c>
      <c r="F10" s="252">
        <f t="shared" si="0"/>
        <v>59400</v>
      </c>
      <c r="G10" s="252">
        <f t="shared" si="0"/>
        <v>66850</v>
      </c>
      <c r="H10" s="252">
        <f t="shared" si="0"/>
        <v>74250</v>
      </c>
      <c r="I10" s="252">
        <f t="shared" si="0"/>
        <v>80200</v>
      </c>
      <c r="J10" s="252">
        <f t="shared" si="0"/>
        <v>86150</v>
      </c>
      <c r="K10" s="252">
        <f t="shared" si="0"/>
        <v>92100</v>
      </c>
      <c r="L10" s="252">
        <f t="shared" si="0"/>
        <v>98050</v>
      </c>
    </row>
    <row r="11" spans="1:13" ht="15" customHeight="1" x14ac:dyDescent="0.25"/>
  </sheetData>
  <sheetProtection algorithmName="SHA-512" hashValue="o6wINmiVYHOqi2SX7CwNboUVpXCsQyiFLoovtJ5uP7Z2iBKPpuE5XluY4A5n8rVi1eRNU4wBezMwoaxa0iC03g==" saltValue="2KJJFo4UXaMGO4T4ZP+30g==" spinCount="100000" sheet="1" objects="1" scenarios="1"/>
  <mergeCells count="2">
    <mergeCell ref="E6:L6"/>
    <mergeCell ref="I2:L2"/>
  </mergeCells>
  <pageMargins left="0.7" right="0.7" top="0.75" bottom="0.75" header="0.3" footer="0.3"/>
  <pageSetup scale="66" fitToHeight="0" orientation="portrait" horizontalDpi="0" verticalDpi="0" r:id="rId1"/>
  <headerFooter>
    <oddFooter>Page &amp;P of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53B38-9009-4F33-B197-B32DADA94ECF}">
  <sheetPr>
    <pageSetUpPr fitToPage="1"/>
  </sheetPr>
  <dimension ref="A1:O2625"/>
  <sheetViews>
    <sheetView showGridLines="0" showRowColHeaders="0" topLeftCell="C1" workbookViewId="0">
      <pane ySplit="7" topLeftCell="A8" activePane="bottomLeft" state="frozen"/>
      <selection activeCell="C1" sqref="C1"/>
      <selection pane="bottomLeft" activeCell="E7" sqref="E7"/>
    </sheetView>
  </sheetViews>
  <sheetFormatPr defaultColWidth="0" defaultRowHeight="15" customHeight="1" zeroHeight="1" x14ac:dyDescent="0.25"/>
  <cols>
    <col min="1" max="1" width="22.28515625" hidden="1" customWidth="1"/>
    <col min="2" max="2" width="31.42578125" hidden="1" customWidth="1"/>
    <col min="3" max="3" width="1.42578125" customWidth="1"/>
    <col min="4" max="4" width="9.28515625" customWidth="1"/>
    <col min="5" max="5" width="54" customWidth="1"/>
    <col min="6" max="13" width="12.7109375" customWidth="1"/>
    <col min="14" max="14" width="1.42578125" customWidth="1"/>
    <col min="15" max="15" width="0" hidden="1" customWidth="1"/>
    <col min="16" max="16384" width="9.140625" hidden="1"/>
  </cols>
  <sheetData>
    <row r="1" spans="1:14" ht="11.1" customHeight="1" x14ac:dyDescent="0.25"/>
    <row r="2" spans="1:14" ht="24.95" customHeight="1" x14ac:dyDescent="0.25">
      <c r="A2" s="43" t="s">
        <v>179</v>
      </c>
      <c r="B2" s="43" t="s">
        <v>178</v>
      </c>
      <c r="J2" s="433" t="str">
        <f>HYPERLINK("#"&amp;$B$4,$B$5)</f>
        <v xml:space="preserve">Return to </v>
      </c>
      <c r="K2" s="433"/>
      <c r="L2" s="433"/>
      <c r="M2" s="433"/>
    </row>
    <row r="3" spans="1:14" ht="11.1" customHeight="1" x14ac:dyDescent="0.25"/>
    <row r="4" spans="1:14" ht="21.75" customHeight="1" x14ac:dyDescent="0.25">
      <c r="A4" t="s">
        <v>2852</v>
      </c>
      <c r="B4" t="str">
        <f>"TARGET_" &amp;CONFIG_EFORM_TYPE_CODE&amp;"_"&amp;CONFIG_FHC_PROG_ID&amp;"_ICW_BOOKMARK"</f>
        <v>TARGET___ICW_BOOKMARK</v>
      </c>
      <c r="C4" s="210"/>
      <c r="D4" s="212" t="str">
        <f>"HUD Income Limit Guidelines: Others States/Territories ("&amp;Configuration!M57&amp;")"</f>
        <v>HUD Income Limit Guidelines: Others States/Territories (2025)</v>
      </c>
      <c r="E4" s="212"/>
      <c r="F4" s="212"/>
      <c r="G4" s="210"/>
      <c r="H4" s="210"/>
      <c r="I4" s="250"/>
      <c r="J4" s="250"/>
      <c r="K4" s="250"/>
      <c r="L4" s="250"/>
      <c r="M4" s="250"/>
      <c r="N4" s="210"/>
    </row>
    <row r="5" spans="1:14" ht="9" customHeight="1" x14ac:dyDescent="0.25">
      <c r="A5" s="36" t="s">
        <v>2853</v>
      </c>
      <c r="B5" s="36" t="str">
        <f>"Return to "&amp;CONFIG_EFORM_TYPE_NAME</f>
        <v xml:space="preserve">Return to </v>
      </c>
      <c r="C5" s="207"/>
      <c r="D5" s="251"/>
      <c r="E5" s="251"/>
      <c r="F5" s="209"/>
      <c r="G5" s="208"/>
      <c r="H5" s="208"/>
      <c r="I5" s="208"/>
      <c r="J5" s="208"/>
      <c r="K5" s="208"/>
      <c r="L5" s="208"/>
      <c r="M5" s="208"/>
      <c r="N5" s="208"/>
    </row>
    <row r="6" spans="1:14" ht="21" customHeight="1" x14ac:dyDescent="0.25">
      <c r="A6" s="36"/>
      <c r="B6" s="36"/>
      <c r="C6" s="207"/>
      <c r="D6" s="224"/>
      <c r="E6" s="224"/>
      <c r="F6" s="461" t="s">
        <v>2795</v>
      </c>
      <c r="G6" s="461"/>
      <c r="H6" s="461"/>
      <c r="I6" s="461"/>
      <c r="J6" s="461"/>
      <c r="K6" s="461"/>
      <c r="L6" s="461"/>
      <c r="M6" s="461"/>
      <c r="N6" s="208"/>
    </row>
    <row r="7" spans="1:14" ht="20.100000000000001" customHeight="1" x14ac:dyDescent="0.25">
      <c r="D7" s="168" t="s">
        <v>51</v>
      </c>
      <c r="E7" s="268" t="s">
        <v>5321</v>
      </c>
      <c r="F7" s="168">
        <v>1</v>
      </c>
      <c r="G7" s="168">
        <v>2</v>
      </c>
      <c r="H7" s="168">
        <v>3</v>
      </c>
      <c r="I7" s="168">
        <v>4</v>
      </c>
      <c r="J7" s="168">
        <v>5</v>
      </c>
      <c r="K7" s="168">
        <v>6</v>
      </c>
      <c r="L7" s="168">
        <v>7</v>
      </c>
      <c r="M7" s="168">
        <v>8</v>
      </c>
      <c r="N7" s="208"/>
    </row>
    <row r="8" spans="1:14" s="36" customFormat="1" ht="20.100000000000001" customHeight="1" x14ac:dyDescent="0.25">
      <c r="A8" s="36" t="s">
        <v>2904</v>
      </c>
      <c r="B8" s="36" t="str">
        <f>UPPER(TRIM(D8)&amp;"_"&amp;TRIM(E8))</f>
        <v>AK_ALEUTIANS EAST BOROUGH, AK</v>
      </c>
      <c r="D8" s="265" t="s">
        <v>102</v>
      </c>
      <c r="E8" s="266" t="s">
        <v>2959</v>
      </c>
      <c r="F8" s="252">
        <f t="shared" ref="F8:M17" si="0">VLOOKUP($B8,LOOKUP_AMI_TABLE,5+((F$7-1)),FALSE)</f>
        <v>53950</v>
      </c>
      <c r="G8" s="252">
        <f t="shared" si="0"/>
        <v>61650</v>
      </c>
      <c r="H8" s="252">
        <f t="shared" si="0"/>
        <v>69350</v>
      </c>
      <c r="I8" s="252">
        <f t="shared" si="0"/>
        <v>77050</v>
      </c>
      <c r="J8" s="252">
        <f t="shared" si="0"/>
        <v>83250</v>
      </c>
      <c r="K8" s="252">
        <f t="shared" si="0"/>
        <v>89400</v>
      </c>
      <c r="L8" s="252">
        <f t="shared" si="0"/>
        <v>95550</v>
      </c>
      <c r="M8" s="252">
        <f t="shared" si="0"/>
        <v>101750</v>
      </c>
    </row>
    <row r="9" spans="1:14" s="36" customFormat="1" ht="20.100000000000001" customHeight="1" x14ac:dyDescent="0.25">
      <c r="A9" s="36" t="s">
        <v>2904</v>
      </c>
      <c r="B9" s="36" t="str">
        <f t="shared" ref="B9:B59" si="1">UPPER(TRIM(D9)&amp;"_"&amp;TRIM(E9))</f>
        <v>AK_ALEUTIANS WEST CENSUS AREA, AK</v>
      </c>
      <c r="D9" s="265" t="s">
        <v>102</v>
      </c>
      <c r="E9" s="266" t="s">
        <v>2960</v>
      </c>
      <c r="F9" s="252">
        <f t="shared" si="0"/>
        <v>72450</v>
      </c>
      <c r="G9" s="252">
        <f t="shared" si="0"/>
        <v>82800</v>
      </c>
      <c r="H9" s="252">
        <f t="shared" si="0"/>
        <v>93150</v>
      </c>
      <c r="I9" s="252">
        <f t="shared" si="0"/>
        <v>103500</v>
      </c>
      <c r="J9" s="252">
        <f t="shared" si="0"/>
        <v>111800</v>
      </c>
      <c r="K9" s="252">
        <f t="shared" si="0"/>
        <v>120100</v>
      </c>
      <c r="L9" s="252">
        <f t="shared" si="0"/>
        <v>128350</v>
      </c>
      <c r="M9" s="252">
        <f t="shared" si="0"/>
        <v>136650</v>
      </c>
    </row>
    <row r="10" spans="1:14" s="36" customFormat="1" ht="20.100000000000001" customHeight="1" x14ac:dyDescent="0.25">
      <c r="A10" s="36" t="s">
        <v>2904</v>
      </c>
      <c r="B10" s="36" t="str">
        <f t="shared" si="1"/>
        <v>AK_ANCHORAGE, AK HUD METRO FMR AREA</v>
      </c>
      <c r="D10" s="265" t="s">
        <v>102</v>
      </c>
      <c r="E10" s="266" t="s">
        <v>2961</v>
      </c>
      <c r="F10" s="252">
        <f t="shared" si="0"/>
        <v>72250</v>
      </c>
      <c r="G10" s="252">
        <f t="shared" si="0"/>
        <v>82600</v>
      </c>
      <c r="H10" s="252">
        <f t="shared" si="0"/>
        <v>92900</v>
      </c>
      <c r="I10" s="252">
        <f t="shared" si="0"/>
        <v>103200</v>
      </c>
      <c r="J10" s="252">
        <f t="shared" si="0"/>
        <v>111500</v>
      </c>
      <c r="K10" s="252">
        <f t="shared" si="0"/>
        <v>119750</v>
      </c>
      <c r="L10" s="252">
        <f t="shared" si="0"/>
        <v>128000</v>
      </c>
      <c r="M10" s="252">
        <f t="shared" si="0"/>
        <v>136250</v>
      </c>
    </row>
    <row r="11" spans="1:14" ht="21.95" customHeight="1" x14ac:dyDescent="0.25">
      <c r="A11" s="36" t="s">
        <v>2904</v>
      </c>
      <c r="B11" s="36" t="str">
        <f t="shared" si="1"/>
        <v>AK_BETHEL CENSUS AREA, AK</v>
      </c>
      <c r="D11" s="265" t="s">
        <v>102</v>
      </c>
      <c r="E11" s="266" t="s">
        <v>2962</v>
      </c>
      <c r="F11" s="252">
        <f t="shared" si="0"/>
        <v>62000</v>
      </c>
      <c r="G11" s="252">
        <f t="shared" si="0"/>
        <v>70850</v>
      </c>
      <c r="H11" s="252">
        <f t="shared" si="0"/>
        <v>79700</v>
      </c>
      <c r="I11" s="252">
        <f t="shared" si="0"/>
        <v>88550</v>
      </c>
      <c r="J11" s="252">
        <f t="shared" si="0"/>
        <v>95650</v>
      </c>
      <c r="K11" s="252">
        <f t="shared" si="0"/>
        <v>102750</v>
      </c>
      <c r="L11" s="252">
        <f t="shared" si="0"/>
        <v>109850</v>
      </c>
      <c r="M11" s="252">
        <f t="shared" si="0"/>
        <v>116900</v>
      </c>
    </row>
    <row r="12" spans="1:14" ht="21.95" customHeight="1" x14ac:dyDescent="0.25">
      <c r="A12" s="36" t="s">
        <v>2904</v>
      </c>
      <c r="B12" s="36" t="str">
        <f t="shared" si="1"/>
        <v>AK_BRISTOL BAY BOROUGH, AK</v>
      </c>
      <c r="D12" s="265" t="s">
        <v>102</v>
      </c>
      <c r="E12" s="266" t="s">
        <v>2963</v>
      </c>
      <c r="F12" s="252">
        <f t="shared" si="0"/>
        <v>65650</v>
      </c>
      <c r="G12" s="252">
        <f t="shared" si="0"/>
        <v>75000</v>
      </c>
      <c r="H12" s="252">
        <f t="shared" si="0"/>
        <v>84400</v>
      </c>
      <c r="I12" s="252">
        <f t="shared" si="0"/>
        <v>93750</v>
      </c>
      <c r="J12" s="252">
        <f t="shared" si="0"/>
        <v>101250</v>
      </c>
      <c r="K12" s="252">
        <f t="shared" si="0"/>
        <v>108750</v>
      </c>
      <c r="L12" s="252">
        <f t="shared" si="0"/>
        <v>116250</v>
      </c>
      <c r="M12" s="252">
        <f t="shared" si="0"/>
        <v>123750</v>
      </c>
    </row>
    <row r="13" spans="1:14" ht="21.95" customHeight="1" x14ac:dyDescent="0.25">
      <c r="A13" s="36" t="s">
        <v>2904</v>
      </c>
      <c r="B13" s="36" t="str">
        <f t="shared" si="1"/>
        <v>AK_CHUGACH CENSUS AREA, AK</v>
      </c>
      <c r="D13" s="265" t="s">
        <v>102</v>
      </c>
      <c r="E13" s="266" t="s">
        <v>2964</v>
      </c>
      <c r="F13" s="252">
        <f t="shared" si="0"/>
        <v>64050</v>
      </c>
      <c r="G13" s="252">
        <f t="shared" si="0"/>
        <v>73200</v>
      </c>
      <c r="H13" s="252">
        <f t="shared" si="0"/>
        <v>82350</v>
      </c>
      <c r="I13" s="252">
        <f t="shared" si="0"/>
        <v>91450</v>
      </c>
      <c r="J13" s="252">
        <f t="shared" si="0"/>
        <v>98800</v>
      </c>
      <c r="K13" s="252">
        <f t="shared" si="0"/>
        <v>106100</v>
      </c>
      <c r="L13" s="252">
        <f t="shared" si="0"/>
        <v>113400</v>
      </c>
      <c r="M13" s="252">
        <f t="shared" si="0"/>
        <v>120750</v>
      </c>
    </row>
    <row r="14" spans="1:14" ht="21.95" customHeight="1" x14ac:dyDescent="0.25">
      <c r="A14" s="36" t="s">
        <v>2904</v>
      </c>
      <c r="B14" s="36" t="str">
        <f t="shared" si="1"/>
        <v>AK_COPPER RIVER CENSUS AREA, AK</v>
      </c>
      <c r="D14" s="265" t="s">
        <v>102</v>
      </c>
      <c r="E14" s="266" t="s">
        <v>2965</v>
      </c>
      <c r="F14" s="252">
        <f t="shared" si="0"/>
        <v>59750</v>
      </c>
      <c r="G14" s="252">
        <f t="shared" si="0"/>
        <v>68250</v>
      </c>
      <c r="H14" s="252">
        <f t="shared" si="0"/>
        <v>76800</v>
      </c>
      <c r="I14" s="252">
        <f t="shared" si="0"/>
        <v>85300</v>
      </c>
      <c r="J14" s="252">
        <f t="shared" si="0"/>
        <v>92150</v>
      </c>
      <c r="K14" s="252">
        <f t="shared" si="0"/>
        <v>98950</v>
      </c>
      <c r="L14" s="252">
        <f t="shared" si="0"/>
        <v>105800</v>
      </c>
      <c r="M14" s="252">
        <f t="shared" si="0"/>
        <v>112600</v>
      </c>
    </row>
    <row r="15" spans="1:14" ht="21.95" customHeight="1" x14ac:dyDescent="0.25">
      <c r="A15" s="36" t="s">
        <v>2904</v>
      </c>
      <c r="B15" s="36" t="str">
        <f t="shared" si="1"/>
        <v>AK_DENALI BOROUGH, AK</v>
      </c>
      <c r="D15" s="265" t="s">
        <v>102</v>
      </c>
      <c r="E15" s="266" t="s">
        <v>2966</v>
      </c>
      <c r="F15" s="252">
        <f t="shared" si="0"/>
        <v>72950</v>
      </c>
      <c r="G15" s="252">
        <f t="shared" si="0"/>
        <v>83400</v>
      </c>
      <c r="H15" s="252">
        <f t="shared" si="0"/>
        <v>93800</v>
      </c>
      <c r="I15" s="252">
        <f t="shared" si="0"/>
        <v>104200</v>
      </c>
      <c r="J15" s="252">
        <f t="shared" si="0"/>
        <v>112550</v>
      </c>
      <c r="K15" s="252">
        <f t="shared" si="0"/>
        <v>120900</v>
      </c>
      <c r="L15" s="252">
        <f t="shared" si="0"/>
        <v>129250</v>
      </c>
      <c r="M15" s="252">
        <f t="shared" si="0"/>
        <v>137550</v>
      </c>
    </row>
    <row r="16" spans="1:14" ht="21.95" customHeight="1" x14ac:dyDescent="0.25">
      <c r="A16" s="36" t="s">
        <v>2904</v>
      </c>
      <c r="B16" s="36" t="str">
        <f t="shared" si="1"/>
        <v>AK_DILLINGHAM CENSUS AREA, AK</v>
      </c>
      <c r="D16" s="265" t="s">
        <v>102</v>
      </c>
      <c r="E16" s="266" t="s">
        <v>2967</v>
      </c>
      <c r="F16" s="252">
        <f t="shared" si="0"/>
        <v>53950</v>
      </c>
      <c r="G16" s="252">
        <f t="shared" si="0"/>
        <v>61650</v>
      </c>
      <c r="H16" s="252">
        <f t="shared" si="0"/>
        <v>69350</v>
      </c>
      <c r="I16" s="252">
        <f t="shared" si="0"/>
        <v>77050</v>
      </c>
      <c r="J16" s="252">
        <f t="shared" si="0"/>
        <v>83250</v>
      </c>
      <c r="K16" s="252">
        <f t="shared" si="0"/>
        <v>89400</v>
      </c>
      <c r="L16" s="252">
        <f t="shared" si="0"/>
        <v>95550</v>
      </c>
      <c r="M16" s="252">
        <f t="shared" si="0"/>
        <v>101750</v>
      </c>
    </row>
    <row r="17" spans="1:13" ht="21.95" customHeight="1" x14ac:dyDescent="0.25">
      <c r="A17" s="36" t="s">
        <v>2904</v>
      </c>
      <c r="B17" s="36" t="str">
        <f t="shared" si="1"/>
        <v>AK_FAIRBANKS-COLLEGE, AK MSA</v>
      </c>
      <c r="D17" s="265" t="s">
        <v>102</v>
      </c>
      <c r="E17" s="266" t="s">
        <v>9080</v>
      </c>
      <c r="F17" s="252">
        <f t="shared" si="0"/>
        <v>64350</v>
      </c>
      <c r="G17" s="252">
        <f t="shared" si="0"/>
        <v>73550</v>
      </c>
      <c r="H17" s="252">
        <f t="shared" si="0"/>
        <v>82750</v>
      </c>
      <c r="I17" s="252">
        <f t="shared" si="0"/>
        <v>91900</v>
      </c>
      <c r="J17" s="252">
        <f t="shared" si="0"/>
        <v>99300</v>
      </c>
      <c r="K17" s="252">
        <f t="shared" si="0"/>
        <v>106650</v>
      </c>
      <c r="L17" s="252">
        <f t="shared" si="0"/>
        <v>114000</v>
      </c>
      <c r="M17" s="252">
        <f t="shared" si="0"/>
        <v>121350</v>
      </c>
    </row>
    <row r="18" spans="1:13" ht="21.95" customHeight="1" x14ac:dyDescent="0.25">
      <c r="A18" s="36" t="s">
        <v>2904</v>
      </c>
      <c r="B18" s="36" t="str">
        <f t="shared" si="1"/>
        <v>AK_HAINES BOROUGH, AK</v>
      </c>
      <c r="D18" s="265" t="s">
        <v>102</v>
      </c>
      <c r="E18" s="266" t="s">
        <v>2968</v>
      </c>
      <c r="F18" s="252">
        <f t="shared" ref="F18:M27" si="2">VLOOKUP($B18,LOOKUP_AMI_TABLE,5+((F$7-1)),FALSE)</f>
        <v>61800</v>
      </c>
      <c r="G18" s="252">
        <f t="shared" si="2"/>
        <v>70600</v>
      </c>
      <c r="H18" s="252">
        <f t="shared" si="2"/>
        <v>79450</v>
      </c>
      <c r="I18" s="252">
        <f t="shared" si="2"/>
        <v>88250</v>
      </c>
      <c r="J18" s="252">
        <f t="shared" si="2"/>
        <v>95350</v>
      </c>
      <c r="K18" s="252">
        <f t="shared" si="2"/>
        <v>102400</v>
      </c>
      <c r="L18" s="252">
        <f t="shared" si="2"/>
        <v>109450</v>
      </c>
      <c r="M18" s="252">
        <f t="shared" si="2"/>
        <v>116500</v>
      </c>
    </row>
    <row r="19" spans="1:13" ht="21.95" customHeight="1" x14ac:dyDescent="0.25">
      <c r="A19" s="36" t="s">
        <v>2904</v>
      </c>
      <c r="B19" s="36" t="str">
        <f t="shared" si="1"/>
        <v>AK_HOONAH-ANGOON CENSUS AREA, AK</v>
      </c>
      <c r="D19" s="265" t="s">
        <v>102</v>
      </c>
      <c r="E19" s="266" t="s">
        <v>2969</v>
      </c>
      <c r="F19" s="252">
        <f t="shared" si="2"/>
        <v>53950</v>
      </c>
      <c r="G19" s="252">
        <f t="shared" si="2"/>
        <v>61650</v>
      </c>
      <c r="H19" s="252">
        <f t="shared" si="2"/>
        <v>69350</v>
      </c>
      <c r="I19" s="252">
        <f t="shared" si="2"/>
        <v>77050</v>
      </c>
      <c r="J19" s="252">
        <f t="shared" si="2"/>
        <v>83250</v>
      </c>
      <c r="K19" s="252">
        <f t="shared" si="2"/>
        <v>89400</v>
      </c>
      <c r="L19" s="252">
        <f t="shared" si="2"/>
        <v>95550</v>
      </c>
      <c r="M19" s="252">
        <f t="shared" si="2"/>
        <v>101750</v>
      </c>
    </row>
    <row r="20" spans="1:13" ht="21.95" customHeight="1" x14ac:dyDescent="0.25">
      <c r="A20" s="36" t="s">
        <v>2904</v>
      </c>
      <c r="B20" s="36" t="str">
        <f t="shared" si="1"/>
        <v>AK_JUNEAU CITY AND BOROUGH, AK</v>
      </c>
      <c r="D20" s="265" t="s">
        <v>102</v>
      </c>
      <c r="E20" s="266" t="s">
        <v>2970</v>
      </c>
      <c r="F20" s="252">
        <f t="shared" si="2"/>
        <v>72100</v>
      </c>
      <c r="G20" s="252">
        <f t="shared" si="2"/>
        <v>82400</v>
      </c>
      <c r="H20" s="252">
        <f t="shared" si="2"/>
        <v>92700</v>
      </c>
      <c r="I20" s="252">
        <f t="shared" si="2"/>
        <v>102950</v>
      </c>
      <c r="J20" s="252">
        <f t="shared" si="2"/>
        <v>111200</v>
      </c>
      <c r="K20" s="252">
        <f t="shared" si="2"/>
        <v>119450</v>
      </c>
      <c r="L20" s="252">
        <f t="shared" si="2"/>
        <v>127700</v>
      </c>
      <c r="M20" s="252">
        <f t="shared" si="2"/>
        <v>135900</v>
      </c>
    </row>
    <row r="21" spans="1:13" ht="21.95" customHeight="1" x14ac:dyDescent="0.25">
      <c r="A21" s="36" t="s">
        <v>2904</v>
      </c>
      <c r="B21" s="36" t="str">
        <f t="shared" si="1"/>
        <v>AK_KENAI PENINSULA BOROUGH, AK</v>
      </c>
      <c r="D21" s="265" t="s">
        <v>102</v>
      </c>
      <c r="E21" s="266" t="s">
        <v>2971</v>
      </c>
      <c r="F21" s="252">
        <f t="shared" si="2"/>
        <v>62550</v>
      </c>
      <c r="G21" s="252">
        <f t="shared" si="2"/>
        <v>71450</v>
      </c>
      <c r="H21" s="252">
        <f t="shared" si="2"/>
        <v>80400</v>
      </c>
      <c r="I21" s="252">
        <f t="shared" si="2"/>
        <v>89300</v>
      </c>
      <c r="J21" s="252">
        <f t="shared" si="2"/>
        <v>96450</v>
      </c>
      <c r="K21" s="252">
        <f t="shared" si="2"/>
        <v>103600</v>
      </c>
      <c r="L21" s="252">
        <f t="shared" si="2"/>
        <v>110750</v>
      </c>
      <c r="M21" s="252">
        <f t="shared" si="2"/>
        <v>117900</v>
      </c>
    </row>
    <row r="22" spans="1:13" ht="21.95" customHeight="1" x14ac:dyDescent="0.25">
      <c r="A22" s="36" t="s">
        <v>2904</v>
      </c>
      <c r="B22" s="36" t="str">
        <f t="shared" si="1"/>
        <v>AK_KETCHIKAN GATEWAY BOROUGH, AK</v>
      </c>
      <c r="D22" s="265" t="s">
        <v>102</v>
      </c>
      <c r="E22" s="266" t="s">
        <v>2972</v>
      </c>
      <c r="F22" s="252">
        <f t="shared" si="2"/>
        <v>66850</v>
      </c>
      <c r="G22" s="252">
        <f t="shared" si="2"/>
        <v>76400</v>
      </c>
      <c r="H22" s="252">
        <f t="shared" si="2"/>
        <v>85950</v>
      </c>
      <c r="I22" s="252">
        <f t="shared" si="2"/>
        <v>95450</v>
      </c>
      <c r="J22" s="252">
        <f t="shared" si="2"/>
        <v>103100</v>
      </c>
      <c r="K22" s="252">
        <f t="shared" si="2"/>
        <v>110750</v>
      </c>
      <c r="L22" s="252">
        <f t="shared" si="2"/>
        <v>118400</v>
      </c>
      <c r="M22" s="252">
        <f t="shared" si="2"/>
        <v>126000</v>
      </c>
    </row>
    <row r="23" spans="1:13" ht="21.95" customHeight="1" x14ac:dyDescent="0.25">
      <c r="A23" s="36" t="s">
        <v>2904</v>
      </c>
      <c r="B23" s="36" t="str">
        <f t="shared" si="1"/>
        <v>AK_KODIAK ISLAND BOROUGH, AK</v>
      </c>
      <c r="D23" s="265" t="s">
        <v>102</v>
      </c>
      <c r="E23" s="266" t="s">
        <v>2973</v>
      </c>
      <c r="F23" s="252">
        <f t="shared" si="2"/>
        <v>63350</v>
      </c>
      <c r="G23" s="252">
        <f t="shared" si="2"/>
        <v>72400</v>
      </c>
      <c r="H23" s="252">
        <f t="shared" si="2"/>
        <v>81450</v>
      </c>
      <c r="I23" s="252">
        <f t="shared" si="2"/>
        <v>90500</v>
      </c>
      <c r="J23" s="252">
        <f t="shared" si="2"/>
        <v>97750</v>
      </c>
      <c r="K23" s="252">
        <f t="shared" si="2"/>
        <v>105000</v>
      </c>
      <c r="L23" s="252">
        <f t="shared" si="2"/>
        <v>112250</v>
      </c>
      <c r="M23" s="252">
        <f t="shared" si="2"/>
        <v>119500</v>
      </c>
    </row>
    <row r="24" spans="1:13" ht="21.95" customHeight="1" x14ac:dyDescent="0.25">
      <c r="A24" s="36" t="s">
        <v>2904</v>
      </c>
      <c r="B24" s="36" t="str">
        <f t="shared" si="1"/>
        <v>AK_KUSILVAK CENSUS AREA</v>
      </c>
      <c r="D24" s="265" t="s">
        <v>102</v>
      </c>
      <c r="E24" s="266" t="s">
        <v>2974</v>
      </c>
      <c r="F24" s="252">
        <f t="shared" si="2"/>
        <v>53950</v>
      </c>
      <c r="G24" s="252">
        <f t="shared" si="2"/>
        <v>61650</v>
      </c>
      <c r="H24" s="252">
        <f t="shared" si="2"/>
        <v>69350</v>
      </c>
      <c r="I24" s="252">
        <f t="shared" si="2"/>
        <v>77050</v>
      </c>
      <c r="J24" s="252">
        <f t="shared" si="2"/>
        <v>83250</v>
      </c>
      <c r="K24" s="252">
        <f t="shared" si="2"/>
        <v>89400</v>
      </c>
      <c r="L24" s="252">
        <f t="shared" si="2"/>
        <v>95550</v>
      </c>
      <c r="M24" s="252">
        <f t="shared" si="2"/>
        <v>101750</v>
      </c>
    </row>
    <row r="25" spans="1:13" ht="21.95" customHeight="1" x14ac:dyDescent="0.25">
      <c r="A25" s="36" t="s">
        <v>2904</v>
      </c>
      <c r="B25" s="36" t="str">
        <f t="shared" si="1"/>
        <v>AK_LAKE AND PENINSULA BOROUGH, AK</v>
      </c>
      <c r="D25" s="265" t="s">
        <v>102</v>
      </c>
      <c r="E25" s="266" t="s">
        <v>2975</v>
      </c>
      <c r="F25" s="252">
        <f t="shared" si="2"/>
        <v>53950</v>
      </c>
      <c r="G25" s="252">
        <f t="shared" si="2"/>
        <v>61650</v>
      </c>
      <c r="H25" s="252">
        <f t="shared" si="2"/>
        <v>69350</v>
      </c>
      <c r="I25" s="252">
        <f t="shared" si="2"/>
        <v>77050</v>
      </c>
      <c r="J25" s="252">
        <f t="shared" si="2"/>
        <v>83250</v>
      </c>
      <c r="K25" s="252">
        <f t="shared" si="2"/>
        <v>89400</v>
      </c>
      <c r="L25" s="252">
        <f t="shared" si="2"/>
        <v>95550</v>
      </c>
      <c r="M25" s="252">
        <f t="shared" si="2"/>
        <v>101750</v>
      </c>
    </row>
    <row r="26" spans="1:13" ht="21.95" customHeight="1" x14ac:dyDescent="0.25">
      <c r="A26" s="36" t="s">
        <v>2904</v>
      </c>
      <c r="B26" s="36" t="str">
        <f t="shared" si="1"/>
        <v>AK_MATANUSKA-SUSITNA BOROUGH, AK HUD METRO FMR AREA</v>
      </c>
      <c r="D26" s="265" t="s">
        <v>102</v>
      </c>
      <c r="E26" s="266" t="s">
        <v>2976</v>
      </c>
      <c r="F26" s="252">
        <f t="shared" si="2"/>
        <v>63700</v>
      </c>
      <c r="G26" s="252">
        <f t="shared" si="2"/>
        <v>72800</v>
      </c>
      <c r="H26" s="252">
        <f t="shared" si="2"/>
        <v>81900</v>
      </c>
      <c r="I26" s="252">
        <f t="shared" si="2"/>
        <v>90950</v>
      </c>
      <c r="J26" s="252">
        <f t="shared" si="2"/>
        <v>98250</v>
      </c>
      <c r="K26" s="252">
        <f t="shared" si="2"/>
        <v>105550</v>
      </c>
      <c r="L26" s="252">
        <f t="shared" si="2"/>
        <v>112800</v>
      </c>
      <c r="M26" s="252">
        <f t="shared" si="2"/>
        <v>120100</v>
      </c>
    </row>
    <row r="27" spans="1:13" ht="21.95" customHeight="1" x14ac:dyDescent="0.25">
      <c r="A27" s="36" t="s">
        <v>2904</v>
      </c>
      <c r="B27" s="36" t="str">
        <f t="shared" si="1"/>
        <v>AK_NOME CENSUS AREA, AK</v>
      </c>
      <c r="D27" s="265" t="s">
        <v>102</v>
      </c>
      <c r="E27" s="266" t="s">
        <v>2977</v>
      </c>
      <c r="F27" s="252">
        <f t="shared" si="2"/>
        <v>53950</v>
      </c>
      <c r="G27" s="252">
        <f t="shared" si="2"/>
        <v>61650</v>
      </c>
      <c r="H27" s="252">
        <f t="shared" si="2"/>
        <v>69350</v>
      </c>
      <c r="I27" s="252">
        <f t="shared" si="2"/>
        <v>77050</v>
      </c>
      <c r="J27" s="252">
        <f t="shared" si="2"/>
        <v>83250</v>
      </c>
      <c r="K27" s="252">
        <f t="shared" si="2"/>
        <v>89400</v>
      </c>
      <c r="L27" s="252">
        <f t="shared" si="2"/>
        <v>95550</v>
      </c>
      <c r="M27" s="252">
        <f t="shared" si="2"/>
        <v>101750</v>
      </c>
    </row>
    <row r="28" spans="1:13" ht="21.95" customHeight="1" x14ac:dyDescent="0.25">
      <c r="A28" s="36" t="s">
        <v>2904</v>
      </c>
      <c r="B28" s="36" t="str">
        <f t="shared" si="1"/>
        <v>AK_NORTH SLOPE BOROUGH, AK</v>
      </c>
      <c r="D28" s="265" t="s">
        <v>102</v>
      </c>
      <c r="E28" s="266" t="s">
        <v>2978</v>
      </c>
      <c r="F28" s="252">
        <f t="shared" ref="F28:M37" si="3">VLOOKUP($B28,LOOKUP_AMI_TABLE,5+((F$7-1)),FALSE)</f>
        <v>58950</v>
      </c>
      <c r="G28" s="252">
        <f t="shared" si="3"/>
        <v>67350</v>
      </c>
      <c r="H28" s="252">
        <f t="shared" si="3"/>
        <v>75750</v>
      </c>
      <c r="I28" s="252">
        <f t="shared" si="3"/>
        <v>84150</v>
      </c>
      <c r="J28" s="252">
        <f t="shared" si="3"/>
        <v>90900</v>
      </c>
      <c r="K28" s="252">
        <f t="shared" si="3"/>
        <v>97650</v>
      </c>
      <c r="L28" s="252">
        <f t="shared" si="3"/>
        <v>104350</v>
      </c>
      <c r="M28" s="252">
        <f t="shared" si="3"/>
        <v>111100</v>
      </c>
    </row>
    <row r="29" spans="1:13" ht="21.95" customHeight="1" x14ac:dyDescent="0.25">
      <c r="A29" s="36" t="s">
        <v>2904</v>
      </c>
      <c r="B29" s="36" t="str">
        <f t="shared" si="1"/>
        <v>AK_NORTHWEST ARCTIC BOROUGH, AK</v>
      </c>
      <c r="D29" s="265" t="s">
        <v>102</v>
      </c>
      <c r="E29" s="266" t="s">
        <v>2979</v>
      </c>
      <c r="F29" s="252">
        <f t="shared" si="3"/>
        <v>61400</v>
      </c>
      <c r="G29" s="252">
        <f t="shared" si="3"/>
        <v>70200</v>
      </c>
      <c r="H29" s="252">
        <f t="shared" si="3"/>
        <v>78950</v>
      </c>
      <c r="I29" s="252">
        <f t="shared" si="3"/>
        <v>87700</v>
      </c>
      <c r="J29" s="252">
        <f t="shared" si="3"/>
        <v>94750</v>
      </c>
      <c r="K29" s="252">
        <f t="shared" si="3"/>
        <v>101750</v>
      </c>
      <c r="L29" s="252">
        <f t="shared" si="3"/>
        <v>108750</v>
      </c>
      <c r="M29" s="252">
        <f t="shared" si="3"/>
        <v>115800</v>
      </c>
    </row>
    <row r="30" spans="1:13" ht="21.95" customHeight="1" x14ac:dyDescent="0.25">
      <c r="A30" s="36" t="s">
        <v>2904</v>
      </c>
      <c r="B30" s="36" t="str">
        <f t="shared" si="1"/>
        <v>AK_PETERSBURG BOROUGH</v>
      </c>
      <c r="D30" s="265" t="s">
        <v>102</v>
      </c>
      <c r="E30" s="266" t="s">
        <v>2980</v>
      </c>
      <c r="F30" s="252">
        <f t="shared" si="3"/>
        <v>57350</v>
      </c>
      <c r="G30" s="252">
        <f t="shared" si="3"/>
        <v>65550</v>
      </c>
      <c r="H30" s="252">
        <f t="shared" si="3"/>
        <v>73750</v>
      </c>
      <c r="I30" s="252">
        <f t="shared" si="3"/>
        <v>81900</v>
      </c>
      <c r="J30" s="252">
        <f t="shared" si="3"/>
        <v>88500</v>
      </c>
      <c r="K30" s="252">
        <f t="shared" si="3"/>
        <v>95050</v>
      </c>
      <c r="L30" s="252">
        <f t="shared" si="3"/>
        <v>101600</v>
      </c>
      <c r="M30" s="252">
        <f t="shared" si="3"/>
        <v>108150</v>
      </c>
    </row>
    <row r="31" spans="1:13" ht="21.95" customHeight="1" x14ac:dyDescent="0.25">
      <c r="A31" s="36" t="s">
        <v>2904</v>
      </c>
      <c r="B31" s="36" t="str">
        <f t="shared" si="1"/>
        <v>AK_PRINCE OF WALES-HYDER CENSUS AREA, AK</v>
      </c>
      <c r="D31" s="265" t="s">
        <v>102</v>
      </c>
      <c r="E31" s="266" t="s">
        <v>2981</v>
      </c>
      <c r="F31" s="252">
        <f t="shared" si="3"/>
        <v>53950</v>
      </c>
      <c r="G31" s="252">
        <f t="shared" si="3"/>
        <v>61650</v>
      </c>
      <c r="H31" s="252">
        <f t="shared" si="3"/>
        <v>69350</v>
      </c>
      <c r="I31" s="252">
        <f t="shared" si="3"/>
        <v>77050</v>
      </c>
      <c r="J31" s="252">
        <f t="shared" si="3"/>
        <v>83250</v>
      </c>
      <c r="K31" s="252">
        <f t="shared" si="3"/>
        <v>89400</v>
      </c>
      <c r="L31" s="252">
        <f t="shared" si="3"/>
        <v>95550</v>
      </c>
      <c r="M31" s="252">
        <f t="shared" si="3"/>
        <v>101750</v>
      </c>
    </row>
    <row r="32" spans="1:13" ht="21.95" customHeight="1" x14ac:dyDescent="0.25">
      <c r="A32" s="36" t="s">
        <v>2904</v>
      </c>
      <c r="B32" s="36" t="str">
        <f t="shared" si="1"/>
        <v>AK_SITKA CITY AND BOROUGH, AK</v>
      </c>
      <c r="D32" s="265" t="s">
        <v>102</v>
      </c>
      <c r="E32" s="266" t="s">
        <v>2982</v>
      </c>
      <c r="F32" s="252">
        <f t="shared" si="3"/>
        <v>68350</v>
      </c>
      <c r="G32" s="252">
        <f t="shared" si="3"/>
        <v>78100</v>
      </c>
      <c r="H32" s="252">
        <f t="shared" si="3"/>
        <v>87850</v>
      </c>
      <c r="I32" s="252">
        <f t="shared" si="3"/>
        <v>97600</v>
      </c>
      <c r="J32" s="252">
        <f t="shared" si="3"/>
        <v>105450</v>
      </c>
      <c r="K32" s="252">
        <f t="shared" si="3"/>
        <v>113250</v>
      </c>
      <c r="L32" s="252">
        <f t="shared" si="3"/>
        <v>121050</v>
      </c>
      <c r="M32" s="252">
        <f t="shared" si="3"/>
        <v>128850</v>
      </c>
    </row>
    <row r="33" spans="1:13" ht="21.95" customHeight="1" x14ac:dyDescent="0.25">
      <c r="A33" s="36" t="s">
        <v>2904</v>
      </c>
      <c r="B33" s="36" t="str">
        <f t="shared" si="1"/>
        <v>AK_SKAGWAY MUNICIPALITY, AK</v>
      </c>
      <c r="D33" s="265" t="s">
        <v>102</v>
      </c>
      <c r="E33" s="266" t="s">
        <v>2983</v>
      </c>
      <c r="F33" s="252">
        <f t="shared" si="3"/>
        <v>65800</v>
      </c>
      <c r="G33" s="252">
        <f t="shared" si="3"/>
        <v>75200</v>
      </c>
      <c r="H33" s="252">
        <f t="shared" si="3"/>
        <v>84600</v>
      </c>
      <c r="I33" s="252">
        <f t="shared" si="3"/>
        <v>94000</v>
      </c>
      <c r="J33" s="252">
        <f t="shared" si="3"/>
        <v>101550</v>
      </c>
      <c r="K33" s="252">
        <f t="shared" si="3"/>
        <v>109050</v>
      </c>
      <c r="L33" s="252">
        <f t="shared" si="3"/>
        <v>116600</v>
      </c>
      <c r="M33" s="252">
        <f t="shared" si="3"/>
        <v>124100</v>
      </c>
    </row>
    <row r="34" spans="1:13" ht="21.95" customHeight="1" x14ac:dyDescent="0.25">
      <c r="A34" s="36" t="s">
        <v>2904</v>
      </c>
      <c r="B34" s="36" t="str">
        <f t="shared" si="1"/>
        <v>AK_SOUTHEAST FAIRBANKS CENSUS AREA, AK</v>
      </c>
      <c r="D34" s="265" t="s">
        <v>102</v>
      </c>
      <c r="E34" s="266" t="s">
        <v>2984</v>
      </c>
      <c r="F34" s="252">
        <f t="shared" si="3"/>
        <v>53950</v>
      </c>
      <c r="G34" s="252">
        <f t="shared" si="3"/>
        <v>61650</v>
      </c>
      <c r="H34" s="252">
        <f t="shared" si="3"/>
        <v>69350</v>
      </c>
      <c r="I34" s="252">
        <f t="shared" si="3"/>
        <v>77050</v>
      </c>
      <c r="J34" s="252">
        <f t="shared" si="3"/>
        <v>83250</v>
      </c>
      <c r="K34" s="252">
        <f t="shared" si="3"/>
        <v>89400</v>
      </c>
      <c r="L34" s="252">
        <f t="shared" si="3"/>
        <v>95550</v>
      </c>
      <c r="M34" s="252">
        <f t="shared" si="3"/>
        <v>101750</v>
      </c>
    </row>
    <row r="35" spans="1:13" ht="21.95" customHeight="1" x14ac:dyDescent="0.25">
      <c r="A35" s="36" t="s">
        <v>2904</v>
      </c>
      <c r="B35" s="36" t="str">
        <f t="shared" si="1"/>
        <v>AK_WRANGELL CITY AND BOROUGH, AK</v>
      </c>
      <c r="D35" s="265" t="s">
        <v>102</v>
      </c>
      <c r="E35" s="266" t="s">
        <v>2985</v>
      </c>
      <c r="F35" s="252">
        <f t="shared" si="3"/>
        <v>53950</v>
      </c>
      <c r="G35" s="252">
        <f t="shared" si="3"/>
        <v>61650</v>
      </c>
      <c r="H35" s="252">
        <f t="shared" si="3"/>
        <v>69350</v>
      </c>
      <c r="I35" s="252">
        <f t="shared" si="3"/>
        <v>77050</v>
      </c>
      <c r="J35" s="252">
        <f t="shared" si="3"/>
        <v>83250</v>
      </c>
      <c r="K35" s="252">
        <f t="shared" si="3"/>
        <v>89400</v>
      </c>
      <c r="L35" s="252">
        <f t="shared" si="3"/>
        <v>95550</v>
      </c>
      <c r="M35" s="252">
        <f t="shared" si="3"/>
        <v>101750</v>
      </c>
    </row>
    <row r="36" spans="1:13" ht="21.95" customHeight="1" x14ac:dyDescent="0.25">
      <c r="A36" s="36" t="s">
        <v>2904</v>
      </c>
      <c r="B36" s="36" t="str">
        <f t="shared" si="1"/>
        <v>AK_YAKUTAT CITY AND BOROUGH, AK</v>
      </c>
      <c r="D36" s="265" t="s">
        <v>102</v>
      </c>
      <c r="E36" s="266" t="s">
        <v>2986</v>
      </c>
      <c r="F36" s="252">
        <f t="shared" si="3"/>
        <v>61500</v>
      </c>
      <c r="G36" s="252">
        <f t="shared" si="3"/>
        <v>70300</v>
      </c>
      <c r="H36" s="252">
        <f t="shared" si="3"/>
        <v>79100</v>
      </c>
      <c r="I36" s="252">
        <f t="shared" si="3"/>
        <v>87850</v>
      </c>
      <c r="J36" s="252">
        <f t="shared" si="3"/>
        <v>94900</v>
      </c>
      <c r="K36" s="252">
        <f t="shared" si="3"/>
        <v>101950</v>
      </c>
      <c r="L36" s="252">
        <f t="shared" si="3"/>
        <v>108950</v>
      </c>
      <c r="M36" s="252">
        <f t="shared" si="3"/>
        <v>116000</v>
      </c>
    </row>
    <row r="37" spans="1:13" ht="21.95" customHeight="1" x14ac:dyDescent="0.25">
      <c r="A37" s="36" t="s">
        <v>2904</v>
      </c>
      <c r="B37" s="36" t="str">
        <f t="shared" si="1"/>
        <v>AK_YUKON-KOYUKUK CENSUS AREA, AK</v>
      </c>
      <c r="D37" s="265" t="s">
        <v>102</v>
      </c>
      <c r="E37" s="266" t="s">
        <v>2987</v>
      </c>
      <c r="F37" s="252">
        <f t="shared" si="3"/>
        <v>53950</v>
      </c>
      <c r="G37" s="252">
        <f t="shared" si="3"/>
        <v>61650</v>
      </c>
      <c r="H37" s="252">
        <f t="shared" si="3"/>
        <v>69350</v>
      </c>
      <c r="I37" s="252">
        <f t="shared" si="3"/>
        <v>77050</v>
      </c>
      <c r="J37" s="252">
        <f t="shared" si="3"/>
        <v>83250</v>
      </c>
      <c r="K37" s="252">
        <f t="shared" si="3"/>
        <v>89400</v>
      </c>
      <c r="L37" s="252">
        <f t="shared" si="3"/>
        <v>95550</v>
      </c>
      <c r="M37" s="252">
        <f t="shared" si="3"/>
        <v>101750</v>
      </c>
    </row>
    <row r="38" spans="1:13" ht="21.95" customHeight="1" x14ac:dyDescent="0.25">
      <c r="A38" s="36" t="s">
        <v>2904</v>
      </c>
      <c r="B38" s="36" t="str">
        <f t="shared" si="1"/>
        <v>AL_ANNISTON-OXFORD, AL MSA</v>
      </c>
      <c r="D38" s="265" t="s">
        <v>103</v>
      </c>
      <c r="E38" s="266" t="s">
        <v>9081</v>
      </c>
      <c r="F38" s="252">
        <f t="shared" ref="F38:M47" si="4">VLOOKUP($B38,LOOKUP_AMI_TABLE,5+((F$7-1)),FALSE)</f>
        <v>41450</v>
      </c>
      <c r="G38" s="252">
        <f t="shared" si="4"/>
        <v>47400</v>
      </c>
      <c r="H38" s="252">
        <f t="shared" si="4"/>
        <v>53300</v>
      </c>
      <c r="I38" s="252">
        <f t="shared" si="4"/>
        <v>59200</v>
      </c>
      <c r="J38" s="252">
        <f t="shared" si="4"/>
        <v>63950</v>
      </c>
      <c r="K38" s="252">
        <f t="shared" si="4"/>
        <v>68700</v>
      </c>
      <c r="L38" s="252">
        <f t="shared" si="4"/>
        <v>73450</v>
      </c>
      <c r="M38" s="252">
        <f t="shared" si="4"/>
        <v>78150</v>
      </c>
    </row>
    <row r="39" spans="1:13" ht="21.95" customHeight="1" x14ac:dyDescent="0.25">
      <c r="A39" s="36" t="s">
        <v>2904</v>
      </c>
      <c r="B39" s="36" t="str">
        <f t="shared" si="1"/>
        <v>AL_AUBURN-OPELIKA, AL HUD METRO FMR AREA</v>
      </c>
      <c r="D39" s="265" t="s">
        <v>103</v>
      </c>
      <c r="E39" s="266" t="s">
        <v>9082</v>
      </c>
      <c r="F39" s="252">
        <f t="shared" si="4"/>
        <v>53400</v>
      </c>
      <c r="G39" s="252">
        <f t="shared" si="4"/>
        <v>61000</v>
      </c>
      <c r="H39" s="252">
        <f t="shared" si="4"/>
        <v>68650</v>
      </c>
      <c r="I39" s="252">
        <f t="shared" si="4"/>
        <v>76250</v>
      </c>
      <c r="J39" s="252">
        <f t="shared" si="4"/>
        <v>82350</v>
      </c>
      <c r="K39" s="252">
        <f t="shared" si="4"/>
        <v>88450</v>
      </c>
      <c r="L39" s="252">
        <f t="shared" si="4"/>
        <v>94550</v>
      </c>
      <c r="M39" s="252">
        <f t="shared" si="4"/>
        <v>100650</v>
      </c>
    </row>
    <row r="40" spans="1:13" ht="21.95" customHeight="1" x14ac:dyDescent="0.25">
      <c r="A40" s="36" t="s">
        <v>2904</v>
      </c>
      <c r="B40" s="36" t="str">
        <f t="shared" si="1"/>
        <v>AL_BARBOUR COUNTY, AL</v>
      </c>
      <c r="D40" s="265" t="s">
        <v>103</v>
      </c>
      <c r="E40" s="266" t="s">
        <v>2988</v>
      </c>
      <c r="F40" s="252">
        <f t="shared" si="4"/>
        <v>40450</v>
      </c>
      <c r="G40" s="252">
        <f t="shared" si="4"/>
        <v>46200</v>
      </c>
      <c r="H40" s="252">
        <f t="shared" si="4"/>
        <v>52000</v>
      </c>
      <c r="I40" s="252">
        <f t="shared" si="4"/>
        <v>57750</v>
      </c>
      <c r="J40" s="252">
        <f t="shared" si="4"/>
        <v>62400</v>
      </c>
      <c r="K40" s="252">
        <f t="shared" si="4"/>
        <v>67000</v>
      </c>
      <c r="L40" s="252">
        <f t="shared" si="4"/>
        <v>71650</v>
      </c>
      <c r="M40" s="252">
        <f t="shared" si="4"/>
        <v>76250</v>
      </c>
    </row>
    <row r="41" spans="1:13" ht="21.95" customHeight="1" x14ac:dyDescent="0.25">
      <c r="A41" s="36" t="s">
        <v>2904</v>
      </c>
      <c r="B41" s="36" t="str">
        <f t="shared" si="1"/>
        <v>AL_BIRMINGHAM-HOOVER, AL HUD METRO FMR AREA</v>
      </c>
      <c r="D41" s="265" t="s">
        <v>103</v>
      </c>
      <c r="E41" s="266" t="s">
        <v>2989</v>
      </c>
      <c r="F41" s="252">
        <f t="shared" si="4"/>
        <v>53700</v>
      </c>
      <c r="G41" s="252">
        <f t="shared" si="4"/>
        <v>61400</v>
      </c>
      <c r="H41" s="252">
        <f t="shared" si="4"/>
        <v>69050</v>
      </c>
      <c r="I41" s="252">
        <f t="shared" si="4"/>
        <v>76700</v>
      </c>
      <c r="J41" s="252">
        <f t="shared" si="4"/>
        <v>82850</v>
      </c>
      <c r="K41" s="252">
        <f t="shared" si="4"/>
        <v>89000</v>
      </c>
      <c r="L41" s="252">
        <f t="shared" si="4"/>
        <v>95150</v>
      </c>
      <c r="M41" s="252">
        <f t="shared" si="4"/>
        <v>101250</v>
      </c>
    </row>
    <row r="42" spans="1:13" ht="21.95" customHeight="1" x14ac:dyDescent="0.25">
      <c r="A42" s="36" t="s">
        <v>2904</v>
      </c>
      <c r="B42" s="36" t="str">
        <f t="shared" si="1"/>
        <v>AL_BULLOCK COUNTY, AL</v>
      </c>
      <c r="D42" s="265" t="s">
        <v>103</v>
      </c>
      <c r="E42" s="266" t="s">
        <v>2990</v>
      </c>
      <c r="F42" s="252">
        <f t="shared" si="4"/>
        <v>40450</v>
      </c>
      <c r="G42" s="252">
        <f t="shared" si="4"/>
        <v>46200</v>
      </c>
      <c r="H42" s="252">
        <f t="shared" si="4"/>
        <v>52000</v>
      </c>
      <c r="I42" s="252">
        <f t="shared" si="4"/>
        <v>57750</v>
      </c>
      <c r="J42" s="252">
        <f t="shared" si="4"/>
        <v>62400</v>
      </c>
      <c r="K42" s="252">
        <f t="shared" si="4"/>
        <v>67000</v>
      </c>
      <c r="L42" s="252">
        <f t="shared" si="4"/>
        <v>71650</v>
      </c>
      <c r="M42" s="252">
        <f t="shared" si="4"/>
        <v>76250</v>
      </c>
    </row>
    <row r="43" spans="1:13" ht="21.95" customHeight="1" x14ac:dyDescent="0.25">
      <c r="A43" s="36" t="s">
        <v>2904</v>
      </c>
      <c r="B43" s="36" t="str">
        <f t="shared" si="1"/>
        <v>AL_BUTLER COUNTY, AL</v>
      </c>
      <c r="D43" s="265" t="s">
        <v>103</v>
      </c>
      <c r="E43" s="266" t="s">
        <v>2991</v>
      </c>
      <c r="F43" s="252">
        <f t="shared" si="4"/>
        <v>40450</v>
      </c>
      <c r="G43" s="252">
        <f t="shared" si="4"/>
        <v>46200</v>
      </c>
      <c r="H43" s="252">
        <f t="shared" si="4"/>
        <v>52000</v>
      </c>
      <c r="I43" s="252">
        <f t="shared" si="4"/>
        <v>57750</v>
      </c>
      <c r="J43" s="252">
        <f t="shared" si="4"/>
        <v>62400</v>
      </c>
      <c r="K43" s="252">
        <f t="shared" si="4"/>
        <v>67000</v>
      </c>
      <c r="L43" s="252">
        <f t="shared" si="4"/>
        <v>71650</v>
      </c>
      <c r="M43" s="252">
        <f t="shared" si="4"/>
        <v>76250</v>
      </c>
    </row>
    <row r="44" spans="1:13" ht="21.95" customHeight="1" x14ac:dyDescent="0.25">
      <c r="A44" s="36" t="s">
        <v>2904</v>
      </c>
      <c r="B44" s="36" t="str">
        <f t="shared" si="1"/>
        <v>AL_CHAMBERS COUNTY, AL</v>
      </c>
      <c r="D44" s="265" t="s">
        <v>103</v>
      </c>
      <c r="E44" s="266" t="s">
        <v>2992</v>
      </c>
      <c r="F44" s="252">
        <f t="shared" si="4"/>
        <v>40450</v>
      </c>
      <c r="G44" s="252">
        <f t="shared" si="4"/>
        <v>46200</v>
      </c>
      <c r="H44" s="252">
        <f t="shared" si="4"/>
        <v>52000</v>
      </c>
      <c r="I44" s="252">
        <f t="shared" si="4"/>
        <v>57750</v>
      </c>
      <c r="J44" s="252">
        <f t="shared" si="4"/>
        <v>62400</v>
      </c>
      <c r="K44" s="252">
        <f t="shared" si="4"/>
        <v>67000</v>
      </c>
      <c r="L44" s="252">
        <f t="shared" si="4"/>
        <v>71650</v>
      </c>
      <c r="M44" s="252">
        <f t="shared" si="4"/>
        <v>76250</v>
      </c>
    </row>
    <row r="45" spans="1:13" ht="21.95" customHeight="1" x14ac:dyDescent="0.25">
      <c r="A45" s="36" t="s">
        <v>2904</v>
      </c>
      <c r="B45" s="36" t="str">
        <f t="shared" si="1"/>
        <v>AL_CHEROKEE COUNTY, AL</v>
      </c>
      <c r="D45" s="265" t="s">
        <v>103</v>
      </c>
      <c r="E45" s="266" t="s">
        <v>2993</v>
      </c>
      <c r="F45" s="252">
        <f t="shared" si="4"/>
        <v>40700</v>
      </c>
      <c r="G45" s="252">
        <f t="shared" si="4"/>
        <v>46500</v>
      </c>
      <c r="H45" s="252">
        <f t="shared" si="4"/>
        <v>52300</v>
      </c>
      <c r="I45" s="252">
        <f t="shared" si="4"/>
        <v>58100</v>
      </c>
      <c r="J45" s="252">
        <f t="shared" si="4"/>
        <v>62750</v>
      </c>
      <c r="K45" s="252">
        <f t="shared" si="4"/>
        <v>67400</v>
      </c>
      <c r="L45" s="252">
        <f t="shared" si="4"/>
        <v>72050</v>
      </c>
      <c r="M45" s="252">
        <f t="shared" si="4"/>
        <v>76700</v>
      </c>
    </row>
    <row r="46" spans="1:13" ht="21.95" customHeight="1" x14ac:dyDescent="0.25">
      <c r="A46" s="36" t="s">
        <v>2904</v>
      </c>
      <c r="B46" s="36" t="str">
        <f t="shared" si="1"/>
        <v>AL_CHILTON COUNTY, AL HUD METRO FMR AREA</v>
      </c>
      <c r="D46" s="265" t="s">
        <v>103</v>
      </c>
      <c r="E46" s="266" t="s">
        <v>2994</v>
      </c>
      <c r="F46" s="252">
        <f t="shared" si="4"/>
        <v>44900</v>
      </c>
      <c r="G46" s="252">
        <f t="shared" si="4"/>
        <v>51300</v>
      </c>
      <c r="H46" s="252">
        <f t="shared" si="4"/>
        <v>57700</v>
      </c>
      <c r="I46" s="252">
        <f t="shared" si="4"/>
        <v>64100</v>
      </c>
      <c r="J46" s="252">
        <f t="shared" si="4"/>
        <v>69250</v>
      </c>
      <c r="K46" s="252">
        <f t="shared" si="4"/>
        <v>74400</v>
      </c>
      <c r="L46" s="252">
        <f t="shared" si="4"/>
        <v>79500</v>
      </c>
      <c r="M46" s="252">
        <f t="shared" si="4"/>
        <v>84650</v>
      </c>
    </row>
    <row r="47" spans="1:13" ht="21.95" customHeight="1" x14ac:dyDescent="0.25">
      <c r="A47" s="36" t="s">
        <v>2904</v>
      </c>
      <c r="B47" s="36" t="str">
        <f t="shared" si="1"/>
        <v>AL_CHOCTAW COUNTY, AL</v>
      </c>
      <c r="D47" s="265" t="s">
        <v>103</v>
      </c>
      <c r="E47" s="266" t="s">
        <v>2995</v>
      </c>
      <c r="F47" s="252">
        <f t="shared" si="4"/>
        <v>40700</v>
      </c>
      <c r="G47" s="252">
        <f t="shared" si="4"/>
        <v>46500</v>
      </c>
      <c r="H47" s="252">
        <f t="shared" si="4"/>
        <v>52300</v>
      </c>
      <c r="I47" s="252">
        <f t="shared" si="4"/>
        <v>58100</v>
      </c>
      <c r="J47" s="252">
        <f t="shared" si="4"/>
        <v>62750</v>
      </c>
      <c r="K47" s="252">
        <f t="shared" si="4"/>
        <v>67400</v>
      </c>
      <c r="L47" s="252">
        <f t="shared" si="4"/>
        <v>72050</v>
      </c>
      <c r="M47" s="252">
        <f t="shared" si="4"/>
        <v>76700</v>
      </c>
    </row>
    <row r="48" spans="1:13" ht="21.95" customHeight="1" x14ac:dyDescent="0.25">
      <c r="A48" s="36" t="s">
        <v>2904</v>
      </c>
      <c r="B48" s="36" t="str">
        <f t="shared" si="1"/>
        <v>AL_CLARKE COUNTY, AL</v>
      </c>
      <c r="D48" s="265" t="s">
        <v>103</v>
      </c>
      <c r="E48" s="266" t="s">
        <v>2996</v>
      </c>
      <c r="F48" s="252">
        <f t="shared" ref="F48:M57" si="5">VLOOKUP($B48,LOOKUP_AMI_TABLE,5+((F$7-1)),FALSE)</f>
        <v>42000</v>
      </c>
      <c r="G48" s="252">
        <f t="shared" si="5"/>
        <v>48000</v>
      </c>
      <c r="H48" s="252">
        <f t="shared" si="5"/>
        <v>54000</v>
      </c>
      <c r="I48" s="252">
        <f t="shared" si="5"/>
        <v>60000</v>
      </c>
      <c r="J48" s="252">
        <f t="shared" si="5"/>
        <v>64800</v>
      </c>
      <c r="K48" s="252">
        <f t="shared" si="5"/>
        <v>69600</v>
      </c>
      <c r="L48" s="252">
        <f t="shared" si="5"/>
        <v>74400</v>
      </c>
      <c r="M48" s="252">
        <f t="shared" si="5"/>
        <v>79200</v>
      </c>
    </row>
    <row r="49" spans="1:13" ht="21.95" customHeight="1" x14ac:dyDescent="0.25">
      <c r="A49" s="36" t="s">
        <v>2904</v>
      </c>
      <c r="B49" s="36" t="str">
        <f t="shared" si="1"/>
        <v>AL_CLAY COUNTY, AL</v>
      </c>
      <c r="D49" s="265" t="s">
        <v>103</v>
      </c>
      <c r="E49" s="266" t="s">
        <v>2997</v>
      </c>
      <c r="F49" s="252">
        <f t="shared" si="5"/>
        <v>40450</v>
      </c>
      <c r="G49" s="252">
        <f t="shared" si="5"/>
        <v>46200</v>
      </c>
      <c r="H49" s="252">
        <f t="shared" si="5"/>
        <v>52000</v>
      </c>
      <c r="I49" s="252">
        <f t="shared" si="5"/>
        <v>57750</v>
      </c>
      <c r="J49" s="252">
        <f t="shared" si="5"/>
        <v>62400</v>
      </c>
      <c r="K49" s="252">
        <f t="shared" si="5"/>
        <v>67000</v>
      </c>
      <c r="L49" s="252">
        <f t="shared" si="5"/>
        <v>71650</v>
      </c>
      <c r="M49" s="252">
        <f t="shared" si="5"/>
        <v>76250</v>
      </c>
    </row>
    <row r="50" spans="1:13" ht="21.95" customHeight="1" x14ac:dyDescent="0.25">
      <c r="A50" s="36" t="s">
        <v>2904</v>
      </c>
      <c r="B50" s="36" t="str">
        <f t="shared" si="1"/>
        <v>AL_CLEBURNE COUNTY, AL</v>
      </c>
      <c r="D50" s="265" t="s">
        <v>103</v>
      </c>
      <c r="E50" s="266" t="s">
        <v>2998</v>
      </c>
      <c r="F50" s="252">
        <f t="shared" si="5"/>
        <v>44450</v>
      </c>
      <c r="G50" s="252">
        <f t="shared" si="5"/>
        <v>50800</v>
      </c>
      <c r="H50" s="252">
        <f t="shared" si="5"/>
        <v>57150</v>
      </c>
      <c r="I50" s="252">
        <f t="shared" si="5"/>
        <v>63500</v>
      </c>
      <c r="J50" s="252">
        <f t="shared" si="5"/>
        <v>68600</v>
      </c>
      <c r="K50" s="252">
        <f t="shared" si="5"/>
        <v>73700</v>
      </c>
      <c r="L50" s="252">
        <f t="shared" si="5"/>
        <v>78750</v>
      </c>
      <c r="M50" s="252">
        <f t="shared" si="5"/>
        <v>83850</v>
      </c>
    </row>
    <row r="51" spans="1:13" ht="21.95" customHeight="1" x14ac:dyDescent="0.25">
      <c r="A51" s="36" t="s">
        <v>2904</v>
      </c>
      <c r="B51" s="36" t="str">
        <f t="shared" si="1"/>
        <v>AL_COFFEE COUNTY, AL</v>
      </c>
      <c r="D51" s="265" t="s">
        <v>103</v>
      </c>
      <c r="E51" s="266" t="s">
        <v>2999</v>
      </c>
      <c r="F51" s="252">
        <f t="shared" si="5"/>
        <v>48400</v>
      </c>
      <c r="G51" s="252">
        <f t="shared" si="5"/>
        <v>55300</v>
      </c>
      <c r="H51" s="252">
        <f t="shared" si="5"/>
        <v>62200</v>
      </c>
      <c r="I51" s="252">
        <f t="shared" si="5"/>
        <v>69100</v>
      </c>
      <c r="J51" s="252">
        <f t="shared" si="5"/>
        <v>74650</v>
      </c>
      <c r="K51" s="252">
        <f t="shared" si="5"/>
        <v>80200</v>
      </c>
      <c r="L51" s="252">
        <f t="shared" si="5"/>
        <v>85700</v>
      </c>
      <c r="M51" s="252">
        <f t="shared" si="5"/>
        <v>91250</v>
      </c>
    </row>
    <row r="52" spans="1:13" ht="21.95" customHeight="1" x14ac:dyDescent="0.25">
      <c r="A52" s="36" t="s">
        <v>2904</v>
      </c>
      <c r="B52" s="36" t="str">
        <f t="shared" si="1"/>
        <v>AL_COLUMBUS, GA-AL HUD METRO FMR AREA</v>
      </c>
      <c r="D52" s="265" t="s">
        <v>103</v>
      </c>
      <c r="E52" s="266" t="s">
        <v>3000</v>
      </c>
      <c r="F52" s="252">
        <f t="shared" si="5"/>
        <v>43150</v>
      </c>
      <c r="G52" s="252">
        <f t="shared" si="5"/>
        <v>49300</v>
      </c>
      <c r="H52" s="252">
        <f t="shared" si="5"/>
        <v>55450</v>
      </c>
      <c r="I52" s="252">
        <f t="shared" si="5"/>
        <v>61600</v>
      </c>
      <c r="J52" s="252">
        <f t="shared" si="5"/>
        <v>66550</v>
      </c>
      <c r="K52" s="252">
        <f t="shared" si="5"/>
        <v>71500</v>
      </c>
      <c r="L52" s="252">
        <f t="shared" si="5"/>
        <v>76400</v>
      </c>
      <c r="M52" s="252">
        <f t="shared" si="5"/>
        <v>81350</v>
      </c>
    </row>
    <row r="53" spans="1:13" ht="21.95" customHeight="1" x14ac:dyDescent="0.25">
      <c r="A53" s="36" t="s">
        <v>2904</v>
      </c>
      <c r="B53" s="36" t="str">
        <f t="shared" si="1"/>
        <v>AL_CONECUH COUNTY, AL</v>
      </c>
      <c r="D53" s="265" t="s">
        <v>103</v>
      </c>
      <c r="E53" s="266" t="s">
        <v>3001</v>
      </c>
      <c r="F53" s="252">
        <f t="shared" si="5"/>
        <v>40450</v>
      </c>
      <c r="G53" s="252">
        <f t="shared" si="5"/>
        <v>46200</v>
      </c>
      <c r="H53" s="252">
        <f t="shared" si="5"/>
        <v>52000</v>
      </c>
      <c r="I53" s="252">
        <f t="shared" si="5"/>
        <v>57750</v>
      </c>
      <c r="J53" s="252">
        <f t="shared" si="5"/>
        <v>62400</v>
      </c>
      <c r="K53" s="252">
        <f t="shared" si="5"/>
        <v>67000</v>
      </c>
      <c r="L53" s="252">
        <f t="shared" si="5"/>
        <v>71650</v>
      </c>
      <c r="M53" s="252">
        <f t="shared" si="5"/>
        <v>76250</v>
      </c>
    </row>
    <row r="54" spans="1:13" ht="21.95" customHeight="1" x14ac:dyDescent="0.25">
      <c r="A54" s="36" t="s">
        <v>2904</v>
      </c>
      <c r="B54" s="36" t="str">
        <f t="shared" si="1"/>
        <v>AL_COOSA COUNTY, AL</v>
      </c>
      <c r="D54" s="265" t="s">
        <v>103</v>
      </c>
      <c r="E54" s="266" t="s">
        <v>3002</v>
      </c>
      <c r="F54" s="252">
        <f t="shared" si="5"/>
        <v>41400</v>
      </c>
      <c r="G54" s="252">
        <f t="shared" si="5"/>
        <v>47300</v>
      </c>
      <c r="H54" s="252">
        <f t="shared" si="5"/>
        <v>53200</v>
      </c>
      <c r="I54" s="252">
        <f t="shared" si="5"/>
        <v>59100</v>
      </c>
      <c r="J54" s="252">
        <f t="shared" si="5"/>
        <v>63850</v>
      </c>
      <c r="K54" s="252">
        <f t="shared" si="5"/>
        <v>68600</v>
      </c>
      <c r="L54" s="252">
        <f t="shared" si="5"/>
        <v>73300</v>
      </c>
      <c r="M54" s="252">
        <f t="shared" si="5"/>
        <v>78050</v>
      </c>
    </row>
    <row r="55" spans="1:13" ht="21.95" customHeight="1" x14ac:dyDescent="0.25">
      <c r="A55" s="36" t="s">
        <v>2904</v>
      </c>
      <c r="B55" s="36" t="str">
        <f t="shared" si="1"/>
        <v>AL_COVINGTON COUNTY, AL</v>
      </c>
      <c r="D55" s="265" t="s">
        <v>103</v>
      </c>
      <c r="E55" s="266" t="s">
        <v>3003</v>
      </c>
      <c r="F55" s="252">
        <f t="shared" si="5"/>
        <v>40700</v>
      </c>
      <c r="G55" s="252">
        <f t="shared" si="5"/>
        <v>46500</v>
      </c>
      <c r="H55" s="252">
        <f t="shared" si="5"/>
        <v>52300</v>
      </c>
      <c r="I55" s="252">
        <f t="shared" si="5"/>
        <v>58100</v>
      </c>
      <c r="J55" s="252">
        <f t="shared" si="5"/>
        <v>62750</v>
      </c>
      <c r="K55" s="252">
        <f t="shared" si="5"/>
        <v>67400</v>
      </c>
      <c r="L55" s="252">
        <f t="shared" si="5"/>
        <v>72050</v>
      </c>
      <c r="M55" s="252">
        <f t="shared" si="5"/>
        <v>76700</v>
      </c>
    </row>
    <row r="56" spans="1:13" ht="21.95" customHeight="1" x14ac:dyDescent="0.25">
      <c r="A56" s="36" t="s">
        <v>2904</v>
      </c>
      <c r="B56" s="36" t="str">
        <f t="shared" si="1"/>
        <v>AL_CRENSHAW COUNTY, AL</v>
      </c>
      <c r="D56" s="265" t="s">
        <v>103</v>
      </c>
      <c r="E56" s="266" t="s">
        <v>3004</v>
      </c>
      <c r="F56" s="252">
        <f t="shared" si="5"/>
        <v>40700</v>
      </c>
      <c r="G56" s="252">
        <f t="shared" si="5"/>
        <v>46500</v>
      </c>
      <c r="H56" s="252">
        <f t="shared" si="5"/>
        <v>52300</v>
      </c>
      <c r="I56" s="252">
        <f t="shared" si="5"/>
        <v>58100</v>
      </c>
      <c r="J56" s="252">
        <f t="shared" si="5"/>
        <v>62750</v>
      </c>
      <c r="K56" s="252">
        <f t="shared" si="5"/>
        <v>67400</v>
      </c>
      <c r="L56" s="252">
        <f t="shared" si="5"/>
        <v>72050</v>
      </c>
      <c r="M56" s="252">
        <f t="shared" si="5"/>
        <v>76700</v>
      </c>
    </row>
    <row r="57" spans="1:13" ht="21.95" customHeight="1" x14ac:dyDescent="0.25">
      <c r="A57" s="36" t="s">
        <v>2904</v>
      </c>
      <c r="B57" s="36" t="str">
        <f t="shared" si="1"/>
        <v>AL_CULLMAN COUNTY, AL</v>
      </c>
      <c r="D57" s="265" t="s">
        <v>103</v>
      </c>
      <c r="E57" s="266" t="s">
        <v>3005</v>
      </c>
      <c r="F57" s="252">
        <f t="shared" si="5"/>
        <v>45550</v>
      </c>
      <c r="G57" s="252">
        <f t="shared" si="5"/>
        <v>52050</v>
      </c>
      <c r="H57" s="252">
        <f t="shared" si="5"/>
        <v>58550</v>
      </c>
      <c r="I57" s="252">
        <f t="shared" si="5"/>
        <v>65050</v>
      </c>
      <c r="J57" s="252">
        <f t="shared" si="5"/>
        <v>70300</v>
      </c>
      <c r="K57" s="252">
        <f t="shared" si="5"/>
        <v>75500</v>
      </c>
      <c r="L57" s="252">
        <f t="shared" si="5"/>
        <v>80700</v>
      </c>
      <c r="M57" s="252">
        <f t="shared" si="5"/>
        <v>85900</v>
      </c>
    </row>
    <row r="58" spans="1:13" ht="21.95" customHeight="1" x14ac:dyDescent="0.25">
      <c r="A58" s="36" t="s">
        <v>2904</v>
      </c>
      <c r="B58" s="36" t="str">
        <f t="shared" si="1"/>
        <v>AL_DALE COUNTY, AL</v>
      </c>
      <c r="D58" s="265" t="s">
        <v>103</v>
      </c>
      <c r="E58" s="266" t="s">
        <v>3006</v>
      </c>
      <c r="F58" s="252">
        <f t="shared" ref="F58:M73" si="6">VLOOKUP($B58,LOOKUP_AMI_TABLE,5+((F$7-1)),FALSE)</f>
        <v>42250</v>
      </c>
      <c r="G58" s="252">
        <f t="shared" si="6"/>
        <v>48250</v>
      </c>
      <c r="H58" s="252">
        <f t="shared" si="6"/>
        <v>54300</v>
      </c>
      <c r="I58" s="252">
        <f t="shared" si="6"/>
        <v>60300</v>
      </c>
      <c r="J58" s="252">
        <f t="shared" si="6"/>
        <v>65150</v>
      </c>
      <c r="K58" s="252">
        <f t="shared" si="6"/>
        <v>69950</v>
      </c>
      <c r="L58" s="252">
        <f t="shared" si="6"/>
        <v>74800</v>
      </c>
      <c r="M58" s="252">
        <f t="shared" si="6"/>
        <v>79600</v>
      </c>
    </row>
    <row r="59" spans="1:13" ht="21.95" customHeight="1" x14ac:dyDescent="0.25">
      <c r="A59" s="36" t="s">
        <v>2904</v>
      </c>
      <c r="B59" s="36" t="str">
        <f t="shared" si="1"/>
        <v>AL_DALLAS COUNTY, AL</v>
      </c>
      <c r="D59" s="265" t="s">
        <v>103</v>
      </c>
      <c r="E59" s="266" t="s">
        <v>3007</v>
      </c>
      <c r="F59" s="252">
        <f t="shared" si="6"/>
        <v>40450</v>
      </c>
      <c r="G59" s="252">
        <f t="shared" si="6"/>
        <v>46200</v>
      </c>
      <c r="H59" s="252">
        <f t="shared" si="6"/>
        <v>52000</v>
      </c>
      <c r="I59" s="252">
        <f t="shared" si="6"/>
        <v>57750</v>
      </c>
      <c r="J59" s="252">
        <f t="shared" si="6"/>
        <v>62400</v>
      </c>
      <c r="K59" s="252">
        <f t="shared" si="6"/>
        <v>67000</v>
      </c>
      <c r="L59" s="252">
        <f t="shared" si="6"/>
        <v>71650</v>
      </c>
      <c r="M59" s="252">
        <f t="shared" si="6"/>
        <v>76250</v>
      </c>
    </row>
    <row r="60" spans="1:13" ht="21.95" customHeight="1" x14ac:dyDescent="0.25">
      <c r="A60" s="36" t="s">
        <v>2904</v>
      </c>
      <c r="B60" s="36" t="str">
        <f t="shared" ref="B60:B123" si="7">UPPER(TRIM(D60)&amp;"_"&amp;TRIM(E60))</f>
        <v>AL_DAPHNE-FAIRHOPE-FOLEY, AL MSA</v>
      </c>
      <c r="D60" s="265" t="s">
        <v>103</v>
      </c>
      <c r="E60" s="266" t="s">
        <v>3008</v>
      </c>
      <c r="F60" s="252">
        <f t="shared" si="6"/>
        <v>52100</v>
      </c>
      <c r="G60" s="252">
        <f t="shared" si="6"/>
        <v>59550</v>
      </c>
      <c r="H60" s="252">
        <f t="shared" si="6"/>
        <v>67000</v>
      </c>
      <c r="I60" s="252">
        <f t="shared" si="6"/>
        <v>74400</v>
      </c>
      <c r="J60" s="252">
        <f t="shared" si="6"/>
        <v>80400</v>
      </c>
      <c r="K60" s="252">
        <f t="shared" si="6"/>
        <v>86350</v>
      </c>
      <c r="L60" s="252">
        <f t="shared" si="6"/>
        <v>92300</v>
      </c>
      <c r="M60" s="252">
        <f t="shared" si="6"/>
        <v>98250</v>
      </c>
    </row>
    <row r="61" spans="1:13" ht="21.95" customHeight="1" x14ac:dyDescent="0.25">
      <c r="A61" s="36" t="s">
        <v>2904</v>
      </c>
      <c r="B61" s="36" t="str">
        <f t="shared" si="7"/>
        <v>AL_DECATUR, AL MSA</v>
      </c>
      <c r="D61" s="265" t="s">
        <v>103</v>
      </c>
      <c r="E61" s="266" t="s">
        <v>3009</v>
      </c>
      <c r="F61" s="252">
        <f t="shared" si="6"/>
        <v>50200</v>
      </c>
      <c r="G61" s="252">
        <f t="shared" si="6"/>
        <v>57400</v>
      </c>
      <c r="H61" s="252">
        <f t="shared" si="6"/>
        <v>64550</v>
      </c>
      <c r="I61" s="252">
        <f t="shared" si="6"/>
        <v>71700</v>
      </c>
      <c r="J61" s="252">
        <f t="shared" si="6"/>
        <v>77450</v>
      </c>
      <c r="K61" s="252">
        <f t="shared" si="6"/>
        <v>83200</v>
      </c>
      <c r="L61" s="252">
        <f t="shared" si="6"/>
        <v>88950</v>
      </c>
      <c r="M61" s="252">
        <f t="shared" si="6"/>
        <v>94650</v>
      </c>
    </row>
    <row r="62" spans="1:13" ht="21.95" customHeight="1" x14ac:dyDescent="0.25">
      <c r="A62" s="36" t="s">
        <v>2904</v>
      </c>
      <c r="B62" s="36" t="str">
        <f t="shared" si="7"/>
        <v>AL_DEKALB COUNTY, AL</v>
      </c>
      <c r="D62" s="265" t="s">
        <v>103</v>
      </c>
      <c r="E62" s="266" t="s">
        <v>3010</v>
      </c>
      <c r="F62" s="252">
        <f t="shared" si="6"/>
        <v>40450</v>
      </c>
      <c r="G62" s="252">
        <f t="shared" si="6"/>
        <v>46200</v>
      </c>
      <c r="H62" s="252">
        <f t="shared" si="6"/>
        <v>52000</v>
      </c>
      <c r="I62" s="252">
        <f t="shared" si="6"/>
        <v>57750</v>
      </c>
      <c r="J62" s="252">
        <f t="shared" si="6"/>
        <v>62400</v>
      </c>
      <c r="K62" s="252">
        <f t="shared" si="6"/>
        <v>67000</v>
      </c>
      <c r="L62" s="252">
        <f t="shared" si="6"/>
        <v>71650</v>
      </c>
      <c r="M62" s="252">
        <f t="shared" si="6"/>
        <v>76250</v>
      </c>
    </row>
    <row r="63" spans="1:13" ht="21.95" customHeight="1" x14ac:dyDescent="0.25">
      <c r="A63" s="36" t="s">
        <v>2904</v>
      </c>
      <c r="B63" s="36" t="str">
        <f t="shared" si="7"/>
        <v>AL_DOTHAN, AL HUD METRO FMR AREA</v>
      </c>
      <c r="D63" s="265" t="s">
        <v>103</v>
      </c>
      <c r="E63" s="266" t="s">
        <v>3011</v>
      </c>
      <c r="F63" s="252">
        <f t="shared" si="6"/>
        <v>43800</v>
      </c>
      <c r="G63" s="252">
        <f t="shared" si="6"/>
        <v>50050</v>
      </c>
      <c r="H63" s="252">
        <f t="shared" si="6"/>
        <v>56300</v>
      </c>
      <c r="I63" s="252">
        <f t="shared" si="6"/>
        <v>62550</v>
      </c>
      <c r="J63" s="252">
        <f t="shared" si="6"/>
        <v>67600</v>
      </c>
      <c r="K63" s="252">
        <f t="shared" si="6"/>
        <v>72600</v>
      </c>
      <c r="L63" s="252">
        <f t="shared" si="6"/>
        <v>77600</v>
      </c>
      <c r="M63" s="252">
        <f t="shared" si="6"/>
        <v>82600</v>
      </c>
    </row>
    <row r="64" spans="1:13" ht="21.95" customHeight="1" x14ac:dyDescent="0.25">
      <c r="A64" s="36" t="s">
        <v>2904</v>
      </c>
      <c r="B64" s="36" t="str">
        <f t="shared" si="7"/>
        <v>AL_ESCAMBIA COUNTY, AL</v>
      </c>
      <c r="D64" s="265" t="s">
        <v>103</v>
      </c>
      <c r="E64" s="266" t="s">
        <v>3012</v>
      </c>
      <c r="F64" s="252">
        <f t="shared" si="6"/>
        <v>40450</v>
      </c>
      <c r="G64" s="252">
        <f t="shared" si="6"/>
        <v>46200</v>
      </c>
      <c r="H64" s="252">
        <f t="shared" si="6"/>
        <v>52000</v>
      </c>
      <c r="I64" s="252">
        <f t="shared" si="6"/>
        <v>57750</v>
      </c>
      <c r="J64" s="252">
        <f t="shared" si="6"/>
        <v>62400</v>
      </c>
      <c r="K64" s="252">
        <f t="shared" si="6"/>
        <v>67000</v>
      </c>
      <c r="L64" s="252">
        <f t="shared" si="6"/>
        <v>71650</v>
      </c>
      <c r="M64" s="252">
        <f t="shared" si="6"/>
        <v>76250</v>
      </c>
    </row>
    <row r="65" spans="1:13" ht="21.95" customHeight="1" x14ac:dyDescent="0.25">
      <c r="A65" s="36" t="s">
        <v>2904</v>
      </c>
      <c r="B65" s="36" t="str">
        <f t="shared" si="7"/>
        <v>AL_FAYETTE COUNTY, AL</v>
      </c>
      <c r="D65" s="265" t="s">
        <v>103</v>
      </c>
      <c r="E65" s="266" t="s">
        <v>3013</v>
      </c>
      <c r="F65" s="252">
        <f t="shared" si="6"/>
        <v>40500</v>
      </c>
      <c r="G65" s="252">
        <f t="shared" si="6"/>
        <v>46250</v>
      </c>
      <c r="H65" s="252">
        <f t="shared" si="6"/>
        <v>52050</v>
      </c>
      <c r="I65" s="252">
        <f t="shared" si="6"/>
        <v>57800</v>
      </c>
      <c r="J65" s="252">
        <f t="shared" si="6"/>
        <v>62450</v>
      </c>
      <c r="K65" s="252">
        <f t="shared" si="6"/>
        <v>67050</v>
      </c>
      <c r="L65" s="252">
        <f t="shared" si="6"/>
        <v>71700</v>
      </c>
      <c r="M65" s="252">
        <f t="shared" si="6"/>
        <v>76300</v>
      </c>
    </row>
    <row r="66" spans="1:13" ht="21.95" customHeight="1" x14ac:dyDescent="0.25">
      <c r="A66" s="36" t="s">
        <v>2904</v>
      </c>
      <c r="B66" s="36" t="str">
        <f t="shared" si="7"/>
        <v>AL_FLORENCE-MUSCLE SHOALS, AL MSA</v>
      </c>
      <c r="D66" s="265" t="s">
        <v>103</v>
      </c>
      <c r="E66" s="266" t="s">
        <v>3014</v>
      </c>
      <c r="F66" s="252">
        <f t="shared" si="6"/>
        <v>46150</v>
      </c>
      <c r="G66" s="252">
        <f t="shared" si="6"/>
        <v>52750</v>
      </c>
      <c r="H66" s="252">
        <f t="shared" si="6"/>
        <v>59350</v>
      </c>
      <c r="I66" s="252">
        <f t="shared" si="6"/>
        <v>65900</v>
      </c>
      <c r="J66" s="252">
        <f t="shared" si="6"/>
        <v>71200</v>
      </c>
      <c r="K66" s="252">
        <f t="shared" si="6"/>
        <v>76450</v>
      </c>
      <c r="L66" s="252">
        <f t="shared" si="6"/>
        <v>81750</v>
      </c>
      <c r="M66" s="252">
        <f t="shared" si="6"/>
        <v>87000</v>
      </c>
    </row>
    <row r="67" spans="1:13" ht="21.95" customHeight="1" x14ac:dyDescent="0.25">
      <c r="A67" s="36" t="s">
        <v>2904</v>
      </c>
      <c r="B67" s="36" t="str">
        <f t="shared" si="7"/>
        <v>AL_FRANKLIN COUNTY, AL</v>
      </c>
      <c r="D67" s="265" t="s">
        <v>103</v>
      </c>
      <c r="E67" s="266" t="s">
        <v>3015</v>
      </c>
      <c r="F67" s="252">
        <f t="shared" si="6"/>
        <v>40450</v>
      </c>
      <c r="G67" s="252">
        <f t="shared" si="6"/>
        <v>46200</v>
      </c>
      <c r="H67" s="252">
        <f t="shared" si="6"/>
        <v>52000</v>
      </c>
      <c r="I67" s="252">
        <f t="shared" si="6"/>
        <v>57750</v>
      </c>
      <c r="J67" s="252">
        <f t="shared" si="6"/>
        <v>62400</v>
      </c>
      <c r="K67" s="252">
        <f t="shared" si="6"/>
        <v>67000</v>
      </c>
      <c r="L67" s="252">
        <f t="shared" si="6"/>
        <v>71650</v>
      </c>
      <c r="M67" s="252">
        <f t="shared" si="6"/>
        <v>76250</v>
      </c>
    </row>
    <row r="68" spans="1:13" ht="21.95" customHeight="1" x14ac:dyDescent="0.25">
      <c r="A68" s="36" t="s">
        <v>2904</v>
      </c>
      <c r="B68" s="36" t="str">
        <f t="shared" si="7"/>
        <v>AL_GADSDEN, AL MSA</v>
      </c>
      <c r="D68" s="265" t="s">
        <v>103</v>
      </c>
      <c r="E68" s="266" t="s">
        <v>3016</v>
      </c>
      <c r="F68" s="252">
        <f t="shared" si="6"/>
        <v>40700</v>
      </c>
      <c r="G68" s="252">
        <f t="shared" si="6"/>
        <v>46500</v>
      </c>
      <c r="H68" s="252">
        <f t="shared" si="6"/>
        <v>52300</v>
      </c>
      <c r="I68" s="252">
        <f t="shared" si="6"/>
        <v>58100</v>
      </c>
      <c r="J68" s="252">
        <f t="shared" si="6"/>
        <v>62750</v>
      </c>
      <c r="K68" s="252">
        <f t="shared" si="6"/>
        <v>67400</v>
      </c>
      <c r="L68" s="252">
        <f t="shared" si="6"/>
        <v>72050</v>
      </c>
      <c r="M68" s="252">
        <f t="shared" si="6"/>
        <v>76700</v>
      </c>
    </row>
    <row r="69" spans="1:13" ht="21.95" customHeight="1" x14ac:dyDescent="0.25">
      <c r="A69" s="36" t="s">
        <v>2904</v>
      </c>
      <c r="B69" s="36" t="str">
        <f t="shared" si="7"/>
        <v>AL_GREENE COUNTY, AL HUD METRO FMR AREA</v>
      </c>
      <c r="D69" s="265" t="s">
        <v>103</v>
      </c>
      <c r="E69" s="266" t="s">
        <v>3017</v>
      </c>
      <c r="F69" s="252">
        <f t="shared" si="6"/>
        <v>40450</v>
      </c>
      <c r="G69" s="252">
        <f t="shared" si="6"/>
        <v>46200</v>
      </c>
      <c r="H69" s="252">
        <f t="shared" si="6"/>
        <v>52000</v>
      </c>
      <c r="I69" s="252">
        <f t="shared" si="6"/>
        <v>57750</v>
      </c>
      <c r="J69" s="252">
        <f t="shared" si="6"/>
        <v>62400</v>
      </c>
      <c r="K69" s="252">
        <f t="shared" si="6"/>
        <v>67000</v>
      </c>
      <c r="L69" s="252">
        <f t="shared" si="6"/>
        <v>71650</v>
      </c>
      <c r="M69" s="252">
        <f t="shared" si="6"/>
        <v>76250</v>
      </c>
    </row>
    <row r="70" spans="1:13" ht="21.95" customHeight="1" x14ac:dyDescent="0.25">
      <c r="A70" s="36" t="s">
        <v>2904</v>
      </c>
      <c r="B70" s="36" t="str">
        <f t="shared" si="7"/>
        <v>AL_HENRY COUNTY, AL HUD METRO FMR AREA</v>
      </c>
      <c r="D70" s="265" t="s">
        <v>103</v>
      </c>
      <c r="E70" s="266" t="s">
        <v>3018</v>
      </c>
      <c r="F70" s="252">
        <f t="shared" si="6"/>
        <v>47900</v>
      </c>
      <c r="G70" s="252">
        <f t="shared" si="6"/>
        <v>54750</v>
      </c>
      <c r="H70" s="252">
        <f t="shared" si="6"/>
        <v>61600</v>
      </c>
      <c r="I70" s="252">
        <f t="shared" si="6"/>
        <v>68400</v>
      </c>
      <c r="J70" s="252">
        <f t="shared" si="6"/>
        <v>73900</v>
      </c>
      <c r="K70" s="252">
        <f t="shared" si="6"/>
        <v>79350</v>
      </c>
      <c r="L70" s="252">
        <f t="shared" si="6"/>
        <v>84850</v>
      </c>
      <c r="M70" s="252">
        <f t="shared" si="6"/>
        <v>90300</v>
      </c>
    </row>
    <row r="71" spans="1:13" ht="21.95" customHeight="1" x14ac:dyDescent="0.25">
      <c r="A71" s="36" t="s">
        <v>2904</v>
      </c>
      <c r="B71" s="36" t="str">
        <f t="shared" si="7"/>
        <v>AL_HUNTSVILLE, AL MSA</v>
      </c>
      <c r="D71" s="265" t="s">
        <v>103</v>
      </c>
      <c r="E71" s="266" t="s">
        <v>3019</v>
      </c>
      <c r="F71" s="252">
        <f t="shared" si="6"/>
        <v>64700</v>
      </c>
      <c r="G71" s="252">
        <f t="shared" si="6"/>
        <v>73950</v>
      </c>
      <c r="H71" s="252">
        <f t="shared" si="6"/>
        <v>83200</v>
      </c>
      <c r="I71" s="252">
        <f t="shared" si="6"/>
        <v>92400</v>
      </c>
      <c r="J71" s="252">
        <f t="shared" si="6"/>
        <v>99800</v>
      </c>
      <c r="K71" s="252">
        <f t="shared" si="6"/>
        <v>107200</v>
      </c>
      <c r="L71" s="252">
        <f t="shared" si="6"/>
        <v>114600</v>
      </c>
      <c r="M71" s="252">
        <f t="shared" si="6"/>
        <v>122000</v>
      </c>
    </row>
    <row r="72" spans="1:13" ht="21.95" customHeight="1" x14ac:dyDescent="0.25">
      <c r="A72" s="36" t="s">
        <v>2904</v>
      </c>
      <c r="B72" s="36" t="str">
        <f t="shared" si="7"/>
        <v>AL_JACKSON COUNTY, AL</v>
      </c>
      <c r="D72" s="265" t="s">
        <v>103</v>
      </c>
      <c r="E72" s="266" t="s">
        <v>3020</v>
      </c>
      <c r="F72" s="252">
        <f t="shared" si="6"/>
        <v>40450</v>
      </c>
      <c r="G72" s="252">
        <f t="shared" si="6"/>
        <v>46200</v>
      </c>
      <c r="H72" s="252">
        <f t="shared" si="6"/>
        <v>52000</v>
      </c>
      <c r="I72" s="252">
        <f t="shared" si="6"/>
        <v>57750</v>
      </c>
      <c r="J72" s="252">
        <f t="shared" si="6"/>
        <v>62400</v>
      </c>
      <c r="K72" s="252">
        <f t="shared" si="6"/>
        <v>67000</v>
      </c>
      <c r="L72" s="252">
        <f t="shared" si="6"/>
        <v>71650</v>
      </c>
      <c r="M72" s="252">
        <f t="shared" si="6"/>
        <v>76250</v>
      </c>
    </row>
    <row r="73" spans="1:13" ht="21.95" customHeight="1" x14ac:dyDescent="0.25">
      <c r="A73" s="36" t="s">
        <v>2904</v>
      </c>
      <c r="B73" s="36" t="str">
        <f t="shared" si="7"/>
        <v>AL_LAMAR COUNTY, AL</v>
      </c>
      <c r="D73" s="265" t="s">
        <v>103</v>
      </c>
      <c r="E73" s="266" t="s">
        <v>3021</v>
      </c>
      <c r="F73" s="252">
        <f t="shared" si="6"/>
        <v>40700</v>
      </c>
      <c r="G73" s="252">
        <f t="shared" si="6"/>
        <v>46500</v>
      </c>
      <c r="H73" s="252">
        <f t="shared" si="6"/>
        <v>52300</v>
      </c>
      <c r="I73" s="252">
        <f t="shared" si="6"/>
        <v>58100</v>
      </c>
      <c r="J73" s="252">
        <f t="shared" si="6"/>
        <v>62750</v>
      </c>
      <c r="K73" s="252">
        <f t="shared" si="6"/>
        <v>67400</v>
      </c>
      <c r="L73" s="252">
        <f t="shared" si="6"/>
        <v>72050</v>
      </c>
      <c r="M73" s="252">
        <f t="shared" si="6"/>
        <v>76700</v>
      </c>
    </row>
    <row r="74" spans="1:13" ht="21.95" customHeight="1" x14ac:dyDescent="0.25">
      <c r="A74" s="36" t="s">
        <v>2904</v>
      </c>
      <c r="B74" s="36" t="str">
        <f t="shared" si="7"/>
        <v>AL_MACON COUNTY, AL HUD METRO FMR AREA</v>
      </c>
      <c r="D74" s="265" t="s">
        <v>103</v>
      </c>
      <c r="E74" s="266" t="s">
        <v>9083</v>
      </c>
      <c r="F74" s="252">
        <f t="shared" ref="F74:M105" si="8">VLOOKUP($B74,LOOKUP_AMI_TABLE,5+((F$7-1)),FALSE)</f>
        <v>40450</v>
      </c>
      <c r="G74" s="252">
        <f t="shared" si="8"/>
        <v>46200</v>
      </c>
      <c r="H74" s="252">
        <f t="shared" si="8"/>
        <v>52000</v>
      </c>
      <c r="I74" s="252">
        <f t="shared" si="8"/>
        <v>57750</v>
      </c>
      <c r="J74" s="252">
        <f t="shared" si="8"/>
        <v>62400</v>
      </c>
      <c r="K74" s="252">
        <f t="shared" si="8"/>
        <v>67000</v>
      </c>
      <c r="L74" s="252">
        <f t="shared" si="8"/>
        <v>71650</v>
      </c>
      <c r="M74" s="252">
        <f t="shared" si="8"/>
        <v>76250</v>
      </c>
    </row>
    <row r="75" spans="1:13" ht="21.95" customHeight="1" x14ac:dyDescent="0.25">
      <c r="A75" s="36" t="s">
        <v>2904</v>
      </c>
      <c r="B75" s="36" t="str">
        <f t="shared" si="7"/>
        <v>AL_MARENGO COUNTY, AL</v>
      </c>
      <c r="D75" s="265" t="s">
        <v>103</v>
      </c>
      <c r="E75" s="266" t="s">
        <v>3022</v>
      </c>
      <c r="F75" s="252">
        <f t="shared" si="8"/>
        <v>43550</v>
      </c>
      <c r="G75" s="252">
        <f t="shared" si="8"/>
        <v>49750</v>
      </c>
      <c r="H75" s="252">
        <f t="shared" si="8"/>
        <v>55950</v>
      </c>
      <c r="I75" s="252">
        <f t="shared" si="8"/>
        <v>62150</v>
      </c>
      <c r="J75" s="252">
        <f t="shared" si="8"/>
        <v>67150</v>
      </c>
      <c r="K75" s="252">
        <f t="shared" si="8"/>
        <v>72100</v>
      </c>
      <c r="L75" s="252">
        <f t="shared" si="8"/>
        <v>77100</v>
      </c>
      <c r="M75" s="252">
        <f t="shared" si="8"/>
        <v>82050</v>
      </c>
    </row>
    <row r="76" spans="1:13" ht="21.95" customHeight="1" x14ac:dyDescent="0.25">
      <c r="A76" s="36" t="s">
        <v>2904</v>
      </c>
      <c r="B76" s="36" t="str">
        <f t="shared" si="7"/>
        <v>AL_MARION COUNTY, AL</v>
      </c>
      <c r="D76" s="265" t="s">
        <v>103</v>
      </c>
      <c r="E76" s="266" t="s">
        <v>3023</v>
      </c>
      <c r="F76" s="252">
        <f t="shared" si="8"/>
        <v>40700</v>
      </c>
      <c r="G76" s="252">
        <f t="shared" si="8"/>
        <v>46500</v>
      </c>
      <c r="H76" s="252">
        <f t="shared" si="8"/>
        <v>52300</v>
      </c>
      <c r="I76" s="252">
        <f t="shared" si="8"/>
        <v>58100</v>
      </c>
      <c r="J76" s="252">
        <f t="shared" si="8"/>
        <v>62750</v>
      </c>
      <c r="K76" s="252">
        <f t="shared" si="8"/>
        <v>67400</v>
      </c>
      <c r="L76" s="252">
        <f t="shared" si="8"/>
        <v>72050</v>
      </c>
      <c r="M76" s="252">
        <f t="shared" si="8"/>
        <v>76700</v>
      </c>
    </row>
    <row r="77" spans="1:13" ht="21.95" customHeight="1" x14ac:dyDescent="0.25">
      <c r="A77" s="36" t="s">
        <v>2904</v>
      </c>
      <c r="B77" s="36" t="str">
        <f t="shared" si="7"/>
        <v>AL_MARSHALL COUNTY, AL</v>
      </c>
      <c r="D77" s="265" t="s">
        <v>103</v>
      </c>
      <c r="E77" s="266" t="s">
        <v>3024</v>
      </c>
      <c r="F77" s="252">
        <f t="shared" si="8"/>
        <v>41650</v>
      </c>
      <c r="G77" s="252">
        <f t="shared" si="8"/>
        <v>47600</v>
      </c>
      <c r="H77" s="252">
        <f t="shared" si="8"/>
        <v>53550</v>
      </c>
      <c r="I77" s="252">
        <f t="shared" si="8"/>
        <v>59500</v>
      </c>
      <c r="J77" s="252">
        <f t="shared" si="8"/>
        <v>64300</v>
      </c>
      <c r="K77" s="252">
        <f t="shared" si="8"/>
        <v>69050</v>
      </c>
      <c r="L77" s="252">
        <f t="shared" si="8"/>
        <v>73800</v>
      </c>
      <c r="M77" s="252">
        <f t="shared" si="8"/>
        <v>78550</v>
      </c>
    </row>
    <row r="78" spans="1:13" ht="21.95" customHeight="1" x14ac:dyDescent="0.25">
      <c r="A78" s="36" t="s">
        <v>2904</v>
      </c>
      <c r="B78" s="36" t="str">
        <f t="shared" si="7"/>
        <v>AL_MOBILE, AL MSA</v>
      </c>
      <c r="D78" s="265" t="s">
        <v>103</v>
      </c>
      <c r="E78" s="266" t="s">
        <v>9084</v>
      </c>
      <c r="F78" s="252">
        <f t="shared" si="8"/>
        <v>45650</v>
      </c>
      <c r="G78" s="252">
        <f t="shared" si="8"/>
        <v>52200</v>
      </c>
      <c r="H78" s="252">
        <f t="shared" si="8"/>
        <v>58700</v>
      </c>
      <c r="I78" s="252">
        <f t="shared" si="8"/>
        <v>65200</v>
      </c>
      <c r="J78" s="252">
        <f t="shared" si="8"/>
        <v>70450</v>
      </c>
      <c r="K78" s="252">
        <f t="shared" si="8"/>
        <v>75650</v>
      </c>
      <c r="L78" s="252">
        <f t="shared" si="8"/>
        <v>80850</v>
      </c>
      <c r="M78" s="252">
        <f t="shared" si="8"/>
        <v>86100</v>
      </c>
    </row>
    <row r="79" spans="1:13" ht="21.95" customHeight="1" x14ac:dyDescent="0.25">
      <c r="A79" s="36" t="s">
        <v>2904</v>
      </c>
      <c r="B79" s="36" t="str">
        <f t="shared" si="7"/>
        <v>AL_MONROE COUNTY, AL</v>
      </c>
      <c r="D79" s="265" t="s">
        <v>103</v>
      </c>
      <c r="E79" s="266" t="s">
        <v>3025</v>
      </c>
      <c r="F79" s="252">
        <f t="shared" si="8"/>
        <v>40450</v>
      </c>
      <c r="G79" s="252">
        <f t="shared" si="8"/>
        <v>46200</v>
      </c>
      <c r="H79" s="252">
        <f t="shared" si="8"/>
        <v>52000</v>
      </c>
      <c r="I79" s="252">
        <f t="shared" si="8"/>
        <v>57750</v>
      </c>
      <c r="J79" s="252">
        <f t="shared" si="8"/>
        <v>62400</v>
      </c>
      <c r="K79" s="252">
        <f t="shared" si="8"/>
        <v>67000</v>
      </c>
      <c r="L79" s="252">
        <f t="shared" si="8"/>
        <v>71650</v>
      </c>
      <c r="M79" s="252">
        <f t="shared" si="8"/>
        <v>76250</v>
      </c>
    </row>
    <row r="80" spans="1:13" ht="21.95" customHeight="1" x14ac:dyDescent="0.25">
      <c r="A80" s="36" t="s">
        <v>2904</v>
      </c>
      <c r="B80" s="36" t="str">
        <f t="shared" si="7"/>
        <v>AL_MONTGOMERY, AL MSA</v>
      </c>
      <c r="D80" s="265" t="s">
        <v>103</v>
      </c>
      <c r="E80" s="266" t="s">
        <v>3026</v>
      </c>
      <c r="F80" s="252">
        <f t="shared" si="8"/>
        <v>46850</v>
      </c>
      <c r="G80" s="252">
        <f t="shared" si="8"/>
        <v>53550</v>
      </c>
      <c r="H80" s="252">
        <f t="shared" si="8"/>
        <v>60250</v>
      </c>
      <c r="I80" s="252">
        <f t="shared" si="8"/>
        <v>66900</v>
      </c>
      <c r="J80" s="252">
        <f t="shared" si="8"/>
        <v>72300</v>
      </c>
      <c r="K80" s="252">
        <f t="shared" si="8"/>
        <v>77650</v>
      </c>
      <c r="L80" s="252">
        <f t="shared" si="8"/>
        <v>83000</v>
      </c>
      <c r="M80" s="252">
        <f t="shared" si="8"/>
        <v>88350</v>
      </c>
    </row>
    <row r="81" spans="1:13" ht="21.95" customHeight="1" x14ac:dyDescent="0.25">
      <c r="A81" s="36" t="s">
        <v>2904</v>
      </c>
      <c r="B81" s="36" t="str">
        <f t="shared" si="7"/>
        <v>AL_PERRY COUNTY, AL</v>
      </c>
      <c r="D81" s="265" t="s">
        <v>103</v>
      </c>
      <c r="E81" s="266" t="s">
        <v>3027</v>
      </c>
      <c r="F81" s="252">
        <f t="shared" si="8"/>
        <v>40450</v>
      </c>
      <c r="G81" s="252">
        <f t="shared" si="8"/>
        <v>46200</v>
      </c>
      <c r="H81" s="252">
        <f t="shared" si="8"/>
        <v>52000</v>
      </c>
      <c r="I81" s="252">
        <f t="shared" si="8"/>
        <v>57750</v>
      </c>
      <c r="J81" s="252">
        <f t="shared" si="8"/>
        <v>62400</v>
      </c>
      <c r="K81" s="252">
        <f t="shared" si="8"/>
        <v>67000</v>
      </c>
      <c r="L81" s="252">
        <f t="shared" si="8"/>
        <v>71650</v>
      </c>
      <c r="M81" s="252">
        <f t="shared" si="8"/>
        <v>76250</v>
      </c>
    </row>
    <row r="82" spans="1:13" ht="21.95" customHeight="1" x14ac:dyDescent="0.25">
      <c r="A82" s="36" t="s">
        <v>2904</v>
      </c>
      <c r="B82" s="36" t="str">
        <f t="shared" si="7"/>
        <v>AL_PICKENS COUNTY, AL HUD METRO FMR AREA</v>
      </c>
      <c r="D82" s="265" t="s">
        <v>103</v>
      </c>
      <c r="E82" s="266" t="s">
        <v>3028</v>
      </c>
      <c r="F82" s="252">
        <f t="shared" si="8"/>
        <v>40450</v>
      </c>
      <c r="G82" s="252">
        <f t="shared" si="8"/>
        <v>46200</v>
      </c>
      <c r="H82" s="252">
        <f t="shared" si="8"/>
        <v>52000</v>
      </c>
      <c r="I82" s="252">
        <f t="shared" si="8"/>
        <v>57750</v>
      </c>
      <c r="J82" s="252">
        <f t="shared" si="8"/>
        <v>62400</v>
      </c>
      <c r="K82" s="252">
        <f t="shared" si="8"/>
        <v>67000</v>
      </c>
      <c r="L82" s="252">
        <f t="shared" si="8"/>
        <v>71650</v>
      </c>
      <c r="M82" s="252">
        <f t="shared" si="8"/>
        <v>76250</v>
      </c>
    </row>
    <row r="83" spans="1:13" ht="21.95" customHeight="1" x14ac:dyDescent="0.25">
      <c r="A83" s="36" t="s">
        <v>2904</v>
      </c>
      <c r="B83" s="36" t="str">
        <f t="shared" si="7"/>
        <v>AL_PIKE COUNTY, AL</v>
      </c>
      <c r="D83" s="265" t="s">
        <v>103</v>
      </c>
      <c r="E83" s="266" t="s">
        <v>3029</v>
      </c>
      <c r="F83" s="252">
        <f t="shared" si="8"/>
        <v>43550</v>
      </c>
      <c r="G83" s="252">
        <f t="shared" si="8"/>
        <v>49750</v>
      </c>
      <c r="H83" s="252">
        <f t="shared" si="8"/>
        <v>55950</v>
      </c>
      <c r="I83" s="252">
        <f t="shared" si="8"/>
        <v>62150</v>
      </c>
      <c r="J83" s="252">
        <f t="shared" si="8"/>
        <v>67150</v>
      </c>
      <c r="K83" s="252">
        <f t="shared" si="8"/>
        <v>72100</v>
      </c>
      <c r="L83" s="252">
        <f t="shared" si="8"/>
        <v>77100</v>
      </c>
      <c r="M83" s="252">
        <f t="shared" si="8"/>
        <v>82050</v>
      </c>
    </row>
    <row r="84" spans="1:13" ht="21.95" customHeight="1" x14ac:dyDescent="0.25">
      <c r="A84" s="36" t="s">
        <v>2904</v>
      </c>
      <c r="B84" s="36" t="str">
        <f t="shared" si="7"/>
        <v>AL_RANDOLPH COUNTY, AL</v>
      </c>
      <c r="D84" s="265" t="s">
        <v>103</v>
      </c>
      <c r="E84" s="266" t="s">
        <v>3030</v>
      </c>
      <c r="F84" s="252">
        <f t="shared" si="8"/>
        <v>40500</v>
      </c>
      <c r="G84" s="252">
        <f t="shared" si="8"/>
        <v>46250</v>
      </c>
      <c r="H84" s="252">
        <f t="shared" si="8"/>
        <v>52050</v>
      </c>
      <c r="I84" s="252">
        <f t="shared" si="8"/>
        <v>57800</v>
      </c>
      <c r="J84" s="252">
        <f t="shared" si="8"/>
        <v>62450</v>
      </c>
      <c r="K84" s="252">
        <f t="shared" si="8"/>
        <v>67050</v>
      </c>
      <c r="L84" s="252">
        <f t="shared" si="8"/>
        <v>71700</v>
      </c>
      <c r="M84" s="252">
        <f t="shared" si="8"/>
        <v>76300</v>
      </c>
    </row>
    <row r="85" spans="1:13" ht="21.95" customHeight="1" x14ac:dyDescent="0.25">
      <c r="A85" s="36" t="s">
        <v>2904</v>
      </c>
      <c r="B85" s="36" t="str">
        <f t="shared" si="7"/>
        <v>AL_SUMTER COUNTY, AL</v>
      </c>
      <c r="D85" s="265" t="s">
        <v>103</v>
      </c>
      <c r="E85" s="266" t="s">
        <v>3031</v>
      </c>
      <c r="F85" s="252">
        <f t="shared" si="8"/>
        <v>40450</v>
      </c>
      <c r="G85" s="252">
        <f t="shared" si="8"/>
        <v>46200</v>
      </c>
      <c r="H85" s="252">
        <f t="shared" si="8"/>
        <v>52000</v>
      </c>
      <c r="I85" s="252">
        <f t="shared" si="8"/>
        <v>57750</v>
      </c>
      <c r="J85" s="252">
        <f t="shared" si="8"/>
        <v>62400</v>
      </c>
      <c r="K85" s="252">
        <f t="shared" si="8"/>
        <v>67000</v>
      </c>
      <c r="L85" s="252">
        <f t="shared" si="8"/>
        <v>71650</v>
      </c>
      <c r="M85" s="252">
        <f t="shared" si="8"/>
        <v>76250</v>
      </c>
    </row>
    <row r="86" spans="1:13" ht="21.95" customHeight="1" x14ac:dyDescent="0.25">
      <c r="A86" s="36" t="s">
        <v>2904</v>
      </c>
      <c r="B86" s="36" t="str">
        <f t="shared" si="7"/>
        <v>AL_TALLADEGA COUNTY, AL</v>
      </c>
      <c r="D86" s="265" t="s">
        <v>103</v>
      </c>
      <c r="E86" s="266" t="s">
        <v>3032</v>
      </c>
      <c r="F86" s="252">
        <f t="shared" si="8"/>
        <v>41100</v>
      </c>
      <c r="G86" s="252">
        <f t="shared" si="8"/>
        <v>47000</v>
      </c>
      <c r="H86" s="252">
        <f t="shared" si="8"/>
        <v>52850</v>
      </c>
      <c r="I86" s="252">
        <f t="shared" si="8"/>
        <v>58700</v>
      </c>
      <c r="J86" s="252">
        <f t="shared" si="8"/>
        <v>63400</v>
      </c>
      <c r="K86" s="252">
        <f t="shared" si="8"/>
        <v>68100</v>
      </c>
      <c r="L86" s="252">
        <f t="shared" si="8"/>
        <v>72800</v>
      </c>
      <c r="M86" s="252">
        <f t="shared" si="8"/>
        <v>77500</v>
      </c>
    </row>
    <row r="87" spans="1:13" ht="21.95" customHeight="1" x14ac:dyDescent="0.25">
      <c r="A87" s="36" t="s">
        <v>2904</v>
      </c>
      <c r="B87" s="36" t="str">
        <f t="shared" si="7"/>
        <v>AL_TALLAPOOSA COUNTY, AL</v>
      </c>
      <c r="D87" s="265" t="s">
        <v>103</v>
      </c>
      <c r="E87" s="266" t="s">
        <v>3033</v>
      </c>
      <c r="F87" s="252">
        <f t="shared" si="8"/>
        <v>41200</v>
      </c>
      <c r="G87" s="252">
        <f t="shared" si="8"/>
        <v>47050</v>
      </c>
      <c r="H87" s="252">
        <f t="shared" si="8"/>
        <v>52950</v>
      </c>
      <c r="I87" s="252">
        <f t="shared" si="8"/>
        <v>58800</v>
      </c>
      <c r="J87" s="252">
        <f t="shared" si="8"/>
        <v>63550</v>
      </c>
      <c r="K87" s="252">
        <f t="shared" si="8"/>
        <v>68250</v>
      </c>
      <c r="L87" s="252">
        <f t="shared" si="8"/>
        <v>72950</v>
      </c>
      <c r="M87" s="252">
        <f t="shared" si="8"/>
        <v>77650</v>
      </c>
    </row>
    <row r="88" spans="1:13" ht="21.95" customHeight="1" x14ac:dyDescent="0.25">
      <c r="A88" s="36" t="s">
        <v>2904</v>
      </c>
      <c r="B88" s="36" t="str">
        <f t="shared" si="7"/>
        <v>AL_TUSCALOOSA, AL HUD METRO FMR AREA</v>
      </c>
      <c r="D88" s="265" t="s">
        <v>103</v>
      </c>
      <c r="E88" s="266" t="s">
        <v>3034</v>
      </c>
      <c r="F88" s="252">
        <f t="shared" si="8"/>
        <v>51050</v>
      </c>
      <c r="G88" s="252">
        <f t="shared" si="8"/>
        <v>58350</v>
      </c>
      <c r="H88" s="252">
        <f t="shared" si="8"/>
        <v>65650</v>
      </c>
      <c r="I88" s="252">
        <f t="shared" si="8"/>
        <v>72900</v>
      </c>
      <c r="J88" s="252">
        <f t="shared" si="8"/>
        <v>78750</v>
      </c>
      <c r="K88" s="252">
        <f t="shared" si="8"/>
        <v>84600</v>
      </c>
      <c r="L88" s="252">
        <f t="shared" si="8"/>
        <v>90400</v>
      </c>
      <c r="M88" s="252">
        <f t="shared" si="8"/>
        <v>96250</v>
      </c>
    </row>
    <row r="89" spans="1:13" ht="21.95" customHeight="1" x14ac:dyDescent="0.25">
      <c r="A89" s="36" t="s">
        <v>2904</v>
      </c>
      <c r="B89" s="36" t="str">
        <f t="shared" si="7"/>
        <v>AL_WALKER COUNTY, AL HUD METRO FMR AREA</v>
      </c>
      <c r="D89" s="265" t="s">
        <v>103</v>
      </c>
      <c r="E89" s="266" t="s">
        <v>9085</v>
      </c>
      <c r="F89" s="252">
        <f t="shared" si="8"/>
        <v>43650</v>
      </c>
      <c r="G89" s="252">
        <f t="shared" si="8"/>
        <v>49850</v>
      </c>
      <c r="H89" s="252">
        <f t="shared" si="8"/>
        <v>56100</v>
      </c>
      <c r="I89" s="252">
        <f t="shared" si="8"/>
        <v>62300</v>
      </c>
      <c r="J89" s="252">
        <f t="shared" si="8"/>
        <v>67300</v>
      </c>
      <c r="K89" s="252">
        <f t="shared" si="8"/>
        <v>72300</v>
      </c>
      <c r="L89" s="252">
        <f t="shared" si="8"/>
        <v>77300</v>
      </c>
      <c r="M89" s="252">
        <f t="shared" si="8"/>
        <v>82250</v>
      </c>
    </row>
    <row r="90" spans="1:13" ht="21.95" customHeight="1" x14ac:dyDescent="0.25">
      <c r="A90" s="36" t="s">
        <v>2904</v>
      </c>
      <c r="B90" s="36" t="str">
        <f t="shared" si="7"/>
        <v>AL_WASHINGTON COUNTY, AL</v>
      </c>
      <c r="D90" s="265" t="s">
        <v>103</v>
      </c>
      <c r="E90" s="266" t="s">
        <v>9086</v>
      </c>
      <c r="F90" s="252">
        <f t="shared" si="8"/>
        <v>43850</v>
      </c>
      <c r="G90" s="252">
        <f t="shared" si="8"/>
        <v>50100</v>
      </c>
      <c r="H90" s="252">
        <f t="shared" si="8"/>
        <v>56350</v>
      </c>
      <c r="I90" s="252">
        <f t="shared" si="8"/>
        <v>62600</v>
      </c>
      <c r="J90" s="252">
        <f t="shared" si="8"/>
        <v>67650</v>
      </c>
      <c r="K90" s="252">
        <f t="shared" si="8"/>
        <v>72650</v>
      </c>
      <c r="L90" s="252">
        <f t="shared" si="8"/>
        <v>77650</v>
      </c>
      <c r="M90" s="252">
        <f t="shared" si="8"/>
        <v>82650</v>
      </c>
    </row>
    <row r="91" spans="1:13" ht="21.95" customHeight="1" x14ac:dyDescent="0.25">
      <c r="A91" s="36" t="s">
        <v>2904</v>
      </c>
      <c r="B91" s="36" t="str">
        <f t="shared" si="7"/>
        <v>AL_WILCOX COUNTY, AL</v>
      </c>
      <c r="D91" s="265" t="s">
        <v>103</v>
      </c>
      <c r="E91" s="266" t="s">
        <v>3035</v>
      </c>
      <c r="F91" s="252">
        <f t="shared" si="8"/>
        <v>40450</v>
      </c>
      <c r="G91" s="252">
        <f t="shared" si="8"/>
        <v>46200</v>
      </c>
      <c r="H91" s="252">
        <f t="shared" si="8"/>
        <v>52000</v>
      </c>
      <c r="I91" s="252">
        <f t="shared" si="8"/>
        <v>57750</v>
      </c>
      <c r="J91" s="252">
        <f t="shared" si="8"/>
        <v>62400</v>
      </c>
      <c r="K91" s="252">
        <f t="shared" si="8"/>
        <v>67000</v>
      </c>
      <c r="L91" s="252">
        <f t="shared" si="8"/>
        <v>71650</v>
      </c>
      <c r="M91" s="252">
        <f t="shared" si="8"/>
        <v>76250</v>
      </c>
    </row>
    <row r="92" spans="1:13" ht="21.95" customHeight="1" x14ac:dyDescent="0.25">
      <c r="A92" s="36" t="s">
        <v>2904</v>
      </c>
      <c r="B92" s="36" t="str">
        <f t="shared" si="7"/>
        <v>AL_WINSTON COUNTY, AL</v>
      </c>
      <c r="D92" s="265" t="s">
        <v>103</v>
      </c>
      <c r="E92" s="266" t="s">
        <v>3036</v>
      </c>
      <c r="F92" s="252">
        <f t="shared" si="8"/>
        <v>40450</v>
      </c>
      <c r="G92" s="252">
        <f t="shared" si="8"/>
        <v>46200</v>
      </c>
      <c r="H92" s="252">
        <f t="shared" si="8"/>
        <v>52000</v>
      </c>
      <c r="I92" s="252">
        <f t="shared" si="8"/>
        <v>57750</v>
      </c>
      <c r="J92" s="252">
        <f t="shared" si="8"/>
        <v>62400</v>
      </c>
      <c r="K92" s="252">
        <f t="shared" si="8"/>
        <v>67000</v>
      </c>
      <c r="L92" s="252">
        <f t="shared" si="8"/>
        <v>71650</v>
      </c>
      <c r="M92" s="252">
        <f t="shared" si="8"/>
        <v>76250</v>
      </c>
    </row>
    <row r="93" spans="1:13" ht="21.95" customHeight="1" x14ac:dyDescent="0.25">
      <c r="A93" s="36" t="s">
        <v>2904</v>
      </c>
      <c r="B93" s="36" t="str">
        <f t="shared" si="7"/>
        <v>AR_ARKANSAS COUNTY, AR</v>
      </c>
      <c r="D93" s="265" t="s">
        <v>100</v>
      </c>
      <c r="E93" s="266" t="s">
        <v>3037</v>
      </c>
      <c r="F93" s="252">
        <f t="shared" si="8"/>
        <v>43250</v>
      </c>
      <c r="G93" s="252">
        <f t="shared" si="8"/>
        <v>49400</v>
      </c>
      <c r="H93" s="252">
        <f t="shared" si="8"/>
        <v>55600</v>
      </c>
      <c r="I93" s="252">
        <f t="shared" si="8"/>
        <v>61750</v>
      </c>
      <c r="J93" s="252">
        <f t="shared" si="8"/>
        <v>66700</v>
      </c>
      <c r="K93" s="252">
        <f t="shared" si="8"/>
        <v>71650</v>
      </c>
      <c r="L93" s="252">
        <f t="shared" si="8"/>
        <v>76600</v>
      </c>
      <c r="M93" s="252">
        <f t="shared" si="8"/>
        <v>81550</v>
      </c>
    </row>
    <row r="94" spans="1:13" ht="21.95" customHeight="1" x14ac:dyDescent="0.25">
      <c r="A94" s="36" t="s">
        <v>2904</v>
      </c>
      <c r="B94" s="36" t="str">
        <f t="shared" si="7"/>
        <v>AR_ASHLEY COUNTY, AR</v>
      </c>
      <c r="D94" s="265" t="s">
        <v>100</v>
      </c>
      <c r="E94" s="266" t="s">
        <v>3038</v>
      </c>
      <c r="F94" s="252">
        <f t="shared" si="8"/>
        <v>37600</v>
      </c>
      <c r="G94" s="252">
        <f t="shared" si="8"/>
        <v>43000</v>
      </c>
      <c r="H94" s="252">
        <f t="shared" si="8"/>
        <v>48350</v>
      </c>
      <c r="I94" s="252">
        <f t="shared" si="8"/>
        <v>53700</v>
      </c>
      <c r="J94" s="252">
        <f t="shared" si="8"/>
        <v>58000</v>
      </c>
      <c r="K94" s="252">
        <f t="shared" si="8"/>
        <v>62300</v>
      </c>
      <c r="L94" s="252">
        <f t="shared" si="8"/>
        <v>66600</v>
      </c>
      <c r="M94" s="252">
        <f t="shared" si="8"/>
        <v>70900</v>
      </c>
    </row>
    <row r="95" spans="1:13" ht="21.95" customHeight="1" x14ac:dyDescent="0.25">
      <c r="A95" s="36" t="s">
        <v>2904</v>
      </c>
      <c r="B95" s="36" t="str">
        <f t="shared" si="7"/>
        <v>AR_BAXTER COUNTY, AR</v>
      </c>
      <c r="D95" s="265" t="s">
        <v>100</v>
      </c>
      <c r="E95" s="266" t="s">
        <v>3039</v>
      </c>
      <c r="F95" s="252">
        <f t="shared" si="8"/>
        <v>37600</v>
      </c>
      <c r="G95" s="252">
        <f t="shared" si="8"/>
        <v>43000</v>
      </c>
      <c r="H95" s="252">
        <f t="shared" si="8"/>
        <v>48350</v>
      </c>
      <c r="I95" s="252">
        <f t="shared" si="8"/>
        <v>53700</v>
      </c>
      <c r="J95" s="252">
        <f t="shared" si="8"/>
        <v>58000</v>
      </c>
      <c r="K95" s="252">
        <f t="shared" si="8"/>
        <v>62300</v>
      </c>
      <c r="L95" s="252">
        <f t="shared" si="8"/>
        <v>66600</v>
      </c>
      <c r="M95" s="252">
        <f t="shared" si="8"/>
        <v>70900</v>
      </c>
    </row>
    <row r="96" spans="1:13" ht="21.95" customHeight="1" x14ac:dyDescent="0.25">
      <c r="A96" s="36" t="s">
        <v>2904</v>
      </c>
      <c r="B96" s="36" t="str">
        <f t="shared" si="7"/>
        <v>AR_BOONE COUNTY, AR</v>
      </c>
      <c r="D96" s="265" t="s">
        <v>100</v>
      </c>
      <c r="E96" s="266" t="s">
        <v>3040</v>
      </c>
      <c r="F96" s="252">
        <f t="shared" si="8"/>
        <v>42000</v>
      </c>
      <c r="G96" s="252">
        <f t="shared" si="8"/>
        <v>48000</v>
      </c>
      <c r="H96" s="252">
        <f t="shared" si="8"/>
        <v>54000</v>
      </c>
      <c r="I96" s="252">
        <f t="shared" si="8"/>
        <v>60000</v>
      </c>
      <c r="J96" s="252">
        <f t="shared" si="8"/>
        <v>64800</v>
      </c>
      <c r="K96" s="252">
        <f t="shared" si="8"/>
        <v>69600</v>
      </c>
      <c r="L96" s="252">
        <f t="shared" si="8"/>
        <v>74400</v>
      </c>
      <c r="M96" s="252">
        <f t="shared" si="8"/>
        <v>79200</v>
      </c>
    </row>
    <row r="97" spans="1:13" ht="21.95" customHeight="1" x14ac:dyDescent="0.25">
      <c r="A97" s="36" t="s">
        <v>2904</v>
      </c>
      <c r="B97" s="36" t="str">
        <f t="shared" si="7"/>
        <v>AR_BRADLEY COUNTY, AR</v>
      </c>
      <c r="D97" s="265" t="s">
        <v>100</v>
      </c>
      <c r="E97" s="266" t="s">
        <v>3041</v>
      </c>
      <c r="F97" s="252">
        <f t="shared" si="8"/>
        <v>38050</v>
      </c>
      <c r="G97" s="252">
        <f t="shared" si="8"/>
        <v>43450</v>
      </c>
      <c r="H97" s="252">
        <f t="shared" si="8"/>
        <v>48900</v>
      </c>
      <c r="I97" s="252">
        <f t="shared" si="8"/>
        <v>54300</v>
      </c>
      <c r="J97" s="252">
        <f t="shared" si="8"/>
        <v>58650</v>
      </c>
      <c r="K97" s="252">
        <f t="shared" si="8"/>
        <v>63000</v>
      </c>
      <c r="L97" s="252">
        <f t="shared" si="8"/>
        <v>67350</v>
      </c>
      <c r="M97" s="252">
        <f t="shared" si="8"/>
        <v>71700</v>
      </c>
    </row>
    <row r="98" spans="1:13" ht="21.95" customHeight="1" x14ac:dyDescent="0.25">
      <c r="A98" s="36" t="s">
        <v>2904</v>
      </c>
      <c r="B98" s="36" t="str">
        <f t="shared" si="7"/>
        <v>AR_CALHOUN COUNTY, AR</v>
      </c>
      <c r="D98" s="265" t="s">
        <v>100</v>
      </c>
      <c r="E98" s="266" t="s">
        <v>3042</v>
      </c>
      <c r="F98" s="252">
        <f t="shared" si="8"/>
        <v>42750</v>
      </c>
      <c r="G98" s="252">
        <f t="shared" si="8"/>
        <v>48850</v>
      </c>
      <c r="H98" s="252">
        <f t="shared" si="8"/>
        <v>54950</v>
      </c>
      <c r="I98" s="252">
        <f t="shared" si="8"/>
        <v>61050</v>
      </c>
      <c r="J98" s="252">
        <f t="shared" si="8"/>
        <v>65950</v>
      </c>
      <c r="K98" s="252">
        <f t="shared" si="8"/>
        <v>70850</v>
      </c>
      <c r="L98" s="252">
        <f t="shared" si="8"/>
        <v>75750</v>
      </c>
      <c r="M98" s="252">
        <f t="shared" si="8"/>
        <v>80600</v>
      </c>
    </row>
    <row r="99" spans="1:13" ht="21.95" customHeight="1" x14ac:dyDescent="0.25">
      <c r="A99" s="36" t="s">
        <v>2904</v>
      </c>
      <c r="B99" s="36" t="str">
        <f t="shared" si="7"/>
        <v>AR_CARROLL COUNTY, AR</v>
      </c>
      <c r="D99" s="265" t="s">
        <v>100</v>
      </c>
      <c r="E99" s="266" t="s">
        <v>3043</v>
      </c>
      <c r="F99" s="252">
        <f t="shared" si="8"/>
        <v>44700</v>
      </c>
      <c r="G99" s="252">
        <f t="shared" si="8"/>
        <v>51100</v>
      </c>
      <c r="H99" s="252">
        <f t="shared" si="8"/>
        <v>57500</v>
      </c>
      <c r="I99" s="252">
        <f t="shared" si="8"/>
        <v>63850</v>
      </c>
      <c r="J99" s="252">
        <f t="shared" si="8"/>
        <v>69000</v>
      </c>
      <c r="K99" s="252">
        <f t="shared" si="8"/>
        <v>74100</v>
      </c>
      <c r="L99" s="252">
        <f t="shared" si="8"/>
        <v>79200</v>
      </c>
      <c r="M99" s="252">
        <f t="shared" si="8"/>
        <v>84300</v>
      </c>
    </row>
    <row r="100" spans="1:13" ht="21.95" customHeight="1" x14ac:dyDescent="0.25">
      <c r="A100" s="36" t="s">
        <v>2904</v>
      </c>
      <c r="B100" s="36" t="str">
        <f t="shared" si="7"/>
        <v>AR_CHICOT COUNTY, AR</v>
      </c>
      <c r="D100" s="265" t="s">
        <v>100</v>
      </c>
      <c r="E100" s="266" t="s">
        <v>3044</v>
      </c>
      <c r="F100" s="252">
        <f t="shared" si="8"/>
        <v>37600</v>
      </c>
      <c r="G100" s="252">
        <f t="shared" si="8"/>
        <v>43000</v>
      </c>
      <c r="H100" s="252">
        <f t="shared" si="8"/>
        <v>48350</v>
      </c>
      <c r="I100" s="252">
        <f t="shared" si="8"/>
        <v>53700</v>
      </c>
      <c r="J100" s="252">
        <f t="shared" si="8"/>
        <v>58000</v>
      </c>
      <c r="K100" s="252">
        <f t="shared" si="8"/>
        <v>62300</v>
      </c>
      <c r="L100" s="252">
        <f t="shared" si="8"/>
        <v>66600</v>
      </c>
      <c r="M100" s="252">
        <f t="shared" si="8"/>
        <v>70900</v>
      </c>
    </row>
    <row r="101" spans="1:13" ht="21.95" customHeight="1" x14ac:dyDescent="0.25">
      <c r="A101" s="36" t="s">
        <v>2904</v>
      </c>
      <c r="B101" s="36" t="str">
        <f t="shared" si="7"/>
        <v>AR_CLARK COUNTY, AR</v>
      </c>
      <c r="D101" s="265" t="s">
        <v>100</v>
      </c>
      <c r="E101" s="266" t="s">
        <v>3045</v>
      </c>
      <c r="F101" s="252">
        <f t="shared" si="8"/>
        <v>40900</v>
      </c>
      <c r="G101" s="252">
        <f t="shared" si="8"/>
        <v>46750</v>
      </c>
      <c r="H101" s="252">
        <f t="shared" si="8"/>
        <v>52600</v>
      </c>
      <c r="I101" s="252">
        <f t="shared" si="8"/>
        <v>58400</v>
      </c>
      <c r="J101" s="252">
        <f t="shared" si="8"/>
        <v>63100</v>
      </c>
      <c r="K101" s="252">
        <f t="shared" si="8"/>
        <v>67750</v>
      </c>
      <c r="L101" s="252">
        <f t="shared" si="8"/>
        <v>72450</v>
      </c>
      <c r="M101" s="252">
        <f t="shared" si="8"/>
        <v>77100</v>
      </c>
    </row>
    <row r="102" spans="1:13" ht="21.95" customHeight="1" x14ac:dyDescent="0.25">
      <c r="A102" s="36" t="s">
        <v>2904</v>
      </c>
      <c r="B102" s="36" t="str">
        <f t="shared" si="7"/>
        <v>AR_CLAY COUNTY, AR</v>
      </c>
      <c r="D102" s="265" t="s">
        <v>100</v>
      </c>
      <c r="E102" s="266" t="s">
        <v>3046</v>
      </c>
      <c r="F102" s="252">
        <f t="shared" si="8"/>
        <v>37600</v>
      </c>
      <c r="G102" s="252">
        <f t="shared" si="8"/>
        <v>43000</v>
      </c>
      <c r="H102" s="252">
        <f t="shared" si="8"/>
        <v>48350</v>
      </c>
      <c r="I102" s="252">
        <f t="shared" si="8"/>
        <v>53700</v>
      </c>
      <c r="J102" s="252">
        <f t="shared" si="8"/>
        <v>58000</v>
      </c>
      <c r="K102" s="252">
        <f t="shared" si="8"/>
        <v>62300</v>
      </c>
      <c r="L102" s="252">
        <f t="shared" si="8"/>
        <v>66600</v>
      </c>
      <c r="M102" s="252">
        <f t="shared" si="8"/>
        <v>70900</v>
      </c>
    </row>
    <row r="103" spans="1:13" ht="21.95" customHeight="1" x14ac:dyDescent="0.25">
      <c r="A103" s="36" t="s">
        <v>2904</v>
      </c>
      <c r="B103" s="36" t="str">
        <f t="shared" si="7"/>
        <v>AR_CLEBURNE COUNTY, AR</v>
      </c>
      <c r="D103" s="265" t="s">
        <v>100</v>
      </c>
      <c r="E103" s="266" t="s">
        <v>3047</v>
      </c>
      <c r="F103" s="252">
        <f t="shared" si="8"/>
        <v>41550</v>
      </c>
      <c r="G103" s="252">
        <f t="shared" si="8"/>
        <v>47500</v>
      </c>
      <c r="H103" s="252">
        <f t="shared" si="8"/>
        <v>53450</v>
      </c>
      <c r="I103" s="252">
        <f t="shared" si="8"/>
        <v>59350</v>
      </c>
      <c r="J103" s="252">
        <f t="shared" si="8"/>
        <v>64100</v>
      </c>
      <c r="K103" s="252">
        <f t="shared" si="8"/>
        <v>68850</v>
      </c>
      <c r="L103" s="252">
        <f t="shared" si="8"/>
        <v>73600</v>
      </c>
      <c r="M103" s="252">
        <f t="shared" si="8"/>
        <v>78350</v>
      </c>
    </row>
    <row r="104" spans="1:13" ht="21.95" customHeight="1" x14ac:dyDescent="0.25">
      <c r="A104" s="36" t="s">
        <v>2904</v>
      </c>
      <c r="B104" s="36" t="str">
        <f t="shared" si="7"/>
        <v>AR_CLEVELAND COUNTY, AR</v>
      </c>
      <c r="D104" s="265" t="s">
        <v>100</v>
      </c>
      <c r="E104" s="266" t="s">
        <v>9087</v>
      </c>
      <c r="F104" s="252">
        <f t="shared" si="8"/>
        <v>39900</v>
      </c>
      <c r="G104" s="252">
        <f t="shared" si="8"/>
        <v>45600</v>
      </c>
      <c r="H104" s="252">
        <f t="shared" si="8"/>
        <v>51300</v>
      </c>
      <c r="I104" s="252">
        <f t="shared" si="8"/>
        <v>56950</v>
      </c>
      <c r="J104" s="252">
        <f t="shared" si="8"/>
        <v>61550</v>
      </c>
      <c r="K104" s="252">
        <f t="shared" si="8"/>
        <v>66100</v>
      </c>
      <c r="L104" s="252">
        <f t="shared" si="8"/>
        <v>70650</v>
      </c>
      <c r="M104" s="252">
        <f t="shared" si="8"/>
        <v>75200</v>
      </c>
    </row>
    <row r="105" spans="1:13" ht="21.95" customHeight="1" x14ac:dyDescent="0.25">
      <c r="A105" s="36" t="s">
        <v>2904</v>
      </c>
      <c r="B105" s="36" t="str">
        <f t="shared" si="7"/>
        <v>AR_COLUMBIA COUNTY, AR</v>
      </c>
      <c r="D105" s="265" t="s">
        <v>100</v>
      </c>
      <c r="E105" s="266" t="s">
        <v>3048</v>
      </c>
      <c r="F105" s="252">
        <f t="shared" si="8"/>
        <v>38850</v>
      </c>
      <c r="G105" s="252">
        <f t="shared" si="8"/>
        <v>44400</v>
      </c>
      <c r="H105" s="252">
        <f t="shared" si="8"/>
        <v>49950</v>
      </c>
      <c r="I105" s="252">
        <f t="shared" si="8"/>
        <v>55450</v>
      </c>
      <c r="J105" s="252">
        <f t="shared" si="8"/>
        <v>59900</v>
      </c>
      <c r="K105" s="252">
        <f t="shared" si="8"/>
        <v>64350</v>
      </c>
      <c r="L105" s="252">
        <f t="shared" si="8"/>
        <v>68800</v>
      </c>
      <c r="M105" s="252">
        <f t="shared" ref="F105:M137" si="9">VLOOKUP($B105,LOOKUP_AMI_TABLE,5+((M$7-1)),FALSE)</f>
        <v>73200</v>
      </c>
    </row>
    <row r="106" spans="1:13" ht="21.95" customHeight="1" x14ac:dyDescent="0.25">
      <c r="A106" s="36" t="s">
        <v>2904</v>
      </c>
      <c r="B106" s="36" t="str">
        <f t="shared" si="7"/>
        <v>AR_CONWAY COUNTY, AR</v>
      </c>
      <c r="D106" s="265" t="s">
        <v>100</v>
      </c>
      <c r="E106" s="266" t="s">
        <v>3049</v>
      </c>
      <c r="F106" s="252">
        <f t="shared" si="9"/>
        <v>37600</v>
      </c>
      <c r="G106" s="252">
        <f t="shared" si="9"/>
        <v>43000</v>
      </c>
      <c r="H106" s="252">
        <f t="shared" si="9"/>
        <v>48350</v>
      </c>
      <c r="I106" s="252">
        <f t="shared" si="9"/>
        <v>53700</v>
      </c>
      <c r="J106" s="252">
        <f t="shared" si="9"/>
        <v>58000</v>
      </c>
      <c r="K106" s="252">
        <f t="shared" si="9"/>
        <v>62300</v>
      </c>
      <c r="L106" s="252">
        <f t="shared" si="9"/>
        <v>66600</v>
      </c>
      <c r="M106" s="252">
        <f t="shared" si="9"/>
        <v>70900</v>
      </c>
    </row>
    <row r="107" spans="1:13" ht="21.95" customHeight="1" x14ac:dyDescent="0.25">
      <c r="A107" s="36" t="s">
        <v>2904</v>
      </c>
      <c r="B107" s="36" t="str">
        <f t="shared" si="7"/>
        <v>AR_CROSS COUNTY, AR</v>
      </c>
      <c r="D107" s="265" t="s">
        <v>100</v>
      </c>
      <c r="E107" s="266" t="s">
        <v>3050</v>
      </c>
      <c r="F107" s="252">
        <f t="shared" si="9"/>
        <v>37600</v>
      </c>
      <c r="G107" s="252">
        <f t="shared" si="9"/>
        <v>43000</v>
      </c>
      <c r="H107" s="252">
        <f t="shared" si="9"/>
        <v>48350</v>
      </c>
      <c r="I107" s="252">
        <f t="shared" si="9"/>
        <v>53700</v>
      </c>
      <c r="J107" s="252">
        <f t="shared" si="9"/>
        <v>58000</v>
      </c>
      <c r="K107" s="252">
        <f t="shared" si="9"/>
        <v>62300</v>
      </c>
      <c r="L107" s="252">
        <f t="shared" si="9"/>
        <v>66600</v>
      </c>
      <c r="M107" s="252">
        <f t="shared" si="9"/>
        <v>70900</v>
      </c>
    </row>
    <row r="108" spans="1:13" ht="21.95" customHeight="1" x14ac:dyDescent="0.25">
      <c r="A108" s="36" t="s">
        <v>2904</v>
      </c>
      <c r="B108" s="36" t="str">
        <f t="shared" si="7"/>
        <v>AR_DALLAS COUNTY, AR</v>
      </c>
      <c r="D108" s="265" t="s">
        <v>100</v>
      </c>
      <c r="E108" s="266" t="s">
        <v>3051</v>
      </c>
      <c r="F108" s="252">
        <f t="shared" si="9"/>
        <v>42750</v>
      </c>
      <c r="G108" s="252">
        <f t="shared" si="9"/>
        <v>48850</v>
      </c>
      <c r="H108" s="252">
        <f t="shared" si="9"/>
        <v>54950</v>
      </c>
      <c r="I108" s="252">
        <f t="shared" si="9"/>
        <v>61050</v>
      </c>
      <c r="J108" s="252">
        <f t="shared" si="9"/>
        <v>65950</v>
      </c>
      <c r="K108" s="252">
        <f t="shared" si="9"/>
        <v>70850</v>
      </c>
      <c r="L108" s="252">
        <f t="shared" si="9"/>
        <v>75750</v>
      </c>
      <c r="M108" s="252">
        <f t="shared" si="9"/>
        <v>80600</v>
      </c>
    </row>
    <row r="109" spans="1:13" ht="21.95" customHeight="1" x14ac:dyDescent="0.25">
      <c r="A109" s="36" t="s">
        <v>2904</v>
      </c>
      <c r="B109" s="36" t="str">
        <f t="shared" si="7"/>
        <v>AR_DESHA COUNTY, AR</v>
      </c>
      <c r="D109" s="265" t="s">
        <v>100</v>
      </c>
      <c r="E109" s="266" t="s">
        <v>3052</v>
      </c>
      <c r="F109" s="252">
        <f t="shared" si="9"/>
        <v>37600</v>
      </c>
      <c r="G109" s="252">
        <f t="shared" si="9"/>
        <v>43000</v>
      </c>
      <c r="H109" s="252">
        <f t="shared" si="9"/>
        <v>48350</v>
      </c>
      <c r="I109" s="252">
        <f t="shared" si="9"/>
        <v>53700</v>
      </c>
      <c r="J109" s="252">
        <f t="shared" si="9"/>
        <v>58000</v>
      </c>
      <c r="K109" s="252">
        <f t="shared" si="9"/>
        <v>62300</v>
      </c>
      <c r="L109" s="252">
        <f t="shared" si="9"/>
        <v>66600</v>
      </c>
      <c r="M109" s="252">
        <f t="shared" si="9"/>
        <v>70900</v>
      </c>
    </row>
    <row r="110" spans="1:13" ht="21.95" customHeight="1" x14ac:dyDescent="0.25">
      <c r="A110" s="36" t="s">
        <v>2904</v>
      </c>
      <c r="B110" s="36" t="str">
        <f t="shared" si="7"/>
        <v>AR_DREW COUNTY, AR</v>
      </c>
      <c r="D110" s="265" t="s">
        <v>100</v>
      </c>
      <c r="E110" s="266" t="s">
        <v>3053</v>
      </c>
      <c r="F110" s="252">
        <f t="shared" si="9"/>
        <v>37600</v>
      </c>
      <c r="G110" s="252">
        <f t="shared" si="9"/>
        <v>43000</v>
      </c>
      <c r="H110" s="252">
        <f t="shared" si="9"/>
        <v>48350</v>
      </c>
      <c r="I110" s="252">
        <f t="shared" si="9"/>
        <v>53700</v>
      </c>
      <c r="J110" s="252">
        <f t="shared" si="9"/>
        <v>58000</v>
      </c>
      <c r="K110" s="252">
        <f t="shared" si="9"/>
        <v>62300</v>
      </c>
      <c r="L110" s="252">
        <f t="shared" si="9"/>
        <v>66600</v>
      </c>
      <c r="M110" s="252">
        <f t="shared" si="9"/>
        <v>70900</v>
      </c>
    </row>
    <row r="111" spans="1:13" ht="21.95" customHeight="1" x14ac:dyDescent="0.25">
      <c r="A111" s="36" t="s">
        <v>2904</v>
      </c>
      <c r="B111" s="36" t="str">
        <f t="shared" si="7"/>
        <v>AR_FAYETTEVILLE-SPRINGDALE-ROGERS, AR MSA</v>
      </c>
      <c r="D111" s="265" t="s">
        <v>100</v>
      </c>
      <c r="E111" s="266" t="s">
        <v>3054</v>
      </c>
      <c r="F111" s="252">
        <f t="shared" si="9"/>
        <v>57050</v>
      </c>
      <c r="G111" s="252">
        <f t="shared" si="9"/>
        <v>65200</v>
      </c>
      <c r="H111" s="252">
        <f t="shared" si="9"/>
        <v>73350</v>
      </c>
      <c r="I111" s="252">
        <f t="shared" si="9"/>
        <v>81450</v>
      </c>
      <c r="J111" s="252">
        <f t="shared" si="9"/>
        <v>88000</v>
      </c>
      <c r="K111" s="252">
        <f t="shared" si="9"/>
        <v>94500</v>
      </c>
      <c r="L111" s="252">
        <f t="shared" si="9"/>
        <v>101000</v>
      </c>
      <c r="M111" s="252">
        <f t="shared" si="9"/>
        <v>107550</v>
      </c>
    </row>
    <row r="112" spans="1:13" ht="21.95" customHeight="1" x14ac:dyDescent="0.25">
      <c r="A112" s="36" t="s">
        <v>2904</v>
      </c>
      <c r="B112" s="36" t="str">
        <f t="shared" si="7"/>
        <v>AR_FORT SMITH, AR-OK MSA</v>
      </c>
      <c r="D112" s="265" t="s">
        <v>100</v>
      </c>
      <c r="E112" s="266" t="s">
        <v>9088</v>
      </c>
      <c r="F112" s="252">
        <f t="shared" si="9"/>
        <v>40700</v>
      </c>
      <c r="G112" s="252">
        <f t="shared" si="9"/>
        <v>46500</v>
      </c>
      <c r="H112" s="252">
        <f t="shared" si="9"/>
        <v>52300</v>
      </c>
      <c r="I112" s="252">
        <f t="shared" si="9"/>
        <v>58100</v>
      </c>
      <c r="J112" s="252">
        <f t="shared" si="9"/>
        <v>62750</v>
      </c>
      <c r="K112" s="252">
        <f t="shared" si="9"/>
        <v>67400</v>
      </c>
      <c r="L112" s="252">
        <f t="shared" si="9"/>
        <v>72050</v>
      </c>
      <c r="M112" s="252">
        <f t="shared" si="9"/>
        <v>76700</v>
      </c>
    </row>
    <row r="113" spans="1:13" ht="21.95" customHeight="1" x14ac:dyDescent="0.25">
      <c r="A113" s="36" t="s">
        <v>2904</v>
      </c>
      <c r="B113" s="36" t="str">
        <f t="shared" si="7"/>
        <v>AR_FRANKLIN COUNTY, AR</v>
      </c>
      <c r="D113" s="265" t="s">
        <v>100</v>
      </c>
      <c r="E113" s="266" t="s">
        <v>9089</v>
      </c>
      <c r="F113" s="252">
        <f t="shared" si="9"/>
        <v>38400</v>
      </c>
      <c r="G113" s="252">
        <f t="shared" si="9"/>
        <v>43850</v>
      </c>
      <c r="H113" s="252">
        <f t="shared" si="9"/>
        <v>49350</v>
      </c>
      <c r="I113" s="252">
        <f t="shared" si="9"/>
        <v>54800</v>
      </c>
      <c r="J113" s="252">
        <f t="shared" si="9"/>
        <v>59200</v>
      </c>
      <c r="K113" s="252">
        <f t="shared" si="9"/>
        <v>63600</v>
      </c>
      <c r="L113" s="252">
        <f t="shared" si="9"/>
        <v>68000</v>
      </c>
      <c r="M113" s="252">
        <f t="shared" si="9"/>
        <v>72350</v>
      </c>
    </row>
    <row r="114" spans="1:13" ht="21.95" customHeight="1" x14ac:dyDescent="0.25">
      <c r="A114" s="36" t="s">
        <v>2904</v>
      </c>
      <c r="B114" s="36" t="str">
        <f t="shared" si="7"/>
        <v>AR_FULTON COUNTY, AR</v>
      </c>
      <c r="D114" s="265" t="s">
        <v>100</v>
      </c>
      <c r="E114" s="266" t="s">
        <v>3055</v>
      </c>
      <c r="F114" s="252">
        <f t="shared" si="9"/>
        <v>37600</v>
      </c>
      <c r="G114" s="252">
        <f t="shared" si="9"/>
        <v>43000</v>
      </c>
      <c r="H114" s="252">
        <f t="shared" si="9"/>
        <v>48350</v>
      </c>
      <c r="I114" s="252">
        <f t="shared" si="9"/>
        <v>53700</v>
      </c>
      <c r="J114" s="252">
        <f t="shared" si="9"/>
        <v>58000</v>
      </c>
      <c r="K114" s="252">
        <f t="shared" si="9"/>
        <v>62300</v>
      </c>
      <c r="L114" s="252">
        <f t="shared" si="9"/>
        <v>66600</v>
      </c>
      <c r="M114" s="252">
        <f t="shared" si="9"/>
        <v>70900</v>
      </c>
    </row>
    <row r="115" spans="1:13" ht="21.95" customHeight="1" x14ac:dyDescent="0.25">
      <c r="A115" s="36" t="s">
        <v>2904</v>
      </c>
      <c r="B115" s="36" t="str">
        <f t="shared" si="7"/>
        <v>AR_GRANT COUNTY, AR HUD METRO FMR AREA</v>
      </c>
      <c r="D115" s="265" t="s">
        <v>100</v>
      </c>
      <c r="E115" s="266" t="s">
        <v>3056</v>
      </c>
      <c r="F115" s="252">
        <f t="shared" si="9"/>
        <v>50900</v>
      </c>
      <c r="G115" s="252">
        <f t="shared" si="9"/>
        <v>58200</v>
      </c>
      <c r="H115" s="252">
        <f t="shared" si="9"/>
        <v>65450</v>
      </c>
      <c r="I115" s="252">
        <f t="shared" si="9"/>
        <v>72700</v>
      </c>
      <c r="J115" s="252">
        <f t="shared" si="9"/>
        <v>78550</v>
      </c>
      <c r="K115" s="252">
        <f t="shared" si="9"/>
        <v>84350</v>
      </c>
      <c r="L115" s="252">
        <f t="shared" si="9"/>
        <v>90150</v>
      </c>
      <c r="M115" s="252">
        <f t="shared" si="9"/>
        <v>96000</v>
      </c>
    </row>
    <row r="116" spans="1:13" ht="21.95" customHeight="1" x14ac:dyDescent="0.25">
      <c r="A116" s="36" t="s">
        <v>2904</v>
      </c>
      <c r="B116" s="36" t="str">
        <f t="shared" si="7"/>
        <v>AR_GREENE COUNTY, AR</v>
      </c>
      <c r="D116" s="265" t="s">
        <v>100</v>
      </c>
      <c r="E116" s="266" t="s">
        <v>3057</v>
      </c>
      <c r="F116" s="252">
        <f t="shared" si="9"/>
        <v>40450</v>
      </c>
      <c r="G116" s="252">
        <f t="shared" si="9"/>
        <v>46200</v>
      </c>
      <c r="H116" s="252">
        <f t="shared" si="9"/>
        <v>52000</v>
      </c>
      <c r="I116" s="252">
        <f t="shared" si="9"/>
        <v>57750</v>
      </c>
      <c r="J116" s="252">
        <f t="shared" si="9"/>
        <v>62400</v>
      </c>
      <c r="K116" s="252">
        <f t="shared" si="9"/>
        <v>67000</v>
      </c>
      <c r="L116" s="252">
        <f t="shared" si="9"/>
        <v>71650</v>
      </c>
      <c r="M116" s="252">
        <f t="shared" si="9"/>
        <v>76250</v>
      </c>
    </row>
    <row r="117" spans="1:13" ht="21.95" customHeight="1" x14ac:dyDescent="0.25">
      <c r="A117" s="36" t="s">
        <v>2904</v>
      </c>
      <c r="B117" s="36" t="str">
        <f t="shared" si="7"/>
        <v>AR_HEMPSTEAD COUNTY, AR</v>
      </c>
      <c r="D117" s="265" t="s">
        <v>100</v>
      </c>
      <c r="E117" s="266" t="s">
        <v>3058</v>
      </c>
      <c r="F117" s="252">
        <f t="shared" si="9"/>
        <v>39300</v>
      </c>
      <c r="G117" s="252">
        <f t="shared" si="9"/>
        <v>44900</v>
      </c>
      <c r="H117" s="252">
        <f t="shared" si="9"/>
        <v>50500</v>
      </c>
      <c r="I117" s="252">
        <f t="shared" si="9"/>
        <v>56100</v>
      </c>
      <c r="J117" s="252">
        <f t="shared" si="9"/>
        <v>60600</v>
      </c>
      <c r="K117" s="252">
        <f t="shared" si="9"/>
        <v>65100</v>
      </c>
      <c r="L117" s="252">
        <f t="shared" si="9"/>
        <v>69600</v>
      </c>
      <c r="M117" s="252">
        <f t="shared" si="9"/>
        <v>74100</v>
      </c>
    </row>
    <row r="118" spans="1:13" ht="21.95" customHeight="1" x14ac:dyDescent="0.25">
      <c r="A118" s="36" t="s">
        <v>2904</v>
      </c>
      <c r="B118" s="36" t="str">
        <f t="shared" si="7"/>
        <v>AR_HOT SPRING COUNTY, AR</v>
      </c>
      <c r="D118" s="265" t="s">
        <v>100</v>
      </c>
      <c r="E118" s="266" t="s">
        <v>3059</v>
      </c>
      <c r="F118" s="252">
        <f t="shared" si="9"/>
        <v>39300</v>
      </c>
      <c r="G118" s="252">
        <f t="shared" si="9"/>
        <v>44900</v>
      </c>
      <c r="H118" s="252">
        <f t="shared" si="9"/>
        <v>50500</v>
      </c>
      <c r="I118" s="252">
        <f t="shared" si="9"/>
        <v>56100</v>
      </c>
      <c r="J118" s="252">
        <f t="shared" si="9"/>
        <v>60600</v>
      </c>
      <c r="K118" s="252">
        <f t="shared" si="9"/>
        <v>65100</v>
      </c>
      <c r="L118" s="252">
        <f t="shared" si="9"/>
        <v>69600</v>
      </c>
      <c r="M118" s="252">
        <f t="shared" si="9"/>
        <v>74100</v>
      </c>
    </row>
    <row r="119" spans="1:13" ht="21.95" customHeight="1" x14ac:dyDescent="0.25">
      <c r="A119" s="36" t="s">
        <v>2904</v>
      </c>
      <c r="B119" s="36" t="str">
        <f t="shared" si="7"/>
        <v>AR_HOT SPRINGS, AR MSA</v>
      </c>
      <c r="D119" s="265" t="s">
        <v>100</v>
      </c>
      <c r="E119" s="266" t="s">
        <v>3060</v>
      </c>
      <c r="F119" s="252">
        <f t="shared" si="9"/>
        <v>40950</v>
      </c>
      <c r="G119" s="252">
        <f t="shared" si="9"/>
        <v>46800</v>
      </c>
      <c r="H119" s="252">
        <f t="shared" si="9"/>
        <v>52650</v>
      </c>
      <c r="I119" s="252">
        <f t="shared" si="9"/>
        <v>58500</v>
      </c>
      <c r="J119" s="252">
        <f t="shared" si="9"/>
        <v>63200</v>
      </c>
      <c r="K119" s="252">
        <f t="shared" si="9"/>
        <v>67900</v>
      </c>
      <c r="L119" s="252">
        <f t="shared" si="9"/>
        <v>72550</v>
      </c>
      <c r="M119" s="252">
        <f t="shared" si="9"/>
        <v>77250</v>
      </c>
    </row>
    <row r="120" spans="1:13" ht="21.95" customHeight="1" x14ac:dyDescent="0.25">
      <c r="A120" s="36" t="s">
        <v>2904</v>
      </c>
      <c r="B120" s="36" t="str">
        <f t="shared" si="7"/>
        <v>AR_HOWARD COUNTY, AR</v>
      </c>
      <c r="D120" s="265" t="s">
        <v>100</v>
      </c>
      <c r="E120" s="266" t="s">
        <v>3061</v>
      </c>
      <c r="F120" s="252">
        <f t="shared" si="9"/>
        <v>37600</v>
      </c>
      <c r="G120" s="252">
        <f t="shared" si="9"/>
        <v>43000</v>
      </c>
      <c r="H120" s="252">
        <f t="shared" si="9"/>
        <v>48350</v>
      </c>
      <c r="I120" s="252">
        <f t="shared" si="9"/>
        <v>53700</v>
      </c>
      <c r="J120" s="252">
        <f t="shared" si="9"/>
        <v>58000</v>
      </c>
      <c r="K120" s="252">
        <f t="shared" si="9"/>
        <v>62300</v>
      </c>
      <c r="L120" s="252">
        <f t="shared" si="9"/>
        <v>66600</v>
      </c>
      <c r="M120" s="252">
        <f t="shared" si="9"/>
        <v>70900</v>
      </c>
    </row>
    <row r="121" spans="1:13" ht="21.95" customHeight="1" x14ac:dyDescent="0.25">
      <c r="A121" s="36" t="s">
        <v>2904</v>
      </c>
      <c r="B121" s="36" t="str">
        <f t="shared" si="7"/>
        <v>AR_INDEPENDENCE COUNTY, AR</v>
      </c>
      <c r="D121" s="265" t="s">
        <v>100</v>
      </c>
      <c r="E121" s="266" t="s">
        <v>3062</v>
      </c>
      <c r="F121" s="252">
        <f t="shared" si="9"/>
        <v>39850</v>
      </c>
      <c r="G121" s="252">
        <f t="shared" si="9"/>
        <v>45550</v>
      </c>
      <c r="H121" s="252">
        <f t="shared" si="9"/>
        <v>51250</v>
      </c>
      <c r="I121" s="252">
        <f t="shared" si="9"/>
        <v>56900</v>
      </c>
      <c r="J121" s="252">
        <f t="shared" si="9"/>
        <v>61500</v>
      </c>
      <c r="K121" s="252">
        <f t="shared" si="9"/>
        <v>66050</v>
      </c>
      <c r="L121" s="252">
        <f t="shared" si="9"/>
        <v>70600</v>
      </c>
      <c r="M121" s="252">
        <f t="shared" si="9"/>
        <v>75150</v>
      </c>
    </row>
    <row r="122" spans="1:13" ht="21.95" customHeight="1" x14ac:dyDescent="0.25">
      <c r="A122" s="36" t="s">
        <v>2904</v>
      </c>
      <c r="B122" s="36" t="str">
        <f t="shared" si="7"/>
        <v>AR_IZARD COUNTY, AR</v>
      </c>
      <c r="D122" s="265" t="s">
        <v>100</v>
      </c>
      <c r="E122" s="266" t="s">
        <v>3063</v>
      </c>
      <c r="F122" s="252">
        <f t="shared" si="9"/>
        <v>37600</v>
      </c>
      <c r="G122" s="252">
        <f t="shared" si="9"/>
        <v>43000</v>
      </c>
      <c r="H122" s="252">
        <f t="shared" si="9"/>
        <v>48350</v>
      </c>
      <c r="I122" s="252">
        <f t="shared" si="9"/>
        <v>53700</v>
      </c>
      <c r="J122" s="252">
        <f t="shared" si="9"/>
        <v>58000</v>
      </c>
      <c r="K122" s="252">
        <f t="shared" si="9"/>
        <v>62300</v>
      </c>
      <c r="L122" s="252">
        <f t="shared" si="9"/>
        <v>66600</v>
      </c>
      <c r="M122" s="252">
        <f t="shared" si="9"/>
        <v>70900</v>
      </c>
    </row>
    <row r="123" spans="1:13" ht="21.95" customHeight="1" x14ac:dyDescent="0.25">
      <c r="A123" s="36" t="s">
        <v>2904</v>
      </c>
      <c r="B123" s="36" t="str">
        <f t="shared" si="7"/>
        <v>AR_JACKSON COUNTY, AR</v>
      </c>
      <c r="D123" s="265" t="s">
        <v>100</v>
      </c>
      <c r="E123" s="266" t="s">
        <v>3064</v>
      </c>
      <c r="F123" s="252">
        <f t="shared" si="9"/>
        <v>37600</v>
      </c>
      <c r="G123" s="252">
        <f t="shared" si="9"/>
        <v>43000</v>
      </c>
      <c r="H123" s="252">
        <f t="shared" si="9"/>
        <v>48350</v>
      </c>
      <c r="I123" s="252">
        <f t="shared" si="9"/>
        <v>53700</v>
      </c>
      <c r="J123" s="252">
        <f t="shared" si="9"/>
        <v>58000</v>
      </c>
      <c r="K123" s="252">
        <f t="shared" si="9"/>
        <v>62300</v>
      </c>
      <c r="L123" s="252">
        <f t="shared" si="9"/>
        <v>66600</v>
      </c>
      <c r="M123" s="252">
        <f t="shared" si="9"/>
        <v>70900</v>
      </c>
    </row>
    <row r="124" spans="1:13" ht="21.95" customHeight="1" x14ac:dyDescent="0.25">
      <c r="A124" s="36" t="s">
        <v>2904</v>
      </c>
      <c r="B124" s="36" t="str">
        <f t="shared" ref="B124:B187" si="10">UPPER(TRIM(D124)&amp;"_"&amp;TRIM(E124))</f>
        <v>AR_JEFFERSON COUNTY, AR</v>
      </c>
      <c r="D124" s="265" t="s">
        <v>100</v>
      </c>
      <c r="E124" s="266" t="s">
        <v>9090</v>
      </c>
      <c r="F124" s="252">
        <f t="shared" si="9"/>
        <v>37600</v>
      </c>
      <c r="G124" s="252">
        <f t="shared" si="9"/>
        <v>43000</v>
      </c>
      <c r="H124" s="252">
        <f t="shared" si="9"/>
        <v>48350</v>
      </c>
      <c r="I124" s="252">
        <f t="shared" si="9"/>
        <v>53700</v>
      </c>
      <c r="J124" s="252">
        <f t="shared" si="9"/>
        <v>58000</v>
      </c>
      <c r="K124" s="252">
        <f t="shared" si="9"/>
        <v>62300</v>
      </c>
      <c r="L124" s="252">
        <f t="shared" si="9"/>
        <v>66600</v>
      </c>
      <c r="M124" s="252">
        <f t="shared" si="9"/>
        <v>70900</v>
      </c>
    </row>
    <row r="125" spans="1:13" ht="21.95" customHeight="1" x14ac:dyDescent="0.25">
      <c r="A125" s="36" t="s">
        <v>2904</v>
      </c>
      <c r="B125" s="36" t="str">
        <f t="shared" si="10"/>
        <v>AR_JOHNSON COUNTY, AR</v>
      </c>
      <c r="D125" s="265" t="s">
        <v>100</v>
      </c>
      <c r="E125" s="266" t="s">
        <v>3065</v>
      </c>
      <c r="F125" s="252">
        <f t="shared" si="9"/>
        <v>37600</v>
      </c>
      <c r="G125" s="252">
        <f t="shared" si="9"/>
        <v>43000</v>
      </c>
      <c r="H125" s="252">
        <f t="shared" si="9"/>
        <v>48350</v>
      </c>
      <c r="I125" s="252">
        <f t="shared" si="9"/>
        <v>53700</v>
      </c>
      <c r="J125" s="252">
        <f t="shared" si="9"/>
        <v>58000</v>
      </c>
      <c r="K125" s="252">
        <f t="shared" si="9"/>
        <v>62300</v>
      </c>
      <c r="L125" s="252">
        <f t="shared" si="9"/>
        <v>66600</v>
      </c>
      <c r="M125" s="252">
        <f t="shared" si="9"/>
        <v>70900</v>
      </c>
    </row>
    <row r="126" spans="1:13" ht="21.95" customHeight="1" x14ac:dyDescent="0.25">
      <c r="A126" s="36" t="s">
        <v>2904</v>
      </c>
      <c r="B126" s="36" t="str">
        <f t="shared" si="10"/>
        <v>AR_JONESBORO, AR HUD METRO FMR AREA</v>
      </c>
      <c r="D126" s="265" t="s">
        <v>100</v>
      </c>
      <c r="E126" s="266" t="s">
        <v>3066</v>
      </c>
      <c r="F126" s="252">
        <f t="shared" si="9"/>
        <v>44450</v>
      </c>
      <c r="G126" s="252">
        <f t="shared" si="9"/>
        <v>50800</v>
      </c>
      <c r="H126" s="252">
        <f t="shared" si="9"/>
        <v>57150</v>
      </c>
      <c r="I126" s="252">
        <f t="shared" si="9"/>
        <v>63450</v>
      </c>
      <c r="J126" s="252">
        <f t="shared" si="9"/>
        <v>68550</v>
      </c>
      <c r="K126" s="252">
        <f t="shared" si="9"/>
        <v>73650</v>
      </c>
      <c r="L126" s="252">
        <f t="shared" si="9"/>
        <v>78700</v>
      </c>
      <c r="M126" s="252">
        <f t="shared" si="9"/>
        <v>83800</v>
      </c>
    </row>
    <row r="127" spans="1:13" ht="21.95" customHeight="1" x14ac:dyDescent="0.25">
      <c r="A127" s="36" t="s">
        <v>2904</v>
      </c>
      <c r="B127" s="36" t="str">
        <f t="shared" si="10"/>
        <v>AR_LAFAYETTE COUNTY, AR</v>
      </c>
      <c r="D127" s="265" t="s">
        <v>100</v>
      </c>
      <c r="E127" s="266" t="s">
        <v>3067</v>
      </c>
      <c r="F127" s="252">
        <f t="shared" si="9"/>
        <v>37600</v>
      </c>
      <c r="G127" s="252">
        <f t="shared" si="9"/>
        <v>43000</v>
      </c>
      <c r="H127" s="252">
        <f t="shared" si="9"/>
        <v>48350</v>
      </c>
      <c r="I127" s="252">
        <f t="shared" si="9"/>
        <v>53700</v>
      </c>
      <c r="J127" s="252">
        <f t="shared" si="9"/>
        <v>58000</v>
      </c>
      <c r="K127" s="252">
        <f t="shared" si="9"/>
        <v>62300</v>
      </c>
      <c r="L127" s="252">
        <f t="shared" si="9"/>
        <v>66600</v>
      </c>
      <c r="M127" s="252">
        <f t="shared" si="9"/>
        <v>70900</v>
      </c>
    </row>
    <row r="128" spans="1:13" ht="21.95" customHeight="1" x14ac:dyDescent="0.25">
      <c r="A128" s="36" t="s">
        <v>2904</v>
      </c>
      <c r="B128" s="36" t="str">
        <f t="shared" si="10"/>
        <v>AR_LAWRENCE COUNTY, AR</v>
      </c>
      <c r="D128" s="265" t="s">
        <v>100</v>
      </c>
      <c r="E128" s="266" t="s">
        <v>3068</v>
      </c>
      <c r="F128" s="252">
        <f t="shared" si="9"/>
        <v>37600</v>
      </c>
      <c r="G128" s="252">
        <f t="shared" si="9"/>
        <v>43000</v>
      </c>
      <c r="H128" s="252">
        <f t="shared" si="9"/>
        <v>48350</v>
      </c>
      <c r="I128" s="252">
        <f t="shared" si="9"/>
        <v>53700</v>
      </c>
      <c r="J128" s="252">
        <f t="shared" si="9"/>
        <v>58000</v>
      </c>
      <c r="K128" s="252">
        <f t="shared" si="9"/>
        <v>62300</v>
      </c>
      <c r="L128" s="252">
        <f t="shared" si="9"/>
        <v>66600</v>
      </c>
      <c r="M128" s="252">
        <f t="shared" si="9"/>
        <v>70900</v>
      </c>
    </row>
    <row r="129" spans="1:13" ht="21.95" customHeight="1" x14ac:dyDescent="0.25">
      <c r="A129" s="36" t="s">
        <v>2904</v>
      </c>
      <c r="B129" s="36" t="str">
        <f t="shared" si="10"/>
        <v>AR_LEE COUNTY, AR</v>
      </c>
      <c r="D129" s="265" t="s">
        <v>100</v>
      </c>
      <c r="E129" s="266" t="s">
        <v>3069</v>
      </c>
      <c r="F129" s="252">
        <f t="shared" si="9"/>
        <v>37600</v>
      </c>
      <c r="G129" s="252">
        <f t="shared" si="9"/>
        <v>43000</v>
      </c>
      <c r="H129" s="252">
        <f t="shared" si="9"/>
        <v>48350</v>
      </c>
      <c r="I129" s="252">
        <f t="shared" si="9"/>
        <v>53700</v>
      </c>
      <c r="J129" s="252">
        <f t="shared" si="9"/>
        <v>58000</v>
      </c>
      <c r="K129" s="252">
        <f t="shared" si="9"/>
        <v>62300</v>
      </c>
      <c r="L129" s="252">
        <f t="shared" si="9"/>
        <v>66600</v>
      </c>
      <c r="M129" s="252">
        <f t="shared" si="9"/>
        <v>70900</v>
      </c>
    </row>
    <row r="130" spans="1:13" ht="21.95" customHeight="1" x14ac:dyDescent="0.25">
      <c r="A130" s="36" t="s">
        <v>2904</v>
      </c>
      <c r="B130" s="36" t="str">
        <f t="shared" si="10"/>
        <v>AR_LINCOLN COUNTY, AR</v>
      </c>
      <c r="D130" s="265" t="s">
        <v>100</v>
      </c>
      <c r="E130" s="266" t="s">
        <v>9091</v>
      </c>
      <c r="F130" s="252">
        <f t="shared" si="9"/>
        <v>37600</v>
      </c>
      <c r="G130" s="252">
        <f t="shared" si="9"/>
        <v>43000</v>
      </c>
      <c r="H130" s="252">
        <f t="shared" si="9"/>
        <v>48350</v>
      </c>
      <c r="I130" s="252">
        <f t="shared" si="9"/>
        <v>53700</v>
      </c>
      <c r="J130" s="252">
        <f t="shared" si="9"/>
        <v>58000</v>
      </c>
      <c r="K130" s="252">
        <f t="shared" si="9"/>
        <v>62300</v>
      </c>
      <c r="L130" s="252">
        <f t="shared" si="9"/>
        <v>66600</v>
      </c>
      <c r="M130" s="252">
        <f t="shared" si="9"/>
        <v>70900</v>
      </c>
    </row>
    <row r="131" spans="1:13" ht="21.95" customHeight="1" x14ac:dyDescent="0.25">
      <c r="A131" s="36" t="s">
        <v>2904</v>
      </c>
      <c r="B131" s="36" t="str">
        <f t="shared" si="10"/>
        <v>AR_LITTLE RIVER COUNTY, AR HUD METRO FMR AREA</v>
      </c>
      <c r="D131" s="265" t="s">
        <v>100</v>
      </c>
      <c r="E131" s="266" t="s">
        <v>3070</v>
      </c>
      <c r="F131" s="252">
        <f t="shared" si="9"/>
        <v>44550</v>
      </c>
      <c r="G131" s="252">
        <f t="shared" si="9"/>
        <v>50900</v>
      </c>
      <c r="H131" s="252">
        <f t="shared" si="9"/>
        <v>57250</v>
      </c>
      <c r="I131" s="252">
        <f t="shared" si="9"/>
        <v>63600</v>
      </c>
      <c r="J131" s="252">
        <f t="shared" si="9"/>
        <v>68700</v>
      </c>
      <c r="K131" s="252">
        <f t="shared" si="9"/>
        <v>73800</v>
      </c>
      <c r="L131" s="252">
        <f t="shared" si="9"/>
        <v>78900</v>
      </c>
      <c r="M131" s="252">
        <f t="shared" si="9"/>
        <v>84000</v>
      </c>
    </row>
    <row r="132" spans="1:13" ht="21.95" customHeight="1" x14ac:dyDescent="0.25">
      <c r="A132" s="36" t="s">
        <v>2904</v>
      </c>
      <c r="B132" s="36" t="str">
        <f t="shared" si="10"/>
        <v>AR_LITTLE ROCK-NORTH LITTLE ROCK-CONWAY, AR HUD METRO FMR AREA</v>
      </c>
      <c r="D132" s="265" t="s">
        <v>100</v>
      </c>
      <c r="E132" s="266" t="s">
        <v>3071</v>
      </c>
      <c r="F132" s="252">
        <f t="shared" si="9"/>
        <v>51950</v>
      </c>
      <c r="G132" s="252">
        <f t="shared" si="9"/>
        <v>59350</v>
      </c>
      <c r="H132" s="252">
        <f t="shared" si="9"/>
        <v>66750</v>
      </c>
      <c r="I132" s="252">
        <f t="shared" si="9"/>
        <v>74150</v>
      </c>
      <c r="J132" s="252">
        <f t="shared" si="9"/>
        <v>80100</v>
      </c>
      <c r="K132" s="252">
        <f t="shared" si="9"/>
        <v>86050</v>
      </c>
      <c r="L132" s="252">
        <f t="shared" si="9"/>
        <v>91950</v>
      </c>
      <c r="M132" s="252">
        <f t="shared" si="9"/>
        <v>97900</v>
      </c>
    </row>
    <row r="133" spans="1:13" ht="21.95" customHeight="1" x14ac:dyDescent="0.25">
      <c r="A133" s="36" t="s">
        <v>2904</v>
      </c>
      <c r="B133" s="36" t="str">
        <f t="shared" si="10"/>
        <v>AR_LOGAN COUNTY, AR</v>
      </c>
      <c r="D133" s="265" t="s">
        <v>100</v>
      </c>
      <c r="E133" s="266" t="s">
        <v>3072</v>
      </c>
      <c r="F133" s="252">
        <f t="shared" si="9"/>
        <v>42150</v>
      </c>
      <c r="G133" s="252">
        <f t="shared" si="9"/>
        <v>48150</v>
      </c>
      <c r="H133" s="252">
        <f t="shared" si="9"/>
        <v>54150</v>
      </c>
      <c r="I133" s="252">
        <f t="shared" si="9"/>
        <v>60150</v>
      </c>
      <c r="J133" s="252">
        <f t="shared" si="9"/>
        <v>65000</v>
      </c>
      <c r="K133" s="252">
        <f t="shared" si="9"/>
        <v>69800</v>
      </c>
      <c r="L133" s="252">
        <f t="shared" si="9"/>
        <v>74600</v>
      </c>
      <c r="M133" s="252">
        <f t="shared" si="9"/>
        <v>79400</v>
      </c>
    </row>
    <row r="134" spans="1:13" ht="21.95" customHeight="1" x14ac:dyDescent="0.25">
      <c r="A134" s="36" t="s">
        <v>2904</v>
      </c>
      <c r="B134" s="36" t="str">
        <f t="shared" si="10"/>
        <v>AR_MARION COUNTY, AR</v>
      </c>
      <c r="D134" s="265" t="s">
        <v>100</v>
      </c>
      <c r="E134" s="266" t="s">
        <v>3073</v>
      </c>
      <c r="F134" s="252">
        <f t="shared" si="9"/>
        <v>37600</v>
      </c>
      <c r="G134" s="252">
        <f t="shared" si="9"/>
        <v>43000</v>
      </c>
      <c r="H134" s="252">
        <f t="shared" si="9"/>
        <v>48350</v>
      </c>
      <c r="I134" s="252">
        <f t="shared" si="9"/>
        <v>53700</v>
      </c>
      <c r="J134" s="252">
        <f t="shared" si="9"/>
        <v>58000</v>
      </c>
      <c r="K134" s="252">
        <f t="shared" si="9"/>
        <v>62300</v>
      </c>
      <c r="L134" s="252">
        <f t="shared" si="9"/>
        <v>66600</v>
      </c>
      <c r="M134" s="252">
        <f t="shared" si="9"/>
        <v>70900</v>
      </c>
    </row>
    <row r="135" spans="1:13" ht="21.95" customHeight="1" x14ac:dyDescent="0.25">
      <c r="A135" s="36" t="s">
        <v>2904</v>
      </c>
      <c r="B135" s="36" t="str">
        <f t="shared" si="10"/>
        <v>AR_MEMPHIS, TN-MS-AR HUD METRO FMR AREA</v>
      </c>
      <c r="D135" s="265" t="s">
        <v>100</v>
      </c>
      <c r="E135" s="266" t="s">
        <v>3074</v>
      </c>
      <c r="F135" s="252">
        <f t="shared" si="9"/>
        <v>51050</v>
      </c>
      <c r="G135" s="252">
        <f t="shared" si="9"/>
        <v>58350</v>
      </c>
      <c r="H135" s="252">
        <f t="shared" si="9"/>
        <v>65650</v>
      </c>
      <c r="I135" s="252">
        <f t="shared" si="9"/>
        <v>72900</v>
      </c>
      <c r="J135" s="252">
        <f t="shared" si="9"/>
        <v>78750</v>
      </c>
      <c r="K135" s="252">
        <f t="shared" si="9"/>
        <v>84600</v>
      </c>
      <c r="L135" s="252">
        <f t="shared" si="9"/>
        <v>90400</v>
      </c>
      <c r="M135" s="252">
        <f t="shared" si="9"/>
        <v>96250</v>
      </c>
    </row>
    <row r="136" spans="1:13" ht="21.95" customHeight="1" x14ac:dyDescent="0.25">
      <c r="A136" s="36" t="s">
        <v>2904</v>
      </c>
      <c r="B136" s="36" t="str">
        <f t="shared" si="10"/>
        <v>AR_MISSISSIPPI COUNTY, AR</v>
      </c>
      <c r="D136" s="265" t="s">
        <v>100</v>
      </c>
      <c r="E136" s="266" t="s">
        <v>3075</v>
      </c>
      <c r="F136" s="252">
        <f t="shared" si="9"/>
        <v>38050</v>
      </c>
      <c r="G136" s="252">
        <f t="shared" si="9"/>
        <v>43450</v>
      </c>
      <c r="H136" s="252">
        <f t="shared" si="9"/>
        <v>48900</v>
      </c>
      <c r="I136" s="252">
        <f t="shared" si="9"/>
        <v>54300</v>
      </c>
      <c r="J136" s="252">
        <f t="shared" si="9"/>
        <v>58650</v>
      </c>
      <c r="K136" s="252">
        <f t="shared" si="9"/>
        <v>63000</v>
      </c>
      <c r="L136" s="252">
        <f t="shared" si="9"/>
        <v>67350</v>
      </c>
      <c r="M136" s="252">
        <f t="shared" si="9"/>
        <v>71700</v>
      </c>
    </row>
    <row r="137" spans="1:13" ht="21.95" customHeight="1" x14ac:dyDescent="0.25">
      <c r="A137" s="36" t="s">
        <v>2904</v>
      </c>
      <c r="B137" s="36" t="str">
        <f t="shared" si="10"/>
        <v>AR_MONROE COUNTY, AR</v>
      </c>
      <c r="D137" s="265" t="s">
        <v>100</v>
      </c>
      <c r="E137" s="266" t="s">
        <v>3076</v>
      </c>
      <c r="F137" s="252">
        <f t="shared" si="9"/>
        <v>41550</v>
      </c>
      <c r="G137" s="252">
        <f t="shared" si="9"/>
        <v>47500</v>
      </c>
      <c r="H137" s="252">
        <f t="shared" si="9"/>
        <v>53450</v>
      </c>
      <c r="I137" s="252">
        <f t="shared" si="9"/>
        <v>59350</v>
      </c>
      <c r="J137" s="252">
        <f t="shared" si="9"/>
        <v>64100</v>
      </c>
      <c r="K137" s="252">
        <f t="shared" si="9"/>
        <v>68850</v>
      </c>
      <c r="L137" s="252">
        <f t="shared" ref="F137:M169" si="11">VLOOKUP($B137,LOOKUP_AMI_TABLE,5+((L$7-1)),FALSE)</f>
        <v>73600</v>
      </c>
      <c r="M137" s="252">
        <f t="shared" si="11"/>
        <v>78350</v>
      </c>
    </row>
    <row r="138" spans="1:13" ht="21.95" customHeight="1" x14ac:dyDescent="0.25">
      <c r="A138" s="36" t="s">
        <v>2904</v>
      </c>
      <c r="B138" s="36" t="str">
        <f t="shared" si="10"/>
        <v>AR_MONTGOMERY COUNTY, AR</v>
      </c>
      <c r="D138" s="265" t="s">
        <v>100</v>
      </c>
      <c r="E138" s="266" t="s">
        <v>3077</v>
      </c>
      <c r="F138" s="252">
        <f t="shared" si="11"/>
        <v>37600</v>
      </c>
      <c r="G138" s="252">
        <f t="shared" si="11"/>
        <v>43000</v>
      </c>
      <c r="H138" s="252">
        <f t="shared" si="11"/>
        <v>48350</v>
      </c>
      <c r="I138" s="252">
        <f t="shared" si="11"/>
        <v>53700</v>
      </c>
      <c r="J138" s="252">
        <f t="shared" si="11"/>
        <v>58000</v>
      </c>
      <c r="K138" s="252">
        <f t="shared" si="11"/>
        <v>62300</v>
      </c>
      <c r="L138" s="252">
        <f t="shared" si="11"/>
        <v>66600</v>
      </c>
      <c r="M138" s="252">
        <f t="shared" si="11"/>
        <v>70900</v>
      </c>
    </row>
    <row r="139" spans="1:13" ht="21.95" customHeight="1" x14ac:dyDescent="0.25">
      <c r="A139" s="36" t="s">
        <v>2904</v>
      </c>
      <c r="B139" s="36" t="str">
        <f t="shared" si="10"/>
        <v>AR_NEVADA COUNTY, AR</v>
      </c>
      <c r="D139" s="265" t="s">
        <v>100</v>
      </c>
      <c r="E139" s="266" t="s">
        <v>3078</v>
      </c>
      <c r="F139" s="252">
        <f t="shared" si="11"/>
        <v>37600</v>
      </c>
      <c r="G139" s="252">
        <f t="shared" si="11"/>
        <v>43000</v>
      </c>
      <c r="H139" s="252">
        <f t="shared" si="11"/>
        <v>48350</v>
      </c>
      <c r="I139" s="252">
        <f t="shared" si="11"/>
        <v>53700</v>
      </c>
      <c r="J139" s="252">
        <f t="shared" si="11"/>
        <v>58000</v>
      </c>
      <c r="K139" s="252">
        <f t="shared" si="11"/>
        <v>62300</v>
      </c>
      <c r="L139" s="252">
        <f t="shared" si="11"/>
        <v>66600</v>
      </c>
      <c r="M139" s="252">
        <f t="shared" si="11"/>
        <v>70900</v>
      </c>
    </row>
    <row r="140" spans="1:13" ht="21.95" customHeight="1" x14ac:dyDescent="0.25">
      <c r="A140" s="36" t="s">
        <v>2904</v>
      </c>
      <c r="B140" s="36" t="str">
        <f t="shared" si="10"/>
        <v>AR_NEWTON COUNTY, AR</v>
      </c>
      <c r="D140" s="265" t="s">
        <v>100</v>
      </c>
      <c r="E140" s="266" t="s">
        <v>3079</v>
      </c>
      <c r="F140" s="252">
        <f t="shared" si="11"/>
        <v>39600</v>
      </c>
      <c r="G140" s="252">
        <f t="shared" si="11"/>
        <v>45250</v>
      </c>
      <c r="H140" s="252">
        <f t="shared" si="11"/>
        <v>50900</v>
      </c>
      <c r="I140" s="252">
        <f t="shared" si="11"/>
        <v>56550</v>
      </c>
      <c r="J140" s="252">
        <f t="shared" si="11"/>
        <v>61100</v>
      </c>
      <c r="K140" s="252">
        <f t="shared" si="11"/>
        <v>65600</v>
      </c>
      <c r="L140" s="252">
        <f t="shared" si="11"/>
        <v>70150</v>
      </c>
      <c r="M140" s="252">
        <f t="shared" si="11"/>
        <v>74650</v>
      </c>
    </row>
    <row r="141" spans="1:13" ht="21.95" customHeight="1" x14ac:dyDescent="0.25">
      <c r="A141" s="36" t="s">
        <v>2904</v>
      </c>
      <c r="B141" s="36" t="str">
        <f t="shared" si="10"/>
        <v>AR_OUACHITA COUNTY, AR</v>
      </c>
      <c r="D141" s="265" t="s">
        <v>100</v>
      </c>
      <c r="E141" s="266" t="s">
        <v>3080</v>
      </c>
      <c r="F141" s="252">
        <f t="shared" si="11"/>
        <v>38750</v>
      </c>
      <c r="G141" s="252">
        <f t="shared" si="11"/>
        <v>44250</v>
      </c>
      <c r="H141" s="252">
        <f t="shared" si="11"/>
        <v>49800</v>
      </c>
      <c r="I141" s="252">
        <f t="shared" si="11"/>
        <v>55300</v>
      </c>
      <c r="J141" s="252">
        <f t="shared" si="11"/>
        <v>59750</v>
      </c>
      <c r="K141" s="252">
        <f t="shared" si="11"/>
        <v>64150</v>
      </c>
      <c r="L141" s="252">
        <f t="shared" si="11"/>
        <v>68600</v>
      </c>
      <c r="M141" s="252">
        <f t="shared" si="11"/>
        <v>73000</v>
      </c>
    </row>
    <row r="142" spans="1:13" ht="21.95" customHeight="1" x14ac:dyDescent="0.25">
      <c r="A142" s="36" t="s">
        <v>2904</v>
      </c>
      <c r="B142" s="36" t="str">
        <f t="shared" si="10"/>
        <v>AR_PHILLIPS COUNTY, AR</v>
      </c>
      <c r="D142" s="265" t="s">
        <v>100</v>
      </c>
      <c r="E142" s="266" t="s">
        <v>3081</v>
      </c>
      <c r="F142" s="252">
        <f t="shared" si="11"/>
        <v>37600</v>
      </c>
      <c r="G142" s="252">
        <f t="shared" si="11"/>
        <v>43000</v>
      </c>
      <c r="H142" s="252">
        <f t="shared" si="11"/>
        <v>48350</v>
      </c>
      <c r="I142" s="252">
        <f t="shared" si="11"/>
        <v>53700</v>
      </c>
      <c r="J142" s="252">
        <f t="shared" si="11"/>
        <v>58000</v>
      </c>
      <c r="K142" s="252">
        <f t="shared" si="11"/>
        <v>62300</v>
      </c>
      <c r="L142" s="252">
        <f t="shared" si="11"/>
        <v>66600</v>
      </c>
      <c r="M142" s="252">
        <f t="shared" si="11"/>
        <v>70900</v>
      </c>
    </row>
    <row r="143" spans="1:13" ht="21.95" customHeight="1" x14ac:dyDescent="0.25">
      <c r="A143" s="36" t="s">
        <v>2904</v>
      </c>
      <c r="B143" s="36" t="str">
        <f t="shared" si="10"/>
        <v>AR_PIKE COUNTY, AR</v>
      </c>
      <c r="D143" s="265" t="s">
        <v>100</v>
      </c>
      <c r="E143" s="266" t="s">
        <v>3082</v>
      </c>
      <c r="F143" s="252">
        <f t="shared" si="11"/>
        <v>40900</v>
      </c>
      <c r="G143" s="252">
        <f t="shared" si="11"/>
        <v>46750</v>
      </c>
      <c r="H143" s="252">
        <f t="shared" si="11"/>
        <v>52600</v>
      </c>
      <c r="I143" s="252">
        <f t="shared" si="11"/>
        <v>58400</v>
      </c>
      <c r="J143" s="252">
        <f t="shared" si="11"/>
        <v>63100</v>
      </c>
      <c r="K143" s="252">
        <f t="shared" si="11"/>
        <v>67750</v>
      </c>
      <c r="L143" s="252">
        <f t="shared" si="11"/>
        <v>72450</v>
      </c>
      <c r="M143" s="252">
        <f t="shared" si="11"/>
        <v>77100</v>
      </c>
    </row>
    <row r="144" spans="1:13" ht="21.95" customHeight="1" x14ac:dyDescent="0.25">
      <c r="A144" s="36" t="s">
        <v>2904</v>
      </c>
      <c r="B144" s="36" t="str">
        <f t="shared" si="10"/>
        <v>AR_POINSETT COUNTY, AR HUD METRO FMR AREA</v>
      </c>
      <c r="D144" s="265" t="s">
        <v>100</v>
      </c>
      <c r="E144" s="266" t="s">
        <v>3083</v>
      </c>
      <c r="F144" s="252">
        <f t="shared" si="11"/>
        <v>37600</v>
      </c>
      <c r="G144" s="252">
        <f t="shared" si="11"/>
        <v>43000</v>
      </c>
      <c r="H144" s="252">
        <f t="shared" si="11"/>
        <v>48350</v>
      </c>
      <c r="I144" s="252">
        <f t="shared" si="11"/>
        <v>53700</v>
      </c>
      <c r="J144" s="252">
        <f t="shared" si="11"/>
        <v>58000</v>
      </c>
      <c r="K144" s="252">
        <f t="shared" si="11"/>
        <v>62300</v>
      </c>
      <c r="L144" s="252">
        <f t="shared" si="11"/>
        <v>66600</v>
      </c>
      <c r="M144" s="252">
        <f t="shared" si="11"/>
        <v>70900</v>
      </c>
    </row>
    <row r="145" spans="1:13" ht="21.95" customHeight="1" x14ac:dyDescent="0.25">
      <c r="A145" s="36" t="s">
        <v>2904</v>
      </c>
      <c r="B145" s="36" t="str">
        <f t="shared" si="10"/>
        <v>AR_POLK COUNTY, AR</v>
      </c>
      <c r="D145" s="265" t="s">
        <v>100</v>
      </c>
      <c r="E145" s="266" t="s">
        <v>3084</v>
      </c>
      <c r="F145" s="252">
        <f t="shared" si="11"/>
        <v>37600</v>
      </c>
      <c r="G145" s="252">
        <f t="shared" si="11"/>
        <v>43000</v>
      </c>
      <c r="H145" s="252">
        <f t="shared" si="11"/>
        <v>48350</v>
      </c>
      <c r="I145" s="252">
        <f t="shared" si="11"/>
        <v>53700</v>
      </c>
      <c r="J145" s="252">
        <f t="shared" si="11"/>
        <v>58000</v>
      </c>
      <c r="K145" s="252">
        <f t="shared" si="11"/>
        <v>62300</v>
      </c>
      <c r="L145" s="252">
        <f t="shared" si="11"/>
        <v>66600</v>
      </c>
      <c r="M145" s="252">
        <f t="shared" si="11"/>
        <v>70900</v>
      </c>
    </row>
    <row r="146" spans="1:13" ht="21.95" customHeight="1" x14ac:dyDescent="0.25">
      <c r="A146" s="36" t="s">
        <v>2904</v>
      </c>
      <c r="B146" s="36" t="str">
        <f t="shared" si="10"/>
        <v>AR_POPE COUNTY, AR</v>
      </c>
      <c r="D146" s="265" t="s">
        <v>100</v>
      </c>
      <c r="E146" s="266" t="s">
        <v>3085</v>
      </c>
      <c r="F146" s="252">
        <f t="shared" si="11"/>
        <v>41650</v>
      </c>
      <c r="G146" s="252">
        <f t="shared" si="11"/>
        <v>47600</v>
      </c>
      <c r="H146" s="252">
        <f t="shared" si="11"/>
        <v>53550</v>
      </c>
      <c r="I146" s="252">
        <f t="shared" si="11"/>
        <v>59450</v>
      </c>
      <c r="J146" s="252">
        <f t="shared" si="11"/>
        <v>64250</v>
      </c>
      <c r="K146" s="252">
        <f t="shared" si="11"/>
        <v>69000</v>
      </c>
      <c r="L146" s="252">
        <f t="shared" si="11"/>
        <v>73750</v>
      </c>
      <c r="M146" s="252">
        <f t="shared" si="11"/>
        <v>78500</v>
      </c>
    </row>
    <row r="147" spans="1:13" ht="21.95" customHeight="1" x14ac:dyDescent="0.25">
      <c r="A147" s="36" t="s">
        <v>2904</v>
      </c>
      <c r="B147" s="36" t="str">
        <f t="shared" si="10"/>
        <v>AR_PRAIRIE COUNTY, AR</v>
      </c>
      <c r="D147" s="265" t="s">
        <v>100</v>
      </c>
      <c r="E147" s="266" t="s">
        <v>3086</v>
      </c>
      <c r="F147" s="252">
        <f t="shared" si="11"/>
        <v>43050</v>
      </c>
      <c r="G147" s="252">
        <f t="shared" si="11"/>
        <v>49200</v>
      </c>
      <c r="H147" s="252">
        <f t="shared" si="11"/>
        <v>55350</v>
      </c>
      <c r="I147" s="252">
        <f t="shared" si="11"/>
        <v>61450</v>
      </c>
      <c r="J147" s="252">
        <f t="shared" si="11"/>
        <v>66400</v>
      </c>
      <c r="K147" s="252">
        <f t="shared" si="11"/>
        <v>71300</v>
      </c>
      <c r="L147" s="252">
        <f t="shared" si="11"/>
        <v>76200</v>
      </c>
      <c r="M147" s="252">
        <f t="shared" si="11"/>
        <v>81150</v>
      </c>
    </row>
    <row r="148" spans="1:13" ht="21.95" customHeight="1" x14ac:dyDescent="0.25">
      <c r="A148" s="36" t="s">
        <v>2904</v>
      </c>
      <c r="B148" s="36" t="str">
        <f t="shared" si="10"/>
        <v>AR_RANDOLPH COUNTY, AR</v>
      </c>
      <c r="D148" s="265" t="s">
        <v>100</v>
      </c>
      <c r="E148" s="266" t="s">
        <v>3087</v>
      </c>
      <c r="F148" s="252">
        <f t="shared" si="11"/>
        <v>39300</v>
      </c>
      <c r="G148" s="252">
        <f t="shared" si="11"/>
        <v>44900</v>
      </c>
      <c r="H148" s="252">
        <f t="shared" si="11"/>
        <v>50500</v>
      </c>
      <c r="I148" s="252">
        <f t="shared" si="11"/>
        <v>56100</v>
      </c>
      <c r="J148" s="252">
        <f t="shared" si="11"/>
        <v>60600</v>
      </c>
      <c r="K148" s="252">
        <f t="shared" si="11"/>
        <v>65100</v>
      </c>
      <c r="L148" s="252">
        <f t="shared" si="11"/>
        <v>69600</v>
      </c>
      <c r="M148" s="252">
        <f t="shared" si="11"/>
        <v>74100</v>
      </c>
    </row>
    <row r="149" spans="1:13" ht="21.95" customHeight="1" x14ac:dyDescent="0.25">
      <c r="A149" s="36" t="s">
        <v>2904</v>
      </c>
      <c r="B149" s="36" t="str">
        <f t="shared" si="10"/>
        <v>AR_SCOTT COUNTY, AR</v>
      </c>
      <c r="D149" s="265" t="s">
        <v>100</v>
      </c>
      <c r="E149" s="266" t="s">
        <v>3088</v>
      </c>
      <c r="F149" s="252">
        <f t="shared" si="11"/>
        <v>37600</v>
      </c>
      <c r="G149" s="252">
        <f t="shared" si="11"/>
        <v>43000</v>
      </c>
      <c r="H149" s="252">
        <f t="shared" si="11"/>
        <v>48350</v>
      </c>
      <c r="I149" s="252">
        <f t="shared" si="11"/>
        <v>53700</v>
      </c>
      <c r="J149" s="252">
        <f t="shared" si="11"/>
        <v>58000</v>
      </c>
      <c r="K149" s="252">
        <f t="shared" si="11"/>
        <v>62300</v>
      </c>
      <c r="L149" s="252">
        <f t="shared" si="11"/>
        <v>66600</v>
      </c>
      <c r="M149" s="252">
        <f t="shared" si="11"/>
        <v>70900</v>
      </c>
    </row>
    <row r="150" spans="1:13" ht="21.95" customHeight="1" x14ac:dyDescent="0.25">
      <c r="A150" s="36" t="s">
        <v>2904</v>
      </c>
      <c r="B150" s="36" t="str">
        <f t="shared" si="10"/>
        <v>AR_SEARCY COUNTY, AR</v>
      </c>
      <c r="D150" s="265" t="s">
        <v>100</v>
      </c>
      <c r="E150" s="266" t="s">
        <v>3089</v>
      </c>
      <c r="F150" s="252">
        <f t="shared" si="11"/>
        <v>37600</v>
      </c>
      <c r="G150" s="252">
        <f t="shared" si="11"/>
        <v>43000</v>
      </c>
      <c r="H150" s="252">
        <f t="shared" si="11"/>
        <v>48350</v>
      </c>
      <c r="I150" s="252">
        <f t="shared" si="11"/>
        <v>53700</v>
      </c>
      <c r="J150" s="252">
        <f t="shared" si="11"/>
        <v>58000</v>
      </c>
      <c r="K150" s="252">
        <f t="shared" si="11"/>
        <v>62300</v>
      </c>
      <c r="L150" s="252">
        <f t="shared" si="11"/>
        <v>66600</v>
      </c>
      <c r="M150" s="252">
        <f t="shared" si="11"/>
        <v>70900</v>
      </c>
    </row>
    <row r="151" spans="1:13" ht="21.95" customHeight="1" x14ac:dyDescent="0.25">
      <c r="A151" s="36" t="s">
        <v>2904</v>
      </c>
      <c r="B151" s="36" t="str">
        <f t="shared" si="10"/>
        <v>AR_SEVIER COUNTY, AR</v>
      </c>
      <c r="D151" s="265" t="s">
        <v>100</v>
      </c>
      <c r="E151" s="266" t="s">
        <v>3090</v>
      </c>
      <c r="F151" s="252">
        <f t="shared" si="11"/>
        <v>37600</v>
      </c>
      <c r="G151" s="252">
        <f t="shared" si="11"/>
        <v>43000</v>
      </c>
      <c r="H151" s="252">
        <f t="shared" si="11"/>
        <v>48350</v>
      </c>
      <c r="I151" s="252">
        <f t="shared" si="11"/>
        <v>53700</v>
      </c>
      <c r="J151" s="252">
        <f t="shared" si="11"/>
        <v>58000</v>
      </c>
      <c r="K151" s="252">
        <f t="shared" si="11"/>
        <v>62300</v>
      </c>
      <c r="L151" s="252">
        <f t="shared" si="11"/>
        <v>66600</v>
      </c>
      <c r="M151" s="252">
        <f t="shared" si="11"/>
        <v>70900</v>
      </c>
    </row>
    <row r="152" spans="1:13" ht="21.95" customHeight="1" x14ac:dyDescent="0.25">
      <c r="A152" s="36" t="s">
        <v>2904</v>
      </c>
      <c r="B152" s="36" t="str">
        <f t="shared" si="10"/>
        <v>AR_SHARP COUNTY, AR</v>
      </c>
      <c r="D152" s="265" t="s">
        <v>100</v>
      </c>
      <c r="E152" s="266" t="s">
        <v>3091</v>
      </c>
      <c r="F152" s="252">
        <f t="shared" si="11"/>
        <v>37600</v>
      </c>
      <c r="G152" s="252">
        <f t="shared" si="11"/>
        <v>43000</v>
      </c>
      <c r="H152" s="252">
        <f t="shared" si="11"/>
        <v>48350</v>
      </c>
      <c r="I152" s="252">
        <f t="shared" si="11"/>
        <v>53700</v>
      </c>
      <c r="J152" s="252">
        <f t="shared" si="11"/>
        <v>58000</v>
      </c>
      <c r="K152" s="252">
        <f t="shared" si="11"/>
        <v>62300</v>
      </c>
      <c r="L152" s="252">
        <f t="shared" si="11"/>
        <v>66600</v>
      </c>
      <c r="M152" s="252">
        <f t="shared" si="11"/>
        <v>70900</v>
      </c>
    </row>
    <row r="153" spans="1:13" ht="21.95" customHeight="1" x14ac:dyDescent="0.25">
      <c r="A153" s="36" t="s">
        <v>2904</v>
      </c>
      <c r="B153" s="36" t="str">
        <f t="shared" si="10"/>
        <v>AR_ST. FRANCIS COUNTY, AR</v>
      </c>
      <c r="D153" s="265" t="s">
        <v>100</v>
      </c>
      <c r="E153" s="266" t="s">
        <v>3092</v>
      </c>
      <c r="F153" s="252">
        <f t="shared" si="11"/>
        <v>37600</v>
      </c>
      <c r="G153" s="252">
        <f t="shared" si="11"/>
        <v>43000</v>
      </c>
      <c r="H153" s="252">
        <f t="shared" si="11"/>
        <v>48350</v>
      </c>
      <c r="I153" s="252">
        <f t="shared" si="11"/>
        <v>53700</v>
      </c>
      <c r="J153" s="252">
        <f t="shared" si="11"/>
        <v>58000</v>
      </c>
      <c r="K153" s="252">
        <f t="shared" si="11"/>
        <v>62300</v>
      </c>
      <c r="L153" s="252">
        <f t="shared" si="11"/>
        <v>66600</v>
      </c>
      <c r="M153" s="252">
        <f t="shared" si="11"/>
        <v>70900</v>
      </c>
    </row>
    <row r="154" spans="1:13" ht="21.95" customHeight="1" x14ac:dyDescent="0.25">
      <c r="A154" s="36" t="s">
        <v>2904</v>
      </c>
      <c r="B154" s="36" t="str">
        <f t="shared" si="10"/>
        <v>AR_STONE COUNTY, AR</v>
      </c>
      <c r="D154" s="265" t="s">
        <v>100</v>
      </c>
      <c r="E154" s="266" t="s">
        <v>3093</v>
      </c>
      <c r="F154" s="252">
        <f t="shared" si="11"/>
        <v>37600</v>
      </c>
      <c r="G154" s="252">
        <f t="shared" si="11"/>
        <v>43000</v>
      </c>
      <c r="H154" s="252">
        <f t="shared" si="11"/>
        <v>48350</v>
      </c>
      <c r="I154" s="252">
        <f t="shared" si="11"/>
        <v>53700</v>
      </c>
      <c r="J154" s="252">
        <f t="shared" si="11"/>
        <v>58000</v>
      </c>
      <c r="K154" s="252">
        <f t="shared" si="11"/>
        <v>62300</v>
      </c>
      <c r="L154" s="252">
        <f t="shared" si="11"/>
        <v>66600</v>
      </c>
      <c r="M154" s="252">
        <f t="shared" si="11"/>
        <v>70900</v>
      </c>
    </row>
    <row r="155" spans="1:13" ht="21.95" customHeight="1" x14ac:dyDescent="0.25">
      <c r="A155" s="36" t="s">
        <v>2904</v>
      </c>
      <c r="B155" s="36" t="str">
        <f t="shared" si="10"/>
        <v>AR_TEXARKANA, TX-TEXARKANA, AR HUD METRO FMR AREA</v>
      </c>
      <c r="D155" s="265" t="s">
        <v>100</v>
      </c>
      <c r="E155" s="266" t="s">
        <v>3094</v>
      </c>
      <c r="F155" s="252">
        <f t="shared" si="11"/>
        <v>44450</v>
      </c>
      <c r="G155" s="252">
        <f t="shared" si="11"/>
        <v>50800</v>
      </c>
      <c r="H155" s="252">
        <f t="shared" si="11"/>
        <v>57150</v>
      </c>
      <c r="I155" s="252">
        <f t="shared" si="11"/>
        <v>63500</v>
      </c>
      <c r="J155" s="252">
        <f t="shared" si="11"/>
        <v>68600</v>
      </c>
      <c r="K155" s="252">
        <f t="shared" si="11"/>
        <v>73700</v>
      </c>
      <c r="L155" s="252">
        <f t="shared" si="11"/>
        <v>78750</v>
      </c>
      <c r="M155" s="252">
        <f t="shared" si="11"/>
        <v>83850</v>
      </c>
    </row>
    <row r="156" spans="1:13" ht="21.95" customHeight="1" x14ac:dyDescent="0.25">
      <c r="A156" s="36" t="s">
        <v>2904</v>
      </c>
      <c r="B156" s="36" t="str">
        <f t="shared" si="10"/>
        <v>AR_UNION COUNTY, AR</v>
      </c>
      <c r="D156" s="265" t="s">
        <v>100</v>
      </c>
      <c r="E156" s="266" t="s">
        <v>3095</v>
      </c>
      <c r="F156" s="252">
        <f t="shared" si="11"/>
        <v>40500</v>
      </c>
      <c r="G156" s="252">
        <f t="shared" si="11"/>
        <v>46300</v>
      </c>
      <c r="H156" s="252">
        <f t="shared" si="11"/>
        <v>52100</v>
      </c>
      <c r="I156" s="252">
        <f t="shared" si="11"/>
        <v>57850</v>
      </c>
      <c r="J156" s="252">
        <f t="shared" si="11"/>
        <v>62500</v>
      </c>
      <c r="K156" s="252">
        <f t="shared" si="11"/>
        <v>67150</v>
      </c>
      <c r="L156" s="252">
        <f t="shared" si="11"/>
        <v>71750</v>
      </c>
      <c r="M156" s="252">
        <f t="shared" si="11"/>
        <v>76400</v>
      </c>
    </row>
    <row r="157" spans="1:13" ht="21.95" customHeight="1" x14ac:dyDescent="0.25">
      <c r="A157" s="36" t="s">
        <v>2904</v>
      </c>
      <c r="B157" s="36" t="str">
        <f t="shared" si="10"/>
        <v>AR_VAN BUREN COUNTY, AR</v>
      </c>
      <c r="D157" s="265" t="s">
        <v>100</v>
      </c>
      <c r="E157" s="266" t="s">
        <v>3096</v>
      </c>
      <c r="F157" s="252">
        <f t="shared" si="11"/>
        <v>37600</v>
      </c>
      <c r="G157" s="252">
        <f t="shared" si="11"/>
        <v>43000</v>
      </c>
      <c r="H157" s="252">
        <f t="shared" si="11"/>
        <v>48350</v>
      </c>
      <c r="I157" s="252">
        <f t="shared" si="11"/>
        <v>53700</v>
      </c>
      <c r="J157" s="252">
        <f t="shared" si="11"/>
        <v>58000</v>
      </c>
      <c r="K157" s="252">
        <f t="shared" si="11"/>
        <v>62300</v>
      </c>
      <c r="L157" s="252">
        <f t="shared" si="11"/>
        <v>66600</v>
      </c>
      <c r="M157" s="252">
        <f t="shared" si="11"/>
        <v>70900</v>
      </c>
    </row>
    <row r="158" spans="1:13" ht="21.95" customHeight="1" x14ac:dyDescent="0.25">
      <c r="A158" s="36" t="s">
        <v>2904</v>
      </c>
      <c r="B158" s="36" t="str">
        <f t="shared" si="10"/>
        <v>AR_WHITE COUNTY, AR</v>
      </c>
      <c r="D158" s="265" t="s">
        <v>100</v>
      </c>
      <c r="E158" s="266" t="s">
        <v>3097</v>
      </c>
      <c r="F158" s="252">
        <f t="shared" si="11"/>
        <v>42950</v>
      </c>
      <c r="G158" s="252">
        <f t="shared" si="11"/>
        <v>49050</v>
      </c>
      <c r="H158" s="252">
        <f t="shared" si="11"/>
        <v>55200</v>
      </c>
      <c r="I158" s="252">
        <f t="shared" si="11"/>
        <v>61300</v>
      </c>
      <c r="J158" s="252">
        <f t="shared" si="11"/>
        <v>66250</v>
      </c>
      <c r="K158" s="252">
        <f t="shared" si="11"/>
        <v>71150</v>
      </c>
      <c r="L158" s="252">
        <f t="shared" si="11"/>
        <v>76050</v>
      </c>
      <c r="M158" s="252">
        <f t="shared" si="11"/>
        <v>80950</v>
      </c>
    </row>
    <row r="159" spans="1:13" ht="21.95" customHeight="1" x14ac:dyDescent="0.25">
      <c r="A159" s="36" t="s">
        <v>2904</v>
      </c>
      <c r="B159" s="36" t="str">
        <f t="shared" si="10"/>
        <v>AR_WOODRUFF COUNTY, AR</v>
      </c>
      <c r="D159" s="265" t="s">
        <v>100</v>
      </c>
      <c r="E159" s="266" t="s">
        <v>3098</v>
      </c>
      <c r="F159" s="252">
        <f t="shared" si="11"/>
        <v>38400</v>
      </c>
      <c r="G159" s="252">
        <f t="shared" si="11"/>
        <v>43850</v>
      </c>
      <c r="H159" s="252">
        <f t="shared" si="11"/>
        <v>49350</v>
      </c>
      <c r="I159" s="252">
        <f t="shared" si="11"/>
        <v>54800</v>
      </c>
      <c r="J159" s="252">
        <f t="shared" si="11"/>
        <v>59200</v>
      </c>
      <c r="K159" s="252">
        <f t="shared" si="11"/>
        <v>63600</v>
      </c>
      <c r="L159" s="252">
        <f t="shared" si="11"/>
        <v>68000</v>
      </c>
      <c r="M159" s="252">
        <f t="shared" si="11"/>
        <v>72350</v>
      </c>
    </row>
    <row r="160" spans="1:13" ht="21.95" customHeight="1" x14ac:dyDescent="0.25">
      <c r="A160" s="36" t="s">
        <v>2904</v>
      </c>
      <c r="B160" s="36" t="str">
        <f t="shared" si="10"/>
        <v>AR_YELL COUNTY, AR</v>
      </c>
      <c r="D160" s="265" t="s">
        <v>100</v>
      </c>
      <c r="E160" s="266" t="s">
        <v>3099</v>
      </c>
      <c r="F160" s="252">
        <f t="shared" si="11"/>
        <v>41900</v>
      </c>
      <c r="G160" s="252">
        <f t="shared" si="11"/>
        <v>47900</v>
      </c>
      <c r="H160" s="252">
        <f t="shared" si="11"/>
        <v>53900</v>
      </c>
      <c r="I160" s="252">
        <f t="shared" si="11"/>
        <v>59850</v>
      </c>
      <c r="J160" s="252">
        <f t="shared" si="11"/>
        <v>64650</v>
      </c>
      <c r="K160" s="252">
        <f t="shared" si="11"/>
        <v>69450</v>
      </c>
      <c r="L160" s="252">
        <f t="shared" si="11"/>
        <v>74250</v>
      </c>
      <c r="M160" s="252">
        <f t="shared" si="11"/>
        <v>79050</v>
      </c>
    </row>
    <row r="161" spans="1:13" ht="21.95" customHeight="1" x14ac:dyDescent="0.25">
      <c r="A161" s="36" t="s">
        <v>2904</v>
      </c>
      <c r="B161" s="36" t="str">
        <f t="shared" si="10"/>
        <v>AS_AMERICAN SAMOA</v>
      </c>
      <c r="D161" s="265" t="s">
        <v>2912</v>
      </c>
      <c r="E161" s="266" t="s">
        <v>3100</v>
      </c>
      <c r="F161" s="252">
        <f t="shared" si="11"/>
        <v>33050</v>
      </c>
      <c r="G161" s="252">
        <f t="shared" si="11"/>
        <v>37800</v>
      </c>
      <c r="H161" s="252">
        <f t="shared" si="11"/>
        <v>42500</v>
      </c>
      <c r="I161" s="252">
        <f t="shared" si="11"/>
        <v>47200</v>
      </c>
      <c r="J161" s="252">
        <f t="shared" si="11"/>
        <v>51000</v>
      </c>
      <c r="K161" s="252">
        <f t="shared" si="11"/>
        <v>54800</v>
      </c>
      <c r="L161" s="252">
        <f t="shared" si="11"/>
        <v>58550</v>
      </c>
      <c r="M161" s="252">
        <f t="shared" si="11"/>
        <v>62350</v>
      </c>
    </row>
    <row r="162" spans="1:13" ht="21.95" customHeight="1" x14ac:dyDescent="0.25">
      <c r="A162" s="36" t="s">
        <v>2904</v>
      </c>
      <c r="B162" s="36" t="str">
        <f t="shared" si="10"/>
        <v>AZ_APACHE COUNTY, AZ</v>
      </c>
      <c r="D162" s="265" t="s">
        <v>101</v>
      </c>
      <c r="E162" s="266" t="s">
        <v>3101</v>
      </c>
      <c r="F162" s="252">
        <f t="shared" si="11"/>
        <v>39200</v>
      </c>
      <c r="G162" s="252">
        <f t="shared" si="11"/>
        <v>44800</v>
      </c>
      <c r="H162" s="252">
        <f t="shared" si="11"/>
        <v>50400</v>
      </c>
      <c r="I162" s="252">
        <f t="shared" si="11"/>
        <v>56000</v>
      </c>
      <c r="J162" s="252">
        <f t="shared" si="11"/>
        <v>60500</v>
      </c>
      <c r="K162" s="252">
        <f t="shared" si="11"/>
        <v>65000</v>
      </c>
      <c r="L162" s="252">
        <f t="shared" si="11"/>
        <v>69450</v>
      </c>
      <c r="M162" s="252">
        <f t="shared" si="11"/>
        <v>73950</v>
      </c>
    </row>
    <row r="163" spans="1:13" ht="21.95" customHeight="1" x14ac:dyDescent="0.25">
      <c r="A163" s="36" t="s">
        <v>2904</v>
      </c>
      <c r="B163" s="36" t="str">
        <f t="shared" si="10"/>
        <v>AZ_FLAGSTAFF, AZ MSA</v>
      </c>
      <c r="D163" s="265" t="s">
        <v>101</v>
      </c>
      <c r="E163" s="266" t="s">
        <v>3102</v>
      </c>
      <c r="F163" s="252">
        <f t="shared" si="11"/>
        <v>61100</v>
      </c>
      <c r="G163" s="252">
        <f t="shared" si="11"/>
        <v>69800</v>
      </c>
      <c r="H163" s="252">
        <f t="shared" si="11"/>
        <v>78550</v>
      </c>
      <c r="I163" s="252">
        <f t="shared" si="11"/>
        <v>87250</v>
      </c>
      <c r="J163" s="252">
        <f t="shared" si="11"/>
        <v>94250</v>
      </c>
      <c r="K163" s="252">
        <f t="shared" si="11"/>
        <v>101250</v>
      </c>
      <c r="L163" s="252">
        <f t="shared" si="11"/>
        <v>108200</v>
      </c>
      <c r="M163" s="252">
        <f t="shared" si="11"/>
        <v>115200</v>
      </c>
    </row>
    <row r="164" spans="1:13" ht="21.95" customHeight="1" x14ac:dyDescent="0.25">
      <c r="A164" s="36" t="s">
        <v>2904</v>
      </c>
      <c r="B164" s="36" t="str">
        <f t="shared" si="10"/>
        <v>AZ_GILA COUNTY, AZ</v>
      </c>
      <c r="D164" s="265" t="s">
        <v>101</v>
      </c>
      <c r="E164" s="266" t="s">
        <v>3103</v>
      </c>
      <c r="F164" s="252">
        <f t="shared" si="11"/>
        <v>42800</v>
      </c>
      <c r="G164" s="252">
        <f t="shared" si="11"/>
        <v>48900</v>
      </c>
      <c r="H164" s="252">
        <f t="shared" si="11"/>
        <v>55000</v>
      </c>
      <c r="I164" s="252">
        <f t="shared" si="11"/>
        <v>61100</v>
      </c>
      <c r="J164" s="252">
        <f t="shared" si="11"/>
        <v>66000</v>
      </c>
      <c r="K164" s="252">
        <f t="shared" si="11"/>
        <v>70900</v>
      </c>
      <c r="L164" s="252">
        <f t="shared" si="11"/>
        <v>75800</v>
      </c>
      <c r="M164" s="252">
        <f t="shared" si="11"/>
        <v>80700</v>
      </c>
    </row>
    <row r="165" spans="1:13" ht="21.95" customHeight="1" x14ac:dyDescent="0.25">
      <c r="A165" s="36" t="s">
        <v>2904</v>
      </c>
      <c r="B165" s="36" t="str">
        <f t="shared" si="10"/>
        <v>AZ_GRAHAM COUNTY, AZ</v>
      </c>
      <c r="D165" s="265" t="s">
        <v>101</v>
      </c>
      <c r="E165" s="266" t="s">
        <v>3104</v>
      </c>
      <c r="F165" s="252">
        <f t="shared" si="11"/>
        <v>45450</v>
      </c>
      <c r="G165" s="252">
        <f t="shared" si="11"/>
        <v>51950</v>
      </c>
      <c r="H165" s="252">
        <f t="shared" si="11"/>
        <v>58450</v>
      </c>
      <c r="I165" s="252">
        <f t="shared" si="11"/>
        <v>64900</v>
      </c>
      <c r="J165" s="252">
        <f t="shared" si="11"/>
        <v>70100</v>
      </c>
      <c r="K165" s="252">
        <f t="shared" si="11"/>
        <v>75300</v>
      </c>
      <c r="L165" s="252">
        <f t="shared" si="11"/>
        <v>80500</v>
      </c>
      <c r="M165" s="252">
        <f t="shared" si="11"/>
        <v>85700</v>
      </c>
    </row>
    <row r="166" spans="1:13" ht="21.95" customHeight="1" x14ac:dyDescent="0.25">
      <c r="A166" s="36" t="s">
        <v>2904</v>
      </c>
      <c r="B166" s="36" t="str">
        <f t="shared" si="10"/>
        <v>AZ_GREENLEE COUNTY, AZ</v>
      </c>
      <c r="D166" s="265" t="s">
        <v>101</v>
      </c>
      <c r="E166" s="266" t="s">
        <v>3105</v>
      </c>
      <c r="F166" s="252">
        <f t="shared" si="11"/>
        <v>49500</v>
      </c>
      <c r="G166" s="252">
        <f t="shared" si="11"/>
        <v>56600</v>
      </c>
      <c r="H166" s="252">
        <f t="shared" si="11"/>
        <v>63650</v>
      </c>
      <c r="I166" s="252">
        <f t="shared" si="11"/>
        <v>70700</v>
      </c>
      <c r="J166" s="252">
        <f t="shared" si="11"/>
        <v>76400</v>
      </c>
      <c r="K166" s="252">
        <f t="shared" si="11"/>
        <v>82050</v>
      </c>
      <c r="L166" s="252">
        <f t="shared" si="11"/>
        <v>87700</v>
      </c>
      <c r="M166" s="252">
        <f t="shared" si="11"/>
        <v>93350</v>
      </c>
    </row>
    <row r="167" spans="1:13" ht="21.95" customHeight="1" x14ac:dyDescent="0.25">
      <c r="A167" s="36" t="s">
        <v>2904</v>
      </c>
      <c r="B167" s="36" t="str">
        <f t="shared" si="10"/>
        <v>AZ_LAKE HAVASU CITY-KINGMAN, AZ MSA</v>
      </c>
      <c r="D167" s="265" t="s">
        <v>101</v>
      </c>
      <c r="E167" s="266" t="s">
        <v>3107</v>
      </c>
      <c r="F167" s="252">
        <f t="shared" si="11"/>
        <v>43200</v>
      </c>
      <c r="G167" s="252">
        <f t="shared" si="11"/>
        <v>49400</v>
      </c>
      <c r="H167" s="252">
        <f t="shared" si="11"/>
        <v>55550</v>
      </c>
      <c r="I167" s="252">
        <f t="shared" si="11"/>
        <v>61700</v>
      </c>
      <c r="J167" s="252">
        <f t="shared" si="11"/>
        <v>66650</v>
      </c>
      <c r="K167" s="252">
        <f t="shared" si="11"/>
        <v>71600</v>
      </c>
      <c r="L167" s="252">
        <f t="shared" si="11"/>
        <v>76550</v>
      </c>
      <c r="M167" s="252">
        <f t="shared" si="11"/>
        <v>81450</v>
      </c>
    </row>
    <row r="168" spans="1:13" ht="21.95" customHeight="1" x14ac:dyDescent="0.25">
      <c r="A168" s="36" t="s">
        <v>2904</v>
      </c>
      <c r="B168" s="36" t="str">
        <f t="shared" si="10"/>
        <v>AZ_LA PAZ COUNTY, AZ</v>
      </c>
      <c r="D168" s="265" t="s">
        <v>101</v>
      </c>
      <c r="E168" s="266" t="s">
        <v>3106</v>
      </c>
      <c r="F168" s="252">
        <f t="shared" si="11"/>
        <v>39200</v>
      </c>
      <c r="G168" s="252">
        <f t="shared" si="11"/>
        <v>44800</v>
      </c>
      <c r="H168" s="252">
        <f t="shared" si="11"/>
        <v>50400</v>
      </c>
      <c r="I168" s="252">
        <f t="shared" si="11"/>
        <v>56000</v>
      </c>
      <c r="J168" s="252">
        <f t="shared" si="11"/>
        <v>60500</v>
      </c>
      <c r="K168" s="252">
        <f t="shared" si="11"/>
        <v>65000</v>
      </c>
      <c r="L168" s="252">
        <f t="shared" si="11"/>
        <v>69450</v>
      </c>
      <c r="M168" s="252">
        <f t="shared" si="11"/>
        <v>73950</v>
      </c>
    </row>
    <row r="169" spans="1:13" ht="21.95" customHeight="1" x14ac:dyDescent="0.25">
      <c r="A169" s="36" t="s">
        <v>2904</v>
      </c>
      <c r="B169" s="36" t="str">
        <f t="shared" si="10"/>
        <v>AZ_NAVAJO COUNTY, AZ</v>
      </c>
      <c r="D169" s="265" t="s">
        <v>101</v>
      </c>
      <c r="E169" s="266" t="s">
        <v>3108</v>
      </c>
      <c r="F169" s="252">
        <f t="shared" si="11"/>
        <v>39400</v>
      </c>
      <c r="G169" s="252">
        <f t="shared" si="11"/>
        <v>45000</v>
      </c>
      <c r="H169" s="252">
        <f t="shared" si="11"/>
        <v>50650</v>
      </c>
      <c r="I169" s="252">
        <f t="shared" si="11"/>
        <v>56250</v>
      </c>
      <c r="J169" s="252">
        <f t="shared" si="11"/>
        <v>60750</v>
      </c>
      <c r="K169" s="252">
        <f t="shared" ref="F169:M201" si="12">VLOOKUP($B169,LOOKUP_AMI_TABLE,5+((K$7-1)),FALSE)</f>
        <v>65250</v>
      </c>
      <c r="L169" s="252">
        <f t="shared" si="12"/>
        <v>69750</v>
      </c>
      <c r="M169" s="252">
        <f t="shared" si="12"/>
        <v>74250</v>
      </c>
    </row>
    <row r="170" spans="1:13" ht="21.95" customHeight="1" x14ac:dyDescent="0.25">
      <c r="A170" s="36" t="s">
        <v>2904</v>
      </c>
      <c r="B170" s="36" t="str">
        <f t="shared" si="10"/>
        <v>AZ_PHOENIX-MESA-CHANDLER, AZ MSA</v>
      </c>
      <c r="D170" s="265" t="s">
        <v>101</v>
      </c>
      <c r="E170" s="266" t="s">
        <v>9092</v>
      </c>
      <c r="F170" s="252">
        <f t="shared" si="12"/>
        <v>62850</v>
      </c>
      <c r="G170" s="252">
        <f t="shared" si="12"/>
        <v>71800</v>
      </c>
      <c r="H170" s="252">
        <f t="shared" si="12"/>
        <v>80800</v>
      </c>
      <c r="I170" s="252">
        <f t="shared" si="12"/>
        <v>89750</v>
      </c>
      <c r="J170" s="252">
        <f t="shared" si="12"/>
        <v>96950</v>
      </c>
      <c r="K170" s="252">
        <f t="shared" si="12"/>
        <v>104150</v>
      </c>
      <c r="L170" s="252">
        <f t="shared" si="12"/>
        <v>111300</v>
      </c>
      <c r="M170" s="252">
        <f t="shared" si="12"/>
        <v>118500</v>
      </c>
    </row>
    <row r="171" spans="1:13" ht="21.95" customHeight="1" x14ac:dyDescent="0.25">
      <c r="A171" s="36" t="s">
        <v>2904</v>
      </c>
      <c r="B171" s="36" t="str">
        <f t="shared" si="10"/>
        <v>AZ_PRESCOTT VALLEY-PRESCOTT, AZ MSA</v>
      </c>
      <c r="D171" s="265" t="s">
        <v>101</v>
      </c>
      <c r="E171" s="266" t="s">
        <v>3109</v>
      </c>
      <c r="F171" s="252">
        <f t="shared" si="12"/>
        <v>50750</v>
      </c>
      <c r="G171" s="252">
        <f t="shared" si="12"/>
        <v>58000</v>
      </c>
      <c r="H171" s="252">
        <f t="shared" si="12"/>
        <v>65250</v>
      </c>
      <c r="I171" s="252">
        <f t="shared" si="12"/>
        <v>72500</v>
      </c>
      <c r="J171" s="252">
        <f t="shared" si="12"/>
        <v>78300</v>
      </c>
      <c r="K171" s="252">
        <f t="shared" si="12"/>
        <v>84100</v>
      </c>
      <c r="L171" s="252">
        <f t="shared" si="12"/>
        <v>89900</v>
      </c>
      <c r="M171" s="252">
        <f t="shared" si="12"/>
        <v>95700</v>
      </c>
    </row>
    <row r="172" spans="1:13" ht="21.95" customHeight="1" x14ac:dyDescent="0.25">
      <c r="A172" s="36" t="s">
        <v>2904</v>
      </c>
      <c r="B172" s="36" t="str">
        <f t="shared" si="10"/>
        <v>AZ_SANTA CRUZ COUNTY, AZ</v>
      </c>
      <c r="D172" s="265" t="s">
        <v>101</v>
      </c>
      <c r="E172" s="266" t="s">
        <v>3110</v>
      </c>
      <c r="F172" s="252">
        <f t="shared" si="12"/>
        <v>39200</v>
      </c>
      <c r="G172" s="252">
        <f t="shared" si="12"/>
        <v>44800</v>
      </c>
      <c r="H172" s="252">
        <f t="shared" si="12"/>
        <v>50400</v>
      </c>
      <c r="I172" s="252">
        <f t="shared" si="12"/>
        <v>56000</v>
      </c>
      <c r="J172" s="252">
        <f t="shared" si="12"/>
        <v>60500</v>
      </c>
      <c r="K172" s="252">
        <f t="shared" si="12"/>
        <v>65000</v>
      </c>
      <c r="L172" s="252">
        <f t="shared" si="12"/>
        <v>69450</v>
      </c>
      <c r="M172" s="252">
        <f t="shared" si="12"/>
        <v>73950</v>
      </c>
    </row>
    <row r="173" spans="1:13" ht="21.95" customHeight="1" x14ac:dyDescent="0.25">
      <c r="A173" s="36" t="s">
        <v>2904</v>
      </c>
      <c r="B173" s="36" t="str">
        <f t="shared" si="10"/>
        <v>AZ_SIERRA VISTA-DOUGLAS, AZ MSA</v>
      </c>
      <c r="D173" s="265" t="s">
        <v>101</v>
      </c>
      <c r="E173" s="266" t="s">
        <v>3111</v>
      </c>
      <c r="F173" s="252">
        <f t="shared" si="12"/>
        <v>39900</v>
      </c>
      <c r="G173" s="252">
        <f t="shared" si="12"/>
        <v>45600</v>
      </c>
      <c r="H173" s="252">
        <f t="shared" si="12"/>
        <v>51300</v>
      </c>
      <c r="I173" s="252">
        <f t="shared" si="12"/>
        <v>56950</v>
      </c>
      <c r="J173" s="252">
        <f t="shared" si="12"/>
        <v>61550</v>
      </c>
      <c r="K173" s="252">
        <f t="shared" si="12"/>
        <v>66100</v>
      </c>
      <c r="L173" s="252">
        <f t="shared" si="12"/>
        <v>70650</v>
      </c>
      <c r="M173" s="252">
        <f t="shared" si="12"/>
        <v>75200</v>
      </c>
    </row>
    <row r="174" spans="1:13" ht="21.95" customHeight="1" x14ac:dyDescent="0.25">
      <c r="A174" s="36" t="s">
        <v>2904</v>
      </c>
      <c r="B174" s="36" t="str">
        <f t="shared" si="10"/>
        <v>AZ_TUCSON, AZ MSA</v>
      </c>
      <c r="D174" s="265" t="s">
        <v>101</v>
      </c>
      <c r="E174" s="266" t="s">
        <v>3112</v>
      </c>
      <c r="F174" s="252">
        <f t="shared" si="12"/>
        <v>53850</v>
      </c>
      <c r="G174" s="252">
        <f t="shared" si="12"/>
        <v>61550</v>
      </c>
      <c r="H174" s="252">
        <f t="shared" si="12"/>
        <v>69250</v>
      </c>
      <c r="I174" s="252">
        <f t="shared" si="12"/>
        <v>76900</v>
      </c>
      <c r="J174" s="252">
        <f t="shared" si="12"/>
        <v>83100</v>
      </c>
      <c r="K174" s="252">
        <f t="shared" si="12"/>
        <v>89250</v>
      </c>
      <c r="L174" s="252">
        <f t="shared" si="12"/>
        <v>95400</v>
      </c>
      <c r="M174" s="252">
        <f t="shared" si="12"/>
        <v>101550</v>
      </c>
    </row>
    <row r="175" spans="1:13" ht="21.95" customHeight="1" x14ac:dyDescent="0.25">
      <c r="A175" s="36" t="s">
        <v>2904</v>
      </c>
      <c r="B175" s="36" t="str">
        <f t="shared" si="10"/>
        <v>AZ_YUMA, AZ MSA</v>
      </c>
      <c r="D175" s="265" t="s">
        <v>101</v>
      </c>
      <c r="E175" s="266" t="s">
        <v>3113</v>
      </c>
      <c r="F175" s="252">
        <f t="shared" si="12"/>
        <v>40700</v>
      </c>
      <c r="G175" s="252">
        <f t="shared" si="12"/>
        <v>46500</v>
      </c>
      <c r="H175" s="252">
        <f t="shared" si="12"/>
        <v>52300</v>
      </c>
      <c r="I175" s="252">
        <f t="shared" si="12"/>
        <v>58100</v>
      </c>
      <c r="J175" s="252">
        <f t="shared" si="12"/>
        <v>62750</v>
      </c>
      <c r="K175" s="252">
        <f t="shared" si="12"/>
        <v>67400</v>
      </c>
      <c r="L175" s="252">
        <f t="shared" si="12"/>
        <v>72050</v>
      </c>
      <c r="M175" s="252">
        <f t="shared" si="12"/>
        <v>76700</v>
      </c>
    </row>
    <row r="176" spans="1:13" ht="21.95" customHeight="1" x14ac:dyDescent="0.25">
      <c r="A176" s="36" t="s">
        <v>2904</v>
      </c>
      <c r="B176" s="36" t="str">
        <f t="shared" si="10"/>
        <v>CA_ALPINE COUNTY, CA</v>
      </c>
      <c r="D176" s="265" t="s">
        <v>99</v>
      </c>
      <c r="E176" s="266" t="s">
        <v>3114</v>
      </c>
      <c r="F176" s="252">
        <f t="shared" si="12"/>
        <v>64650</v>
      </c>
      <c r="G176" s="252">
        <f t="shared" si="12"/>
        <v>73850</v>
      </c>
      <c r="H176" s="252">
        <f t="shared" si="12"/>
        <v>83100</v>
      </c>
      <c r="I176" s="252">
        <f t="shared" si="12"/>
        <v>92300</v>
      </c>
      <c r="J176" s="252">
        <f t="shared" si="12"/>
        <v>99700</v>
      </c>
      <c r="K176" s="252">
        <f t="shared" si="12"/>
        <v>107100</v>
      </c>
      <c r="L176" s="252">
        <f t="shared" si="12"/>
        <v>114500</v>
      </c>
      <c r="M176" s="252">
        <f t="shared" si="12"/>
        <v>121850</v>
      </c>
    </row>
    <row r="177" spans="1:13" ht="21.95" customHeight="1" x14ac:dyDescent="0.25">
      <c r="A177" s="36" t="s">
        <v>2904</v>
      </c>
      <c r="B177" s="36" t="str">
        <f t="shared" si="10"/>
        <v>CA_AMADOR COUNTY, CA</v>
      </c>
      <c r="D177" s="265" t="s">
        <v>99</v>
      </c>
      <c r="E177" s="266" t="s">
        <v>3115</v>
      </c>
      <c r="F177" s="252">
        <f t="shared" si="12"/>
        <v>61550</v>
      </c>
      <c r="G177" s="252">
        <f t="shared" si="12"/>
        <v>70350</v>
      </c>
      <c r="H177" s="252">
        <f t="shared" si="12"/>
        <v>79150</v>
      </c>
      <c r="I177" s="252">
        <f t="shared" si="12"/>
        <v>87900</v>
      </c>
      <c r="J177" s="252">
        <f t="shared" si="12"/>
        <v>94950</v>
      </c>
      <c r="K177" s="252">
        <f t="shared" si="12"/>
        <v>102000</v>
      </c>
      <c r="L177" s="252">
        <f t="shared" si="12"/>
        <v>109000</v>
      </c>
      <c r="M177" s="252">
        <f t="shared" si="12"/>
        <v>116050</v>
      </c>
    </row>
    <row r="178" spans="1:13" ht="21.95" customHeight="1" x14ac:dyDescent="0.25">
      <c r="A178" s="36" t="s">
        <v>2904</v>
      </c>
      <c r="B178" s="36" t="str">
        <f t="shared" si="10"/>
        <v>CA_BAKERSFIELD-DELANO, CA MSA</v>
      </c>
      <c r="D178" s="265" t="s">
        <v>99</v>
      </c>
      <c r="E178" s="266" t="s">
        <v>9094</v>
      </c>
      <c r="F178" s="252">
        <f t="shared" si="12"/>
        <v>52600</v>
      </c>
      <c r="G178" s="252">
        <f t="shared" si="12"/>
        <v>60100</v>
      </c>
      <c r="H178" s="252">
        <f t="shared" si="12"/>
        <v>67600</v>
      </c>
      <c r="I178" s="252">
        <f t="shared" si="12"/>
        <v>75100</v>
      </c>
      <c r="J178" s="252">
        <f t="shared" si="12"/>
        <v>81150</v>
      </c>
      <c r="K178" s="252">
        <f t="shared" si="12"/>
        <v>87150</v>
      </c>
      <c r="L178" s="252">
        <f t="shared" si="12"/>
        <v>93150</v>
      </c>
      <c r="M178" s="252">
        <f t="shared" si="12"/>
        <v>99150</v>
      </c>
    </row>
    <row r="179" spans="1:13" ht="21.95" customHeight="1" x14ac:dyDescent="0.25">
      <c r="A179" s="36" t="s">
        <v>2904</v>
      </c>
      <c r="B179" s="36" t="str">
        <f t="shared" si="10"/>
        <v>CA_CALAVERAS COUNTY, CA</v>
      </c>
      <c r="D179" s="265" t="s">
        <v>99</v>
      </c>
      <c r="E179" s="266" t="s">
        <v>3116</v>
      </c>
      <c r="F179" s="252">
        <f t="shared" si="12"/>
        <v>56850</v>
      </c>
      <c r="G179" s="252">
        <f t="shared" si="12"/>
        <v>65000</v>
      </c>
      <c r="H179" s="252">
        <f t="shared" si="12"/>
        <v>73100</v>
      </c>
      <c r="I179" s="252">
        <f t="shared" si="12"/>
        <v>81200</v>
      </c>
      <c r="J179" s="252">
        <f t="shared" si="12"/>
        <v>87700</v>
      </c>
      <c r="K179" s="252">
        <f t="shared" si="12"/>
        <v>94200</v>
      </c>
      <c r="L179" s="252">
        <f t="shared" si="12"/>
        <v>100700</v>
      </c>
      <c r="M179" s="252">
        <f t="shared" si="12"/>
        <v>107200</v>
      </c>
    </row>
    <row r="180" spans="1:13" ht="21.95" customHeight="1" x14ac:dyDescent="0.25">
      <c r="A180" s="36" t="s">
        <v>2904</v>
      </c>
      <c r="B180" s="36" t="str">
        <f t="shared" si="10"/>
        <v>CA_CHICO, CA MSA</v>
      </c>
      <c r="D180" s="265" t="s">
        <v>99</v>
      </c>
      <c r="E180" s="266" t="s">
        <v>3117</v>
      </c>
      <c r="F180" s="252">
        <f t="shared" si="12"/>
        <v>52600</v>
      </c>
      <c r="G180" s="252">
        <f t="shared" si="12"/>
        <v>60100</v>
      </c>
      <c r="H180" s="252">
        <f t="shared" si="12"/>
        <v>67600</v>
      </c>
      <c r="I180" s="252">
        <f t="shared" si="12"/>
        <v>75100</v>
      </c>
      <c r="J180" s="252">
        <f t="shared" si="12"/>
        <v>81150</v>
      </c>
      <c r="K180" s="252">
        <f t="shared" si="12"/>
        <v>87150</v>
      </c>
      <c r="L180" s="252">
        <f t="shared" si="12"/>
        <v>93150</v>
      </c>
      <c r="M180" s="252">
        <f t="shared" si="12"/>
        <v>99150</v>
      </c>
    </row>
    <row r="181" spans="1:13" ht="21.95" customHeight="1" x14ac:dyDescent="0.25">
      <c r="A181" s="36" t="s">
        <v>2904</v>
      </c>
      <c r="B181" s="36" t="str">
        <f t="shared" si="10"/>
        <v>CA_COLUSA COUNTY, CA</v>
      </c>
      <c r="D181" s="265" t="s">
        <v>99</v>
      </c>
      <c r="E181" s="266" t="s">
        <v>3118</v>
      </c>
      <c r="F181" s="252">
        <f t="shared" si="12"/>
        <v>53750</v>
      </c>
      <c r="G181" s="252">
        <f t="shared" si="12"/>
        <v>61400</v>
      </c>
      <c r="H181" s="252">
        <f t="shared" si="12"/>
        <v>69100</v>
      </c>
      <c r="I181" s="252">
        <f t="shared" si="12"/>
        <v>76750</v>
      </c>
      <c r="J181" s="252">
        <f t="shared" si="12"/>
        <v>82900</v>
      </c>
      <c r="K181" s="252">
        <f t="shared" si="12"/>
        <v>89050</v>
      </c>
      <c r="L181" s="252">
        <f t="shared" si="12"/>
        <v>95200</v>
      </c>
      <c r="M181" s="252">
        <f t="shared" si="12"/>
        <v>101350</v>
      </c>
    </row>
    <row r="182" spans="1:13" ht="21.95" customHeight="1" x14ac:dyDescent="0.25">
      <c r="A182" s="36" t="s">
        <v>2904</v>
      </c>
      <c r="B182" s="36" t="str">
        <f t="shared" si="10"/>
        <v>CA_DEL NORTE COUNTY, CA</v>
      </c>
      <c r="D182" s="265" t="s">
        <v>99</v>
      </c>
      <c r="E182" s="266" t="s">
        <v>3119</v>
      </c>
      <c r="F182" s="252">
        <f t="shared" si="12"/>
        <v>52600</v>
      </c>
      <c r="G182" s="252">
        <f t="shared" si="12"/>
        <v>60100</v>
      </c>
      <c r="H182" s="252">
        <f t="shared" si="12"/>
        <v>67600</v>
      </c>
      <c r="I182" s="252">
        <f t="shared" si="12"/>
        <v>75100</v>
      </c>
      <c r="J182" s="252">
        <f t="shared" si="12"/>
        <v>81150</v>
      </c>
      <c r="K182" s="252">
        <f t="shared" si="12"/>
        <v>87150</v>
      </c>
      <c r="L182" s="252">
        <f t="shared" si="12"/>
        <v>93150</v>
      </c>
      <c r="M182" s="252">
        <f t="shared" si="12"/>
        <v>99150</v>
      </c>
    </row>
    <row r="183" spans="1:13" ht="21.95" customHeight="1" x14ac:dyDescent="0.25">
      <c r="A183" s="36" t="s">
        <v>2904</v>
      </c>
      <c r="B183" s="36" t="str">
        <f t="shared" si="10"/>
        <v>CA_EL CENTRO, CA MSA</v>
      </c>
      <c r="D183" s="265" t="s">
        <v>99</v>
      </c>
      <c r="E183" s="266" t="s">
        <v>3120</v>
      </c>
      <c r="F183" s="252">
        <f t="shared" si="12"/>
        <v>52600</v>
      </c>
      <c r="G183" s="252">
        <f t="shared" si="12"/>
        <v>60100</v>
      </c>
      <c r="H183" s="252">
        <f t="shared" si="12"/>
        <v>67600</v>
      </c>
      <c r="I183" s="252">
        <f t="shared" si="12"/>
        <v>75100</v>
      </c>
      <c r="J183" s="252">
        <f t="shared" si="12"/>
        <v>81150</v>
      </c>
      <c r="K183" s="252">
        <f t="shared" si="12"/>
        <v>87150</v>
      </c>
      <c r="L183" s="252">
        <f t="shared" si="12"/>
        <v>93150</v>
      </c>
      <c r="M183" s="252">
        <f t="shared" si="12"/>
        <v>99150</v>
      </c>
    </row>
    <row r="184" spans="1:13" ht="21.95" customHeight="1" x14ac:dyDescent="0.25">
      <c r="A184" s="36" t="s">
        <v>2904</v>
      </c>
      <c r="B184" s="36" t="str">
        <f t="shared" si="10"/>
        <v>CA_FRESNO, CA HUD METRO FMR AREA</v>
      </c>
      <c r="D184" s="265" t="s">
        <v>99</v>
      </c>
      <c r="E184" s="266" t="s">
        <v>9093</v>
      </c>
      <c r="F184" s="252">
        <f t="shared" si="12"/>
        <v>52600</v>
      </c>
      <c r="G184" s="252">
        <f t="shared" si="12"/>
        <v>60100</v>
      </c>
      <c r="H184" s="252">
        <f t="shared" si="12"/>
        <v>67600</v>
      </c>
      <c r="I184" s="252">
        <f t="shared" si="12"/>
        <v>75100</v>
      </c>
      <c r="J184" s="252">
        <f t="shared" si="12"/>
        <v>81150</v>
      </c>
      <c r="K184" s="252">
        <f t="shared" si="12"/>
        <v>87150</v>
      </c>
      <c r="L184" s="252">
        <f t="shared" si="12"/>
        <v>93150</v>
      </c>
      <c r="M184" s="252">
        <f t="shared" si="12"/>
        <v>99150</v>
      </c>
    </row>
    <row r="185" spans="1:13" ht="21.95" customHeight="1" x14ac:dyDescent="0.25">
      <c r="A185" s="36" t="s">
        <v>2904</v>
      </c>
      <c r="B185" s="36" t="str">
        <f t="shared" si="10"/>
        <v>CA_GLENN COUNTY, CA</v>
      </c>
      <c r="D185" s="265" t="s">
        <v>99</v>
      </c>
      <c r="E185" s="266" t="s">
        <v>3121</v>
      </c>
      <c r="F185" s="252">
        <f t="shared" si="12"/>
        <v>52600</v>
      </c>
      <c r="G185" s="252">
        <f t="shared" si="12"/>
        <v>60100</v>
      </c>
      <c r="H185" s="252">
        <f t="shared" si="12"/>
        <v>67600</v>
      </c>
      <c r="I185" s="252">
        <f t="shared" si="12"/>
        <v>75100</v>
      </c>
      <c r="J185" s="252">
        <f t="shared" si="12"/>
        <v>81150</v>
      </c>
      <c r="K185" s="252">
        <f t="shared" si="12"/>
        <v>87150</v>
      </c>
      <c r="L185" s="252">
        <f t="shared" si="12"/>
        <v>93150</v>
      </c>
      <c r="M185" s="252">
        <f t="shared" si="12"/>
        <v>99150</v>
      </c>
    </row>
    <row r="186" spans="1:13" ht="21.95" customHeight="1" x14ac:dyDescent="0.25">
      <c r="A186" s="36" t="s">
        <v>2904</v>
      </c>
      <c r="B186" s="36" t="str">
        <f t="shared" si="10"/>
        <v>CA_HANFORD-CORCORAN, CA MSA</v>
      </c>
      <c r="D186" s="265" t="s">
        <v>99</v>
      </c>
      <c r="E186" s="266" t="s">
        <v>3122</v>
      </c>
      <c r="F186" s="252">
        <f t="shared" si="12"/>
        <v>52600</v>
      </c>
      <c r="G186" s="252">
        <f t="shared" si="12"/>
        <v>60100</v>
      </c>
      <c r="H186" s="252">
        <f t="shared" si="12"/>
        <v>67600</v>
      </c>
      <c r="I186" s="252">
        <f t="shared" si="12"/>
        <v>75100</v>
      </c>
      <c r="J186" s="252">
        <f t="shared" si="12"/>
        <v>81150</v>
      </c>
      <c r="K186" s="252">
        <f t="shared" si="12"/>
        <v>87150</v>
      </c>
      <c r="L186" s="252">
        <f t="shared" si="12"/>
        <v>93150</v>
      </c>
      <c r="M186" s="252">
        <f t="shared" si="12"/>
        <v>99150</v>
      </c>
    </row>
    <row r="187" spans="1:13" ht="21.95" customHeight="1" x14ac:dyDescent="0.25">
      <c r="A187" s="36" t="s">
        <v>2904</v>
      </c>
      <c r="B187" s="36" t="str">
        <f t="shared" si="10"/>
        <v>CA_HUMBOLDT COUNTY, CA</v>
      </c>
      <c r="D187" s="265" t="s">
        <v>99</v>
      </c>
      <c r="E187" s="266" t="s">
        <v>3123</v>
      </c>
      <c r="F187" s="252">
        <f t="shared" si="12"/>
        <v>52600</v>
      </c>
      <c r="G187" s="252">
        <f t="shared" si="12"/>
        <v>60100</v>
      </c>
      <c r="H187" s="252">
        <f t="shared" si="12"/>
        <v>67600</v>
      </c>
      <c r="I187" s="252">
        <f t="shared" si="12"/>
        <v>75100</v>
      </c>
      <c r="J187" s="252">
        <f t="shared" si="12"/>
        <v>81150</v>
      </c>
      <c r="K187" s="252">
        <f t="shared" si="12"/>
        <v>87150</v>
      </c>
      <c r="L187" s="252">
        <f t="shared" si="12"/>
        <v>93150</v>
      </c>
      <c r="M187" s="252">
        <f t="shared" si="12"/>
        <v>99150</v>
      </c>
    </row>
    <row r="188" spans="1:13" ht="21.95" customHeight="1" x14ac:dyDescent="0.25">
      <c r="A188" s="36" t="s">
        <v>2904</v>
      </c>
      <c r="B188" s="36" t="str">
        <f t="shared" ref="B188:B251" si="13">UPPER(TRIM(D188)&amp;"_"&amp;TRIM(E188))</f>
        <v>CA_INYO COUNTY, CA</v>
      </c>
      <c r="D188" s="265" t="s">
        <v>99</v>
      </c>
      <c r="E188" s="266" t="s">
        <v>3124</v>
      </c>
      <c r="F188" s="252">
        <f t="shared" si="12"/>
        <v>53750</v>
      </c>
      <c r="G188" s="252">
        <f t="shared" si="12"/>
        <v>61400</v>
      </c>
      <c r="H188" s="252">
        <f t="shared" si="12"/>
        <v>69100</v>
      </c>
      <c r="I188" s="252">
        <f t="shared" si="12"/>
        <v>76750</v>
      </c>
      <c r="J188" s="252">
        <f t="shared" si="12"/>
        <v>82900</v>
      </c>
      <c r="K188" s="252">
        <f t="shared" si="12"/>
        <v>89050</v>
      </c>
      <c r="L188" s="252">
        <f t="shared" si="12"/>
        <v>95200</v>
      </c>
      <c r="M188" s="252">
        <f t="shared" si="12"/>
        <v>101350</v>
      </c>
    </row>
    <row r="189" spans="1:13" ht="21.95" customHeight="1" x14ac:dyDescent="0.25">
      <c r="A189" s="36" t="s">
        <v>2904</v>
      </c>
      <c r="B189" s="36" t="str">
        <f t="shared" si="13"/>
        <v>CA_LAKE COUNTY, CA</v>
      </c>
      <c r="D189" s="265" t="s">
        <v>99</v>
      </c>
      <c r="E189" s="266" t="s">
        <v>3125</v>
      </c>
      <c r="F189" s="252">
        <f t="shared" si="12"/>
        <v>52600</v>
      </c>
      <c r="G189" s="252">
        <f t="shared" si="12"/>
        <v>60100</v>
      </c>
      <c r="H189" s="252">
        <f t="shared" si="12"/>
        <v>67600</v>
      </c>
      <c r="I189" s="252">
        <f t="shared" si="12"/>
        <v>75100</v>
      </c>
      <c r="J189" s="252">
        <f t="shared" si="12"/>
        <v>81150</v>
      </c>
      <c r="K189" s="252">
        <f t="shared" si="12"/>
        <v>87150</v>
      </c>
      <c r="L189" s="252">
        <f t="shared" si="12"/>
        <v>93150</v>
      </c>
      <c r="M189" s="252">
        <f t="shared" si="12"/>
        <v>99150</v>
      </c>
    </row>
    <row r="190" spans="1:13" ht="21.95" customHeight="1" x14ac:dyDescent="0.25">
      <c r="A190" s="36" t="s">
        <v>2904</v>
      </c>
      <c r="B190" s="36" t="str">
        <f t="shared" si="13"/>
        <v>CA_LASSEN COUNTY, CA</v>
      </c>
      <c r="D190" s="265" t="s">
        <v>99</v>
      </c>
      <c r="E190" s="266" t="s">
        <v>3126</v>
      </c>
      <c r="F190" s="252">
        <f t="shared" si="12"/>
        <v>52600</v>
      </c>
      <c r="G190" s="252">
        <f t="shared" si="12"/>
        <v>60100</v>
      </c>
      <c r="H190" s="252">
        <f t="shared" si="12"/>
        <v>67600</v>
      </c>
      <c r="I190" s="252">
        <f t="shared" si="12"/>
        <v>75100</v>
      </c>
      <c r="J190" s="252">
        <f t="shared" si="12"/>
        <v>81150</v>
      </c>
      <c r="K190" s="252">
        <f t="shared" si="12"/>
        <v>87150</v>
      </c>
      <c r="L190" s="252">
        <f t="shared" si="12"/>
        <v>93150</v>
      </c>
      <c r="M190" s="252">
        <f t="shared" si="12"/>
        <v>99150</v>
      </c>
    </row>
    <row r="191" spans="1:13" ht="21.95" customHeight="1" x14ac:dyDescent="0.25">
      <c r="A191" s="36" t="s">
        <v>2904</v>
      </c>
      <c r="B191" s="36" t="str">
        <f t="shared" si="13"/>
        <v>CA_LOS ANGELES-LONG BEACH-GLENDALE, CA HUD METRO FMR AREA</v>
      </c>
      <c r="D191" s="265" t="s">
        <v>99</v>
      </c>
      <c r="E191" s="266" t="s">
        <v>3127</v>
      </c>
      <c r="F191" s="252">
        <f t="shared" si="12"/>
        <v>84850</v>
      </c>
      <c r="G191" s="252">
        <f t="shared" si="12"/>
        <v>96950</v>
      </c>
      <c r="H191" s="252">
        <f t="shared" si="12"/>
        <v>109050</v>
      </c>
      <c r="I191" s="252">
        <f t="shared" si="12"/>
        <v>121150</v>
      </c>
      <c r="J191" s="252">
        <f t="shared" si="12"/>
        <v>130850</v>
      </c>
      <c r="K191" s="252">
        <f t="shared" si="12"/>
        <v>140550</v>
      </c>
      <c r="L191" s="252">
        <f t="shared" si="12"/>
        <v>150250</v>
      </c>
      <c r="M191" s="252">
        <f t="shared" si="12"/>
        <v>159950</v>
      </c>
    </row>
    <row r="192" spans="1:13" ht="21.95" customHeight="1" x14ac:dyDescent="0.25">
      <c r="A192" s="36" t="s">
        <v>2904</v>
      </c>
      <c r="B192" s="36" t="str">
        <f t="shared" si="13"/>
        <v>CA_MADERA COUNTY, CA HUD METRO FMR AREA</v>
      </c>
      <c r="D192" s="265" t="s">
        <v>99</v>
      </c>
      <c r="E192" s="266" t="s">
        <v>9095</v>
      </c>
      <c r="F192" s="252">
        <f t="shared" si="12"/>
        <v>52600</v>
      </c>
      <c r="G192" s="252">
        <f t="shared" si="12"/>
        <v>60100</v>
      </c>
      <c r="H192" s="252">
        <f t="shared" si="12"/>
        <v>67600</v>
      </c>
      <c r="I192" s="252">
        <f t="shared" si="12"/>
        <v>75100</v>
      </c>
      <c r="J192" s="252">
        <f t="shared" si="12"/>
        <v>81150</v>
      </c>
      <c r="K192" s="252">
        <f t="shared" si="12"/>
        <v>87150</v>
      </c>
      <c r="L192" s="252">
        <f t="shared" si="12"/>
        <v>93150</v>
      </c>
      <c r="M192" s="252">
        <f t="shared" si="12"/>
        <v>99150</v>
      </c>
    </row>
    <row r="193" spans="1:13" ht="21.95" customHeight="1" x14ac:dyDescent="0.25">
      <c r="A193" s="36" t="s">
        <v>2904</v>
      </c>
      <c r="B193" s="36" t="str">
        <f t="shared" si="13"/>
        <v>CA_MARIPOSA COUNTY, CA</v>
      </c>
      <c r="D193" s="265" t="s">
        <v>99</v>
      </c>
      <c r="E193" s="266" t="s">
        <v>3128</v>
      </c>
      <c r="F193" s="252">
        <f t="shared" si="12"/>
        <v>52600</v>
      </c>
      <c r="G193" s="252">
        <f t="shared" si="12"/>
        <v>60100</v>
      </c>
      <c r="H193" s="252">
        <f t="shared" si="12"/>
        <v>67600</v>
      </c>
      <c r="I193" s="252">
        <f t="shared" si="12"/>
        <v>75100</v>
      </c>
      <c r="J193" s="252">
        <f t="shared" si="12"/>
        <v>81150</v>
      </c>
      <c r="K193" s="252">
        <f t="shared" si="12"/>
        <v>87150</v>
      </c>
      <c r="L193" s="252">
        <f t="shared" si="12"/>
        <v>93150</v>
      </c>
      <c r="M193" s="252">
        <f t="shared" si="12"/>
        <v>99150</v>
      </c>
    </row>
    <row r="194" spans="1:13" ht="21.95" customHeight="1" x14ac:dyDescent="0.25">
      <c r="A194" s="36" t="s">
        <v>2904</v>
      </c>
      <c r="B194" s="36" t="str">
        <f t="shared" si="13"/>
        <v>CA_MENDOCINO COUNTY, CA</v>
      </c>
      <c r="D194" s="265" t="s">
        <v>99</v>
      </c>
      <c r="E194" s="266" t="s">
        <v>3129</v>
      </c>
      <c r="F194" s="252">
        <f t="shared" si="12"/>
        <v>52600</v>
      </c>
      <c r="G194" s="252">
        <f t="shared" si="12"/>
        <v>60100</v>
      </c>
      <c r="H194" s="252">
        <f t="shared" si="12"/>
        <v>67600</v>
      </c>
      <c r="I194" s="252">
        <f t="shared" si="12"/>
        <v>75100</v>
      </c>
      <c r="J194" s="252">
        <f t="shared" si="12"/>
        <v>81150</v>
      </c>
      <c r="K194" s="252">
        <f t="shared" si="12"/>
        <v>87150</v>
      </c>
      <c r="L194" s="252">
        <f t="shared" si="12"/>
        <v>93150</v>
      </c>
      <c r="M194" s="252">
        <f t="shared" si="12"/>
        <v>99150</v>
      </c>
    </row>
    <row r="195" spans="1:13" ht="21.95" customHeight="1" x14ac:dyDescent="0.25">
      <c r="A195" s="36" t="s">
        <v>2904</v>
      </c>
      <c r="B195" s="36" t="str">
        <f t="shared" si="13"/>
        <v>CA_MERCED, CA MSA</v>
      </c>
      <c r="D195" s="265" t="s">
        <v>99</v>
      </c>
      <c r="E195" s="266" t="s">
        <v>3130</v>
      </c>
      <c r="F195" s="252">
        <f t="shared" si="12"/>
        <v>52600</v>
      </c>
      <c r="G195" s="252">
        <f t="shared" si="12"/>
        <v>60100</v>
      </c>
      <c r="H195" s="252">
        <f t="shared" si="12"/>
        <v>67600</v>
      </c>
      <c r="I195" s="252">
        <f t="shared" si="12"/>
        <v>75100</v>
      </c>
      <c r="J195" s="252">
        <f t="shared" si="12"/>
        <v>81150</v>
      </c>
      <c r="K195" s="252">
        <f t="shared" si="12"/>
        <v>87150</v>
      </c>
      <c r="L195" s="252">
        <f t="shared" si="12"/>
        <v>93150</v>
      </c>
      <c r="M195" s="252">
        <f t="shared" si="12"/>
        <v>99150</v>
      </c>
    </row>
    <row r="196" spans="1:13" ht="21.95" customHeight="1" x14ac:dyDescent="0.25">
      <c r="A196" s="36" t="s">
        <v>2904</v>
      </c>
      <c r="B196" s="36" t="str">
        <f t="shared" si="13"/>
        <v>CA_MODESTO, CA MSA</v>
      </c>
      <c r="D196" s="265" t="s">
        <v>99</v>
      </c>
      <c r="E196" s="266" t="s">
        <v>3131</v>
      </c>
      <c r="F196" s="252">
        <f t="shared" si="12"/>
        <v>55200</v>
      </c>
      <c r="G196" s="252">
        <f t="shared" si="12"/>
        <v>63050</v>
      </c>
      <c r="H196" s="252">
        <f t="shared" si="12"/>
        <v>70950</v>
      </c>
      <c r="I196" s="252">
        <f t="shared" si="12"/>
        <v>78800</v>
      </c>
      <c r="J196" s="252">
        <f t="shared" si="12"/>
        <v>85150</v>
      </c>
      <c r="K196" s="252">
        <f t="shared" si="12"/>
        <v>91450</v>
      </c>
      <c r="L196" s="252">
        <f t="shared" si="12"/>
        <v>97750</v>
      </c>
      <c r="M196" s="252">
        <f t="shared" si="12"/>
        <v>104050</v>
      </c>
    </row>
    <row r="197" spans="1:13" ht="21.95" customHeight="1" x14ac:dyDescent="0.25">
      <c r="A197" s="36" t="s">
        <v>2904</v>
      </c>
      <c r="B197" s="36" t="str">
        <f t="shared" si="13"/>
        <v>CA_MODOC COUNTY, CA</v>
      </c>
      <c r="D197" s="265" t="s">
        <v>99</v>
      </c>
      <c r="E197" s="266" t="s">
        <v>3132</v>
      </c>
      <c r="F197" s="252">
        <f t="shared" si="12"/>
        <v>52600</v>
      </c>
      <c r="G197" s="252">
        <f t="shared" si="12"/>
        <v>60100</v>
      </c>
      <c r="H197" s="252">
        <f t="shared" si="12"/>
        <v>67600</v>
      </c>
      <c r="I197" s="252">
        <f t="shared" si="12"/>
        <v>75100</v>
      </c>
      <c r="J197" s="252">
        <f t="shared" si="12"/>
        <v>81150</v>
      </c>
      <c r="K197" s="252">
        <f t="shared" si="12"/>
        <v>87150</v>
      </c>
      <c r="L197" s="252">
        <f t="shared" si="12"/>
        <v>93150</v>
      </c>
      <c r="M197" s="252">
        <f t="shared" si="12"/>
        <v>99150</v>
      </c>
    </row>
    <row r="198" spans="1:13" ht="21.95" customHeight="1" x14ac:dyDescent="0.25">
      <c r="A198" s="36" t="s">
        <v>2904</v>
      </c>
      <c r="B198" s="36" t="str">
        <f t="shared" si="13"/>
        <v>CA_MONO COUNTY, CA</v>
      </c>
      <c r="D198" s="265" t="s">
        <v>99</v>
      </c>
      <c r="E198" s="266" t="s">
        <v>3133</v>
      </c>
      <c r="F198" s="252">
        <f t="shared" si="12"/>
        <v>57200</v>
      </c>
      <c r="G198" s="252">
        <f t="shared" si="12"/>
        <v>65400</v>
      </c>
      <c r="H198" s="252">
        <f t="shared" si="12"/>
        <v>73550</v>
      </c>
      <c r="I198" s="252">
        <f t="shared" si="12"/>
        <v>81700</v>
      </c>
      <c r="J198" s="252">
        <f t="shared" si="12"/>
        <v>88250</v>
      </c>
      <c r="K198" s="252">
        <f t="shared" si="12"/>
        <v>94800</v>
      </c>
      <c r="L198" s="252">
        <f t="shared" si="12"/>
        <v>101350</v>
      </c>
      <c r="M198" s="252">
        <f t="shared" si="12"/>
        <v>107850</v>
      </c>
    </row>
    <row r="199" spans="1:13" ht="21.95" customHeight="1" x14ac:dyDescent="0.25">
      <c r="A199" s="36" t="s">
        <v>2904</v>
      </c>
      <c r="B199" s="36" t="str">
        <f t="shared" si="13"/>
        <v>CA_NAPA, CA MSA</v>
      </c>
      <c r="D199" s="265" t="s">
        <v>99</v>
      </c>
      <c r="E199" s="266" t="s">
        <v>3134</v>
      </c>
      <c r="F199" s="252">
        <f t="shared" si="12"/>
        <v>89750</v>
      </c>
      <c r="G199" s="252">
        <f t="shared" si="12"/>
        <v>102550</v>
      </c>
      <c r="H199" s="252">
        <f t="shared" si="12"/>
        <v>115350</v>
      </c>
      <c r="I199" s="252">
        <f t="shared" si="12"/>
        <v>128150</v>
      </c>
      <c r="J199" s="252">
        <f t="shared" si="12"/>
        <v>138450</v>
      </c>
      <c r="K199" s="252">
        <f t="shared" si="12"/>
        <v>148700</v>
      </c>
      <c r="L199" s="252">
        <f t="shared" si="12"/>
        <v>158950</v>
      </c>
      <c r="M199" s="252">
        <f t="shared" si="12"/>
        <v>169200</v>
      </c>
    </row>
    <row r="200" spans="1:13" ht="21.95" customHeight="1" x14ac:dyDescent="0.25">
      <c r="A200" s="36" t="s">
        <v>2904</v>
      </c>
      <c r="B200" s="36" t="str">
        <f t="shared" si="13"/>
        <v>CA_NEVADA COUNTY, CA</v>
      </c>
      <c r="D200" s="265" t="s">
        <v>99</v>
      </c>
      <c r="E200" s="266" t="s">
        <v>3135</v>
      </c>
      <c r="F200" s="252">
        <f t="shared" si="12"/>
        <v>63700</v>
      </c>
      <c r="G200" s="252">
        <f t="shared" si="12"/>
        <v>72800</v>
      </c>
      <c r="H200" s="252">
        <f t="shared" si="12"/>
        <v>81900</v>
      </c>
      <c r="I200" s="252">
        <f t="shared" si="12"/>
        <v>91000</v>
      </c>
      <c r="J200" s="252">
        <f t="shared" si="12"/>
        <v>98300</v>
      </c>
      <c r="K200" s="252">
        <f t="shared" si="12"/>
        <v>105600</v>
      </c>
      <c r="L200" s="252">
        <f t="shared" si="12"/>
        <v>112850</v>
      </c>
      <c r="M200" s="252">
        <f t="shared" si="12"/>
        <v>120150</v>
      </c>
    </row>
    <row r="201" spans="1:13" ht="21.95" customHeight="1" x14ac:dyDescent="0.25">
      <c r="A201" s="36" t="s">
        <v>2904</v>
      </c>
      <c r="B201" s="36" t="str">
        <f t="shared" si="13"/>
        <v>CA_OAKLAND-FREMONT, CA HUD METRO FMR AREA</v>
      </c>
      <c r="D201" s="265" t="s">
        <v>99</v>
      </c>
      <c r="E201" s="266" t="s">
        <v>3136</v>
      </c>
      <c r="F201" s="252">
        <f t="shared" si="12"/>
        <v>87550</v>
      </c>
      <c r="G201" s="252">
        <f t="shared" si="12"/>
        <v>100050</v>
      </c>
      <c r="H201" s="252">
        <f t="shared" si="12"/>
        <v>112550</v>
      </c>
      <c r="I201" s="252">
        <f t="shared" si="12"/>
        <v>125050</v>
      </c>
      <c r="J201" s="252">
        <f t="shared" ref="F201:M233" si="14">VLOOKUP($B201,LOOKUP_AMI_TABLE,5+((J$7-1)),FALSE)</f>
        <v>135100</v>
      </c>
      <c r="K201" s="252">
        <f t="shared" si="14"/>
        <v>145100</v>
      </c>
      <c r="L201" s="252">
        <f t="shared" si="14"/>
        <v>155100</v>
      </c>
      <c r="M201" s="252">
        <f t="shared" si="14"/>
        <v>165100</v>
      </c>
    </row>
    <row r="202" spans="1:13" ht="21.95" customHeight="1" x14ac:dyDescent="0.25">
      <c r="A202" s="36" t="s">
        <v>2904</v>
      </c>
      <c r="B202" s="36" t="str">
        <f t="shared" si="13"/>
        <v>CA_OXNARD-THOUSAND OAKS-VENTURA, CA MSA</v>
      </c>
      <c r="D202" s="265" t="s">
        <v>99</v>
      </c>
      <c r="E202" s="266" t="s">
        <v>3137</v>
      </c>
      <c r="F202" s="252">
        <f t="shared" si="14"/>
        <v>83850</v>
      </c>
      <c r="G202" s="252">
        <f t="shared" si="14"/>
        <v>95800</v>
      </c>
      <c r="H202" s="252">
        <f t="shared" si="14"/>
        <v>107800</v>
      </c>
      <c r="I202" s="252">
        <f t="shared" si="14"/>
        <v>119750</v>
      </c>
      <c r="J202" s="252">
        <f t="shared" si="14"/>
        <v>129350</v>
      </c>
      <c r="K202" s="252">
        <f t="shared" si="14"/>
        <v>138950</v>
      </c>
      <c r="L202" s="252">
        <f t="shared" si="14"/>
        <v>148500</v>
      </c>
      <c r="M202" s="252">
        <f t="shared" si="14"/>
        <v>158100</v>
      </c>
    </row>
    <row r="203" spans="1:13" ht="21.95" customHeight="1" x14ac:dyDescent="0.25">
      <c r="A203" s="36" t="s">
        <v>2904</v>
      </c>
      <c r="B203" s="36" t="str">
        <f t="shared" si="13"/>
        <v>CA_PLUMAS COUNTY, CA</v>
      </c>
      <c r="D203" s="265" t="s">
        <v>99</v>
      </c>
      <c r="E203" s="266" t="s">
        <v>3138</v>
      </c>
      <c r="F203" s="252">
        <f t="shared" si="14"/>
        <v>53400</v>
      </c>
      <c r="G203" s="252">
        <f t="shared" si="14"/>
        <v>61000</v>
      </c>
      <c r="H203" s="252">
        <f t="shared" si="14"/>
        <v>68650</v>
      </c>
      <c r="I203" s="252">
        <f t="shared" si="14"/>
        <v>76250</v>
      </c>
      <c r="J203" s="252">
        <f t="shared" si="14"/>
        <v>82350</v>
      </c>
      <c r="K203" s="252">
        <f t="shared" si="14"/>
        <v>88450</v>
      </c>
      <c r="L203" s="252">
        <f t="shared" si="14"/>
        <v>94550</v>
      </c>
      <c r="M203" s="252">
        <f t="shared" si="14"/>
        <v>100650</v>
      </c>
    </row>
    <row r="204" spans="1:13" ht="21.95" customHeight="1" x14ac:dyDescent="0.25">
      <c r="A204" s="36" t="s">
        <v>2904</v>
      </c>
      <c r="B204" s="36" t="str">
        <f t="shared" si="13"/>
        <v>CA_REDDING, CA MSA</v>
      </c>
      <c r="D204" s="265" t="s">
        <v>99</v>
      </c>
      <c r="E204" s="266" t="s">
        <v>3139</v>
      </c>
      <c r="F204" s="252">
        <f t="shared" si="14"/>
        <v>54500</v>
      </c>
      <c r="G204" s="252">
        <f t="shared" si="14"/>
        <v>62300</v>
      </c>
      <c r="H204" s="252">
        <f t="shared" si="14"/>
        <v>70100</v>
      </c>
      <c r="I204" s="252">
        <f t="shared" si="14"/>
        <v>77850</v>
      </c>
      <c r="J204" s="252">
        <f t="shared" si="14"/>
        <v>84100</v>
      </c>
      <c r="K204" s="252">
        <f t="shared" si="14"/>
        <v>90350</v>
      </c>
      <c r="L204" s="252">
        <f t="shared" si="14"/>
        <v>96550</v>
      </c>
      <c r="M204" s="252">
        <f t="shared" si="14"/>
        <v>102800</v>
      </c>
    </row>
    <row r="205" spans="1:13" ht="21.95" customHeight="1" x14ac:dyDescent="0.25">
      <c r="A205" s="36" t="s">
        <v>2904</v>
      </c>
      <c r="B205" s="36" t="str">
        <f t="shared" si="13"/>
        <v>CA_RIVERSIDE-SAN BERNARDINO-ONTARIO, CA MSA</v>
      </c>
      <c r="D205" s="265" t="s">
        <v>99</v>
      </c>
      <c r="E205" s="266" t="s">
        <v>3140</v>
      </c>
      <c r="F205" s="252">
        <f t="shared" si="14"/>
        <v>62650</v>
      </c>
      <c r="G205" s="252">
        <f t="shared" si="14"/>
        <v>71600</v>
      </c>
      <c r="H205" s="252">
        <f t="shared" si="14"/>
        <v>80550</v>
      </c>
      <c r="I205" s="252">
        <f t="shared" si="14"/>
        <v>89500</v>
      </c>
      <c r="J205" s="252">
        <f t="shared" si="14"/>
        <v>96700</v>
      </c>
      <c r="K205" s="252">
        <f t="shared" si="14"/>
        <v>103850</v>
      </c>
      <c r="L205" s="252">
        <f t="shared" si="14"/>
        <v>111000</v>
      </c>
      <c r="M205" s="252">
        <f t="shared" si="14"/>
        <v>118150</v>
      </c>
    </row>
    <row r="206" spans="1:13" ht="21.95" customHeight="1" x14ac:dyDescent="0.25">
      <c r="A206" s="36" t="s">
        <v>2904</v>
      </c>
      <c r="B206" s="36" t="str">
        <f t="shared" si="13"/>
        <v>CA_SACRAMENTO--ROSEVILLE--ARDEN-ARCADE, CA HUD METRO FMR AREA</v>
      </c>
      <c r="D206" s="265" t="s">
        <v>99</v>
      </c>
      <c r="E206" s="266" t="s">
        <v>3141</v>
      </c>
      <c r="F206" s="252">
        <f t="shared" si="14"/>
        <v>72050</v>
      </c>
      <c r="G206" s="252">
        <f t="shared" si="14"/>
        <v>82350</v>
      </c>
      <c r="H206" s="252">
        <f t="shared" si="14"/>
        <v>92650</v>
      </c>
      <c r="I206" s="252">
        <f t="shared" si="14"/>
        <v>102900</v>
      </c>
      <c r="J206" s="252">
        <f t="shared" si="14"/>
        <v>111150</v>
      </c>
      <c r="K206" s="252">
        <f t="shared" si="14"/>
        <v>119400</v>
      </c>
      <c r="L206" s="252">
        <f t="shared" si="14"/>
        <v>127600</v>
      </c>
      <c r="M206" s="252">
        <f t="shared" si="14"/>
        <v>135850</v>
      </c>
    </row>
    <row r="207" spans="1:13" ht="21.95" customHeight="1" x14ac:dyDescent="0.25">
      <c r="A207" s="36" t="s">
        <v>2904</v>
      </c>
      <c r="B207" s="36" t="str">
        <f t="shared" si="13"/>
        <v>CA_SALINAS, CA MSA</v>
      </c>
      <c r="D207" s="265" t="s">
        <v>99</v>
      </c>
      <c r="E207" s="266" t="s">
        <v>3142</v>
      </c>
      <c r="F207" s="252">
        <f t="shared" si="14"/>
        <v>81000</v>
      </c>
      <c r="G207" s="252">
        <f t="shared" si="14"/>
        <v>92600</v>
      </c>
      <c r="H207" s="252">
        <f t="shared" si="14"/>
        <v>104150</v>
      </c>
      <c r="I207" s="252">
        <f t="shared" si="14"/>
        <v>115700</v>
      </c>
      <c r="J207" s="252">
        <f t="shared" si="14"/>
        <v>125000</v>
      </c>
      <c r="K207" s="252">
        <f t="shared" si="14"/>
        <v>134250</v>
      </c>
      <c r="L207" s="252">
        <f t="shared" si="14"/>
        <v>143500</v>
      </c>
      <c r="M207" s="252">
        <f t="shared" si="14"/>
        <v>152750</v>
      </c>
    </row>
    <row r="208" spans="1:13" ht="21.95" customHeight="1" x14ac:dyDescent="0.25">
      <c r="A208" s="36" t="s">
        <v>2904</v>
      </c>
      <c r="B208" s="36" t="str">
        <f t="shared" si="13"/>
        <v>CA_SAN BENITO COUNTY, CA HUD METRO FMR AREA</v>
      </c>
      <c r="D208" s="265" t="s">
        <v>99</v>
      </c>
      <c r="E208" s="266" t="s">
        <v>3143</v>
      </c>
      <c r="F208" s="252">
        <f t="shared" si="14"/>
        <v>74900</v>
      </c>
      <c r="G208" s="252">
        <f t="shared" si="14"/>
        <v>85600</v>
      </c>
      <c r="H208" s="252">
        <f t="shared" si="14"/>
        <v>96300</v>
      </c>
      <c r="I208" s="252">
        <f t="shared" si="14"/>
        <v>106950</v>
      </c>
      <c r="J208" s="252">
        <f t="shared" si="14"/>
        <v>115550</v>
      </c>
      <c r="K208" s="252">
        <f t="shared" si="14"/>
        <v>124100</v>
      </c>
      <c r="L208" s="252">
        <f t="shared" si="14"/>
        <v>132650</v>
      </c>
      <c r="M208" s="252">
        <f t="shared" si="14"/>
        <v>141200</v>
      </c>
    </row>
    <row r="209" spans="1:13" ht="21.95" customHeight="1" x14ac:dyDescent="0.25">
      <c r="A209" s="36" t="s">
        <v>2904</v>
      </c>
      <c r="B209" s="36" t="str">
        <f t="shared" si="13"/>
        <v>CA_SAN DIEGO-CHULA VISTA-CARLSBAD, CA MSA</v>
      </c>
      <c r="D209" s="265" t="s">
        <v>99</v>
      </c>
      <c r="E209" s="266" t="s">
        <v>9096</v>
      </c>
      <c r="F209" s="252">
        <f t="shared" si="14"/>
        <v>92700</v>
      </c>
      <c r="G209" s="252">
        <f t="shared" si="14"/>
        <v>105950</v>
      </c>
      <c r="H209" s="252">
        <f t="shared" si="14"/>
        <v>119200</v>
      </c>
      <c r="I209" s="252">
        <f t="shared" si="14"/>
        <v>132400</v>
      </c>
      <c r="J209" s="252">
        <f t="shared" si="14"/>
        <v>143000</v>
      </c>
      <c r="K209" s="252">
        <f t="shared" si="14"/>
        <v>153600</v>
      </c>
      <c r="L209" s="252">
        <f t="shared" si="14"/>
        <v>164200</v>
      </c>
      <c r="M209" s="252">
        <f t="shared" si="14"/>
        <v>174800</v>
      </c>
    </row>
    <row r="210" spans="1:13" ht="21.95" customHeight="1" x14ac:dyDescent="0.25">
      <c r="A210" s="36" t="s">
        <v>2904</v>
      </c>
      <c r="B210" s="36" t="str">
        <f t="shared" si="13"/>
        <v>CA_SAN FRANCISCO, CA HUD METRO FMR AREA</v>
      </c>
      <c r="D210" s="265" t="s">
        <v>99</v>
      </c>
      <c r="E210" s="266" t="s">
        <v>3144</v>
      </c>
      <c r="F210" s="252">
        <f t="shared" si="14"/>
        <v>108300</v>
      </c>
      <c r="G210" s="252">
        <f t="shared" si="14"/>
        <v>123800</v>
      </c>
      <c r="H210" s="252">
        <f t="shared" si="14"/>
        <v>139250</v>
      </c>
      <c r="I210" s="252">
        <f t="shared" si="14"/>
        <v>154700</v>
      </c>
      <c r="J210" s="252">
        <f t="shared" si="14"/>
        <v>167100</v>
      </c>
      <c r="K210" s="252">
        <f t="shared" si="14"/>
        <v>179500</v>
      </c>
      <c r="L210" s="252">
        <f t="shared" si="14"/>
        <v>191850</v>
      </c>
      <c r="M210" s="252">
        <f t="shared" si="14"/>
        <v>204250</v>
      </c>
    </row>
    <row r="211" spans="1:13" ht="21.95" customHeight="1" x14ac:dyDescent="0.25">
      <c r="A211" s="36" t="s">
        <v>2904</v>
      </c>
      <c r="B211" s="36" t="str">
        <f t="shared" si="13"/>
        <v>CA_SAN JOSE-SUNNYVALE-SANTA CLARA, CA HUD METRO FMR AREA</v>
      </c>
      <c r="D211" s="265" t="s">
        <v>99</v>
      </c>
      <c r="E211" s="266" t="s">
        <v>3145</v>
      </c>
      <c r="F211" s="252">
        <f t="shared" si="14"/>
        <v>111700</v>
      </c>
      <c r="G211" s="252">
        <f t="shared" si="14"/>
        <v>127650</v>
      </c>
      <c r="H211" s="252">
        <f t="shared" si="14"/>
        <v>143600</v>
      </c>
      <c r="I211" s="252">
        <f t="shared" si="14"/>
        <v>159550</v>
      </c>
      <c r="J211" s="252">
        <f t="shared" si="14"/>
        <v>172350</v>
      </c>
      <c r="K211" s="252">
        <f t="shared" si="14"/>
        <v>185100</v>
      </c>
      <c r="L211" s="252">
        <f t="shared" si="14"/>
        <v>197850</v>
      </c>
      <c r="M211" s="252">
        <f t="shared" si="14"/>
        <v>210650</v>
      </c>
    </row>
    <row r="212" spans="1:13" ht="21.95" customHeight="1" x14ac:dyDescent="0.25">
      <c r="A212" s="36" t="s">
        <v>2904</v>
      </c>
      <c r="B212" s="36" t="str">
        <f t="shared" si="13"/>
        <v>CA_SAN LUIS OBISPO-PASO ROBLES, CA MSA</v>
      </c>
      <c r="D212" s="265" t="s">
        <v>99</v>
      </c>
      <c r="E212" s="266" t="s">
        <v>9097</v>
      </c>
      <c r="F212" s="252">
        <f t="shared" si="14"/>
        <v>77950</v>
      </c>
      <c r="G212" s="252">
        <f t="shared" si="14"/>
        <v>89050</v>
      </c>
      <c r="H212" s="252">
        <f t="shared" si="14"/>
        <v>100200</v>
      </c>
      <c r="I212" s="252">
        <f t="shared" si="14"/>
        <v>111300</v>
      </c>
      <c r="J212" s="252">
        <f t="shared" si="14"/>
        <v>120250</v>
      </c>
      <c r="K212" s="252">
        <f t="shared" si="14"/>
        <v>129150</v>
      </c>
      <c r="L212" s="252">
        <f t="shared" si="14"/>
        <v>138050</v>
      </c>
      <c r="M212" s="252">
        <f t="shared" si="14"/>
        <v>146950</v>
      </c>
    </row>
    <row r="213" spans="1:13" ht="21.95" customHeight="1" x14ac:dyDescent="0.25">
      <c r="A213" s="36" t="s">
        <v>2904</v>
      </c>
      <c r="B213" s="36" t="str">
        <f t="shared" si="13"/>
        <v>CA_SANTA ANA-ANAHEIM-IRVINE, CA HUD METRO FMR AREA</v>
      </c>
      <c r="D213" s="265" t="s">
        <v>99</v>
      </c>
      <c r="E213" s="266" t="s">
        <v>3146</v>
      </c>
      <c r="F213" s="252">
        <f t="shared" si="14"/>
        <v>94750</v>
      </c>
      <c r="G213" s="252">
        <f t="shared" si="14"/>
        <v>108300</v>
      </c>
      <c r="H213" s="252">
        <f t="shared" si="14"/>
        <v>121850</v>
      </c>
      <c r="I213" s="252">
        <f t="shared" si="14"/>
        <v>135350</v>
      </c>
      <c r="J213" s="252">
        <f t="shared" si="14"/>
        <v>146200</v>
      </c>
      <c r="K213" s="252">
        <f t="shared" si="14"/>
        <v>157050</v>
      </c>
      <c r="L213" s="252">
        <f t="shared" si="14"/>
        <v>167850</v>
      </c>
      <c r="M213" s="252">
        <f t="shared" si="14"/>
        <v>178700</v>
      </c>
    </row>
    <row r="214" spans="1:13" ht="21.95" customHeight="1" x14ac:dyDescent="0.25">
      <c r="A214" s="36" t="s">
        <v>2904</v>
      </c>
      <c r="B214" s="36" t="str">
        <f t="shared" si="13"/>
        <v>CA_SANTA CRUZ-WATSONVILLE, CA MSA</v>
      </c>
      <c r="D214" s="265" t="s">
        <v>99</v>
      </c>
      <c r="E214" s="266" t="s">
        <v>3147</v>
      </c>
      <c r="F214" s="252">
        <f t="shared" si="14"/>
        <v>111100</v>
      </c>
      <c r="G214" s="252">
        <f t="shared" si="14"/>
        <v>127000</v>
      </c>
      <c r="H214" s="252">
        <f t="shared" si="14"/>
        <v>142850</v>
      </c>
      <c r="I214" s="252">
        <f t="shared" si="14"/>
        <v>158700</v>
      </c>
      <c r="J214" s="252">
        <f t="shared" si="14"/>
        <v>171400</v>
      </c>
      <c r="K214" s="252">
        <f t="shared" si="14"/>
        <v>184100</v>
      </c>
      <c r="L214" s="252">
        <f t="shared" si="14"/>
        <v>196800</v>
      </c>
      <c r="M214" s="252">
        <f t="shared" si="14"/>
        <v>209500</v>
      </c>
    </row>
    <row r="215" spans="1:13" ht="21.95" customHeight="1" x14ac:dyDescent="0.25">
      <c r="A215" s="36" t="s">
        <v>2904</v>
      </c>
      <c r="B215" s="36" t="str">
        <f t="shared" si="13"/>
        <v>CA_SANTA MARIA-SANTA BARBARA, CA MSA</v>
      </c>
      <c r="D215" s="265" t="s">
        <v>99</v>
      </c>
      <c r="E215" s="266" t="s">
        <v>3148</v>
      </c>
      <c r="F215" s="252">
        <f t="shared" si="14"/>
        <v>98850</v>
      </c>
      <c r="G215" s="252">
        <f t="shared" si="14"/>
        <v>113000</v>
      </c>
      <c r="H215" s="252">
        <f t="shared" si="14"/>
        <v>127100</v>
      </c>
      <c r="I215" s="252">
        <f t="shared" si="14"/>
        <v>141200</v>
      </c>
      <c r="J215" s="252">
        <f t="shared" si="14"/>
        <v>152500</v>
      </c>
      <c r="K215" s="252">
        <f t="shared" si="14"/>
        <v>163800</v>
      </c>
      <c r="L215" s="252">
        <f t="shared" si="14"/>
        <v>175100</v>
      </c>
      <c r="M215" s="252">
        <f t="shared" si="14"/>
        <v>186400</v>
      </c>
    </row>
    <row r="216" spans="1:13" ht="21.95" customHeight="1" x14ac:dyDescent="0.25">
      <c r="A216" s="36" t="s">
        <v>2904</v>
      </c>
      <c r="B216" s="36" t="str">
        <f t="shared" si="13"/>
        <v>CA_SANTA ROSA-PETALUMA, CA MSA</v>
      </c>
      <c r="D216" s="265" t="s">
        <v>99</v>
      </c>
      <c r="E216" s="266" t="s">
        <v>9099</v>
      </c>
      <c r="F216" s="252">
        <f t="shared" si="14"/>
        <v>84650</v>
      </c>
      <c r="G216" s="252">
        <f t="shared" si="14"/>
        <v>96750</v>
      </c>
      <c r="H216" s="252">
        <f t="shared" si="14"/>
        <v>108850</v>
      </c>
      <c r="I216" s="252">
        <f t="shared" si="14"/>
        <v>120900</v>
      </c>
      <c r="J216" s="252">
        <f t="shared" si="14"/>
        <v>130600</v>
      </c>
      <c r="K216" s="252">
        <f t="shared" si="14"/>
        <v>140250</v>
      </c>
      <c r="L216" s="252">
        <f t="shared" si="14"/>
        <v>149950</v>
      </c>
      <c r="M216" s="252">
        <f t="shared" si="14"/>
        <v>159600</v>
      </c>
    </row>
    <row r="217" spans="1:13" ht="21.95" customHeight="1" x14ac:dyDescent="0.25">
      <c r="A217" s="36" t="s">
        <v>2904</v>
      </c>
      <c r="B217" s="36" t="str">
        <f t="shared" si="13"/>
        <v>CA_SIERRA COUNTY, CA</v>
      </c>
      <c r="D217" s="265" t="s">
        <v>99</v>
      </c>
      <c r="E217" s="266" t="s">
        <v>3149</v>
      </c>
      <c r="F217" s="252">
        <f t="shared" si="14"/>
        <v>52600</v>
      </c>
      <c r="G217" s="252">
        <f t="shared" si="14"/>
        <v>60100</v>
      </c>
      <c r="H217" s="252">
        <f t="shared" si="14"/>
        <v>67600</v>
      </c>
      <c r="I217" s="252">
        <f t="shared" si="14"/>
        <v>75100</v>
      </c>
      <c r="J217" s="252">
        <f t="shared" si="14"/>
        <v>81150</v>
      </c>
      <c r="K217" s="252">
        <f t="shared" si="14"/>
        <v>87150</v>
      </c>
      <c r="L217" s="252">
        <f t="shared" si="14"/>
        <v>93150</v>
      </c>
      <c r="M217" s="252">
        <f t="shared" si="14"/>
        <v>99150</v>
      </c>
    </row>
    <row r="218" spans="1:13" ht="21.95" customHeight="1" x14ac:dyDescent="0.25">
      <c r="A218" s="36" t="s">
        <v>2904</v>
      </c>
      <c r="B218" s="36" t="str">
        <f t="shared" si="13"/>
        <v>CA_SISKIYOU COUNTY, CA</v>
      </c>
      <c r="D218" s="265" t="s">
        <v>99</v>
      </c>
      <c r="E218" s="266" t="s">
        <v>3150</v>
      </c>
      <c r="F218" s="252">
        <f t="shared" si="14"/>
        <v>52600</v>
      </c>
      <c r="G218" s="252">
        <f t="shared" si="14"/>
        <v>60100</v>
      </c>
      <c r="H218" s="252">
        <f t="shared" si="14"/>
        <v>67600</v>
      </c>
      <c r="I218" s="252">
        <f t="shared" si="14"/>
        <v>75100</v>
      </c>
      <c r="J218" s="252">
        <f t="shared" si="14"/>
        <v>81150</v>
      </c>
      <c r="K218" s="252">
        <f t="shared" si="14"/>
        <v>87150</v>
      </c>
      <c r="L218" s="252">
        <f t="shared" si="14"/>
        <v>93150</v>
      </c>
      <c r="M218" s="252">
        <f t="shared" si="14"/>
        <v>99150</v>
      </c>
    </row>
    <row r="219" spans="1:13" ht="21.95" customHeight="1" x14ac:dyDescent="0.25">
      <c r="A219" s="36" t="s">
        <v>2904</v>
      </c>
      <c r="B219" s="36" t="str">
        <f t="shared" si="13"/>
        <v>CA_STOCKTON-LODI, CA MSA</v>
      </c>
      <c r="D219" s="265" t="s">
        <v>99</v>
      </c>
      <c r="E219" s="266" t="s">
        <v>3151</v>
      </c>
      <c r="F219" s="252">
        <f t="shared" si="14"/>
        <v>58600</v>
      </c>
      <c r="G219" s="252">
        <f t="shared" si="14"/>
        <v>67000</v>
      </c>
      <c r="H219" s="252">
        <f t="shared" si="14"/>
        <v>75350</v>
      </c>
      <c r="I219" s="252">
        <f t="shared" si="14"/>
        <v>83700</v>
      </c>
      <c r="J219" s="252">
        <f t="shared" si="14"/>
        <v>90400</v>
      </c>
      <c r="K219" s="252">
        <f t="shared" si="14"/>
        <v>97100</v>
      </c>
      <c r="L219" s="252">
        <f t="shared" si="14"/>
        <v>103800</v>
      </c>
      <c r="M219" s="252">
        <f t="shared" si="14"/>
        <v>110500</v>
      </c>
    </row>
    <row r="220" spans="1:13" ht="21.95" customHeight="1" x14ac:dyDescent="0.25">
      <c r="A220" s="36" t="s">
        <v>2904</v>
      </c>
      <c r="B220" s="36" t="str">
        <f t="shared" si="13"/>
        <v>CA_TEHAMA COUNTY, CA</v>
      </c>
      <c r="D220" s="265" t="s">
        <v>99</v>
      </c>
      <c r="E220" s="266" t="s">
        <v>3152</v>
      </c>
      <c r="F220" s="252">
        <f t="shared" si="14"/>
        <v>52600</v>
      </c>
      <c r="G220" s="252">
        <f t="shared" si="14"/>
        <v>60100</v>
      </c>
      <c r="H220" s="252">
        <f t="shared" si="14"/>
        <v>67600</v>
      </c>
      <c r="I220" s="252">
        <f t="shared" si="14"/>
        <v>75100</v>
      </c>
      <c r="J220" s="252">
        <f t="shared" si="14"/>
        <v>81150</v>
      </c>
      <c r="K220" s="252">
        <f t="shared" si="14"/>
        <v>87150</v>
      </c>
      <c r="L220" s="252">
        <f t="shared" si="14"/>
        <v>93150</v>
      </c>
      <c r="M220" s="252">
        <f t="shared" si="14"/>
        <v>99150</v>
      </c>
    </row>
    <row r="221" spans="1:13" ht="21.95" customHeight="1" x14ac:dyDescent="0.25">
      <c r="A221" s="36" t="s">
        <v>2904</v>
      </c>
      <c r="B221" s="36" t="str">
        <f t="shared" si="13"/>
        <v>CA_TRINITY COUNTY, CA</v>
      </c>
      <c r="D221" s="265" t="s">
        <v>99</v>
      </c>
      <c r="E221" s="266" t="s">
        <v>3153</v>
      </c>
      <c r="F221" s="252">
        <f t="shared" si="14"/>
        <v>52600</v>
      </c>
      <c r="G221" s="252">
        <f t="shared" si="14"/>
        <v>60100</v>
      </c>
      <c r="H221" s="252">
        <f t="shared" si="14"/>
        <v>67600</v>
      </c>
      <c r="I221" s="252">
        <f t="shared" si="14"/>
        <v>75100</v>
      </c>
      <c r="J221" s="252">
        <f t="shared" si="14"/>
        <v>81150</v>
      </c>
      <c r="K221" s="252">
        <f t="shared" si="14"/>
        <v>87150</v>
      </c>
      <c r="L221" s="252">
        <f t="shared" si="14"/>
        <v>93150</v>
      </c>
      <c r="M221" s="252">
        <f t="shared" si="14"/>
        <v>99150</v>
      </c>
    </row>
    <row r="222" spans="1:13" ht="21.95" customHeight="1" x14ac:dyDescent="0.25">
      <c r="A222" s="36" t="s">
        <v>2904</v>
      </c>
      <c r="B222" s="36" t="str">
        <f t="shared" si="13"/>
        <v>CA_TUOLUMNE COUNTY, CA</v>
      </c>
      <c r="D222" s="265" t="s">
        <v>99</v>
      </c>
      <c r="E222" s="266" t="s">
        <v>3154</v>
      </c>
      <c r="F222" s="252">
        <f t="shared" si="14"/>
        <v>56950</v>
      </c>
      <c r="G222" s="252">
        <f t="shared" si="14"/>
        <v>65050</v>
      </c>
      <c r="H222" s="252">
        <f t="shared" si="14"/>
        <v>73200</v>
      </c>
      <c r="I222" s="252">
        <f t="shared" si="14"/>
        <v>81300</v>
      </c>
      <c r="J222" s="252">
        <f t="shared" si="14"/>
        <v>87850</v>
      </c>
      <c r="K222" s="252">
        <f t="shared" si="14"/>
        <v>94350</v>
      </c>
      <c r="L222" s="252">
        <f t="shared" si="14"/>
        <v>100850</v>
      </c>
      <c r="M222" s="252">
        <f t="shared" si="14"/>
        <v>107350</v>
      </c>
    </row>
    <row r="223" spans="1:13" ht="21.95" customHeight="1" x14ac:dyDescent="0.25">
      <c r="A223" s="36" t="s">
        <v>2904</v>
      </c>
      <c r="B223" s="36" t="str">
        <f t="shared" si="13"/>
        <v>CA_VALLEJO, CA MSA</v>
      </c>
      <c r="D223" s="265" t="s">
        <v>99</v>
      </c>
      <c r="E223" s="266" t="s">
        <v>9098</v>
      </c>
      <c r="F223" s="252">
        <f t="shared" si="14"/>
        <v>76950</v>
      </c>
      <c r="G223" s="252">
        <f t="shared" si="14"/>
        <v>87950</v>
      </c>
      <c r="H223" s="252">
        <f t="shared" si="14"/>
        <v>98950</v>
      </c>
      <c r="I223" s="252">
        <f t="shared" si="14"/>
        <v>109900</v>
      </c>
      <c r="J223" s="252">
        <f t="shared" si="14"/>
        <v>118700</v>
      </c>
      <c r="K223" s="252">
        <f t="shared" si="14"/>
        <v>127500</v>
      </c>
      <c r="L223" s="252">
        <f t="shared" si="14"/>
        <v>136300</v>
      </c>
      <c r="M223" s="252">
        <f t="shared" si="14"/>
        <v>145100</v>
      </c>
    </row>
    <row r="224" spans="1:13" ht="21.95" customHeight="1" x14ac:dyDescent="0.25">
      <c r="A224" s="36" t="s">
        <v>2904</v>
      </c>
      <c r="B224" s="36" t="str">
        <f t="shared" si="13"/>
        <v>CA_VISALIA, CA MSA</v>
      </c>
      <c r="D224" s="265" t="s">
        <v>99</v>
      </c>
      <c r="E224" s="266" t="s">
        <v>9100</v>
      </c>
      <c r="F224" s="252">
        <f t="shared" si="14"/>
        <v>52600</v>
      </c>
      <c r="G224" s="252">
        <f t="shared" si="14"/>
        <v>60100</v>
      </c>
      <c r="H224" s="252">
        <f t="shared" si="14"/>
        <v>67600</v>
      </c>
      <c r="I224" s="252">
        <f t="shared" si="14"/>
        <v>75100</v>
      </c>
      <c r="J224" s="252">
        <f t="shared" si="14"/>
        <v>81150</v>
      </c>
      <c r="K224" s="252">
        <f t="shared" si="14"/>
        <v>87150</v>
      </c>
      <c r="L224" s="252">
        <f t="shared" si="14"/>
        <v>93150</v>
      </c>
      <c r="M224" s="252">
        <f t="shared" si="14"/>
        <v>99150</v>
      </c>
    </row>
    <row r="225" spans="1:13" ht="21.95" customHeight="1" x14ac:dyDescent="0.25">
      <c r="A225" s="36" t="s">
        <v>2904</v>
      </c>
      <c r="B225" s="36" t="str">
        <f t="shared" si="13"/>
        <v>CA_YOLO, CA HUD METRO FMR AREA</v>
      </c>
      <c r="D225" s="265" t="s">
        <v>99</v>
      </c>
      <c r="E225" s="266" t="s">
        <v>3155</v>
      </c>
      <c r="F225" s="252">
        <f t="shared" si="14"/>
        <v>70500</v>
      </c>
      <c r="G225" s="252">
        <f t="shared" si="14"/>
        <v>80600</v>
      </c>
      <c r="H225" s="252">
        <f t="shared" si="14"/>
        <v>90650</v>
      </c>
      <c r="I225" s="252">
        <f t="shared" si="14"/>
        <v>100700</v>
      </c>
      <c r="J225" s="252">
        <f t="shared" si="14"/>
        <v>108800</v>
      </c>
      <c r="K225" s="252">
        <f t="shared" si="14"/>
        <v>116850</v>
      </c>
      <c r="L225" s="252">
        <f t="shared" si="14"/>
        <v>124900</v>
      </c>
      <c r="M225" s="252">
        <f t="shared" si="14"/>
        <v>132950</v>
      </c>
    </row>
    <row r="226" spans="1:13" ht="21.95" customHeight="1" x14ac:dyDescent="0.25">
      <c r="A226" s="36" t="s">
        <v>2904</v>
      </c>
      <c r="B226" s="36" t="str">
        <f t="shared" si="13"/>
        <v>CA_YUBA CITY, CA MSA</v>
      </c>
      <c r="D226" s="265" t="s">
        <v>99</v>
      </c>
      <c r="E226" s="266" t="s">
        <v>3156</v>
      </c>
      <c r="F226" s="252">
        <f t="shared" si="14"/>
        <v>53750</v>
      </c>
      <c r="G226" s="252">
        <f t="shared" si="14"/>
        <v>61400</v>
      </c>
      <c r="H226" s="252">
        <f t="shared" si="14"/>
        <v>69100</v>
      </c>
      <c r="I226" s="252">
        <f t="shared" si="14"/>
        <v>76750</v>
      </c>
      <c r="J226" s="252">
        <f t="shared" si="14"/>
        <v>82900</v>
      </c>
      <c r="K226" s="252">
        <f t="shared" si="14"/>
        <v>89050</v>
      </c>
      <c r="L226" s="252">
        <f t="shared" si="14"/>
        <v>95200</v>
      </c>
      <c r="M226" s="252">
        <f t="shared" si="14"/>
        <v>101350</v>
      </c>
    </row>
    <row r="227" spans="1:13" ht="21.95" customHeight="1" x14ac:dyDescent="0.25">
      <c r="A227" s="36" t="s">
        <v>2904</v>
      </c>
      <c r="B227" s="36" t="str">
        <f t="shared" si="13"/>
        <v>CO_ALAMOSA COUNTY, CO</v>
      </c>
      <c r="D227" s="265" t="s">
        <v>98</v>
      </c>
      <c r="E227" s="266" t="s">
        <v>3157</v>
      </c>
      <c r="F227" s="252">
        <f t="shared" si="14"/>
        <v>57150</v>
      </c>
      <c r="G227" s="252">
        <f t="shared" si="14"/>
        <v>65300</v>
      </c>
      <c r="H227" s="252">
        <f t="shared" si="14"/>
        <v>73450</v>
      </c>
      <c r="I227" s="252">
        <f t="shared" si="14"/>
        <v>81600</v>
      </c>
      <c r="J227" s="252">
        <f t="shared" si="14"/>
        <v>88150</v>
      </c>
      <c r="K227" s="252">
        <f t="shared" si="14"/>
        <v>94700</v>
      </c>
      <c r="L227" s="252">
        <f t="shared" si="14"/>
        <v>101200</v>
      </c>
      <c r="M227" s="252">
        <f t="shared" si="14"/>
        <v>107750</v>
      </c>
    </row>
    <row r="228" spans="1:13" ht="21.95" customHeight="1" x14ac:dyDescent="0.25">
      <c r="A228" s="36" t="s">
        <v>2904</v>
      </c>
      <c r="B228" s="36" t="str">
        <f t="shared" si="13"/>
        <v>CO_ARCHULETA COUNTY, CO</v>
      </c>
      <c r="D228" s="265" t="s">
        <v>98</v>
      </c>
      <c r="E228" s="266" t="s">
        <v>3158</v>
      </c>
      <c r="F228" s="252">
        <f t="shared" si="14"/>
        <v>57150</v>
      </c>
      <c r="G228" s="252">
        <f t="shared" si="14"/>
        <v>65300</v>
      </c>
      <c r="H228" s="252">
        <f t="shared" si="14"/>
        <v>73450</v>
      </c>
      <c r="I228" s="252">
        <f t="shared" si="14"/>
        <v>81600</v>
      </c>
      <c r="J228" s="252">
        <f t="shared" si="14"/>
        <v>88150</v>
      </c>
      <c r="K228" s="252">
        <f t="shared" si="14"/>
        <v>94700</v>
      </c>
      <c r="L228" s="252">
        <f t="shared" si="14"/>
        <v>101200</v>
      </c>
      <c r="M228" s="252">
        <f t="shared" si="14"/>
        <v>107750</v>
      </c>
    </row>
    <row r="229" spans="1:13" ht="21.95" customHeight="1" x14ac:dyDescent="0.25">
      <c r="A229" s="36" t="s">
        <v>2904</v>
      </c>
      <c r="B229" s="36" t="str">
        <f t="shared" si="13"/>
        <v>CO_BACA COUNTY, CO</v>
      </c>
      <c r="D229" s="265" t="s">
        <v>98</v>
      </c>
      <c r="E229" s="266" t="s">
        <v>3159</v>
      </c>
      <c r="F229" s="252">
        <f t="shared" si="14"/>
        <v>57150</v>
      </c>
      <c r="G229" s="252">
        <f t="shared" si="14"/>
        <v>65300</v>
      </c>
      <c r="H229" s="252">
        <f t="shared" si="14"/>
        <v>73450</v>
      </c>
      <c r="I229" s="252">
        <f t="shared" si="14"/>
        <v>81600</v>
      </c>
      <c r="J229" s="252">
        <f t="shared" si="14"/>
        <v>88150</v>
      </c>
      <c r="K229" s="252">
        <f t="shared" si="14"/>
        <v>94700</v>
      </c>
      <c r="L229" s="252">
        <f t="shared" si="14"/>
        <v>101200</v>
      </c>
      <c r="M229" s="252">
        <f t="shared" si="14"/>
        <v>107750</v>
      </c>
    </row>
    <row r="230" spans="1:13" ht="21.95" customHeight="1" x14ac:dyDescent="0.25">
      <c r="A230" s="36" t="s">
        <v>2904</v>
      </c>
      <c r="B230" s="36" t="str">
        <f t="shared" si="13"/>
        <v>CO_BENT COUNTY, CO</v>
      </c>
      <c r="D230" s="265" t="s">
        <v>98</v>
      </c>
      <c r="E230" s="266" t="s">
        <v>3160</v>
      </c>
      <c r="F230" s="252">
        <f t="shared" si="14"/>
        <v>57150</v>
      </c>
      <c r="G230" s="252">
        <f t="shared" si="14"/>
        <v>65300</v>
      </c>
      <c r="H230" s="252">
        <f t="shared" si="14"/>
        <v>73450</v>
      </c>
      <c r="I230" s="252">
        <f t="shared" si="14"/>
        <v>81600</v>
      </c>
      <c r="J230" s="252">
        <f t="shared" si="14"/>
        <v>88150</v>
      </c>
      <c r="K230" s="252">
        <f t="shared" si="14"/>
        <v>94700</v>
      </c>
      <c r="L230" s="252">
        <f t="shared" si="14"/>
        <v>101200</v>
      </c>
      <c r="M230" s="252">
        <f t="shared" si="14"/>
        <v>107750</v>
      </c>
    </row>
    <row r="231" spans="1:13" ht="21.95" customHeight="1" x14ac:dyDescent="0.25">
      <c r="A231" s="36" t="s">
        <v>2904</v>
      </c>
      <c r="B231" s="36" t="str">
        <f t="shared" si="13"/>
        <v>CO_BOULDER, CO MSA</v>
      </c>
      <c r="D231" s="265" t="s">
        <v>98</v>
      </c>
      <c r="E231" s="266" t="s">
        <v>3161</v>
      </c>
      <c r="F231" s="252">
        <f t="shared" si="14"/>
        <v>72950</v>
      </c>
      <c r="G231" s="252">
        <f t="shared" si="14"/>
        <v>83400</v>
      </c>
      <c r="H231" s="252">
        <f t="shared" si="14"/>
        <v>93800</v>
      </c>
      <c r="I231" s="252">
        <f t="shared" si="14"/>
        <v>104200</v>
      </c>
      <c r="J231" s="252">
        <f t="shared" si="14"/>
        <v>112550</v>
      </c>
      <c r="K231" s="252">
        <f t="shared" si="14"/>
        <v>120900</v>
      </c>
      <c r="L231" s="252">
        <f t="shared" si="14"/>
        <v>129250</v>
      </c>
      <c r="M231" s="252">
        <f t="shared" si="14"/>
        <v>137550</v>
      </c>
    </row>
    <row r="232" spans="1:13" ht="21.95" customHeight="1" x14ac:dyDescent="0.25">
      <c r="A232" s="36" t="s">
        <v>2904</v>
      </c>
      <c r="B232" s="36" t="str">
        <f t="shared" si="13"/>
        <v>CO_CHAFFEE COUNTY, CO</v>
      </c>
      <c r="D232" s="265" t="s">
        <v>98</v>
      </c>
      <c r="E232" s="266" t="s">
        <v>3162</v>
      </c>
      <c r="F232" s="252">
        <f t="shared" si="14"/>
        <v>57600</v>
      </c>
      <c r="G232" s="252">
        <f t="shared" si="14"/>
        <v>65800</v>
      </c>
      <c r="H232" s="252">
        <f t="shared" si="14"/>
        <v>74050</v>
      </c>
      <c r="I232" s="252">
        <f t="shared" si="14"/>
        <v>82250</v>
      </c>
      <c r="J232" s="252">
        <f t="shared" si="14"/>
        <v>88850</v>
      </c>
      <c r="K232" s="252">
        <f t="shared" si="14"/>
        <v>95450</v>
      </c>
      <c r="L232" s="252">
        <f t="shared" si="14"/>
        <v>102000</v>
      </c>
      <c r="M232" s="252">
        <f t="shared" si="14"/>
        <v>108600</v>
      </c>
    </row>
    <row r="233" spans="1:13" ht="21.95" customHeight="1" x14ac:dyDescent="0.25">
      <c r="A233" s="36" t="s">
        <v>2904</v>
      </c>
      <c r="B233" s="36" t="str">
        <f t="shared" si="13"/>
        <v>CO_CHEYENNE COUNTY, CO</v>
      </c>
      <c r="D233" s="265" t="s">
        <v>98</v>
      </c>
      <c r="E233" s="266" t="s">
        <v>3163</v>
      </c>
      <c r="F233" s="252">
        <f t="shared" si="14"/>
        <v>57150</v>
      </c>
      <c r="G233" s="252">
        <f t="shared" si="14"/>
        <v>65300</v>
      </c>
      <c r="H233" s="252">
        <f t="shared" si="14"/>
        <v>73450</v>
      </c>
      <c r="I233" s="252">
        <f t="shared" ref="F233:M265" si="15">VLOOKUP($B233,LOOKUP_AMI_TABLE,5+((I$7-1)),FALSE)</f>
        <v>81600</v>
      </c>
      <c r="J233" s="252">
        <f t="shared" si="15"/>
        <v>88150</v>
      </c>
      <c r="K233" s="252">
        <f t="shared" si="15"/>
        <v>94700</v>
      </c>
      <c r="L233" s="252">
        <f t="shared" si="15"/>
        <v>101200</v>
      </c>
      <c r="M233" s="252">
        <f t="shared" si="15"/>
        <v>107750</v>
      </c>
    </row>
    <row r="234" spans="1:13" ht="21.95" customHeight="1" x14ac:dyDescent="0.25">
      <c r="A234" s="36" t="s">
        <v>2904</v>
      </c>
      <c r="B234" s="36" t="str">
        <f t="shared" si="13"/>
        <v>CO_COLORADO SPRINGS, CO HUD METRO FMR AREA</v>
      </c>
      <c r="D234" s="265" t="s">
        <v>98</v>
      </c>
      <c r="E234" s="266" t="s">
        <v>3164</v>
      </c>
      <c r="F234" s="252">
        <f t="shared" si="15"/>
        <v>63000</v>
      </c>
      <c r="G234" s="252">
        <f t="shared" si="15"/>
        <v>72000</v>
      </c>
      <c r="H234" s="252">
        <f t="shared" si="15"/>
        <v>81000</v>
      </c>
      <c r="I234" s="252">
        <f t="shared" si="15"/>
        <v>90000</v>
      </c>
      <c r="J234" s="252">
        <f t="shared" si="15"/>
        <v>97200</v>
      </c>
      <c r="K234" s="252">
        <f t="shared" si="15"/>
        <v>104400</v>
      </c>
      <c r="L234" s="252">
        <f t="shared" si="15"/>
        <v>111600</v>
      </c>
      <c r="M234" s="252">
        <f t="shared" si="15"/>
        <v>118800</v>
      </c>
    </row>
    <row r="235" spans="1:13" ht="21.95" customHeight="1" x14ac:dyDescent="0.25">
      <c r="A235" s="36" t="s">
        <v>2904</v>
      </c>
      <c r="B235" s="36" t="str">
        <f t="shared" si="13"/>
        <v>CO_CONEJOS COUNTY, CO</v>
      </c>
      <c r="D235" s="265" t="s">
        <v>98</v>
      </c>
      <c r="E235" s="266" t="s">
        <v>3165</v>
      </c>
      <c r="F235" s="252">
        <f t="shared" si="15"/>
        <v>57150</v>
      </c>
      <c r="G235" s="252">
        <f t="shared" si="15"/>
        <v>65300</v>
      </c>
      <c r="H235" s="252">
        <f t="shared" si="15"/>
        <v>73450</v>
      </c>
      <c r="I235" s="252">
        <f t="shared" si="15"/>
        <v>81600</v>
      </c>
      <c r="J235" s="252">
        <f t="shared" si="15"/>
        <v>88150</v>
      </c>
      <c r="K235" s="252">
        <f t="shared" si="15"/>
        <v>94700</v>
      </c>
      <c r="L235" s="252">
        <f t="shared" si="15"/>
        <v>101200</v>
      </c>
      <c r="M235" s="252">
        <f t="shared" si="15"/>
        <v>107750</v>
      </c>
    </row>
    <row r="236" spans="1:13" ht="21.95" customHeight="1" x14ac:dyDescent="0.25">
      <c r="A236" s="36" t="s">
        <v>2904</v>
      </c>
      <c r="B236" s="36" t="str">
        <f t="shared" si="13"/>
        <v>CO_COSTILLA COUNTY, CO</v>
      </c>
      <c r="D236" s="265" t="s">
        <v>98</v>
      </c>
      <c r="E236" s="266" t="s">
        <v>3166</v>
      </c>
      <c r="F236" s="252">
        <f t="shared" si="15"/>
        <v>57150</v>
      </c>
      <c r="G236" s="252">
        <f t="shared" si="15"/>
        <v>65300</v>
      </c>
      <c r="H236" s="252">
        <f t="shared" si="15"/>
        <v>73450</v>
      </c>
      <c r="I236" s="252">
        <f t="shared" si="15"/>
        <v>81600</v>
      </c>
      <c r="J236" s="252">
        <f t="shared" si="15"/>
        <v>88150</v>
      </c>
      <c r="K236" s="252">
        <f t="shared" si="15"/>
        <v>94700</v>
      </c>
      <c r="L236" s="252">
        <f t="shared" si="15"/>
        <v>101200</v>
      </c>
      <c r="M236" s="252">
        <f t="shared" si="15"/>
        <v>107750</v>
      </c>
    </row>
    <row r="237" spans="1:13" ht="21.95" customHeight="1" x14ac:dyDescent="0.25">
      <c r="A237" s="36" t="s">
        <v>2904</v>
      </c>
      <c r="B237" s="36" t="str">
        <f t="shared" si="13"/>
        <v>CO_CROWLEY COUNTY, CO</v>
      </c>
      <c r="D237" s="265" t="s">
        <v>98</v>
      </c>
      <c r="E237" s="266" t="s">
        <v>3167</v>
      </c>
      <c r="F237" s="252">
        <f t="shared" si="15"/>
        <v>57150</v>
      </c>
      <c r="G237" s="252">
        <f t="shared" si="15"/>
        <v>65300</v>
      </c>
      <c r="H237" s="252">
        <f t="shared" si="15"/>
        <v>73450</v>
      </c>
      <c r="I237" s="252">
        <f t="shared" si="15"/>
        <v>81600</v>
      </c>
      <c r="J237" s="252">
        <f t="shared" si="15"/>
        <v>88150</v>
      </c>
      <c r="K237" s="252">
        <f t="shared" si="15"/>
        <v>94700</v>
      </c>
      <c r="L237" s="252">
        <f t="shared" si="15"/>
        <v>101200</v>
      </c>
      <c r="M237" s="252">
        <f t="shared" si="15"/>
        <v>107750</v>
      </c>
    </row>
    <row r="238" spans="1:13" ht="21.95" customHeight="1" x14ac:dyDescent="0.25">
      <c r="A238" s="36" t="s">
        <v>2904</v>
      </c>
      <c r="B238" s="36" t="str">
        <f t="shared" si="13"/>
        <v>CO_CUSTER COUNTY, CO</v>
      </c>
      <c r="D238" s="265" t="s">
        <v>98</v>
      </c>
      <c r="E238" s="266" t="s">
        <v>3168</v>
      </c>
      <c r="F238" s="252">
        <f t="shared" si="15"/>
        <v>57150</v>
      </c>
      <c r="G238" s="252">
        <f t="shared" si="15"/>
        <v>65300</v>
      </c>
      <c r="H238" s="252">
        <f t="shared" si="15"/>
        <v>73450</v>
      </c>
      <c r="I238" s="252">
        <f t="shared" si="15"/>
        <v>81600</v>
      </c>
      <c r="J238" s="252">
        <f t="shared" si="15"/>
        <v>88150</v>
      </c>
      <c r="K238" s="252">
        <f t="shared" si="15"/>
        <v>94700</v>
      </c>
      <c r="L238" s="252">
        <f t="shared" si="15"/>
        <v>101200</v>
      </c>
      <c r="M238" s="252">
        <f t="shared" si="15"/>
        <v>107750</v>
      </c>
    </row>
    <row r="239" spans="1:13" ht="21.95" customHeight="1" x14ac:dyDescent="0.25">
      <c r="A239" s="36" t="s">
        <v>2904</v>
      </c>
      <c r="B239" s="36" t="str">
        <f t="shared" si="13"/>
        <v>CO_DELTA COUNTY, CO</v>
      </c>
      <c r="D239" s="265" t="s">
        <v>98</v>
      </c>
      <c r="E239" s="266" t="s">
        <v>3169</v>
      </c>
      <c r="F239" s="252">
        <f t="shared" si="15"/>
        <v>57150</v>
      </c>
      <c r="G239" s="252">
        <f t="shared" si="15"/>
        <v>65300</v>
      </c>
      <c r="H239" s="252">
        <f t="shared" si="15"/>
        <v>73450</v>
      </c>
      <c r="I239" s="252">
        <f t="shared" si="15"/>
        <v>81600</v>
      </c>
      <c r="J239" s="252">
        <f t="shared" si="15"/>
        <v>88150</v>
      </c>
      <c r="K239" s="252">
        <f t="shared" si="15"/>
        <v>94700</v>
      </c>
      <c r="L239" s="252">
        <f t="shared" si="15"/>
        <v>101200</v>
      </c>
      <c r="M239" s="252">
        <f t="shared" si="15"/>
        <v>107750</v>
      </c>
    </row>
    <row r="240" spans="1:13" ht="21.95" customHeight="1" x14ac:dyDescent="0.25">
      <c r="A240" s="36" t="s">
        <v>2904</v>
      </c>
      <c r="B240" s="36" t="str">
        <f t="shared" si="13"/>
        <v>CO_DENVER-AURORA-CENTENNIAL, CO MSA</v>
      </c>
      <c r="D240" s="265" t="s">
        <v>98</v>
      </c>
      <c r="E240" s="266" t="s">
        <v>9101</v>
      </c>
      <c r="F240" s="252">
        <f t="shared" si="15"/>
        <v>72950</v>
      </c>
      <c r="G240" s="252">
        <f t="shared" si="15"/>
        <v>83400</v>
      </c>
      <c r="H240" s="252">
        <f t="shared" si="15"/>
        <v>93800</v>
      </c>
      <c r="I240" s="252">
        <f t="shared" si="15"/>
        <v>104200</v>
      </c>
      <c r="J240" s="252">
        <f t="shared" si="15"/>
        <v>112550</v>
      </c>
      <c r="K240" s="252">
        <f t="shared" si="15"/>
        <v>120900</v>
      </c>
      <c r="L240" s="252">
        <f t="shared" si="15"/>
        <v>129250</v>
      </c>
      <c r="M240" s="252">
        <f t="shared" si="15"/>
        <v>137550</v>
      </c>
    </row>
    <row r="241" spans="1:13" ht="21.95" customHeight="1" x14ac:dyDescent="0.25">
      <c r="A241" s="36" t="s">
        <v>2904</v>
      </c>
      <c r="B241" s="36" t="str">
        <f t="shared" si="13"/>
        <v>CO_DOLORES COUNTY, CO</v>
      </c>
      <c r="D241" s="265" t="s">
        <v>98</v>
      </c>
      <c r="E241" s="266" t="s">
        <v>3170</v>
      </c>
      <c r="F241" s="252">
        <f t="shared" si="15"/>
        <v>57550</v>
      </c>
      <c r="G241" s="252">
        <f t="shared" si="15"/>
        <v>65750</v>
      </c>
      <c r="H241" s="252">
        <f t="shared" si="15"/>
        <v>73950</v>
      </c>
      <c r="I241" s="252">
        <f t="shared" si="15"/>
        <v>82150</v>
      </c>
      <c r="J241" s="252">
        <f t="shared" si="15"/>
        <v>88750</v>
      </c>
      <c r="K241" s="252">
        <f t="shared" si="15"/>
        <v>95300</v>
      </c>
      <c r="L241" s="252">
        <f t="shared" si="15"/>
        <v>101900</v>
      </c>
      <c r="M241" s="252">
        <f t="shared" si="15"/>
        <v>108450</v>
      </c>
    </row>
    <row r="242" spans="1:13" ht="21.95" customHeight="1" x14ac:dyDescent="0.25">
      <c r="A242" s="36" t="s">
        <v>2904</v>
      </c>
      <c r="B242" s="36" t="str">
        <f t="shared" si="13"/>
        <v>CO_EAGLE COUNTY, CO</v>
      </c>
      <c r="D242" s="265" t="s">
        <v>98</v>
      </c>
      <c r="E242" s="266" t="s">
        <v>3171</v>
      </c>
      <c r="F242" s="252">
        <f t="shared" si="15"/>
        <v>72950</v>
      </c>
      <c r="G242" s="252">
        <f t="shared" si="15"/>
        <v>83400</v>
      </c>
      <c r="H242" s="252">
        <f t="shared" si="15"/>
        <v>93800</v>
      </c>
      <c r="I242" s="252">
        <f t="shared" si="15"/>
        <v>104200</v>
      </c>
      <c r="J242" s="252">
        <f t="shared" si="15"/>
        <v>112550</v>
      </c>
      <c r="K242" s="252">
        <f t="shared" si="15"/>
        <v>120900</v>
      </c>
      <c r="L242" s="252">
        <f t="shared" si="15"/>
        <v>129250</v>
      </c>
      <c r="M242" s="252">
        <f t="shared" si="15"/>
        <v>137550</v>
      </c>
    </row>
    <row r="243" spans="1:13" ht="21.95" customHeight="1" x14ac:dyDescent="0.25">
      <c r="A243" s="36" t="s">
        <v>2904</v>
      </c>
      <c r="B243" s="36" t="str">
        <f t="shared" si="13"/>
        <v>CO_FORT COLLINS-LOVELAND, CO MSA</v>
      </c>
      <c r="D243" s="265" t="s">
        <v>98</v>
      </c>
      <c r="E243" s="266" t="s">
        <v>9102</v>
      </c>
      <c r="F243" s="252">
        <f t="shared" si="15"/>
        <v>71500</v>
      </c>
      <c r="G243" s="252">
        <f t="shared" si="15"/>
        <v>81700</v>
      </c>
      <c r="H243" s="252">
        <f t="shared" si="15"/>
        <v>91900</v>
      </c>
      <c r="I243" s="252">
        <f t="shared" si="15"/>
        <v>102100</v>
      </c>
      <c r="J243" s="252">
        <f t="shared" si="15"/>
        <v>110300</v>
      </c>
      <c r="K243" s="252">
        <f t="shared" si="15"/>
        <v>118450</v>
      </c>
      <c r="L243" s="252">
        <f t="shared" si="15"/>
        <v>126650</v>
      </c>
      <c r="M243" s="252">
        <f t="shared" si="15"/>
        <v>134800</v>
      </c>
    </row>
    <row r="244" spans="1:13" ht="21.95" customHeight="1" x14ac:dyDescent="0.25">
      <c r="A244" s="36" t="s">
        <v>2904</v>
      </c>
      <c r="B244" s="36" t="str">
        <f t="shared" si="13"/>
        <v>CO_FREMONT COUNTY, CO</v>
      </c>
      <c r="D244" s="265" t="s">
        <v>98</v>
      </c>
      <c r="E244" s="266" t="s">
        <v>3172</v>
      </c>
      <c r="F244" s="252">
        <f t="shared" si="15"/>
        <v>57150</v>
      </c>
      <c r="G244" s="252">
        <f t="shared" si="15"/>
        <v>65300</v>
      </c>
      <c r="H244" s="252">
        <f t="shared" si="15"/>
        <v>73450</v>
      </c>
      <c r="I244" s="252">
        <f t="shared" si="15"/>
        <v>81600</v>
      </c>
      <c r="J244" s="252">
        <f t="shared" si="15"/>
        <v>88150</v>
      </c>
      <c r="K244" s="252">
        <f t="shared" si="15"/>
        <v>94700</v>
      </c>
      <c r="L244" s="252">
        <f t="shared" si="15"/>
        <v>101200</v>
      </c>
      <c r="M244" s="252">
        <f t="shared" si="15"/>
        <v>107750</v>
      </c>
    </row>
    <row r="245" spans="1:13" ht="21.95" customHeight="1" x14ac:dyDescent="0.25">
      <c r="A245" s="36" t="s">
        <v>2904</v>
      </c>
      <c r="B245" s="36" t="str">
        <f t="shared" si="13"/>
        <v>CO_GARFIELD COUNTY, CO</v>
      </c>
      <c r="D245" s="265" t="s">
        <v>98</v>
      </c>
      <c r="E245" s="266" t="s">
        <v>3173</v>
      </c>
      <c r="F245" s="252">
        <f t="shared" si="15"/>
        <v>59150</v>
      </c>
      <c r="G245" s="252">
        <f t="shared" si="15"/>
        <v>67600</v>
      </c>
      <c r="H245" s="252">
        <f t="shared" si="15"/>
        <v>76050</v>
      </c>
      <c r="I245" s="252">
        <f t="shared" si="15"/>
        <v>84500</v>
      </c>
      <c r="J245" s="252">
        <f t="shared" si="15"/>
        <v>91300</v>
      </c>
      <c r="K245" s="252">
        <f t="shared" si="15"/>
        <v>98050</v>
      </c>
      <c r="L245" s="252">
        <f t="shared" si="15"/>
        <v>104800</v>
      </c>
      <c r="M245" s="252">
        <f t="shared" si="15"/>
        <v>111550</v>
      </c>
    </row>
    <row r="246" spans="1:13" ht="21.95" customHeight="1" x14ac:dyDescent="0.25">
      <c r="A246" s="36" t="s">
        <v>2904</v>
      </c>
      <c r="B246" s="36" t="str">
        <f t="shared" si="13"/>
        <v>CO_GRAND COUNTY, CO</v>
      </c>
      <c r="D246" s="265" t="s">
        <v>98</v>
      </c>
      <c r="E246" s="266" t="s">
        <v>3174</v>
      </c>
      <c r="F246" s="252">
        <f t="shared" si="15"/>
        <v>62750</v>
      </c>
      <c r="G246" s="252">
        <f t="shared" si="15"/>
        <v>71700</v>
      </c>
      <c r="H246" s="252">
        <f t="shared" si="15"/>
        <v>80650</v>
      </c>
      <c r="I246" s="252">
        <f t="shared" si="15"/>
        <v>89600</v>
      </c>
      <c r="J246" s="252">
        <f t="shared" si="15"/>
        <v>96800</v>
      </c>
      <c r="K246" s="252">
        <f t="shared" si="15"/>
        <v>103950</v>
      </c>
      <c r="L246" s="252">
        <f t="shared" si="15"/>
        <v>111150</v>
      </c>
      <c r="M246" s="252">
        <f t="shared" si="15"/>
        <v>118300</v>
      </c>
    </row>
    <row r="247" spans="1:13" ht="21.95" customHeight="1" x14ac:dyDescent="0.25">
      <c r="A247" s="36" t="s">
        <v>2904</v>
      </c>
      <c r="B247" s="36" t="str">
        <f t="shared" si="13"/>
        <v>CO_GRAND JUNCTION, CO MSA</v>
      </c>
      <c r="D247" s="265" t="s">
        <v>98</v>
      </c>
      <c r="E247" s="266" t="s">
        <v>3175</v>
      </c>
      <c r="F247" s="252">
        <f t="shared" si="15"/>
        <v>57150</v>
      </c>
      <c r="G247" s="252">
        <f t="shared" si="15"/>
        <v>65300</v>
      </c>
      <c r="H247" s="252">
        <f t="shared" si="15"/>
        <v>73450</v>
      </c>
      <c r="I247" s="252">
        <f t="shared" si="15"/>
        <v>81600</v>
      </c>
      <c r="J247" s="252">
        <f t="shared" si="15"/>
        <v>88150</v>
      </c>
      <c r="K247" s="252">
        <f t="shared" si="15"/>
        <v>94700</v>
      </c>
      <c r="L247" s="252">
        <f t="shared" si="15"/>
        <v>101200</v>
      </c>
      <c r="M247" s="252">
        <f t="shared" si="15"/>
        <v>107750</v>
      </c>
    </row>
    <row r="248" spans="1:13" ht="21.95" customHeight="1" x14ac:dyDescent="0.25">
      <c r="A248" s="36" t="s">
        <v>2904</v>
      </c>
      <c r="B248" s="36" t="str">
        <f t="shared" si="13"/>
        <v>CO_GREELEY, CO MSA</v>
      </c>
      <c r="D248" s="265" t="s">
        <v>98</v>
      </c>
      <c r="E248" s="266" t="s">
        <v>3176</v>
      </c>
      <c r="F248" s="252">
        <f t="shared" si="15"/>
        <v>63650</v>
      </c>
      <c r="G248" s="252">
        <f t="shared" si="15"/>
        <v>72750</v>
      </c>
      <c r="H248" s="252">
        <f t="shared" si="15"/>
        <v>81850</v>
      </c>
      <c r="I248" s="252">
        <f t="shared" si="15"/>
        <v>90900</v>
      </c>
      <c r="J248" s="252">
        <f t="shared" si="15"/>
        <v>98200</v>
      </c>
      <c r="K248" s="252">
        <f t="shared" si="15"/>
        <v>105450</v>
      </c>
      <c r="L248" s="252">
        <f t="shared" si="15"/>
        <v>112750</v>
      </c>
      <c r="M248" s="252">
        <f t="shared" si="15"/>
        <v>120000</v>
      </c>
    </row>
    <row r="249" spans="1:13" ht="21.95" customHeight="1" x14ac:dyDescent="0.25">
      <c r="A249" s="36" t="s">
        <v>2904</v>
      </c>
      <c r="B249" s="36" t="str">
        <f t="shared" si="13"/>
        <v>CO_GUNNISON COUNTY, CO</v>
      </c>
      <c r="D249" s="265" t="s">
        <v>98</v>
      </c>
      <c r="E249" s="266" t="s">
        <v>3177</v>
      </c>
      <c r="F249" s="252">
        <f t="shared" si="15"/>
        <v>63000</v>
      </c>
      <c r="G249" s="252">
        <f t="shared" si="15"/>
        <v>72000</v>
      </c>
      <c r="H249" s="252">
        <f t="shared" si="15"/>
        <v>81000</v>
      </c>
      <c r="I249" s="252">
        <f t="shared" si="15"/>
        <v>90000</v>
      </c>
      <c r="J249" s="252">
        <f t="shared" si="15"/>
        <v>97200</v>
      </c>
      <c r="K249" s="252">
        <f t="shared" si="15"/>
        <v>104400</v>
      </c>
      <c r="L249" s="252">
        <f t="shared" si="15"/>
        <v>111600</v>
      </c>
      <c r="M249" s="252">
        <f t="shared" si="15"/>
        <v>118800</v>
      </c>
    </row>
    <row r="250" spans="1:13" ht="21.95" customHeight="1" x14ac:dyDescent="0.25">
      <c r="A250" s="36" t="s">
        <v>2904</v>
      </c>
      <c r="B250" s="36" t="str">
        <f t="shared" si="13"/>
        <v>CO_HINSDALE COUNTY, CO</v>
      </c>
      <c r="D250" s="265" t="s">
        <v>98</v>
      </c>
      <c r="E250" s="266" t="s">
        <v>3178</v>
      </c>
      <c r="F250" s="252">
        <f t="shared" si="15"/>
        <v>57150</v>
      </c>
      <c r="G250" s="252">
        <f t="shared" si="15"/>
        <v>65300</v>
      </c>
      <c r="H250" s="252">
        <f t="shared" si="15"/>
        <v>73450</v>
      </c>
      <c r="I250" s="252">
        <f t="shared" si="15"/>
        <v>81600</v>
      </c>
      <c r="J250" s="252">
        <f t="shared" si="15"/>
        <v>88150</v>
      </c>
      <c r="K250" s="252">
        <f t="shared" si="15"/>
        <v>94700</v>
      </c>
      <c r="L250" s="252">
        <f t="shared" si="15"/>
        <v>101200</v>
      </c>
      <c r="M250" s="252">
        <f t="shared" si="15"/>
        <v>107750</v>
      </c>
    </row>
    <row r="251" spans="1:13" ht="21.95" customHeight="1" x14ac:dyDescent="0.25">
      <c r="A251" s="36" t="s">
        <v>2904</v>
      </c>
      <c r="B251" s="36" t="str">
        <f t="shared" si="13"/>
        <v>CO_HUERFANO COUNTY, CO</v>
      </c>
      <c r="D251" s="265" t="s">
        <v>98</v>
      </c>
      <c r="E251" s="266" t="s">
        <v>3179</v>
      </c>
      <c r="F251" s="252">
        <f t="shared" si="15"/>
        <v>57150</v>
      </c>
      <c r="G251" s="252">
        <f t="shared" si="15"/>
        <v>65300</v>
      </c>
      <c r="H251" s="252">
        <f t="shared" si="15"/>
        <v>73450</v>
      </c>
      <c r="I251" s="252">
        <f t="shared" si="15"/>
        <v>81600</v>
      </c>
      <c r="J251" s="252">
        <f t="shared" si="15"/>
        <v>88150</v>
      </c>
      <c r="K251" s="252">
        <f t="shared" si="15"/>
        <v>94700</v>
      </c>
      <c r="L251" s="252">
        <f t="shared" si="15"/>
        <v>101200</v>
      </c>
      <c r="M251" s="252">
        <f t="shared" si="15"/>
        <v>107750</v>
      </c>
    </row>
    <row r="252" spans="1:13" ht="21.95" customHeight="1" x14ac:dyDescent="0.25">
      <c r="A252" s="36" t="s">
        <v>2904</v>
      </c>
      <c r="B252" s="36" t="str">
        <f t="shared" ref="B252:B315" si="16">UPPER(TRIM(D252)&amp;"_"&amp;TRIM(E252))</f>
        <v>CO_JACKSON COUNTY, CO</v>
      </c>
      <c r="D252" s="265" t="s">
        <v>98</v>
      </c>
      <c r="E252" s="266" t="s">
        <v>3180</v>
      </c>
      <c r="F252" s="252">
        <f t="shared" si="15"/>
        <v>57150</v>
      </c>
      <c r="G252" s="252">
        <f t="shared" si="15"/>
        <v>65300</v>
      </c>
      <c r="H252" s="252">
        <f t="shared" si="15"/>
        <v>73450</v>
      </c>
      <c r="I252" s="252">
        <f t="shared" si="15"/>
        <v>81600</v>
      </c>
      <c r="J252" s="252">
        <f t="shared" si="15"/>
        <v>88150</v>
      </c>
      <c r="K252" s="252">
        <f t="shared" si="15"/>
        <v>94700</v>
      </c>
      <c r="L252" s="252">
        <f t="shared" si="15"/>
        <v>101200</v>
      </c>
      <c r="M252" s="252">
        <f t="shared" si="15"/>
        <v>107750</v>
      </c>
    </row>
    <row r="253" spans="1:13" ht="21.95" customHeight="1" x14ac:dyDescent="0.25">
      <c r="A253" s="36" t="s">
        <v>2904</v>
      </c>
      <c r="B253" s="36" t="str">
        <f t="shared" si="16"/>
        <v>CO_KIOWA COUNTY, CO</v>
      </c>
      <c r="D253" s="265" t="s">
        <v>98</v>
      </c>
      <c r="E253" s="266" t="s">
        <v>3181</v>
      </c>
      <c r="F253" s="252">
        <f t="shared" si="15"/>
        <v>57150</v>
      </c>
      <c r="G253" s="252">
        <f t="shared" si="15"/>
        <v>65300</v>
      </c>
      <c r="H253" s="252">
        <f t="shared" si="15"/>
        <v>73450</v>
      </c>
      <c r="I253" s="252">
        <f t="shared" si="15"/>
        <v>81600</v>
      </c>
      <c r="J253" s="252">
        <f t="shared" si="15"/>
        <v>88150</v>
      </c>
      <c r="K253" s="252">
        <f t="shared" si="15"/>
        <v>94700</v>
      </c>
      <c r="L253" s="252">
        <f t="shared" si="15"/>
        <v>101200</v>
      </c>
      <c r="M253" s="252">
        <f t="shared" si="15"/>
        <v>107750</v>
      </c>
    </row>
    <row r="254" spans="1:13" ht="21.95" customHeight="1" x14ac:dyDescent="0.25">
      <c r="A254" s="36" t="s">
        <v>2904</v>
      </c>
      <c r="B254" s="36" t="str">
        <f t="shared" si="16"/>
        <v>CO_KIT CARSON COUNTY, CO</v>
      </c>
      <c r="D254" s="265" t="s">
        <v>98</v>
      </c>
      <c r="E254" s="266" t="s">
        <v>3182</v>
      </c>
      <c r="F254" s="252">
        <f t="shared" si="15"/>
        <v>57150</v>
      </c>
      <c r="G254" s="252">
        <f t="shared" si="15"/>
        <v>65300</v>
      </c>
      <c r="H254" s="252">
        <f t="shared" si="15"/>
        <v>73450</v>
      </c>
      <c r="I254" s="252">
        <f t="shared" si="15"/>
        <v>81600</v>
      </c>
      <c r="J254" s="252">
        <f t="shared" si="15"/>
        <v>88150</v>
      </c>
      <c r="K254" s="252">
        <f t="shared" si="15"/>
        <v>94700</v>
      </c>
      <c r="L254" s="252">
        <f t="shared" si="15"/>
        <v>101200</v>
      </c>
      <c r="M254" s="252">
        <f t="shared" si="15"/>
        <v>107750</v>
      </c>
    </row>
    <row r="255" spans="1:13" ht="21.95" customHeight="1" x14ac:dyDescent="0.25">
      <c r="A255" s="36" t="s">
        <v>2904</v>
      </c>
      <c r="B255" s="36" t="str">
        <f t="shared" si="16"/>
        <v>CO_LAKE COUNTY, CO</v>
      </c>
      <c r="D255" s="265" t="s">
        <v>98</v>
      </c>
      <c r="E255" s="266" t="s">
        <v>3184</v>
      </c>
      <c r="F255" s="252">
        <f t="shared" si="15"/>
        <v>58550</v>
      </c>
      <c r="G255" s="252">
        <f t="shared" si="15"/>
        <v>66900</v>
      </c>
      <c r="H255" s="252">
        <f t="shared" si="15"/>
        <v>75250</v>
      </c>
      <c r="I255" s="252">
        <f t="shared" si="15"/>
        <v>83600</v>
      </c>
      <c r="J255" s="252">
        <f t="shared" si="15"/>
        <v>90300</v>
      </c>
      <c r="K255" s="252">
        <f t="shared" si="15"/>
        <v>97000</v>
      </c>
      <c r="L255" s="252">
        <f t="shared" si="15"/>
        <v>103700</v>
      </c>
      <c r="M255" s="252">
        <f t="shared" si="15"/>
        <v>110400</v>
      </c>
    </row>
    <row r="256" spans="1:13" ht="21.95" customHeight="1" x14ac:dyDescent="0.25">
      <c r="A256" s="36" t="s">
        <v>2904</v>
      </c>
      <c r="B256" s="36" t="str">
        <f t="shared" si="16"/>
        <v>CO_LA PLATA COUNTY, CO</v>
      </c>
      <c r="D256" s="265" t="s">
        <v>98</v>
      </c>
      <c r="E256" s="266" t="s">
        <v>3183</v>
      </c>
      <c r="F256" s="252">
        <f t="shared" si="15"/>
        <v>65800</v>
      </c>
      <c r="G256" s="252">
        <f t="shared" si="15"/>
        <v>75200</v>
      </c>
      <c r="H256" s="252">
        <f t="shared" si="15"/>
        <v>84600</v>
      </c>
      <c r="I256" s="252">
        <f t="shared" si="15"/>
        <v>94000</v>
      </c>
      <c r="J256" s="252">
        <f t="shared" si="15"/>
        <v>101550</v>
      </c>
      <c r="K256" s="252">
        <f t="shared" si="15"/>
        <v>109050</v>
      </c>
      <c r="L256" s="252">
        <f t="shared" si="15"/>
        <v>116600</v>
      </c>
      <c r="M256" s="252">
        <f t="shared" si="15"/>
        <v>124100</v>
      </c>
    </row>
    <row r="257" spans="1:13" ht="21.95" customHeight="1" x14ac:dyDescent="0.25">
      <c r="A257" s="36" t="s">
        <v>2904</v>
      </c>
      <c r="B257" s="36" t="str">
        <f t="shared" si="16"/>
        <v>CO_LAS ANIMAS COUNTY, CO</v>
      </c>
      <c r="D257" s="265" t="s">
        <v>98</v>
      </c>
      <c r="E257" s="266" t="s">
        <v>3185</v>
      </c>
      <c r="F257" s="252">
        <f t="shared" si="15"/>
        <v>57150</v>
      </c>
      <c r="G257" s="252">
        <f t="shared" si="15"/>
        <v>65300</v>
      </c>
      <c r="H257" s="252">
        <f t="shared" si="15"/>
        <v>73450</v>
      </c>
      <c r="I257" s="252">
        <f t="shared" si="15"/>
        <v>81600</v>
      </c>
      <c r="J257" s="252">
        <f t="shared" si="15"/>
        <v>88150</v>
      </c>
      <c r="K257" s="252">
        <f t="shared" si="15"/>
        <v>94700</v>
      </c>
      <c r="L257" s="252">
        <f t="shared" si="15"/>
        <v>101200</v>
      </c>
      <c r="M257" s="252">
        <f t="shared" si="15"/>
        <v>107750</v>
      </c>
    </row>
    <row r="258" spans="1:13" ht="21.95" customHeight="1" x14ac:dyDescent="0.25">
      <c r="A258" s="36" t="s">
        <v>2904</v>
      </c>
      <c r="B258" s="36" t="str">
        <f t="shared" si="16"/>
        <v>CO_LINCOLN COUNTY, CO</v>
      </c>
      <c r="D258" s="265" t="s">
        <v>98</v>
      </c>
      <c r="E258" s="266" t="s">
        <v>3186</v>
      </c>
      <c r="F258" s="252">
        <f t="shared" si="15"/>
        <v>57150</v>
      </c>
      <c r="G258" s="252">
        <f t="shared" si="15"/>
        <v>65300</v>
      </c>
      <c r="H258" s="252">
        <f t="shared" si="15"/>
        <v>73450</v>
      </c>
      <c r="I258" s="252">
        <f t="shared" si="15"/>
        <v>81600</v>
      </c>
      <c r="J258" s="252">
        <f t="shared" si="15"/>
        <v>88150</v>
      </c>
      <c r="K258" s="252">
        <f t="shared" si="15"/>
        <v>94700</v>
      </c>
      <c r="L258" s="252">
        <f t="shared" si="15"/>
        <v>101200</v>
      </c>
      <c r="M258" s="252">
        <f t="shared" si="15"/>
        <v>107750</v>
      </c>
    </row>
    <row r="259" spans="1:13" ht="21.95" customHeight="1" x14ac:dyDescent="0.25">
      <c r="A259" s="36" t="s">
        <v>2904</v>
      </c>
      <c r="B259" s="36" t="str">
        <f t="shared" si="16"/>
        <v>CO_LOGAN COUNTY, CO</v>
      </c>
      <c r="D259" s="265" t="s">
        <v>98</v>
      </c>
      <c r="E259" s="266" t="s">
        <v>3187</v>
      </c>
      <c r="F259" s="252">
        <f t="shared" si="15"/>
        <v>57150</v>
      </c>
      <c r="G259" s="252">
        <f t="shared" si="15"/>
        <v>65300</v>
      </c>
      <c r="H259" s="252">
        <f t="shared" si="15"/>
        <v>73450</v>
      </c>
      <c r="I259" s="252">
        <f t="shared" si="15"/>
        <v>81600</v>
      </c>
      <c r="J259" s="252">
        <f t="shared" si="15"/>
        <v>88150</v>
      </c>
      <c r="K259" s="252">
        <f t="shared" si="15"/>
        <v>94700</v>
      </c>
      <c r="L259" s="252">
        <f t="shared" si="15"/>
        <v>101200</v>
      </c>
      <c r="M259" s="252">
        <f t="shared" si="15"/>
        <v>107750</v>
      </c>
    </row>
    <row r="260" spans="1:13" ht="21.95" customHeight="1" x14ac:dyDescent="0.25">
      <c r="A260" s="36" t="s">
        <v>2904</v>
      </c>
      <c r="B260" s="36" t="str">
        <f t="shared" si="16"/>
        <v>CO_MINERAL COUNTY, CO</v>
      </c>
      <c r="D260" s="265" t="s">
        <v>98</v>
      </c>
      <c r="E260" s="266" t="s">
        <v>3188</v>
      </c>
      <c r="F260" s="252">
        <f t="shared" si="15"/>
        <v>57150</v>
      </c>
      <c r="G260" s="252">
        <f t="shared" si="15"/>
        <v>65300</v>
      </c>
      <c r="H260" s="252">
        <f t="shared" si="15"/>
        <v>73450</v>
      </c>
      <c r="I260" s="252">
        <f t="shared" si="15"/>
        <v>81600</v>
      </c>
      <c r="J260" s="252">
        <f t="shared" si="15"/>
        <v>88150</v>
      </c>
      <c r="K260" s="252">
        <f t="shared" si="15"/>
        <v>94700</v>
      </c>
      <c r="L260" s="252">
        <f t="shared" si="15"/>
        <v>101200</v>
      </c>
      <c r="M260" s="252">
        <f t="shared" si="15"/>
        <v>107750</v>
      </c>
    </row>
    <row r="261" spans="1:13" ht="21.95" customHeight="1" x14ac:dyDescent="0.25">
      <c r="A261" s="36" t="s">
        <v>2904</v>
      </c>
      <c r="B261" s="36" t="str">
        <f t="shared" si="16"/>
        <v>CO_MOFFAT COUNTY, CO</v>
      </c>
      <c r="D261" s="265" t="s">
        <v>98</v>
      </c>
      <c r="E261" s="266" t="s">
        <v>3189</v>
      </c>
      <c r="F261" s="252">
        <f t="shared" si="15"/>
        <v>57150</v>
      </c>
      <c r="G261" s="252">
        <f t="shared" si="15"/>
        <v>65300</v>
      </c>
      <c r="H261" s="252">
        <f t="shared" si="15"/>
        <v>73450</v>
      </c>
      <c r="I261" s="252">
        <f t="shared" si="15"/>
        <v>81600</v>
      </c>
      <c r="J261" s="252">
        <f t="shared" si="15"/>
        <v>88150</v>
      </c>
      <c r="K261" s="252">
        <f t="shared" si="15"/>
        <v>94700</v>
      </c>
      <c r="L261" s="252">
        <f t="shared" si="15"/>
        <v>101200</v>
      </c>
      <c r="M261" s="252">
        <f t="shared" si="15"/>
        <v>107750</v>
      </c>
    </row>
    <row r="262" spans="1:13" ht="21.95" customHeight="1" x14ac:dyDescent="0.25">
      <c r="A262" s="36" t="s">
        <v>2904</v>
      </c>
      <c r="B262" s="36" t="str">
        <f t="shared" si="16"/>
        <v>CO_MONTEZUMA COUNTY, CO</v>
      </c>
      <c r="D262" s="265" t="s">
        <v>98</v>
      </c>
      <c r="E262" s="266" t="s">
        <v>3190</v>
      </c>
      <c r="F262" s="252">
        <f t="shared" si="15"/>
        <v>57150</v>
      </c>
      <c r="G262" s="252">
        <f t="shared" si="15"/>
        <v>65300</v>
      </c>
      <c r="H262" s="252">
        <f t="shared" si="15"/>
        <v>73450</v>
      </c>
      <c r="I262" s="252">
        <f t="shared" si="15"/>
        <v>81600</v>
      </c>
      <c r="J262" s="252">
        <f t="shared" si="15"/>
        <v>88150</v>
      </c>
      <c r="K262" s="252">
        <f t="shared" si="15"/>
        <v>94700</v>
      </c>
      <c r="L262" s="252">
        <f t="shared" si="15"/>
        <v>101200</v>
      </c>
      <c r="M262" s="252">
        <f t="shared" si="15"/>
        <v>107750</v>
      </c>
    </row>
    <row r="263" spans="1:13" ht="21.95" customHeight="1" x14ac:dyDescent="0.25">
      <c r="A263" s="36" t="s">
        <v>2904</v>
      </c>
      <c r="B263" s="36" t="str">
        <f t="shared" si="16"/>
        <v>CO_MONTROSE COUNTY, CO</v>
      </c>
      <c r="D263" s="265" t="s">
        <v>98</v>
      </c>
      <c r="E263" s="266" t="s">
        <v>3191</v>
      </c>
      <c r="F263" s="252">
        <f t="shared" si="15"/>
        <v>57150</v>
      </c>
      <c r="G263" s="252">
        <f t="shared" si="15"/>
        <v>65300</v>
      </c>
      <c r="H263" s="252">
        <f t="shared" si="15"/>
        <v>73450</v>
      </c>
      <c r="I263" s="252">
        <f t="shared" si="15"/>
        <v>81600</v>
      </c>
      <c r="J263" s="252">
        <f t="shared" si="15"/>
        <v>88150</v>
      </c>
      <c r="K263" s="252">
        <f t="shared" si="15"/>
        <v>94700</v>
      </c>
      <c r="L263" s="252">
        <f t="shared" si="15"/>
        <v>101200</v>
      </c>
      <c r="M263" s="252">
        <f t="shared" si="15"/>
        <v>107750</v>
      </c>
    </row>
    <row r="264" spans="1:13" ht="21.95" customHeight="1" x14ac:dyDescent="0.25">
      <c r="A264" s="36" t="s">
        <v>2904</v>
      </c>
      <c r="B264" s="36" t="str">
        <f t="shared" si="16"/>
        <v>CO_MORGAN COUNTY, CO</v>
      </c>
      <c r="D264" s="265" t="s">
        <v>98</v>
      </c>
      <c r="E264" s="266" t="s">
        <v>3192</v>
      </c>
      <c r="F264" s="252">
        <f t="shared" si="15"/>
        <v>57150</v>
      </c>
      <c r="G264" s="252">
        <f t="shared" si="15"/>
        <v>65300</v>
      </c>
      <c r="H264" s="252">
        <f t="shared" si="15"/>
        <v>73450</v>
      </c>
      <c r="I264" s="252">
        <f t="shared" si="15"/>
        <v>81600</v>
      </c>
      <c r="J264" s="252">
        <f t="shared" si="15"/>
        <v>88150</v>
      </c>
      <c r="K264" s="252">
        <f t="shared" si="15"/>
        <v>94700</v>
      </c>
      <c r="L264" s="252">
        <f t="shared" si="15"/>
        <v>101200</v>
      </c>
      <c r="M264" s="252">
        <f t="shared" si="15"/>
        <v>107750</v>
      </c>
    </row>
    <row r="265" spans="1:13" ht="21.95" customHeight="1" x14ac:dyDescent="0.25">
      <c r="A265" s="36" t="s">
        <v>2904</v>
      </c>
      <c r="B265" s="36" t="str">
        <f t="shared" si="16"/>
        <v>CO_OTERO COUNTY, CO</v>
      </c>
      <c r="D265" s="265" t="s">
        <v>98</v>
      </c>
      <c r="E265" s="266" t="s">
        <v>3193</v>
      </c>
      <c r="F265" s="252">
        <f t="shared" si="15"/>
        <v>57150</v>
      </c>
      <c r="G265" s="252">
        <f t="shared" si="15"/>
        <v>65300</v>
      </c>
      <c r="H265" s="252">
        <f t="shared" ref="F265:M297" si="17">VLOOKUP($B265,LOOKUP_AMI_TABLE,5+((H$7-1)),FALSE)</f>
        <v>73450</v>
      </c>
      <c r="I265" s="252">
        <f t="shared" si="17"/>
        <v>81600</v>
      </c>
      <c r="J265" s="252">
        <f t="shared" si="17"/>
        <v>88150</v>
      </c>
      <c r="K265" s="252">
        <f t="shared" si="17"/>
        <v>94700</v>
      </c>
      <c r="L265" s="252">
        <f t="shared" si="17"/>
        <v>101200</v>
      </c>
      <c r="M265" s="252">
        <f t="shared" si="17"/>
        <v>107750</v>
      </c>
    </row>
    <row r="266" spans="1:13" ht="21.95" customHeight="1" x14ac:dyDescent="0.25">
      <c r="A266" s="36" t="s">
        <v>2904</v>
      </c>
      <c r="B266" s="36" t="str">
        <f t="shared" si="16"/>
        <v>CO_OURAY COUNTY, CO</v>
      </c>
      <c r="D266" s="265" t="s">
        <v>98</v>
      </c>
      <c r="E266" s="266" t="s">
        <v>3194</v>
      </c>
      <c r="F266" s="252">
        <f t="shared" si="17"/>
        <v>58550</v>
      </c>
      <c r="G266" s="252">
        <f t="shared" si="17"/>
        <v>66900</v>
      </c>
      <c r="H266" s="252">
        <f t="shared" si="17"/>
        <v>75250</v>
      </c>
      <c r="I266" s="252">
        <f t="shared" si="17"/>
        <v>83600</v>
      </c>
      <c r="J266" s="252">
        <f t="shared" si="17"/>
        <v>90300</v>
      </c>
      <c r="K266" s="252">
        <f t="shared" si="17"/>
        <v>97000</v>
      </c>
      <c r="L266" s="252">
        <f t="shared" si="17"/>
        <v>103700</v>
      </c>
      <c r="M266" s="252">
        <f t="shared" si="17"/>
        <v>110400</v>
      </c>
    </row>
    <row r="267" spans="1:13" ht="21.95" customHeight="1" x14ac:dyDescent="0.25">
      <c r="A267" s="36" t="s">
        <v>2904</v>
      </c>
      <c r="B267" s="36" t="str">
        <f t="shared" si="16"/>
        <v>CO_PHILLIPS COUNTY, CO</v>
      </c>
      <c r="D267" s="265" t="s">
        <v>98</v>
      </c>
      <c r="E267" s="266" t="s">
        <v>3195</v>
      </c>
      <c r="F267" s="252">
        <f t="shared" si="17"/>
        <v>57150</v>
      </c>
      <c r="G267" s="252">
        <f t="shared" si="17"/>
        <v>65300</v>
      </c>
      <c r="H267" s="252">
        <f t="shared" si="17"/>
        <v>73450</v>
      </c>
      <c r="I267" s="252">
        <f t="shared" si="17"/>
        <v>81600</v>
      </c>
      <c r="J267" s="252">
        <f t="shared" si="17"/>
        <v>88150</v>
      </c>
      <c r="K267" s="252">
        <f t="shared" si="17"/>
        <v>94700</v>
      </c>
      <c r="L267" s="252">
        <f t="shared" si="17"/>
        <v>101200</v>
      </c>
      <c r="M267" s="252">
        <f t="shared" si="17"/>
        <v>107750</v>
      </c>
    </row>
    <row r="268" spans="1:13" ht="21.95" customHeight="1" x14ac:dyDescent="0.25">
      <c r="A268" s="36" t="s">
        <v>2904</v>
      </c>
      <c r="B268" s="36" t="str">
        <f t="shared" si="16"/>
        <v>CO_PITKIN COUNTY, CO</v>
      </c>
      <c r="D268" s="265" t="s">
        <v>98</v>
      </c>
      <c r="E268" s="266" t="s">
        <v>3196</v>
      </c>
      <c r="F268" s="252">
        <f t="shared" si="17"/>
        <v>72950</v>
      </c>
      <c r="G268" s="252">
        <f t="shared" si="17"/>
        <v>83400</v>
      </c>
      <c r="H268" s="252">
        <f t="shared" si="17"/>
        <v>93800</v>
      </c>
      <c r="I268" s="252">
        <f t="shared" si="17"/>
        <v>104200</v>
      </c>
      <c r="J268" s="252">
        <f t="shared" si="17"/>
        <v>112550</v>
      </c>
      <c r="K268" s="252">
        <f t="shared" si="17"/>
        <v>120900</v>
      </c>
      <c r="L268" s="252">
        <f t="shared" si="17"/>
        <v>129250</v>
      </c>
      <c r="M268" s="252">
        <f t="shared" si="17"/>
        <v>137550</v>
      </c>
    </row>
    <row r="269" spans="1:13" ht="21.95" customHeight="1" x14ac:dyDescent="0.25">
      <c r="A269" s="36" t="s">
        <v>2904</v>
      </c>
      <c r="B269" s="36" t="str">
        <f t="shared" si="16"/>
        <v>CO_PROWERS COUNTY, CO</v>
      </c>
      <c r="D269" s="265" t="s">
        <v>98</v>
      </c>
      <c r="E269" s="266" t="s">
        <v>3197</v>
      </c>
      <c r="F269" s="252">
        <f t="shared" si="17"/>
        <v>57150</v>
      </c>
      <c r="G269" s="252">
        <f t="shared" si="17"/>
        <v>65300</v>
      </c>
      <c r="H269" s="252">
        <f t="shared" si="17"/>
        <v>73450</v>
      </c>
      <c r="I269" s="252">
        <f t="shared" si="17"/>
        <v>81600</v>
      </c>
      <c r="J269" s="252">
        <f t="shared" si="17"/>
        <v>88150</v>
      </c>
      <c r="K269" s="252">
        <f t="shared" si="17"/>
        <v>94700</v>
      </c>
      <c r="L269" s="252">
        <f t="shared" si="17"/>
        <v>101200</v>
      </c>
      <c r="M269" s="252">
        <f t="shared" si="17"/>
        <v>107750</v>
      </c>
    </row>
    <row r="270" spans="1:13" ht="21.95" customHeight="1" x14ac:dyDescent="0.25">
      <c r="A270" s="36" t="s">
        <v>2904</v>
      </c>
      <c r="B270" s="36" t="str">
        <f t="shared" si="16"/>
        <v>CO_PUEBLO, CO MSA</v>
      </c>
      <c r="D270" s="265" t="s">
        <v>98</v>
      </c>
      <c r="E270" s="266" t="s">
        <v>3198</v>
      </c>
      <c r="F270" s="252">
        <f t="shared" si="17"/>
        <v>57150</v>
      </c>
      <c r="G270" s="252">
        <f t="shared" si="17"/>
        <v>65300</v>
      </c>
      <c r="H270" s="252">
        <f t="shared" si="17"/>
        <v>73450</v>
      </c>
      <c r="I270" s="252">
        <f t="shared" si="17"/>
        <v>81600</v>
      </c>
      <c r="J270" s="252">
        <f t="shared" si="17"/>
        <v>88150</v>
      </c>
      <c r="K270" s="252">
        <f t="shared" si="17"/>
        <v>94700</v>
      </c>
      <c r="L270" s="252">
        <f t="shared" si="17"/>
        <v>101200</v>
      </c>
      <c r="M270" s="252">
        <f t="shared" si="17"/>
        <v>107750</v>
      </c>
    </row>
    <row r="271" spans="1:13" ht="21.95" customHeight="1" x14ac:dyDescent="0.25">
      <c r="A271" s="36" t="s">
        <v>2904</v>
      </c>
      <c r="B271" s="36" t="str">
        <f t="shared" si="16"/>
        <v>CO_RIO BLANCO COUNTY, CO</v>
      </c>
      <c r="D271" s="265" t="s">
        <v>98</v>
      </c>
      <c r="E271" s="266" t="s">
        <v>3199</v>
      </c>
      <c r="F271" s="252">
        <f t="shared" si="17"/>
        <v>57150</v>
      </c>
      <c r="G271" s="252">
        <f t="shared" si="17"/>
        <v>65300</v>
      </c>
      <c r="H271" s="252">
        <f t="shared" si="17"/>
        <v>73450</v>
      </c>
      <c r="I271" s="252">
        <f t="shared" si="17"/>
        <v>81600</v>
      </c>
      <c r="J271" s="252">
        <f t="shared" si="17"/>
        <v>88150</v>
      </c>
      <c r="K271" s="252">
        <f t="shared" si="17"/>
        <v>94700</v>
      </c>
      <c r="L271" s="252">
        <f t="shared" si="17"/>
        <v>101200</v>
      </c>
      <c r="M271" s="252">
        <f t="shared" si="17"/>
        <v>107750</v>
      </c>
    </row>
    <row r="272" spans="1:13" ht="21.95" customHeight="1" x14ac:dyDescent="0.25">
      <c r="A272" s="36" t="s">
        <v>2904</v>
      </c>
      <c r="B272" s="36" t="str">
        <f t="shared" si="16"/>
        <v>CO_RIO GRANDE COUNTY, CO</v>
      </c>
      <c r="D272" s="265" t="s">
        <v>98</v>
      </c>
      <c r="E272" s="266" t="s">
        <v>3200</v>
      </c>
      <c r="F272" s="252">
        <f t="shared" si="17"/>
        <v>57150</v>
      </c>
      <c r="G272" s="252">
        <f t="shared" si="17"/>
        <v>65300</v>
      </c>
      <c r="H272" s="252">
        <f t="shared" si="17"/>
        <v>73450</v>
      </c>
      <c r="I272" s="252">
        <f t="shared" si="17"/>
        <v>81600</v>
      </c>
      <c r="J272" s="252">
        <f t="shared" si="17"/>
        <v>88150</v>
      </c>
      <c r="K272" s="252">
        <f t="shared" si="17"/>
        <v>94700</v>
      </c>
      <c r="L272" s="252">
        <f t="shared" si="17"/>
        <v>101200</v>
      </c>
      <c r="M272" s="252">
        <f t="shared" si="17"/>
        <v>107750</v>
      </c>
    </row>
    <row r="273" spans="1:13" ht="21.95" customHeight="1" x14ac:dyDescent="0.25">
      <c r="A273" s="36" t="s">
        <v>2904</v>
      </c>
      <c r="B273" s="36" t="str">
        <f t="shared" si="16"/>
        <v>CO_ROUTT COUNTY, CO</v>
      </c>
      <c r="D273" s="265" t="s">
        <v>98</v>
      </c>
      <c r="E273" s="266" t="s">
        <v>3201</v>
      </c>
      <c r="F273" s="252">
        <f t="shared" si="17"/>
        <v>72800</v>
      </c>
      <c r="G273" s="252">
        <f t="shared" si="17"/>
        <v>83200</v>
      </c>
      <c r="H273" s="252">
        <f t="shared" si="17"/>
        <v>93600</v>
      </c>
      <c r="I273" s="252">
        <f t="shared" si="17"/>
        <v>104000</v>
      </c>
      <c r="J273" s="252">
        <f t="shared" si="17"/>
        <v>112350</v>
      </c>
      <c r="K273" s="252">
        <f t="shared" si="17"/>
        <v>120650</v>
      </c>
      <c r="L273" s="252">
        <f t="shared" si="17"/>
        <v>129000</v>
      </c>
      <c r="M273" s="252">
        <f t="shared" si="17"/>
        <v>137300</v>
      </c>
    </row>
    <row r="274" spans="1:13" ht="21.95" customHeight="1" x14ac:dyDescent="0.25">
      <c r="A274" s="36" t="s">
        <v>2904</v>
      </c>
      <c r="B274" s="36" t="str">
        <f t="shared" si="16"/>
        <v>CO_SAGUACHE COUNTY, CO</v>
      </c>
      <c r="D274" s="265" t="s">
        <v>98</v>
      </c>
      <c r="E274" s="266" t="s">
        <v>3202</v>
      </c>
      <c r="F274" s="252">
        <f t="shared" si="17"/>
        <v>57150</v>
      </c>
      <c r="G274" s="252">
        <f t="shared" si="17"/>
        <v>65300</v>
      </c>
      <c r="H274" s="252">
        <f t="shared" si="17"/>
        <v>73450</v>
      </c>
      <c r="I274" s="252">
        <f t="shared" si="17"/>
        <v>81600</v>
      </c>
      <c r="J274" s="252">
        <f t="shared" si="17"/>
        <v>88150</v>
      </c>
      <c r="K274" s="252">
        <f t="shared" si="17"/>
        <v>94700</v>
      </c>
      <c r="L274" s="252">
        <f t="shared" si="17"/>
        <v>101200</v>
      </c>
      <c r="M274" s="252">
        <f t="shared" si="17"/>
        <v>107750</v>
      </c>
    </row>
    <row r="275" spans="1:13" ht="21.95" customHeight="1" x14ac:dyDescent="0.25">
      <c r="A275" s="36" t="s">
        <v>2904</v>
      </c>
      <c r="B275" s="36" t="str">
        <f t="shared" si="16"/>
        <v>CO_SAN JUAN COUNTY, CO</v>
      </c>
      <c r="D275" s="265" t="s">
        <v>98</v>
      </c>
      <c r="E275" s="266" t="s">
        <v>3203</v>
      </c>
      <c r="F275" s="252">
        <f t="shared" si="17"/>
        <v>57150</v>
      </c>
      <c r="G275" s="252">
        <f t="shared" si="17"/>
        <v>65300</v>
      </c>
      <c r="H275" s="252">
        <f t="shared" si="17"/>
        <v>73450</v>
      </c>
      <c r="I275" s="252">
        <f t="shared" si="17"/>
        <v>81600</v>
      </c>
      <c r="J275" s="252">
        <f t="shared" si="17"/>
        <v>88150</v>
      </c>
      <c r="K275" s="252">
        <f t="shared" si="17"/>
        <v>94700</v>
      </c>
      <c r="L275" s="252">
        <f t="shared" si="17"/>
        <v>101200</v>
      </c>
      <c r="M275" s="252">
        <f t="shared" si="17"/>
        <v>107750</v>
      </c>
    </row>
    <row r="276" spans="1:13" ht="21.95" customHeight="1" x14ac:dyDescent="0.25">
      <c r="A276" s="36" t="s">
        <v>2904</v>
      </c>
      <c r="B276" s="36" t="str">
        <f t="shared" si="16"/>
        <v>CO_SAN MIGUEL COUNTY, CO</v>
      </c>
      <c r="D276" s="265" t="s">
        <v>98</v>
      </c>
      <c r="E276" s="266" t="s">
        <v>3204</v>
      </c>
      <c r="F276" s="252">
        <f t="shared" si="17"/>
        <v>66950</v>
      </c>
      <c r="G276" s="252">
        <f t="shared" si="17"/>
        <v>76500</v>
      </c>
      <c r="H276" s="252">
        <f t="shared" si="17"/>
        <v>86050</v>
      </c>
      <c r="I276" s="252">
        <f t="shared" si="17"/>
        <v>95600</v>
      </c>
      <c r="J276" s="252">
        <f t="shared" si="17"/>
        <v>103250</v>
      </c>
      <c r="K276" s="252">
        <f t="shared" si="17"/>
        <v>110900</v>
      </c>
      <c r="L276" s="252">
        <f t="shared" si="17"/>
        <v>118550</v>
      </c>
      <c r="M276" s="252">
        <f t="shared" si="17"/>
        <v>126200</v>
      </c>
    </row>
    <row r="277" spans="1:13" ht="21.95" customHeight="1" x14ac:dyDescent="0.25">
      <c r="A277" s="36" t="s">
        <v>2904</v>
      </c>
      <c r="B277" s="36" t="str">
        <f t="shared" si="16"/>
        <v>CO_SEDGWICK COUNTY, CO</v>
      </c>
      <c r="D277" s="265" t="s">
        <v>98</v>
      </c>
      <c r="E277" s="266" t="s">
        <v>3205</v>
      </c>
      <c r="F277" s="252">
        <f t="shared" si="17"/>
        <v>57150</v>
      </c>
      <c r="G277" s="252">
        <f t="shared" si="17"/>
        <v>65300</v>
      </c>
      <c r="H277" s="252">
        <f t="shared" si="17"/>
        <v>73450</v>
      </c>
      <c r="I277" s="252">
        <f t="shared" si="17"/>
        <v>81600</v>
      </c>
      <c r="J277" s="252">
        <f t="shared" si="17"/>
        <v>88150</v>
      </c>
      <c r="K277" s="252">
        <f t="shared" si="17"/>
        <v>94700</v>
      </c>
      <c r="L277" s="252">
        <f t="shared" si="17"/>
        <v>101200</v>
      </c>
      <c r="M277" s="252">
        <f t="shared" si="17"/>
        <v>107750</v>
      </c>
    </row>
    <row r="278" spans="1:13" ht="21.95" customHeight="1" x14ac:dyDescent="0.25">
      <c r="A278" s="36" t="s">
        <v>2904</v>
      </c>
      <c r="B278" s="36" t="str">
        <f t="shared" si="16"/>
        <v>CO_SUMMIT COUNTY, CO</v>
      </c>
      <c r="D278" s="265" t="s">
        <v>98</v>
      </c>
      <c r="E278" s="266" t="s">
        <v>3206</v>
      </c>
      <c r="F278" s="252">
        <f t="shared" si="17"/>
        <v>74500</v>
      </c>
      <c r="G278" s="252">
        <f t="shared" si="17"/>
        <v>85150</v>
      </c>
      <c r="H278" s="252">
        <f t="shared" si="17"/>
        <v>95800</v>
      </c>
      <c r="I278" s="252">
        <f t="shared" si="17"/>
        <v>106400</v>
      </c>
      <c r="J278" s="252">
        <f t="shared" si="17"/>
        <v>114950</v>
      </c>
      <c r="K278" s="252">
        <f t="shared" si="17"/>
        <v>123450</v>
      </c>
      <c r="L278" s="252">
        <f t="shared" si="17"/>
        <v>131950</v>
      </c>
      <c r="M278" s="252">
        <f t="shared" si="17"/>
        <v>140450</v>
      </c>
    </row>
    <row r="279" spans="1:13" ht="21.95" customHeight="1" x14ac:dyDescent="0.25">
      <c r="A279" s="36" t="s">
        <v>2904</v>
      </c>
      <c r="B279" s="36" t="str">
        <f t="shared" si="16"/>
        <v>CO_TELLER COUNTY, CO HUD METRO FMR AREA</v>
      </c>
      <c r="D279" s="265" t="s">
        <v>98</v>
      </c>
      <c r="E279" s="266" t="s">
        <v>3207</v>
      </c>
      <c r="F279" s="252">
        <f t="shared" si="17"/>
        <v>57700</v>
      </c>
      <c r="G279" s="252">
        <f t="shared" si="17"/>
        <v>65950</v>
      </c>
      <c r="H279" s="252">
        <f t="shared" si="17"/>
        <v>74200</v>
      </c>
      <c r="I279" s="252">
        <f t="shared" si="17"/>
        <v>82400</v>
      </c>
      <c r="J279" s="252">
        <f t="shared" si="17"/>
        <v>89000</v>
      </c>
      <c r="K279" s="252">
        <f t="shared" si="17"/>
        <v>95600</v>
      </c>
      <c r="L279" s="252">
        <f t="shared" si="17"/>
        <v>102200</v>
      </c>
      <c r="M279" s="252">
        <f t="shared" si="17"/>
        <v>108800</v>
      </c>
    </row>
    <row r="280" spans="1:13" ht="21.95" customHeight="1" x14ac:dyDescent="0.25">
      <c r="A280" s="36" t="s">
        <v>2904</v>
      </c>
      <c r="B280" s="36" t="str">
        <f t="shared" si="16"/>
        <v>CO_WASHINGTON COUNTY, CO</v>
      </c>
      <c r="D280" s="265" t="s">
        <v>98</v>
      </c>
      <c r="E280" s="266" t="s">
        <v>3208</v>
      </c>
      <c r="F280" s="252">
        <f t="shared" si="17"/>
        <v>57150</v>
      </c>
      <c r="G280" s="252">
        <f t="shared" si="17"/>
        <v>65300</v>
      </c>
      <c r="H280" s="252">
        <f t="shared" si="17"/>
        <v>73450</v>
      </c>
      <c r="I280" s="252">
        <f t="shared" si="17"/>
        <v>81600</v>
      </c>
      <c r="J280" s="252">
        <f t="shared" si="17"/>
        <v>88150</v>
      </c>
      <c r="K280" s="252">
        <f t="shared" si="17"/>
        <v>94700</v>
      </c>
      <c r="L280" s="252">
        <f t="shared" si="17"/>
        <v>101200</v>
      </c>
      <c r="M280" s="252">
        <f t="shared" si="17"/>
        <v>107750</v>
      </c>
    </row>
    <row r="281" spans="1:13" ht="21.95" customHeight="1" x14ac:dyDescent="0.25">
      <c r="A281" s="36" t="s">
        <v>2904</v>
      </c>
      <c r="B281" s="36" t="str">
        <f t="shared" si="16"/>
        <v>CO_YUMA COUNTY, CO</v>
      </c>
      <c r="D281" s="265" t="s">
        <v>98</v>
      </c>
      <c r="E281" s="266" t="s">
        <v>3209</v>
      </c>
      <c r="F281" s="252">
        <f t="shared" si="17"/>
        <v>57150</v>
      </c>
      <c r="G281" s="252">
        <f t="shared" si="17"/>
        <v>65300</v>
      </c>
      <c r="H281" s="252">
        <f t="shared" si="17"/>
        <v>73450</v>
      </c>
      <c r="I281" s="252">
        <f t="shared" si="17"/>
        <v>81600</v>
      </c>
      <c r="J281" s="252">
        <f t="shared" si="17"/>
        <v>88150</v>
      </c>
      <c r="K281" s="252">
        <f t="shared" si="17"/>
        <v>94700</v>
      </c>
      <c r="L281" s="252">
        <f t="shared" si="17"/>
        <v>101200</v>
      </c>
      <c r="M281" s="252">
        <f t="shared" si="17"/>
        <v>107750</v>
      </c>
    </row>
    <row r="282" spans="1:13" ht="21.95" customHeight="1" x14ac:dyDescent="0.25">
      <c r="A282" s="36" t="s">
        <v>2904</v>
      </c>
      <c r="B282" s="36" t="str">
        <f t="shared" si="16"/>
        <v>CT_ANSONIA TOWN, CT EXCEPTION AREA</v>
      </c>
      <c r="D282" s="265" t="s">
        <v>55</v>
      </c>
      <c r="E282" s="266" t="s">
        <v>9130</v>
      </c>
      <c r="F282" s="252">
        <f t="shared" si="17"/>
        <v>69350</v>
      </c>
      <c r="G282" s="252">
        <f t="shared" si="17"/>
        <v>79250</v>
      </c>
      <c r="H282" s="252">
        <f t="shared" si="17"/>
        <v>89150</v>
      </c>
      <c r="I282" s="252">
        <f t="shared" si="17"/>
        <v>99050</v>
      </c>
      <c r="J282" s="252">
        <f t="shared" si="17"/>
        <v>107000</v>
      </c>
      <c r="K282" s="252">
        <f t="shared" si="17"/>
        <v>114900</v>
      </c>
      <c r="L282" s="252">
        <f t="shared" si="17"/>
        <v>122850</v>
      </c>
      <c r="M282" s="252">
        <f t="shared" si="17"/>
        <v>130750</v>
      </c>
    </row>
    <row r="283" spans="1:13" ht="21.95" customHeight="1" x14ac:dyDescent="0.25">
      <c r="A283" s="36" t="s">
        <v>2904</v>
      </c>
      <c r="B283" s="36" t="str">
        <f t="shared" si="16"/>
        <v>CT_BEACON FALLS TOWN, CT EXCEPTION AREA</v>
      </c>
      <c r="D283" s="265" t="s">
        <v>55</v>
      </c>
      <c r="E283" s="266" t="s">
        <v>9136</v>
      </c>
      <c r="F283" s="252">
        <f t="shared" si="17"/>
        <v>69350</v>
      </c>
      <c r="G283" s="252">
        <f t="shared" si="17"/>
        <v>79250</v>
      </c>
      <c r="H283" s="252">
        <f t="shared" si="17"/>
        <v>89150</v>
      </c>
      <c r="I283" s="252">
        <f t="shared" si="17"/>
        <v>99050</v>
      </c>
      <c r="J283" s="252">
        <f t="shared" si="17"/>
        <v>107000</v>
      </c>
      <c r="K283" s="252">
        <f t="shared" si="17"/>
        <v>114900</v>
      </c>
      <c r="L283" s="252">
        <f t="shared" si="17"/>
        <v>122850</v>
      </c>
      <c r="M283" s="252">
        <f t="shared" si="17"/>
        <v>130750</v>
      </c>
    </row>
    <row r="284" spans="1:13" ht="21.95" customHeight="1" x14ac:dyDescent="0.25">
      <c r="A284" s="36" t="s">
        <v>2904</v>
      </c>
      <c r="B284" s="36" t="str">
        <f t="shared" si="16"/>
        <v>CT_BRIDGEPORT-STAMFORD-DANBURY, CT MSA</v>
      </c>
      <c r="D284" s="265" t="s">
        <v>55</v>
      </c>
      <c r="E284" s="266" t="s">
        <v>9110</v>
      </c>
      <c r="F284" s="252">
        <f t="shared" si="17"/>
        <v>75500</v>
      </c>
      <c r="G284" s="252">
        <f t="shared" si="17"/>
        <v>86300</v>
      </c>
      <c r="H284" s="252">
        <f t="shared" si="17"/>
        <v>97100</v>
      </c>
      <c r="I284" s="252">
        <f t="shared" si="17"/>
        <v>107850</v>
      </c>
      <c r="J284" s="252">
        <f t="shared" si="17"/>
        <v>116500</v>
      </c>
      <c r="K284" s="252">
        <f t="shared" si="17"/>
        <v>125150</v>
      </c>
      <c r="L284" s="252">
        <f t="shared" si="17"/>
        <v>133750</v>
      </c>
      <c r="M284" s="252">
        <f t="shared" si="17"/>
        <v>142400</v>
      </c>
    </row>
    <row r="285" spans="1:13" ht="21.95" customHeight="1" x14ac:dyDescent="0.25">
      <c r="A285" s="36" t="s">
        <v>2904</v>
      </c>
      <c r="B285" s="36" t="str">
        <f t="shared" si="16"/>
        <v>CT_BRIDGEPORT TOWN, CT EXCEPTION AREA</v>
      </c>
      <c r="D285" s="265" t="s">
        <v>55</v>
      </c>
      <c r="E285" s="266" t="s">
        <v>9104</v>
      </c>
      <c r="F285" s="252">
        <f t="shared" si="17"/>
        <v>71650</v>
      </c>
      <c r="G285" s="252">
        <f t="shared" si="17"/>
        <v>81850</v>
      </c>
      <c r="H285" s="252">
        <f t="shared" si="17"/>
        <v>92100</v>
      </c>
      <c r="I285" s="252">
        <f t="shared" si="17"/>
        <v>102300</v>
      </c>
      <c r="J285" s="252">
        <f t="shared" si="17"/>
        <v>110500</v>
      </c>
      <c r="K285" s="252">
        <f t="shared" si="17"/>
        <v>118700</v>
      </c>
      <c r="L285" s="252">
        <f t="shared" si="17"/>
        <v>126900</v>
      </c>
      <c r="M285" s="252">
        <f t="shared" si="17"/>
        <v>135050</v>
      </c>
    </row>
    <row r="286" spans="1:13" ht="21.95" customHeight="1" x14ac:dyDescent="0.25">
      <c r="A286" s="36" t="s">
        <v>2904</v>
      </c>
      <c r="B286" s="36" t="str">
        <f t="shared" si="16"/>
        <v>CT_BRIDGEWATER TOWN, CT EXCEPTION AREA</v>
      </c>
      <c r="D286" s="265" t="s">
        <v>55</v>
      </c>
      <c r="E286" s="266" t="s">
        <v>9122</v>
      </c>
      <c r="F286" s="252">
        <f t="shared" si="17"/>
        <v>69850</v>
      </c>
      <c r="G286" s="252">
        <f t="shared" si="17"/>
        <v>79800</v>
      </c>
      <c r="H286" s="252">
        <f t="shared" si="17"/>
        <v>89800</v>
      </c>
      <c r="I286" s="252">
        <f t="shared" si="17"/>
        <v>99750</v>
      </c>
      <c r="J286" s="252">
        <f t="shared" si="17"/>
        <v>107750</v>
      </c>
      <c r="K286" s="252">
        <f t="shared" si="17"/>
        <v>115750</v>
      </c>
      <c r="L286" s="252">
        <f t="shared" si="17"/>
        <v>123700</v>
      </c>
      <c r="M286" s="252">
        <f t="shared" si="17"/>
        <v>131700</v>
      </c>
    </row>
    <row r="287" spans="1:13" ht="21.95" customHeight="1" x14ac:dyDescent="0.25">
      <c r="A287" s="36" t="s">
        <v>2904</v>
      </c>
      <c r="B287" s="36" t="str">
        <f t="shared" si="16"/>
        <v>CT_BRISTOL TOWN, CT EXCEPTION AREA</v>
      </c>
      <c r="D287" s="265" t="s">
        <v>55</v>
      </c>
      <c r="E287" s="266" t="s">
        <v>9119</v>
      </c>
      <c r="F287" s="252">
        <f t="shared" si="17"/>
        <v>64900</v>
      </c>
      <c r="G287" s="252">
        <f t="shared" si="17"/>
        <v>74150</v>
      </c>
      <c r="H287" s="252">
        <f t="shared" si="17"/>
        <v>83400</v>
      </c>
      <c r="I287" s="252">
        <f t="shared" si="17"/>
        <v>92650</v>
      </c>
      <c r="J287" s="252">
        <f t="shared" si="17"/>
        <v>100100</v>
      </c>
      <c r="K287" s="252">
        <f t="shared" si="17"/>
        <v>107500</v>
      </c>
      <c r="L287" s="252">
        <f t="shared" si="17"/>
        <v>114900</v>
      </c>
      <c r="M287" s="252">
        <f t="shared" si="17"/>
        <v>122300</v>
      </c>
    </row>
    <row r="288" spans="1:13" ht="21.95" customHeight="1" x14ac:dyDescent="0.25">
      <c r="A288" s="36" t="s">
        <v>2904</v>
      </c>
      <c r="B288" s="36" t="str">
        <f t="shared" si="16"/>
        <v>CT_CLINTON TOWN, CT EXCEPTION AREA</v>
      </c>
      <c r="D288" s="265" t="s">
        <v>55</v>
      </c>
      <c r="E288" s="266" t="s">
        <v>9125</v>
      </c>
      <c r="F288" s="252">
        <f t="shared" si="17"/>
        <v>72950</v>
      </c>
      <c r="G288" s="252">
        <f t="shared" si="17"/>
        <v>83400</v>
      </c>
      <c r="H288" s="252">
        <f t="shared" si="17"/>
        <v>93800</v>
      </c>
      <c r="I288" s="252">
        <f t="shared" si="17"/>
        <v>104200</v>
      </c>
      <c r="J288" s="252">
        <f t="shared" si="17"/>
        <v>112550</v>
      </c>
      <c r="K288" s="252">
        <f t="shared" si="17"/>
        <v>120900</v>
      </c>
      <c r="L288" s="252">
        <f t="shared" si="17"/>
        <v>129250</v>
      </c>
      <c r="M288" s="252">
        <f t="shared" si="17"/>
        <v>137550</v>
      </c>
    </row>
    <row r="289" spans="1:13" ht="21.95" customHeight="1" x14ac:dyDescent="0.25">
      <c r="A289" s="36" t="s">
        <v>2904</v>
      </c>
      <c r="B289" s="36" t="str">
        <f t="shared" si="16"/>
        <v>CT_COLCHESTER TOWN, CT EXCEPTION AREA</v>
      </c>
      <c r="D289" s="265" t="s">
        <v>55</v>
      </c>
      <c r="E289" s="266" t="s">
        <v>9137</v>
      </c>
      <c r="F289" s="252">
        <f t="shared" si="17"/>
        <v>72950</v>
      </c>
      <c r="G289" s="252">
        <f t="shared" si="17"/>
        <v>83400</v>
      </c>
      <c r="H289" s="252">
        <f t="shared" si="17"/>
        <v>93800</v>
      </c>
      <c r="I289" s="252">
        <f t="shared" si="17"/>
        <v>104200</v>
      </c>
      <c r="J289" s="252">
        <f t="shared" si="17"/>
        <v>112550</v>
      </c>
      <c r="K289" s="252">
        <f t="shared" si="17"/>
        <v>120900</v>
      </c>
      <c r="L289" s="252">
        <f t="shared" si="17"/>
        <v>129250</v>
      </c>
      <c r="M289" s="252">
        <f t="shared" si="17"/>
        <v>137550</v>
      </c>
    </row>
    <row r="290" spans="1:13" ht="21.95" customHeight="1" x14ac:dyDescent="0.25">
      <c r="A290" s="36" t="s">
        <v>2904</v>
      </c>
      <c r="B290" s="36" t="str">
        <f t="shared" si="16"/>
        <v>CT_DARIEN TOWN, CT EXCEPTION AREA</v>
      </c>
      <c r="D290" s="265" t="s">
        <v>55</v>
      </c>
      <c r="E290" s="266" t="s">
        <v>9116</v>
      </c>
      <c r="F290" s="252">
        <f t="shared" si="17"/>
        <v>79150</v>
      </c>
      <c r="G290" s="252">
        <f t="shared" si="17"/>
        <v>90450</v>
      </c>
      <c r="H290" s="252">
        <f t="shared" si="17"/>
        <v>101750</v>
      </c>
      <c r="I290" s="252">
        <f t="shared" si="17"/>
        <v>113050</v>
      </c>
      <c r="J290" s="252">
        <f t="shared" si="17"/>
        <v>122100</v>
      </c>
      <c r="K290" s="252">
        <f t="shared" si="17"/>
        <v>131150</v>
      </c>
      <c r="L290" s="252">
        <f t="shared" si="17"/>
        <v>140200</v>
      </c>
      <c r="M290" s="252">
        <f t="shared" si="17"/>
        <v>149250</v>
      </c>
    </row>
    <row r="291" spans="1:13" ht="21.95" customHeight="1" x14ac:dyDescent="0.25">
      <c r="A291" s="36" t="s">
        <v>2904</v>
      </c>
      <c r="B291" s="36" t="str">
        <f t="shared" si="16"/>
        <v>CT_DEEP RIVER TOWN, CT EXCEPTION AREA</v>
      </c>
      <c r="D291" s="265" t="s">
        <v>55</v>
      </c>
      <c r="E291" s="266" t="s">
        <v>9126</v>
      </c>
      <c r="F291" s="252">
        <f t="shared" si="17"/>
        <v>72950</v>
      </c>
      <c r="G291" s="252">
        <f t="shared" si="17"/>
        <v>83400</v>
      </c>
      <c r="H291" s="252">
        <f t="shared" si="17"/>
        <v>93800</v>
      </c>
      <c r="I291" s="252">
        <f t="shared" si="17"/>
        <v>104200</v>
      </c>
      <c r="J291" s="252">
        <f t="shared" si="17"/>
        <v>112550</v>
      </c>
      <c r="K291" s="252">
        <f t="shared" si="17"/>
        <v>120900</v>
      </c>
      <c r="L291" s="252">
        <f t="shared" si="17"/>
        <v>129250</v>
      </c>
      <c r="M291" s="252">
        <f t="shared" si="17"/>
        <v>137550</v>
      </c>
    </row>
    <row r="292" spans="1:13" ht="21.95" customHeight="1" x14ac:dyDescent="0.25">
      <c r="A292" s="36" t="s">
        <v>2904</v>
      </c>
      <c r="B292" s="36" t="str">
        <f t="shared" si="16"/>
        <v>CT_DERBY TOWN, CT EXCEPTION AREA</v>
      </c>
      <c r="D292" s="265" t="s">
        <v>55</v>
      </c>
      <c r="E292" s="266" t="s">
        <v>9134</v>
      </c>
      <c r="F292" s="252">
        <f t="shared" si="17"/>
        <v>69350</v>
      </c>
      <c r="G292" s="252">
        <f t="shared" si="17"/>
        <v>79250</v>
      </c>
      <c r="H292" s="252">
        <f t="shared" si="17"/>
        <v>89150</v>
      </c>
      <c r="I292" s="252">
        <f t="shared" si="17"/>
        <v>99050</v>
      </c>
      <c r="J292" s="252">
        <f t="shared" si="17"/>
        <v>107000</v>
      </c>
      <c r="K292" s="252">
        <f t="shared" si="17"/>
        <v>114900</v>
      </c>
      <c r="L292" s="252">
        <f t="shared" si="17"/>
        <v>122850</v>
      </c>
      <c r="M292" s="252">
        <f t="shared" si="17"/>
        <v>130750</v>
      </c>
    </row>
    <row r="293" spans="1:13" ht="21.95" customHeight="1" x14ac:dyDescent="0.25">
      <c r="A293" s="36" t="s">
        <v>2904</v>
      </c>
      <c r="B293" s="36" t="str">
        <f t="shared" si="16"/>
        <v>CT_EASTON TOWN, CT EXCEPTION AREA</v>
      </c>
      <c r="D293" s="265" t="s">
        <v>55</v>
      </c>
      <c r="E293" s="266" t="s">
        <v>9105</v>
      </c>
      <c r="F293" s="252">
        <f t="shared" si="17"/>
        <v>71650</v>
      </c>
      <c r="G293" s="252">
        <f t="shared" si="17"/>
        <v>81850</v>
      </c>
      <c r="H293" s="252">
        <f t="shared" si="17"/>
        <v>92100</v>
      </c>
      <c r="I293" s="252">
        <f t="shared" si="17"/>
        <v>102300</v>
      </c>
      <c r="J293" s="252">
        <f t="shared" si="17"/>
        <v>110500</v>
      </c>
      <c r="K293" s="252">
        <f t="shared" si="17"/>
        <v>118700</v>
      </c>
      <c r="L293" s="252">
        <f t="shared" si="17"/>
        <v>126900</v>
      </c>
      <c r="M293" s="252">
        <f t="shared" si="17"/>
        <v>135050</v>
      </c>
    </row>
    <row r="294" spans="1:13" ht="21.95" customHeight="1" x14ac:dyDescent="0.25">
      <c r="A294" s="36" t="s">
        <v>2904</v>
      </c>
      <c r="B294" s="36" t="str">
        <f t="shared" si="16"/>
        <v>CT_ESSEX TOWN, CT EXCEPTION AREA</v>
      </c>
      <c r="D294" s="265" t="s">
        <v>55</v>
      </c>
      <c r="E294" s="266" t="s">
        <v>9127</v>
      </c>
      <c r="F294" s="252">
        <f t="shared" si="17"/>
        <v>72950</v>
      </c>
      <c r="G294" s="252">
        <f t="shared" si="17"/>
        <v>83400</v>
      </c>
      <c r="H294" s="252">
        <f t="shared" si="17"/>
        <v>93800</v>
      </c>
      <c r="I294" s="252">
        <f t="shared" si="17"/>
        <v>104200</v>
      </c>
      <c r="J294" s="252">
        <f t="shared" si="17"/>
        <v>112550</v>
      </c>
      <c r="K294" s="252">
        <f t="shared" si="17"/>
        <v>120900</v>
      </c>
      <c r="L294" s="252">
        <f t="shared" si="17"/>
        <v>129250</v>
      </c>
      <c r="M294" s="252">
        <f t="shared" si="17"/>
        <v>137550</v>
      </c>
    </row>
    <row r="295" spans="1:13" ht="21.95" customHeight="1" x14ac:dyDescent="0.25">
      <c r="A295" s="36" t="s">
        <v>2904</v>
      </c>
      <c r="B295" s="36" t="str">
        <f t="shared" si="16"/>
        <v>CT_FAIRFIELD TOWN, CT EXCEPTION AREA</v>
      </c>
      <c r="D295" s="265" t="s">
        <v>55</v>
      </c>
      <c r="E295" s="266" t="s">
        <v>9106</v>
      </c>
      <c r="F295" s="252">
        <f t="shared" si="17"/>
        <v>71650</v>
      </c>
      <c r="G295" s="252">
        <f t="shared" si="17"/>
        <v>81850</v>
      </c>
      <c r="H295" s="252">
        <f t="shared" si="17"/>
        <v>92100</v>
      </c>
      <c r="I295" s="252">
        <f t="shared" si="17"/>
        <v>102300</v>
      </c>
      <c r="J295" s="252">
        <f t="shared" si="17"/>
        <v>110500</v>
      </c>
      <c r="K295" s="252">
        <f t="shared" si="17"/>
        <v>118700</v>
      </c>
      <c r="L295" s="252">
        <f t="shared" si="17"/>
        <v>126900</v>
      </c>
      <c r="M295" s="252">
        <f t="shared" si="17"/>
        <v>135050</v>
      </c>
    </row>
    <row r="296" spans="1:13" ht="21.95" customHeight="1" x14ac:dyDescent="0.25">
      <c r="A296" s="36" t="s">
        <v>2904</v>
      </c>
      <c r="B296" s="36" t="str">
        <f t="shared" si="16"/>
        <v>CT_GREENWICH TOWN, CT EXCEPTION AREA</v>
      </c>
      <c r="D296" s="265" t="s">
        <v>55</v>
      </c>
      <c r="E296" s="266" t="s">
        <v>9115</v>
      </c>
      <c r="F296" s="252">
        <f t="shared" si="17"/>
        <v>79150</v>
      </c>
      <c r="G296" s="252">
        <f t="shared" si="17"/>
        <v>90450</v>
      </c>
      <c r="H296" s="252">
        <f t="shared" si="17"/>
        <v>101750</v>
      </c>
      <c r="I296" s="252">
        <f t="shared" si="17"/>
        <v>113050</v>
      </c>
      <c r="J296" s="252">
        <f t="shared" si="17"/>
        <v>122100</v>
      </c>
      <c r="K296" s="252">
        <f t="shared" si="17"/>
        <v>131150</v>
      </c>
      <c r="L296" s="252">
        <f t="shared" si="17"/>
        <v>140200</v>
      </c>
      <c r="M296" s="252">
        <f t="shared" si="17"/>
        <v>149250</v>
      </c>
    </row>
    <row r="297" spans="1:13" ht="21.95" customHeight="1" x14ac:dyDescent="0.25">
      <c r="A297" s="36" t="s">
        <v>2904</v>
      </c>
      <c r="B297" s="36" t="str">
        <f t="shared" si="16"/>
        <v>CT_HARTFORD-WEST HARTFORD-EAST HARTFORD, CT MSA</v>
      </c>
      <c r="D297" s="265" t="s">
        <v>55</v>
      </c>
      <c r="E297" s="266" t="s">
        <v>9120</v>
      </c>
      <c r="F297" s="252">
        <f t="shared" si="17"/>
        <v>70950</v>
      </c>
      <c r="G297" s="252">
        <f t="shared" ref="F297:M328" si="18">VLOOKUP($B297,LOOKUP_AMI_TABLE,5+((G$7-1)),FALSE)</f>
        <v>81050</v>
      </c>
      <c r="H297" s="252">
        <f t="shared" si="18"/>
        <v>91200</v>
      </c>
      <c r="I297" s="252">
        <f t="shared" si="18"/>
        <v>101300</v>
      </c>
      <c r="J297" s="252">
        <f t="shared" si="18"/>
        <v>109450</v>
      </c>
      <c r="K297" s="252">
        <f t="shared" si="18"/>
        <v>117550</v>
      </c>
      <c r="L297" s="252">
        <f t="shared" si="18"/>
        <v>125650</v>
      </c>
      <c r="M297" s="252">
        <f t="shared" si="18"/>
        <v>133750</v>
      </c>
    </row>
    <row r="298" spans="1:13" ht="21.95" customHeight="1" x14ac:dyDescent="0.25">
      <c r="A298" s="36" t="s">
        <v>2904</v>
      </c>
      <c r="B298" s="36" t="str">
        <f t="shared" si="16"/>
        <v>CT_KILLINGWORTH TOWN, CT EXCEPTION AREA</v>
      </c>
      <c r="D298" s="265" t="s">
        <v>55</v>
      </c>
      <c r="E298" s="266" t="s">
        <v>9128</v>
      </c>
      <c r="F298" s="252">
        <f t="shared" si="18"/>
        <v>72950</v>
      </c>
      <c r="G298" s="252">
        <f t="shared" si="18"/>
        <v>83400</v>
      </c>
      <c r="H298" s="252">
        <f t="shared" si="18"/>
        <v>93800</v>
      </c>
      <c r="I298" s="252">
        <f t="shared" si="18"/>
        <v>104200</v>
      </c>
      <c r="J298" s="252">
        <f t="shared" si="18"/>
        <v>112550</v>
      </c>
      <c r="K298" s="252">
        <f t="shared" si="18"/>
        <v>120900</v>
      </c>
      <c r="L298" s="252">
        <f t="shared" si="18"/>
        <v>129250</v>
      </c>
      <c r="M298" s="252">
        <f t="shared" si="18"/>
        <v>137550</v>
      </c>
    </row>
    <row r="299" spans="1:13" ht="21.95" customHeight="1" x14ac:dyDescent="0.25">
      <c r="A299" s="36" t="s">
        <v>2904</v>
      </c>
      <c r="B299" s="36" t="str">
        <f t="shared" si="16"/>
        <v>CT_LEBANON TOWN, CT EXCEPTION AREA</v>
      </c>
      <c r="D299" s="265" t="s">
        <v>55</v>
      </c>
      <c r="E299" s="266" t="s">
        <v>9142</v>
      </c>
      <c r="F299" s="252">
        <f t="shared" si="18"/>
        <v>72950</v>
      </c>
      <c r="G299" s="252">
        <f t="shared" si="18"/>
        <v>83400</v>
      </c>
      <c r="H299" s="252">
        <f t="shared" si="18"/>
        <v>93800</v>
      </c>
      <c r="I299" s="252">
        <f t="shared" si="18"/>
        <v>104200</v>
      </c>
      <c r="J299" s="252">
        <f t="shared" si="18"/>
        <v>112550</v>
      </c>
      <c r="K299" s="252">
        <f t="shared" si="18"/>
        <v>120900</v>
      </c>
      <c r="L299" s="252">
        <f t="shared" si="18"/>
        <v>129250</v>
      </c>
      <c r="M299" s="252">
        <f t="shared" si="18"/>
        <v>137550</v>
      </c>
    </row>
    <row r="300" spans="1:13" ht="21.95" customHeight="1" x14ac:dyDescent="0.25">
      <c r="A300" s="36" t="s">
        <v>2904</v>
      </c>
      <c r="B300" s="36" t="str">
        <f t="shared" si="16"/>
        <v>CT_LYME TOWN, CT EXCEPTION AREA</v>
      </c>
      <c r="D300" s="265" t="s">
        <v>55</v>
      </c>
      <c r="E300" s="266" t="s">
        <v>9138</v>
      </c>
      <c r="F300" s="252">
        <f t="shared" si="18"/>
        <v>69850</v>
      </c>
      <c r="G300" s="252">
        <f t="shared" si="18"/>
        <v>79800</v>
      </c>
      <c r="H300" s="252">
        <f t="shared" si="18"/>
        <v>89800</v>
      </c>
      <c r="I300" s="252">
        <f t="shared" si="18"/>
        <v>99750</v>
      </c>
      <c r="J300" s="252">
        <f t="shared" si="18"/>
        <v>107750</v>
      </c>
      <c r="K300" s="252">
        <f t="shared" si="18"/>
        <v>115750</v>
      </c>
      <c r="L300" s="252">
        <f t="shared" si="18"/>
        <v>123700</v>
      </c>
      <c r="M300" s="252">
        <f t="shared" si="18"/>
        <v>131700</v>
      </c>
    </row>
    <row r="301" spans="1:13" ht="21.95" customHeight="1" x14ac:dyDescent="0.25">
      <c r="A301" s="36" t="s">
        <v>2904</v>
      </c>
      <c r="B301" s="36" t="str">
        <f t="shared" si="16"/>
        <v>CT_MILFORD TOWN, CT EXCEPTION AREA</v>
      </c>
      <c r="D301" s="265" t="s">
        <v>55</v>
      </c>
      <c r="E301" s="266" t="s">
        <v>9135</v>
      </c>
      <c r="F301" s="252">
        <f t="shared" si="18"/>
        <v>69350</v>
      </c>
      <c r="G301" s="252">
        <f t="shared" si="18"/>
        <v>79250</v>
      </c>
      <c r="H301" s="252">
        <f t="shared" si="18"/>
        <v>89150</v>
      </c>
      <c r="I301" s="252">
        <f t="shared" si="18"/>
        <v>99050</v>
      </c>
      <c r="J301" s="252">
        <f t="shared" si="18"/>
        <v>107000</v>
      </c>
      <c r="K301" s="252">
        <f t="shared" si="18"/>
        <v>114900</v>
      </c>
      <c r="L301" s="252">
        <f t="shared" si="18"/>
        <v>122850</v>
      </c>
      <c r="M301" s="252">
        <f t="shared" si="18"/>
        <v>130750</v>
      </c>
    </row>
    <row r="302" spans="1:13" ht="21.95" customHeight="1" x14ac:dyDescent="0.25">
      <c r="A302" s="36" t="s">
        <v>2904</v>
      </c>
      <c r="B302" s="36" t="str">
        <f t="shared" si="16"/>
        <v>CT_MONROE TOWN, CT EXCEPTION AREA</v>
      </c>
      <c r="D302" s="265" t="s">
        <v>55</v>
      </c>
      <c r="E302" s="266" t="s">
        <v>9107</v>
      </c>
      <c r="F302" s="252">
        <f t="shared" si="18"/>
        <v>71650</v>
      </c>
      <c r="G302" s="252">
        <f t="shared" si="18"/>
        <v>81850</v>
      </c>
      <c r="H302" s="252">
        <f t="shared" si="18"/>
        <v>92100</v>
      </c>
      <c r="I302" s="252">
        <f t="shared" si="18"/>
        <v>102300</v>
      </c>
      <c r="J302" s="252">
        <f t="shared" si="18"/>
        <v>110500</v>
      </c>
      <c r="K302" s="252">
        <f t="shared" si="18"/>
        <v>118700</v>
      </c>
      <c r="L302" s="252">
        <f t="shared" si="18"/>
        <v>126900</v>
      </c>
      <c r="M302" s="252">
        <f t="shared" si="18"/>
        <v>135050</v>
      </c>
    </row>
    <row r="303" spans="1:13" ht="21.95" customHeight="1" x14ac:dyDescent="0.25">
      <c r="A303" s="36" t="s">
        <v>2904</v>
      </c>
      <c r="B303" s="36" t="str">
        <f t="shared" si="16"/>
        <v>CT_NEW CANAAN TOWN, CT EXCEPTION AREA</v>
      </c>
      <c r="D303" s="265" t="s">
        <v>55</v>
      </c>
      <c r="E303" s="266" t="s">
        <v>9112</v>
      </c>
      <c r="F303" s="252">
        <f t="shared" si="18"/>
        <v>79150</v>
      </c>
      <c r="G303" s="252">
        <f t="shared" si="18"/>
        <v>90450</v>
      </c>
      <c r="H303" s="252">
        <f t="shared" si="18"/>
        <v>101750</v>
      </c>
      <c r="I303" s="252">
        <f t="shared" si="18"/>
        <v>113050</v>
      </c>
      <c r="J303" s="252">
        <f t="shared" si="18"/>
        <v>122100</v>
      </c>
      <c r="K303" s="252">
        <f t="shared" si="18"/>
        <v>131150</v>
      </c>
      <c r="L303" s="252">
        <f t="shared" si="18"/>
        <v>140200</v>
      </c>
      <c r="M303" s="252">
        <f t="shared" si="18"/>
        <v>149250</v>
      </c>
    </row>
    <row r="304" spans="1:13" ht="21.95" customHeight="1" x14ac:dyDescent="0.25">
      <c r="A304" s="36" t="s">
        <v>2904</v>
      </c>
      <c r="B304" s="36" t="str">
        <f t="shared" si="16"/>
        <v>CT_NEW HAVEN, CT MSA</v>
      </c>
      <c r="D304" s="265" t="s">
        <v>55</v>
      </c>
      <c r="E304" s="266" t="s">
        <v>9133</v>
      </c>
      <c r="F304" s="252">
        <f t="shared" si="18"/>
        <v>63700</v>
      </c>
      <c r="G304" s="252">
        <f t="shared" si="18"/>
        <v>72800</v>
      </c>
      <c r="H304" s="252">
        <f t="shared" si="18"/>
        <v>81900</v>
      </c>
      <c r="I304" s="252">
        <f t="shared" si="18"/>
        <v>90950</v>
      </c>
      <c r="J304" s="252">
        <f t="shared" si="18"/>
        <v>98250</v>
      </c>
      <c r="K304" s="252">
        <f t="shared" si="18"/>
        <v>105550</v>
      </c>
      <c r="L304" s="252">
        <f t="shared" si="18"/>
        <v>112800</v>
      </c>
      <c r="M304" s="252">
        <f t="shared" si="18"/>
        <v>120100</v>
      </c>
    </row>
    <row r="305" spans="1:13" ht="21.95" customHeight="1" x14ac:dyDescent="0.25">
      <c r="A305" s="36" t="s">
        <v>2904</v>
      </c>
      <c r="B305" s="36" t="str">
        <f t="shared" si="16"/>
        <v>CT_NEW MILFORD TOWN, CT EXCEPTION AREA</v>
      </c>
      <c r="D305" s="265" t="s">
        <v>55</v>
      </c>
      <c r="E305" s="266" t="s">
        <v>9123</v>
      </c>
      <c r="F305" s="252">
        <f t="shared" si="18"/>
        <v>69850</v>
      </c>
      <c r="G305" s="252">
        <f t="shared" si="18"/>
        <v>79800</v>
      </c>
      <c r="H305" s="252">
        <f t="shared" si="18"/>
        <v>89800</v>
      </c>
      <c r="I305" s="252">
        <f t="shared" si="18"/>
        <v>99750</v>
      </c>
      <c r="J305" s="252">
        <f t="shared" si="18"/>
        <v>107750</v>
      </c>
      <c r="K305" s="252">
        <f t="shared" si="18"/>
        <v>115750</v>
      </c>
      <c r="L305" s="252">
        <f t="shared" si="18"/>
        <v>123700</v>
      </c>
      <c r="M305" s="252">
        <f t="shared" si="18"/>
        <v>131700</v>
      </c>
    </row>
    <row r="306" spans="1:13" ht="21.95" customHeight="1" x14ac:dyDescent="0.25">
      <c r="A306" s="36" t="s">
        <v>2904</v>
      </c>
      <c r="B306" s="36" t="str">
        <f t="shared" si="16"/>
        <v>CT_NORTHEASTERN CONNECTICUT PLANNING REGION, CT</v>
      </c>
      <c r="D306" s="265" t="s">
        <v>55</v>
      </c>
      <c r="E306" s="266" t="s">
        <v>9140</v>
      </c>
      <c r="F306" s="252">
        <f t="shared" si="18"/>
        <v>63700</v>
      </c>
      <c r="G306" s="252">
        <f t="shared" si="18"/>
        <v>72800</v>
      </c>
      <c r="H306" s="252">
        <f t="shared" si="18"/>
        <v>81900</v>
      </c>
      <c r="I306" s="252">
        <f t="shared" si="18"/>
        <v>90950</v>
      </c>
      <c r="J306" s="252">
        <f t="shared" si="18"/>
        <v>98250</v>
      </c>
      <c r="K306" s="252">
        <f t="shared" si="18"/>
        <v>105550</v>
      </c>
      <c r="L306" s="252">
        <f t="shared" si="18"/>
        <v>112800</v>
      </c>
      <c r="M306" s="252">
        <f t="shared" si="18"/>
        <v>120100</v>
      </c>
    </row>
    <row r="307" spans="1:13" ht="21.95" customHeight="1" x14ac:dyDescent="0.25">
      <c r="A307" s="36" t="s">
        <v>2904</v>
      </c>
      <c r="B307" s="36" t="str">
        <f t="shared" si="16"/>
        <v>CT_NORTHWEST HILLS PLANNING REGION, CT</v>
      </c>
      <c r="D307" s="265" t="s">
        <v>55</v>
      </c>
      <c r="E307" s="266" t="s">
        <v>9121</v>
      </c>
      <c r="F307" s="252">
        <f t="shared" si="18"/>
        <v>65200</v>
      </c>
      <c r="G307" s="252">
        <f t="shared" si="18"/>
        <v>74500</v>
      </c>
      <c r="H307" s="252">
        <f t="shared" si="18"/>
        <v>83800</v>
      </c>
      <c r="I307" s="252">
        <f t="shared" si="18"/>
        <v>93100</v>
      </c>
      <c r="J307" s="252">
        <f t="shared" si="18"/>
        <v>100550</v>
      </c>
      <c r="K307" s="252">
        <f t="shared" si="18"/>
        <v>108000</v>
      </c>
      <c r="L307" s="252">
        <f t="shared" si="18"/>
        <v>115450</v>
      </c>
      <c r="M307" s="252">
        <f t="shared" si="18"/>
        <v>122900</v>
      </c>
    </row>
    <row r="308" spans="1:13" ht="21.95" customHeight="1" x14ac:dyDescent="0.25">
      <c r="A308" s="36" t="s">
        <v>2904</v>
      </c>
      <c r="B308" s="36" t="str">
        <f t="shared" si="16"/>
        <v>CT_NORWALK TOWN, CT EXCEPTION AREA</v>
      </c>
      <c r="D308" s="265" t="s">
        <v>55</v>
      </c>
      <c r="E308" s="266" t="s">
        <v>9118</v>
      </c>
      <c r="F308" s="252">
        <f t="shared" si="18"/>
        <v>79150</v>
      </c>
      <c r="G308" s="252">
        <f t="shared" si="18"/>
        <v>90450</v>
      </c>
      <c r="H308" s="252">
        <f t="shared" si="18"/>
        <v>101750</v>
      </c>
      <c r="I308" s="252">
        <f t="shared" si="18"/>
        <v>113050</v>
      </c>
      <c r="J308" s="252">
        <f t="shared" si="18"/>
        <v>122100</v>
      </c>
      <c r="K308" s="252">
        <f t="shared" si="18"/>
        <v>131150</v>
      </c>
      <c r="L308" s="252">
        <f t="shared" si="18"/>
        <v>140200</v>
      </c>
      <c r="M308" s="252">
        <f t="shared" si="18"/>
        <v>149250</v>
      </c>
    </row>
    <row r="309" spans="1:13" ht="21.95" customHeight="1" x14ac:dyDescent="0.25">
      <c r="A309" s="36" t="s">
        <v>2904</v>
      </c>
      <c r="B309" s="36" t="str">
        <f t="shared" si="16"/>
        <v>CT_NORWICH-NEW LONDON-WILLIMANTIC, CT MSA</v>
      </c>
      <c r="D309" s="265" t="s">
        <v>55</v>
      </c>
      <c r="E309" s="266" t="s">
        <v>9141</v>
      </c>
      <c r="F309" s="252">
        <f t="shared" si="18"/>
        <v>63700</v>
      </c>
      <c r="G309" s="252">
        <f t="shared" si="18"/>
        <v>72800</v>
      </c>
      <c r="H309" s="252">
        <f t="shared" si="18"/>
        <v>81900</v>
      </c>
      <c r="I309" s="252">
        <f t="shared" si="18"/>
        <v>90950</v>
      </c>
      <c r="J309" s="252">
        <f t="shared" si="18"/>
        <v>98250</v>
      </c>
      <c r="K309" s="252">
        <f t="shared" si="18"/>
        <v>105550</v>
      </c>
      <c r="L309" s="252">
        <f t="shared" si="18"/>
        <v>112800</v>
      </c>
      <c r="M309" s="252">
        <f t="shared" si="18"/>
        <v>120100</v>
      </c>
    </row>
    <row r="310" spans="1:13" ht="21.95" customHeight="1" x14ac:dyDescent="0.25">
      <c r="A310" s="36" t="s">
        <v>2904</v>
      </c>
      <c r="B310" s="36" t="str">
        <f t="shared" si="16"/>
        <v>CT_OLD LYME TOWN, CT EXCEPTION AREA</v>
      </c>
      <c r="D310" s="265" t="s">
        <v>55</v>
      </c>
      <c r="E310" s="266" t="s">
        <v>9139</v>
      </c>
      <c r="F310" s="252">
        <f t="shared" si="18"/>
        <v>69850</v>
      </c>
      <c r="G310" s="252">
        <f t="shared" si="18"/>
        <v>79800</v>
      </c>
      <c r="H310" s="252">
        <f t="shared" si="18"/>
        <v>89800</v>
      </c>
      <c r="I310" s="252">
        <f t="shared" si="18"/>
        <v>99750</v>
      </c>
      <c r="J310" s="252">
        <f t="shared" si="18"/>
        <v>107750</v>
      </c>
      <c r="K310" s="252">
        <f t="shared" si="18"/>
        <v>115750</v>
      </c>
      <c r="L310" s="252">
        <f t="shared" si="18"/>
        <v>123700</v>
      </c>
      <c r="M310" s="252">
        <f t="shared" si="18"/>
        <v>131700</v>
      </c>
    </row>
    <row r="311" spans="1:13" ht="21.95" customHeight="1" x14ac:dyDescent="0.25">
      <c r="A311" s="36" t="s">
        <v>2904</v>
      </c>
      <c r="B311" s="36" t="str">
        <f t="shared" si="16"/>
        <v>CT_OLD SAYBROOK TOWN, CT EXCEPTION AREA</v>
      </c>
      <c r="D311" s="265" t="s">
        <v>55</v>
      </c>
      <c r="E311" s="266" t="s">
        <v>9129</v>
      </c>
      <c r="F311" s="252">
        <f t="shared" si="18"/>
        <v>72950</v>
      </c>
      <c r="G311" s="252">
        <f t="shared" si="18"/>
        <v>83400</v>
      </c>
      <c r="H311" s="252">
        <f t="shared" si="18"/>
        <v>93800</v>
      </c>
      <c r="I311" s="252">
        <f t="shared" si="18"/>
        <v>104200</v>
      </c>
      <c r="J311" s="252">
        <f t="shared" si="18"/>
        <v>112550</v>
      </c>
      <c r="K311" s="252">
        <f t="shared" si="18"/>
        <v>120900</v>
      </c>
      <c r="L311" s="252">
        <f t="shared" si="18"/>
        <v>129250</v>
      </c>
      <c r="M311" s="252">
        <f t="shared" si="18"/>
        <v>137550</v>
      </c>
    </row>
    <row r="312" spans="1:13" ht="21.95" customHeight="1" x14ac:dyDescent="0.25">
      <c r="A312" s="36" t="s">
        <v>2904</v>
      </c>
      <c r="B312" s="36" t="str">
        <f t="shared" si="16"/>
        <v>CT_OXFORD TOWN, CT EXCEPTION AREA</v>
      </c>
      <c r="D312" s="265" t="s">
        <v>55</v>
      </c>
      <c r="E312" s="266" t="s">
        <v>9132</v>
      </c>
      <c r="F312" s="252">
        <f t="shared" si="18"/>
        <v>69350</v>
      </c>
      <c r="G312" s="252">
        <f t="shared" si="18"/>
        <v>79250</v>
      </c>
      <c r="H312" s="252">
        <f t="shared" si="18"/>
        <v>89150</v>
      </c>
      <c r="I312" s="252">
        <f t="shared" si="18"/>
        <v>99050</v>
      </c>
      <c r="J312" s="252">
        <f t="shared" si="18"/>
        <v>107000</v>
      </c>
      <c r="K312" s="252">
        <f t="shared" si="18"/>
        <v>114900</v>
      </c>
      <c r="L312" s="252">
        <f t="shared" si="18"/>
        <v>122850</v>
      </c>
      <c r="M312" s="252">
        <f t="shared" si="18"/>
        <v>130750</v>
      </c>
    </row>
    <row r="313" spans="1:13" ht="21.95" customHeight="1" x14ac:dyDescent="0.25">
      <c r="A313" s="36" t="s">
        <v>2904</v>
      </c>
      <c r="B313" s="36" t="str">
        <f t="shared" si="16"/>
        <v>CT_SEYMOUR TOWN, CT EXCEPTION AREA</v>
      </c>
      <c r="D313" s="265" t="s">
        <v>55</v>
      </c>
      <c r="E313" s="266" t="s">
        <v>9131</v>
      </c>
      <c r="F313" s="252">
        <f t="shared" si="18"/>
        <v>69350</v>
      </c>
      <c r="G313" s="252">
        <f t="shared" si="18"/>
        <v>79250</v>
      </c>
      <c r="H313" s="252">
        <f t="shared" si="18"/>
        <v>89150</v>
      </c>
      <c r="I313" s="252">
        <f t="shared" si="18"/>
        <v>99050</v>
      </c>
      <c r="J313" s="252">
        <f t="shared" si="18"/>
        <v>107000</v>
      </c>
      <c r="K313" s="252">
        <f t="shared" si="18"/>
        <v>114900</v>
      </c>
      <c r="L313" s="252">
        <f t="shared" si="18"/>
        <v>122850</v>
      </c>
      <c r="M313" s="252">
        <f t="shared" si="18"/>
        <v>130750</v>
      </c>
    </row>
    <row r="314" spans="1:13" ht="21.95" customHeight="1" x14ac:dyDescent="0.25">
      <c r="A314" s="36" t="s">
        <v>2904</v>
      </c>
      <c r="B314" s="36" t="str">
        <f t="shared" si="16"/>
        <v>CT_STAMFORD TOWN, CT EXCEPTION AREA</v>
      </c>
      <c r="D314" s="265" t="s">
        <v>55</v>
      </c>
      <c r="E314" s="266" t="s">
        <v>9117</v>
      </c>
      <c r="F314" s="252">
        <f t="shared" si="18"/>
        <v>79150</v>
      </c>
      <c r="G314" s="252">
        <f t="shared" si="18"/>
        <v>90450</v>
      </c>
      <c r="H314" s="252">
        <f t="shared" si="18"/>
        <v>101750</v>
      </c>
      <c r="I314" s="252">
        <f t="shared" si="18"/>
        <v>113050</v>
      </c>
      <c r="J314" s="252">
        <f t="shared" si="18"/>
        <v>122100</v>
      </c>
      <c r="K314" s="252">
        <f t="shared" si="18"/>
        <v>131150</v>
      </c>
      <c r="L314" s="252">
        <f t="shared" si="18"/>
        <v>140200</v>
      </c>
      <c r="M314" s="252">
        <f t="shared" si="18"/>
        <v>149250</v>
      </c>
    </row>
    <row r="315" spans="1:13" ht="21.95" customHeight="1" x14ac:dyDescent="0.25">
      <c r="A315" s="36" t="s">
        <v>2904</v>
      </c>
      <c r="B315" s="36" t="str">
        <f t="shared" si="16"/>
        <v>CT_STRATFORD TOWN, CT EXCEPTION AREA</v>
      </c>
      <c r="D315" s="265" t="s">
        <v>55</v>
      </c>
      <c r="E315" s="266" t="s">
        <v>9108</v>
      </c>
      <c r="F315" s="252">
        <f t="shared" si="18"/>
        <v>71650</v>
      </c>
      <c r="G315" s="252">
        <f t="shared" si="18"/>
        <v>81850</v>
      </c>
      <c r="H315" s="252">
        <f t="shared" si="18"/>
        <v>92100</v>
      </c>
      <c r="I315" s="252">
        <f t="shared" si="18"/>
        <v>102300</v>
      </c>
      <c r="J315" s="252">
        <f t="shared" si="18"/>
        <v>110500</v>
      </c>
      <c r="K315" s="252">
        <f t="shared" si="18"/>
        <v>118700</v>
      </c>
      <c r="L315" s="252">
        <f t="shared" si="18"/>
        <v>126900</v>
      </c>
      <c r="M315" s="252">
        <f t="shared" si="18"/>
        <v>135050</v>
      </c>
    </row>
    <row r="316" spans="1:13" ht="21.95" customHeight="1" x14ac:dyDescent="0.25">
      <c r="A316" s="36" t="s">
        <v>2904</v>
      </c>
      <c r="B316" s="36" t="str">
        <f t="shared" ref="B316:B379" si="19">UPPER(TRIM(D316)&amp;"_"&amp;TRIM(E316))</f>
        <v>CT_TRUMBULL TOWN, CT EXCEPTION AREA</v>
      </c>
      <c r="D316" s="265" t="s">
        <v>55</v>
      </c>
      <c r="E316" s="266" t="s">
        <v>9109</v>
      </c>
      <c r="F316" s="252">
        <f t="shared" si="18"/>
        <v>71650</v>
      </c>
      <c r="G316" s="252">
        <f t="shared" si="18"/>
        <v>81850</v>
      </c>
      <c r="H316" s="252">
        <f t="shared" si="18"/>
        <v>92100</v>
      </c>
      <c r="I316" s="252">
        <f t="shared" si="18"/>
        <v>102300</v>
      </c>
      <c r="J316" s="252">
        <f t="shared" si="18"/>
        <v>110500</v>
      </c>
      <c r="K316" s="252">
        <f t="shared" si="18"/>
        <v>118700</v>
      </c>
      <c r="L316" s="252">
        <f t="shared" si="18"/>
        <v>126900</v>
      </c>
      <c r="M316" s="252">
        <f t="shared" si="18"/>
        <v>135050</v>
      </c>
    </row>
    <row r="317" spans="1:13" ht="21.95" customHeight="1" x14ac:dyDescent="0.25">
      <c r="A317" s="36" t="s">
        <v>2904</v>
      </c>
      <c r="B317" s="36" t="str">
        <f t="shared" si="19"/>
        <v>CT_UNION TOWN, CT EXCEPTION AREA</v>
      </c>
      <c r="D317" s="265" t="s">
        <v>55</v>
      </c>
      <c r="E317" s="266" t="s">
        <v>9143</v>
      </c>
      <c r="F317" s="252">
        <f t="shared" si="18"/>
        <v>64900</v>
      </c>
      <c r="G317" s="252">
        <f t="shared" si="18"/>
        <v>74150</v>
      </c>
      <c r="H317" s="252">
        <f t="shared" si="18"/>
        <v>83400</v>
      </c>
      <c r="I317" s="252">
        <f t="shared" si="18"/>
        <v>92650</v>
      </c>
      <c r="J317" s="252">
        <f t="shared" si="18"/>
        <v>100100</v>
      </c>
      <c r="K317" s="252">
        <f t="shared" si="18"/>
        <v>107500</v>
      </c>
      <c r="L317" s="252">
        <f t="shared" si="18"/>
        <v>114900</v>
      </c>
      <c r="M317" s="252">
        <f t="shared" si="18"/>
        <v>122300</v>
      </c>
    </row>
    <row r="318" spans="1:13" ht="21.95" customHeight="1" x14ac:dyDescent="0.25">
      <c r="A318" s="36" t="s">
        <v>2904</v>
      </c>
      <c r="B318" s="36" t="str">
        <f t="shared" si="19"/>
        <v>CT_WATERBURY-SHELTON, CT MSA</v>
      </c>
      <c r="D318" s="265" t="s">
        <v>55</v>
      </c>
      <c r="E318" s="266" t="s">
        <v>9111</v>
      </c>
      <c r="F318" s="252">
        <f t="shared" si="18"/>
        <v>63700</v>
      </c>
      <c r="G318" s="252">
        <f t="shared" si="18"/>
        <v>72800</v>
      </c>
      <c r="H318" s="252">
        <f t="shared" si="18"/>
        <v>81900</v>
      </c>
      <c r="I318" s="252">
        <f t="shared" si="18"/>
        <v>90950</v>
      </c>
      <c r="J318" s="252">
        <f t="shared" si="18"/>
        <v>98250</v>
      </c>
      <c r="K318" s="252">
        <f t="shared" si="18"/>
        <v>105550</v>
      </c>
      <c r="L318" s="252">
        <f t="shared" si="18"/>
        <v>112800</v>
      </c>
      <c r="M318" s="252">
        <f t="shared" si="18"/>
        <v>120100</v>
      </c>
    </row>
    <row r="319" spans="1:13" ht="21.95" customHeight="1" x14ac:dyDescent="0.25">
      <c r="A319" s="36" t="s">
        <v>2904</v>
      </c>
      <c r="B319" s="36" t="str">
        <f t="shared" si="19"/>
        <v>CT_WESTBROOK TOWN, CT EXCEPTION AREA</v>
      </c>
      <c r="D319" s="265" t="s">
        <v>55</v>
      </c>
      <c r="E319" s="266" t="s">
        <v>9124</v>
      </c>
      <c r="F319" s="252">
        <f t="shared" si="18"/>
        <v>72950</v>
      </c>
      <c r="G319" s="252">
        <f t="shared" si="18"/>
        <v>83400</v>
      </c>
      <c r="H319" s="252">
        <f t="shared" si="18"/>
        <v>93800</v>
      </c>
      <c r="I319" s="252">
        <f t="shared" si="18"/>
        <v>104200</v>
      </c>
      <c r="J319" s="252">
        <f t="shared" si="18"/>
        <v>112550</v>
      </c>
      <c r="K319" s="252">
        <f t="shared" si="18"/>
        <v>120900</v>
      </c>
      <c r="L319" s="252">
        <f t="shared" si="18"/>
        <v>129250</v>
      </c>
      <c r="M319" s="252">
        <f t="shared" si="18"/>
        <v>137550</v>
      </c>
    </row>
    <row r="320" spans="1:13" ht="21.95" customHeight="1" x14ac:dyDescent="0.25">
      <c r="A320" s="36" t="s">
        <v>2904</v>
      </c>
      <c r="B320" s="36" t="str">
        <f t="shared" si="19"/>
        <v>CT_WESTON TOWN, CT EXCEPTION AREA</v>
      </c>
      <c r="D320" s="265" t="s">
        <v>55</v>
      </c>
      <c r="E320" s="266" t="s">
        <v>9114</v>
      </c>
      <c r="F320" s="252">
        <f t="shared" si="18"/>
        <v>79150</v>
      </c>
      <c r="G320" s="252">
        <f t="shared" si="18"/>
        <v>90450</v>
      </c>
      <c r="H320" s="252">
        <f t="shared" si="18"/>
        <v>101750</v>
      </c>
      <c r="I320" s="252">
        <f t="shared" si="18"/>
        <v>113050</v>
      </c>
      <c r="J320" s="252">
        <f t="shared" si="18"/>
        <v>122100</v>
      </c>
      <c r="K320" s="252">
        <f t="shared" si="18"/>
        <v>131150</v>
      </c>
      <c r="L320" s="252">
        <f t="shared" si="18"/>
        <v>140200</v>
      </c>
      <c r="M320" s="252">
        <f t="shared" si="18"/>
        <v>149250</v>
      </c>
    </row>
    <row r="321" spans="1:13" ht="21.95" customHeight="1" x14ac:dyDescent="0.25">
      <c r="A321" s="36" t="s">
        <v>2904</v>
      </c>
      <c r="B321" s="36" t="str">
        <f t="shared" si="19"/>
        <v>CT_WESTPORT TOWN, CT EXCEPTION AREA</v>
      </c>
      <c r="D321" s="265" t="s">
        <v>55</v>
      </c>
      <c r="E321" s="266" t="s">
        <v>9103</v>
      </c>
      <c r="F321" s="252">
        <f t="shared" si="18"/>
        <v>79150</v>
      </c>
      <c r="G321" s="252">
        <f t="shared" si="18"/>
        <v>90450</v>
      </c>
      <c r="H321" s="252">
        <f t="shared" si="18"/>
        <v>101750</v>
      </c>
      <c r="I321" s="252">
        <f t="shared" si="18"/>
        <v>113050</v>
      </c>
      <c r="J321" s="252">
        <f t="shared" si="18"/>
        <v>122100</v>
      </c>
      <c r="K321" s="252">
        <f t="shared" si="18"/>
        <v>131150</v>
      </c>
      <c r="L321" s="252">
        <f t="shared" si="18"/>
        <v>140200</v>
      </c>
      <c r="M321" s="252">
        <f t="shared" si="18"/>
        <v>149250</v>
      </c>
    </row>
    <row r="322" spans="1:13" ht="21.95" customHeight="1" x14ac:dyDescent="0.25">
      <c r="A322" s="36" t="s">
        <v>2904</v>
      </c>
      <c r="B322" s="36" t="str">
        <f t="shared" si="19"/>
        <v>CT_WILTON TOWN, CT EXCEPTION AREA</v>
      </c>
      <c r="D322" s="265" t="s">
        <v>55</v>
      </c>
      <c r="E322" s="266" t="s">
        <v>9113</v>
      </c>
      <c r="F322" s="252">
        <f t="shared" si="18"/>
        <v>79150</v>
      </c>
      <c r="G322" s="252">
        <f t="shared" si="18"/>
        <v>90450</v>
      </c>
      <c r="H322" s="252">
        <f t="shared" si="18"/>
        <v>101750</v>
      </c>
      <c r="I322" s="252">
        <f t="shared" si="18"/>
        <v>113050</v>
      </c>
      <c r="J322" s="252">
        <f t="shared" si="18"/>
        <v>122100</v>
      </c>
      <c r="K322" s="252">
        <f t="shared" si="18"/>
        <v>131150</v>
      </c>
      <c r="L322" s="252">
        <f t="shared" si="18"/>
        <v>140200</v>
      </c>
      <c r="M322" s="252">
        <f t="shared" si="18"/>
        <v>149250</v>
      </c>
    </row>
    <row r="323" spans="1:13" ht="21.95" customHeight="1" x14ac:dyDescent="0.25">
      <c r="A323" s="36" t="s">
        <v>2904</v>
      </c>
      <c r="B323" s="36" t="str">
        <f t="shared" si="19"/>
        <v>DC_WASHINGTON-ARLINGTON-ALEXANDRIA, DC-VA-MD HUD METRO FMR AREA</v>
      </c>
      <c r="D323" s="265" t="s">
        <v>472</v>
      </c>
      <c r="E323" s="266" t="s">
        <v>3210</v>
      </c>
      <c r="F323" s="252">
        <f t="shared" si="18"/>
        <v>74800</v>
      </c>
      <c r="G323" s="252">
        <f t="shared" si="18"/>
        <v>85450</v>
      </c>
      <c r="H323" s="252">
        <f t="shared" si="18"/>
        <v>96150</v>
      </c>
      <c r="I323" s="252">
        <f t="shared" si="18"/>
        <v>106800</v>
      </c>
      <c r="J323" s="252">
        <f t="shared" si="18"/>
        <v>115350</v>
      </c>
      <c r="K323" s="252">
        <f t="shared" si="18"/>
        <v>123900</v>
      </c>
      <c r="L323" s="252">
        <f t="shared" si="18"/>
        <v>132450</v>
      </c>
      <c r="M323" s="252">
        <f t="shared" si="18"/>
        <v>141000</v>
      </c>
    </row>
    <row r="324" spans="1:13" ht="21.95" customHeight="1" x14ac:dyDescent="0.25">
      <c r="A324" s="36" t="s">
        <v>2904</v>
      </c>
      <c r="B324" s="36" t="str">
        <f t="shared" si="19"/>
        <v>DE_DOVER, DE MSA</v>
      </c>
      <c r="D324" s="265" t="s">
        <v>97</v>
      </c>
      <c r="E324" s="266" t="s">
        <v>3211</v>
      </c>
      <c r="F324" s="252">
        <f t="shared" si="18"/>
        <v>54900</v>
      </c>
      <c r="G324" s="252">
        <f t="shared" si="18"/>
        <v>62750</v>
      </c>
      <c r="H324" s="252">
        <f t="shared" si="18"/>
        <v>70600</v>
      </c>
      <c r="I324" s="252">
        <f t="shared" si="18"/>
        <v>78400</v>
      </c>
      <c r="J324" s="252">
        <f t="shared" si="18"/>
        <v>84700</v>
      </c>
      <c r="K324" s="252">
        <f t="shared" si="18"/>
        <v>90950</v>
      </c>
      <c r="L324" s="252">
        <f t="shared" si="18"/>
        <v>97250</v>
      </c>
      <c r="M324" s="252">
        <f t="shared" si="18"/>
        <v>103500</v>
      </c>
    </row>
    <row r="325" spans="1:13" ht="21.95" customHeight="1" x14ac:dyDescent="0.25">
      <c r="A325" s="36" t="s">
        <v>2904</v>
      </c>
      <c r="B325" s="36" t="str">
        <f t="shared" si="19"/>
        <v>DE_PHILADELPHIA-CAMDEN-WILMINGTON, PA-NJ-DE-MD MSA</v>
      </c>
      <c r="D325" s="265" t="s">
        <v>97</v>
      </c>
      <c r="E325" s="266" t="s">
        <v>3212</v>
      </c>
      <c r="F325" s="252">
        <f t="shared" si="18"/>
        <v>66850</v>
      </c>
      <c r="G325" s="252">
        <f t="shared" si="18"/>
        <v>76400</v>
      </c>
      <c r="H325" s="252">
        <f t="shared" si="18"/>
        <v>85950</v>
      </c>
      <c r="I325" s="252">
        <f t="shared" si="18"/>
        <v>95500</v>
      </c>
      <c r="J325" s="252">
        <f t="shared" si="18"/>
        <v>103150</v>
      </c>
      <c r="K325" s="252">
        <f t="shared" si="18"/>
        <v>110800</v>
      </c>
      <c r="L325" s="252">
        <f t="shared" si="18"/>
        <v>118450</v>
      </c>
      <c r="M325" s="252">
        <f t="shared" si="18"/>
        <v>126100</v>
      </c>
    </row>
    <row r="326" spans="1:13" ht="21.95" customHeight="1" x14ac:dyDescent="0.25">
      <c r="A326" s="36" t="s">
        <v>2904</v>
      </c>
      <c r="B326" s="36" t="str">
        <f t="shared" si="19"/>
        <v>DE_SUSSEX COUNTY, DE</v>
      </c>
      <c r="D326" s="265" t="s">
        <v>97</v>
      </c>
      <c r="E326" s="266" t="s">
        <v>9144</v>
      </c>
      <c r="F326" s="252">
        <f t="shared" si="18"/>
        <v>54600</v>
      </c>
      <c r="G326" s="252">
        <f t="shared" si="18"/>
        <v>62400</v>
      </c>
      <c r="H326" s="252">
        <f t="shared" si="18"/>
        <v>70200</v>
      </c>
      <c r="I326" s="252">
        <f t="shared" si="18"/>
        <v>78000</v>
      </c>
      <c r="J326" s="252">
        <f t="shared" si="18"/>
        <v>84250</v>
      </c>
      <c r="K326" s="252">
        <f t="shared" si="18"/>
        <v>90500</v>
      </c>
      <c r="L326" s="252">
        <f t="shared" si="18"/>
        <v>96750</v>
      </c>
      <c r="M326" s="252">
        <f t="shared" si="18"/>
        <v>103000</v>
      </c>
    </row>
    <row r="327" spans="1:13" ht="21.95" customHeight="1" x14ac:dyDescent="0.25">
      <c r="A327" s="36" t="s">
        <v>2904</v>
      </c>
      <c r="B327" s="36" t="str">
        <f t="shared" si="19"/>
        <v>FL_BAKER COUNTY, FL HUD METRO FMR AREA</v>
      </c>
      <c r="D327" s="265" t="s">
        <v>96</v>
      </c>
      <c r="E327" s="266" t="s">
        <v>3213</v>
      </c>
      <c r="F327" s="252">
        <f t="shared" si="18"/>
        <v>51250</v>
      </c>
      <c r="G327" s="252">
        <f t="shared" si="18"/>
        <v>58600</v>
      </c>
      <c r="H327" s="252">
        <f t="shared" si="18"/>
        <v>65900</v>
      </c>
      <c r="I327" s="252">
        <f t="shared" si="18"/>
        <v>73200</v>
      </c>
      <c r="J327" s="252">
        <f t="shared" si="18"/>
        <v>79100</v>
      </c>
      <c r="K327" s="252">
        <f t="shared" si="18"/>
        <v>84950</v>
      </c>
      <c r="L327" s="252">
        <f t="shared" si="18"/>
        <v>90800</v>
      </c>
      <c r="M327" s="252">
        <f t="shared" si="18"/>
        <v>96650</v>
      </c>
    </row>
    <row r="328" spans="1:13" ht="21.95" customHeight="1" x14ac:dyDescent="0.25">
      <c r="A328" s="36" t="s">
        <v>2904</v>
      </c>
      <c r="B328" s="36" t="str">
        <f t="shared" si="19"/>
        <v>FL_BRADFORD COUNTY, FL</v>
      </c>
      <c r="D328" s="265" t="s">
        <v>96</v>
      </c>
      <c r="E328" s="266" t="s">
        <v>3214</v>
      </c>
      <c r="F328" s="252">
        <f t="shared" si="18"/>
        <v>43200</v>
      </c>
      <c r="G328" s="252">
        <f t="shared" si="18"/>
        <v>49350</v>
      </c>
      <c r="H328" s="252">
        <f t="shared" si="18"/>
        <v>55500</v>
      </c>
      <c r="I328" s="252">
        <f t="shared" si="18"/>
        <v>61650</v>
      </c>
      <c r="J328" s="252">
        <f t="shared" si="18"/>
        <v>66600</v>
      </c>
      <c r="K328" s="252">
        <f t="shared" si="18"/>
        <v>71550</v>
      </c>
      <c r="L328" s="252">
        <f t="shared" si="18"/>
        <v>76450</v>
      </c>
      <c r="M328" s="252">
        <f t="shared" si="18"/>
        <v>81400</v>
      </c>
    </row>
    <row r="329" spans="1:13" ht="21.95" customHeight="1" x14ac:dyDescent="0.25">
      <c r="A329" s="36" t="s">
        <v>2904</v>
      </c>
      <c r="B329" s="36" t="str">
        <f t="shared" si="19"/>
        <v>FL_CALHOUN COUNTY, FL</v>
      </c>
      <c r="D329" s="265" t="s">
        <v>96</v>
      </c>
      <c r="E329" s="266" t="s">
        <v>3215</v>
      </c>
      <c r="F329" s="252">
        <f t="shared" ref="F329:M360" si="20">VLOOKUP($B329,LOOKUP_AMI_TABLE,5+((F$7-1)),FALSE)</f>
        <v>42700</v>
      </c>
      <c r="G329" s="252">
        <f t="shared" si="20"/>
        <v>48800</v>
      </c>
      <c r="H329" s="252">
        <f t="shared" si="20"/>
        <v>54900</v>
      </c>
      <c r="I329" s="252">
        <f t="shared" si="20"/>
        <v>60950</v>
      </c>
      <c r="J329" s="252">
        <f t="shared" si="20"/>
        <v>65850</v>
      </c>
      <c r="K329" s="252">
        <f t="shared" si="20"/>
        <v>70750</v>
      </c>
      <c r="L329" s="252">
        <f t="shared" si="20"/>
        <v>75600</v>
      </c>
      <c r="M329" s="252">
        <f t="shared" si="20"/>
        <v>80500</v>
      </c>
    </row>
    <row r="330" spans="1:13" ht="21.95" customHeight="1" x14ac:dyDescent="0.25">
      <c r="A330" s="36" t="s">
        <v>2904</v>
      </c>
      <c r="B330" s="36" t="str">
        <f t="shared" si="19"/>
        <v>FL_CAPE CORAL-FORT MYERS, FL MSA</v>
      </c>
      <c r="D330" s="265" t="s">
        <v>96</v>
      </c>
      <c r="E330" s="266" t="s">
        <v>3216</v>
      </c>
      <c r="F330" s="252">
        <f t="shared" si="20"/>
        <v>57250</v>
      </c>
      <c r="G330" s="252">
        <f t="shared" si="20"/>
        <v>65400</v>
      </c>
      <c r="H330" s="252">
        <f t="shared" si="20"/>
        <v>73600</v>
      </c>
      <c r="I330" s="252">
        <f t="shared" si="20"/>
        <v>81750</v>
      </c>
      <c r="J330" s="252">
        <f t="shared" si="20"/>
        <v>88300</v>
      </c>
      <c r="K330" s="252">
        <f t="shared" si="20"/>
        <v>94850</v>
      </c>
      <c r="L330" s="252">
        <f t="shared" si="20"/>
        <v>101400</v>
      </c>
      <c r="M330" s="252">
        <f t="shared" si="20"/>
        <v>107950</v>
      </c>
    </row>
    <row r="331" spans="1:13" ht="21.95" customHeight="1" x14ac:dyDescent="0.25">
      <c r="A331" s="36" t="s">
        <v>2904</v>
      </c>
      <c r="B331" s="36" t="str">
        <f t="shared" si="19"/>
        <v>FL_COLUMBIA COUNTY, FL</v>
      </c>
      <c r="D331" s="265" t="s">
        <v>96</v>
      </c>
      <c r="E331" s="266" t="s">
        <v>3217</v>
      </c>
      <c r="F331" s="252">
        <f t="shared" si="20"/>
        <v>42950</v>
      </c>
      <c r="G331" s="252">
        <f t="shared" si="20"/>
        <v>49050</v>
      </c>
      <c r="H331" s="252">
        <f t="shared" si="20"/>
        <v>55200</v>
      </c>
      <c r="I331" s="252">
        <f t="shared" si="20"/>
        <v>61300</v>
      </c>
      <c r="J331" s="252">
        <f t="shared" si="20"/>
        <v>66250</v>
      </c>
      <c r="K331" s="252">
        <f t="shared" si="20"/>
        <v>71150</v>
      </c>
      <c r="L331" s="252">
        <f t="shared" si="20"/>
        <v>76050</v>
      </c>
      <c r="M331" s="252">
        <f t="shared" si="20"/>
        <v>80950</v>
      </c>
    </row>
    <row r="332" spans="1:13" ht="21.95" customHeight="1" x14ac:dyDescent="0.25">
      <c r="A332" s="36" t="s">
        <v>2904</v>
      </c>
      <c r="B332" s="36" t="str">
        <f t="shared" si="19"/>
        <v>FL_CRESTVIEW-FORT WALTON BEACH-DESTIN, FL HUD METRO FMR AREA</v>
      </c>
      <c r="D332" s="265" t="s">
        <v>96</v>
      </c>
      <c r="E332" s="266" t="s">
        <v>3218</v>
      </c>
      <c r="F332" s="252">
        <f t="shared" si="20"/>
        <v>57150</v>
      </c>
      <c r="G332" s="252">
        <f t="shared" si="20"/>
        <v>65300</v>
      </c>
      <c r="H332" s="252">
        <f t="shared" si="20"/>
        <v>73450</v>
      </c>
      <c r="I332" s="252">
        <f t="shared" si="20"/>
        <v>81600</v>
      </c>
      <c r="J332" s="252">
        <f t="shared" si="20"/>
        <v>88150</v>
      </c>
      <c r="K332" s="252">
        <f t="shared" si="20"/>
        <v>94700</v>
      </c>
      <c r="L332" s="252">
        <f t="shared" si="20"/>
        <v>101200</v>
      </c>
      <c r="M332" s="252">
        <f t="shared" si="20"/>
        <v>107750</v>
      </c>
    </row>
    <row r="333" spans="1:13" ht="21.95" customHeight="1" x14ac:dyDescent="0.25">
      <c r="A333" s="36" t="s">
        <v>2904</v>
      </c>
      <c r="B333" s="36" t="str">
        <f t="shared" si="19"/>
        <v>FL_DELTONA-DAYTONA BEACH-ORMOND BEACH, FL HUD METRO FMR AREA</v>
      </c>
      <c r="D333" s="265" t="s">
        <v>96</v>
      </c>
      <c r="E333" s="266" t="s">
        <v>3219</v>
      </c>
      <c r="F333" s="252">
        <f t="shared" si="20"/>
        <v>50650</v>
      </c>
      <c r="G333" s="252">
        <f t="shared" si="20"/>
        <v>57850</v>
      </c>
      <c r="H333" s="252">
        <f t="shared" si="20"/>
        <v>65100</v>
      </c>
      <c r="I333" s="252">
        <f t="shared" si="20"/>
        <v>72300</v>
      </c>
      <c r="J333" s="252">
        <f t="shared" si="20"/>
        <v>78100</v>
      </c>
      <c r="K333" s="252">
        <f t="shared" si="20"/>
        <v>83900</v>
      </c>
      <c r="L333" s="252">
        <f t="shared" si="20"/>
        <v>89700</v>
      </c>
      <c r="M333" s="252">
        <f t="shared" si="20"/>
        <v>95450</v>
      </c>
    </row>
    <row r="334" spans="1:13" ht="21.95" customHeight="1" x14ac:dyDescent="0.25">
      <c r="A334" s="36" t="s">
        <v>2904</v>
      </c>
      <c r="B334" s="36" t="str">
        <f t="shared" si="19"/>
        <v>FL_DESOTO COUNTY, FL</v>
      </c>
      <c r="D334" s="265" t="s">
        <v>96</v>
      </c>
      <c r="E334" s="266" t="s">
        <v>3220</v>
      </c>
      <c r="F334" s="252">
        <f t="shared" si="20"/>
        <v>39900</v>
      </c>
      <c r="G334" s="252">
        <f t="shared" si="20"/>
        <v>45600</v>
      </c>
      <c r="H334" s="252">
        <f t="shared" si="20"/>
        <v>51300</v>
      </c>
      <c r="I334" s="252">
        <f t="shared" si="20"/>
        <v>56950</v>
      </c>
      <c r="J334" s="252">
        <f t="shared" si="20"/>
        <v>61550</v>
      </c>
      <c r="K334" s="252">
        <f t="shared" si="20"/>
        <v>66100</v>
      </c>
      <c r="L334" s="252">
        <f t="shared" si="20"/>
        <v>70650</v>
      </c>
      <c r="M334" s="252">
        <f t="shared" si="20"/>
        <v>75200</v>
      </c>
    </row>
    <row r="335" spans="1:13" ht="21.95" customHeight="1" x14ac:dyDescent="0.25">
      <c r="A335" s="36" t="s">
        <v>2904</v>
      </c>
      <c r="B335" s="36" t="str">
        <f t="shared" si="19"/>
        <v>FL_DIXIE COUNTY, FL</v>
      </c>
      <c r="D335" s="265" t="s">
        <v>96</v>
      </c>
      <c r="E335" s="266" t="s">
        <v>3221</v>
      </c>
      <c r="F335" s="252">
        <f t="shared" si="20"/>
        <v>39900</v>
      </c>
      <c r="G335" s="252">
        <f t="shared" si="20"/>
        <v>45600</v>
      </c>
      <c r="H335" s="252">
        <f t="shared" si="20"/>
        <v>51300</v>
      </c>
      <c r="I335" s="252">
        <f t="shared" si="20"/>
        <v>56950</v>
      </c>
      <c r="J335" s="252">
        <f t="shared" si="20"/>
        <v>61550</v>
      </c>
      <c r="K335" s="252">
        <f t="shared" si="20"/>
        <v>66100</v>
      </c>
      <c r="L335" s="252">
        <f t="shared" si="20"/>
        <v>70650</v>
      </c>
      <c r="M335" s="252">
        <f t="shared" si="20"/>
        <v>75200</v>
      </c>
    </row>
    <row r="336" spans="1:13" ht="21.95" customHeight="1" x14ac:dyDescent="0.25">
      <c r="A336" s="36" t="s">
        <v>2904</v>
      </c>
      <c r="B336" s="36" t="str">
        <f t="shared" si="19"/>
        <v>FL_FORT LAUDERDALE, FL HUD METRO FMR AREA</v>
      </c>
      <c r="D336" s="265" t="s">
        <v>96</v>
      </c>
      <c r="E336" s="266" t="s">
        <v>3222</v>
      </c>
      <c r="F336" s="252">
        <f t="shared" si="20"/>
        <v>64550</v>
      </c>
      <c r="G336" s="252">
        <f t="shared" si="20"/>
        <v>73800</v>
      </c>
      <c r="H336" s="252">
        <f t="shared" si="20"/>
        <v>83000</v>
      </c>
      <c r="I336" s="252">
        <f t="shared" si="20"/>
        <v>92200</v>
      </c>
      <c r="J336" s="252">
        <f t="shared" si="20"/>
        <v>99600</v>
      </c>
      <c r="K336" s="252">
        <f t="shared" si="20"/>
        <v>107000</v>
      </c>
      <c r="L336" s="252">
        <f t="shared" si="20"/>
        <v>114350</v>
      </c>
      <c r="M336" s="252">
        <f t="shared" si="20"/>
        <v>121750</v>
      </c>
    </row>
    <row r="337" spans="1:13" ht="21.95" customHeight="1" x14ac:dyDescent="0.25">
      <c r="A337" s="36" t="s">
        <v>2904</v>
      </c>
      <c r="B337" s="36" t="str">
        <f t="shared" si="19"/>
        <v>FL_FRANKLIN COUNTY, FL</v>
      </c>
      <c r="D337" s="265" t="s">
        <v>96</v>
      </c>
      <c r="E337" s="266" t="s">
        <v>3223</v>
      </c>
      <c r="F337" s="252">
        <f t="shared" si="20"/>
        <v>42500</v>
      </c>
      <c r="G337" s="252">
        <f t="shared" si="20"/>
        <v>48600</v>
      </c>
      <c r="H337" s="252">
        <f t="shared" si="20"/>
        <v>54650</v>
      </c>
      <c r="I337" s="252">
        <f t="shared" si="20"/>
        <v>60700</v>
      </c>
      <c r="J337" s="252">
        <f t="shared" si="20"/>
        <v>65600</v>
      </c>
      <c r="K337" s="252">
        <f t="shared" si="20"/>
        <v>70450</v>
      </c>
      <c r="L337" s="252">
        <f t="shared" si="20"/>
        <v>75300</v>
      </c>
      <c r="M337" s="252">
        <f t="shared" si="20"/>
        <v>80150</v>
      </c>
    </row>
    <row r="338" spans="1:13" ht="21.95" customHeight="1" x14ac:dyDescent="0.25">
      <c r="A338" s="36" t="s">
        <v>2904</v>
      </c>
      <c r="B338" s="36" t="str">
        <f t="shared" si="19"/>
        <v>FL_GAINESVILLE, FL HUD METRO FMR AREA</v>
      </c>
      <c r="D338" s="265" t="s">
        <v>96</v>
      </c>
      <c r="E338" s="266" t="s">
        <v>3224</v>
      </c>
      <c r="F338" s="252">
        <f t="shared" si="20"/>
        <v>58250</v>
      </c>
      <c r="G338" s="252">
        <f t="shared" si="20"/>
        <v>66600</v>
      </c>
      <c r="H338" s="252">
        <f t="shared" si="20"/>
        <v>74900</v>
      </c>
      <c r="I338" s="252">
        <f t="shared" si="20"/>
        <v>83200</v>
      </c>
      <c r="J338" s="252">
        <f t="shared" si="20"/>
        <v>89900</v>
      </c>
      <c r="K338" s="252">
        <f t="shared" si="20"/>
        <v>96550</v>
      </c>
      <c r="L338" s="252">
        <f t="shared" si="20"/>
        <v>103200</v>
      </c>
      <c r="M338" s="252">
        <f t="shared" si="20"/>
        <v>109850</v>
      </c>
    </row>
    <row r="339" spans="1:13" ht="21.95" customHeight="1" x14ac:dyDescent="0.25">
      <c r="A339" s="36" t="s">
        <v>2904</v>
      </c>
      <c r="B339" s="36" t="str">
        <f t="shared" si="19"/>
        <v>FL_GLADES COUNTY, FL</v>
      </c>
      <c r="D339" s="265" t="s">
        <v>96</v>
      </c>
      <c r="E339" s="266" t="s">
        <v>3225</v>
      </c>
      <c r="F339" s="252">
        <f t="shared" si="20"/>
        <v>39900</v>
      </c>
      <c r="G339" s="252">
        <f t="shared" si="20"/>
        <v>45600</v>
      </c>
      <c r="H339" s="252">
        <f t="shared" si="20"/>
        <v>51300</v>
      </c>
      <c r="I339" s="252">
        <f t="shared" si="20"/>
        <v>56950</v>
      </c>
      <c r="J339" s="252">
        <f t="shared" si="20"/>
        <v>61550</v>
      </c>
      <c r="K339" s="252">
        <f t="shared" si="20"/>
        <v>66100</v>
      </c>
      <c r="L339" s="252">
        <f t="shared" si="20"/>
        <v>70650</v>
      </c>
      <c r="M339" s="252">
        <f t="shared" si="20"/>
        <v>75200</v>
      </c>
    </row>
    <row r="340" spans="1:13" ht="21.95" customHeight="1" x14ac:dyDescent="0.25">
      <c r="A340" s="36" t="s">
        <v>2904</v>
      </c>
      <c r="B340" s="36" t="str">
        <f t="shared" si="19"/>
        <v>FL_GULF COUNTY, FL</v>
      </c>
      <c r="D340" s="265" t="s">
        <v>96</v>
      </c>
      <c r="E340" s="266" t="s">
        <v>3226</v>
      </c>
      <c r="F340" s="252">
        <f t="shared" si="20"/>
        <v>43850</v>
      </c>
      <c r="G340" s="252">
        <f t="shared" si="20"/>
        <v>50100</v>
      </c>
      <c r="H340" s="252">
        <f t="shared" si="20"/>
        <v>56350</v>
      </c>
      <c r="I340" s="252">
        <f t="shared" si="20"/>
        <v>62600</v>
      </c>
      <c r="J340" s="252">
        <f t="shared" si="20"/>
        <v>67650</v>
      </c>
      <c r="K340" s="252">
        <f t="shared" si="20"/>
        <v>72650</v>
      </c>
      <c r="L340" s="252">
        <f t="shared" si="20"/>
        <v>77650</v>
      </c>
      <c r="M340" s="252">
        <f t="shared" si="20"/>
        <v>82650</v>
      </c>
    </row>
    <row r="341" spans="1:13" ht="21.95" customHeight="1" x14ac:dyDescent="0.25">
      <c r="A341" s="36" t="s">
        <v>2904</v>
      </c>
      <c r="B341" s="36" t="str">
        <f t="shared" si="19"/>
        <v>FL_HAMILTON COUNTY, FL</v>
      </c>
      <c r="D341" s="265" t="s">
        <v>96</v>
      </c>
      <c r="E341" s="266" t="s">
        <v>3227</v>
      </c>
      <c r="F341" s="252">
        <f t="shared" si="20"/>
        <v>39900</v>
      </c>
      <c r="G341" s="252">
        <f t="shared" si="20"/>
        <v>45600</v>
      </c>
      <c r="H341" s="252">
        <f t="shared" si="20"/>
        <v>51300</v>
      </c>
      <c r="I341" s="252">
        <f t="shared" si="20"/>
        <v>56950</v>
      </c>
      <c r="J341" s="252">
        <f t="shared" si="20"/>
        <v>61550</v>
      </c>
      <c r="K341" s="252">
        <f t="shared" si="20"/>
        <v>66100</v>
      </c>
      <c r="L341" s="252">
        <f t="shared" si="20"/>
        <v>70650</v>
      </c>
      <c r="M341" s="252">
        <f t="shared" si="20"/>
        <v>75200</v>
      </c>
    </row>
    <row r="342" spans="1:13" ht="21.95" customHeight="1" x14ac:dyDescent="0.25">
      <c r="A342" s="36" t="s">
        <v>2904</v>
      </c>
      <c r="B342" s="36" t="str">
        <f t="shared" si="19"/>
        <v>FL_HARDEE COUNTY, FL</v>
      </c>
      <c r="D342" s="265" t="s">
        <v>96</v>
      </c>
      <c r="E342" s="266" t="s">
        <v>3228</v>
      </c>
      <c r="F342" s="252">
        <f t="shared" si="20"/>
        <v>39900</v>
      </c>
      <c r="G342" s="252">
        <f t="shared" si="20"/>
        <v>45600</v>
      </c>
      <c r="H342" s="252">
        <f t="shared" si="20"/>
        <v>51300</v>
      </c>
      <c r="I342" s="252">
        <f t="shared" si="20"/>
        <v>56950</v>
      </c>
      <c r="J342" s="252">
        <f t="shared" si="20"/>
        <v>61550</v>
      </c>
      <c r="K342" s="252">
        <f t="shared" si="20"/>
        <v>66100</v>
      </c>
      <c r="L342" s="252">
        <f t="shared" si="20"/>
        <v>70650</v>
      </c>
      <c r="M342" s="252">
        <f t="shared" si="20"/>
        <v>75200</v>
      </c>
    </row>
    <row r="343" spans="1:13" ht="21.95" customHeight="1" x14ac:dyDescent="0.25">
      <c r="A343" s="36" t="s">
        <v>2904</v>
      </c>
      <c r="B343" s="36" t="str">
        <f t="shared" si="19"/>
        <v>FL_HENDRY COUNTY, FL</v>
      </c>
      <c r="D343" s="265" t="s">
        <v>96</v>
      </c>
      <c r="E343" s="266" t="s">
        <v>3229</v>
      </c>
      <c r="F343" s="252">
        <f t="shared" si="20"/>
        <v>39900</v>
      </c>
      <c r="G343" s="252">
        <f t="shared" si="20"/>
        <v>45600</v>
      </c>
      <c r="H343" s="252">
        <f t="shared" si="20"/>
        <v>51300</v>
      </c>
      <c r="I343" s="252">
        <f t="shared" si="20"/>
        <v>56950</v>
      </c>
      <c r="J343" s="252">
        <f t="shared" si="20"/>
        <v>61550</v>
      </c>
      <c r="K343" s="252">
        <f t="shared" si="20"/>
        <v>66100</v>
      </c>
      <c r="L343" s="252">
        <f t="shared" si="20"/>
        <v>70650</v>
      </c>
      <c r="M343" s="252">
        <f t="shared" si="20"/>
        <v>75200</v>
      </c>
    </row>
    <row r="344" spans="1:13" ht="21.95" customHeight="1" x14ac:dyDescent="0.25">
      <c r="A344" s="36" t="s">
        <v>2904</v>
      </c>
      <c r="B344" s="36" t="str">
        <f t="shared" si="19"/>
        <v>FL_HOLMES COUNTY, FL</v>
      </c>
      <c r="D344" s="265" t="s">
        <v>96</v>
      </c>
      <c r="E344" s="266" t="s">
        <v>3230</v>
      </c>
      <c r="F344" s="252">
        <f t="shared" si="20"/>
        <v>39900</v>
      </c>
      <c r="G344" s="252">
        <f t="shared" si="20"/>
        <v>45600</v>
      </c>
      <c r="H344" s="252">
        <f t="shared" si="20"/>
        <v>51300</v>
      </c>
      <c r="I344" s="252">
        <f t="shared" si="20"/>
        <v>56950</v>
      </c>
      <c r="J344" s="252">
        <f t="shared" si="20"/>
        <v>61550</v>
      </c>
      <c r="K344" s="252">
        <f t="shared" si="20"/>
        <v>66100</v>
      </c>
      <c r="L344" s="252">
        <f t="shared" si="20"/>
        <v>70650</v>
      </c>
      <c r="M344" s="252">
        <f t="shared" si="20"/>
        <v>75200</v>
      </c>
    </row>
    <row r="345" spans="1:13" ht="21.95" customHeight="1" x14ac:dyDescent="0.25">
      <c r="A345" s="36" t="s">
        <v>2904</v>
      </c>
      <c r="B345" s="36" t="str">
        <f t="shared" si="19"/>
        <v>FL_HOMOSASSA SPRINGS, FL MSA</v>
      </c>
      <c r="D345" s="265" t="s">
        <v>96</v>
      </c>
      <c r="E345" s="266" t="s">
        <v>3231</v>
      </c>
      <c r="F345" s="252">
        <f t="shared" si="20"/>
        <v>40700</v>
      </c>
      <c r="G345" s="252">
        <f t="shared" si="20"/>
        <v>46500</v>
      </c>
      <c r="H345" s="252">
        <f t="shared" si="20"/>
        <v>52300</v>
      </c>
      <c r="I345" s="252">
        <f t="shared" si="20"/>
        <v>58100</v>
      </c>
      <c r="J345" s="252">
        <f t="shared" si="20"/>
        <v>62750</v>
      </c>
      <c r="K345" s="252">
        <f t="shared" si="20"/>
        <v>67400</v>
      </c>
      <c r="L345" s="252">
        <f t="shared" si="20"/>
        <v>72050</v>
      </c>
      <c r="M345" s="252">
        <f t="shared" si="20"/>
        <v>76700</v>
      </c>
    </row>
    <row r="346" spans="1:13" ht="21.95" customHeight="1" x14ac:dyDescent="0.25">
      <c r="A346" s="36" t="s">
        <v>2904</v>
      </c>
      <c r="B346" s="36" t="str">
        <f t="shared" si="19"/>
        <v>FL_JACKSON COUNTY, FL</v>
      </c>
      <c r="D346" s="265" t="s">
        <v>96</v>
      </c>
      <c r="E346" s="266" t="s">
        <v>3232</v>
      </c>
      <c r="F346" s="252">
        <f t="shared" si="20"/>
        <v>39900</v>
      </c>
      <c r="G346" s="252">
        <f t="shared" si="20"/>
        <v>45600</v>
      </c>
      <c r="H346" s="252">
        <f t="shared" si="20"/>
        <v>51300</v>
      </c>
      <c r="I346" s="252">
        <f t="shared" si="20"/>
        <v>56950</v>
      </c>
      <c r="J346" s="252">
        <f t="shared" si="20"/>
        <v>61550</v>
      </c>
      <c r="K346" s="252">
        <f t="shared" si="20"/>
        <v>66100</v>
      </c>
      <c r="L346" s="252">
        <f t="shared" si="20"/>
        <v>70650</v>
      </c>
      <c r="M346" s="252">
        <f t="shared" si="20"/>
        <v>75200</v>
      </c>
    </row>
    <row r="347" spans="1:13" ht="21.95" customHeight="1" x14ac:dyDescent="0.25">
      <c r="A347" s="36" t="s">
        <v>2904</v>
      </c>
      <c r="B347" s="36" t="str">
        <f t="shared" si="19"/>
        <v>FL_JACKSONVILLE, FL HUD METRO FMR AREA</v>
      </c>
      <c r="D347" s="265" t="s">
        <v>96</v>
      </c>
      <c r="E347" s="266" t="s">
        <v>3233</v>
      </c>
      <c r="F347" s="252">
        <f t="shared" si="20"/>
        <v>57400</v>
      </c>
      <c r="G347" s="252">
        <f t="shared" si="20"/>
        <v>65600</v>
      </c>
      <c r="H347" s="252">
        <f t="shared" si="20"/>
        <v>73800</v>
      </c>
      <c r="I347" s="252">
        <f t="shared" si="20"/>
        <v>82000</v>
      </c>
      <c r="J347" s="252">
        <f t="shared" si="20"/>
        <v>88600</v>
      </c>
      <c r="K347" s="252">
        <f t="shared" si="20"/>
        <v>95150</v>
      </c>
      <c r="L347" s="252">
        <f t="shared" si="20"/>
        <v>101700</v>
      </c>
      <c r="M347" s="252">
        <f t="shared" si="20"/>
        <v>108250</v>
      </c>
    </row>
    <row r="348" spans="1:13" ht="21.95" customHeight="1" x14ac:dyDescent="0.25">
      <c r="A348" s="36" t="s">
        <v>2904</v>
      </c>
      <c r="B348" s="36" t="str">
        <f t="shared" si="19"/>
        <v>FL_LAFAYETTE COUNTY, FL</v>
      </c>
      <c r="D348" s="265" t="s">
        <v>96</v>
      </c>
      <c r="E348" s="266" t="s">
        <v>3234</v>
      </c>
      <c r="F348" s="252">
        <f t="shared" si="20"/>
        <v>39900</v>
      </c>
      <c r="G348" s="252">
        <f t="shared" si="20"/>
        <v>45600</v>
      </c>
      <c r="H348" s="252">
        <f t="shared" si="20"/>
        <v>51300</v>
      </c>
      <c r="I348" s="252">
        <f t="shared" si="20"/>
        <v>56950</v>
      </c>
      <c r="J348" s="252">
        <f t="shared" si="20"/>
        <v>61550</v>
      </c>
      <c r="K348" s="252">
        <f t="shared" si="20"/>
        <v>66100</v>
      </c>
      <c r="L348" s="252">
        <f t="shared" si="20"/>
        <v>70650</v>
      </c>
      <c r="M348" s="252">
        <f t="shared" si="20"/>
        <v>75200</v>
      </c>
    </row>
    <row r="349" spans="1:13" ht="21.95" customHeight="1" x14ac:dyDescent="0.25">
      <c r="A349" s="36" t="s">
        <v>2904</v>
      </c>
      <c r="B349" s="36" t="str">
        <f t="shared" si="19"/>
        <v>FL_LAKELAND-WINTER HAVEN, FL MSA</v>
      </c>
      <c r="D349" s="265" t="s">
        <v>96</v>
      </c>
      <c r="E349" s="266" t="s">
        <v>3235</v>
      </c>
      <c r="F349" s="252">
        <f t="shared" si="20"/>
        <v>46700</v>
      </c>
      <c r="G349" s="252">
        <f t="shared" si="20"/>
        <v>53350</v>
      </c>
      <c r="H349" s="252">
        <f t="shared" si="20"/>
        <v>60000</v>
      </c>
      <c r="I349" s="252">
        <f t="shared" si="20"/>
        <v>66650</v>
      </c>
      <c r="J349" s="252">
        <f t="shared" si="20"/>
        <v>72000</v>
      </c>
      <c r="K349" s="252">
        <f t="shared" si="20"/>
        <v>77350</v>
      </c>
      <c r="L349" s="252">
        <f t="shared" si="20"/>
        <v>82650</v>
      </c>
      <c r="M349" s="252">
        <f t="shared" si="20"/>
        <v>88000</v>
      </c>
    </row>
    <row r="350" spans="1:13" ht="21.95" customHeight="1" x14ac:dyDescent="0.25">
      <c r="A350" s="36" t="s">
        <v>2904</v>
      </c>
      <c r="B350" s="36" t="str">
        <f t="shared" si="19"/>
        <v>FL_LEVY COUNTY, FL HUD METRO FMR AREA</v>
      </c>
      <c r="D350" s="265" t="s">
        <v>96</v>
      </c>
      <c r="E350" s="266" t="s">
        <v>3236</v>
      </c>
      <c r="F350" s="252">
        <f t="shared" si="20"/>
        <v>39900</v>
      </c>
      <c r="G350" s="252">
        <f t="shared" si="20"/>
        <v>45600</v>
      </c>
      <c r="H350" s="252">
        <f t="shared" si="20"/>
        <v>51300</v>
      </c>
      <c r="I350" s="252">
        <f t="shared" si="20"/>
        <v>56950</v>
      </c>
      <c r="J350" s="252">
        <f t="shared" si="20"/>
        <v>61550</v>
      </c>
      <c r="K350" s="252">
        <f t="shared" si="20"/>
        <v>66100</v>
      </c>
      <c r="L350" s="252">
        <f t="shared" si="20"/>
        <v>70650</v>
      </c>
      <c r="M350" s="252">
        <f t="shared" si="20"/>
        <v>75200</v>
      </c>
    </row>
    <row r="351" spans="1:13" ht="21.95" customHeight="1" x14ac:dyDescent="0.25">
      <c r="A351" s="36" t="s">
        <v>2904</v>
      </c>
      <c r="B351" s="36" t="str">
        <f t="shared" si="19"/>
        <v>FL_LIBERTY COUNTY, FL</v>
      </c>
      <c r="D351" s="265" t="s">
        <v>96</v>
      </c>
      <c r="E351" s="266" t="s">
        <v>3237</v>
      </c>
      <c r="F351" s="252">
        <f t="shared" si="20"/>
        <v>39900</v>
      </c>
      <c r="G351" s="252">
        <f t="shared" si="20"/>
        <v>45600</v>
      </c>
      <c r="H351" s="252">
        <f t="shared" si="20"/>
        <v>51300</v>
      </c>
      <c r="I351" s="252">
        <f t="shared" si="20"/>
        <v>56950</v>
      </c>
      <c r="J351" s="252">
        <f t="shared" si="20"/>
        <v>61550</v>
      </c>
      <c r="K351" s="252">
        <f t="shared" si="20"/>
        <v>66100</v>
      </c>
      <c r="L351" s="252">
        <f t="shared" si="20"/>
        <v>70650</v>
      </c>
      <c r="M351" s="252">
        <f t="shared" si="20"/>
        <v>75200</v>
      </c>
    </row>
    <row r="352" spans="1:13" ht="21.95" customHeight="1" x14ac:dyDescent="0.25">
      <c r="A352" s="36" t="s">
        <v>2904</v>
      </c>
      <c r="B352" s="36" t="str">
        <f t="shared" si="19"/>
        <v>FL_MADISON COUNTY, FL</v>
      </c>
      <c r="D352" s="265" t="s">
        <v>96</v>
      </c>
      <c r="E352" s="266" t="s">
        <v>3238</v>
      </c>
      <c r="F352" s="252">
        <f t="shared" si="20"/>
        <v>39900</v>
      </c>
      <c r="G352" s="252">
        <f t="shared" si="20"/>
        <v>45600</v>
      </c>
      <c r="H352" s="252">
        <f t="shared" si="20"/>
        <v>51300</v>
      </c>
      <c r="I352" s="252">
        <f t="shared" si="20"/>
        <v>56950</v>
      </c>
      <c r="J352" s="252">
        <f t="shared" si="20"/>
        <v>61550</v>
      </c>
      <c r="K352" s="252">
        <f t="shared" si="20"/>
        <v>66100</v>
      </c>
      <c r="L352" s="252">
        <f t="shared" si="20"/>
        <v>70650</v>
      </c>
      <c r="M352" s="252">
        <f t="shared" si="20"/>
        <v>75200</v>
      </c>
    </row>
    <row r="353" spans="1:13" ht="21.95" customHeight="1" x14ac:dyDescent="0.25">
      <c r="A353" s="36" t="s">
        <v>2904</v>
      </c>
      <c r="B353" s="36" t="str">
        <f t="shared" si="19"/>
        <v>FL_MIAMI-MIAMI BEACH-KENDALL, FL HUD METRO FMR AREA</v>
      </c>
      <c r="D353" s="265" t="s">
        <v>96</v>
      </c>
      <c r="E353" s="266" t="s">
        <v>3239</v>
      </c>
      <c r="F353" s="252">
        <f t="shared" si="20"/>
        <v>69400</v>
      </c>
      <c r="G353" s="252">
        <f t="shared" si="20"/>
        <v>79300</v>
      </c>
      <c r="H353" s="252">
        <f t="shared" si="20"/>
        <v>89200</v>
      </c>
      <c r="I353" s="252">
        <f t="shared" si="20"/>
        <v>99100</v>
      </c>
      <c r="J353" s="252">
        <f t="shared" si="20"/>
        <v>107050</v>
      </c>
      <c r="K353" s="252">
        <f t="shared" si="20"/>
        <v>115000</v>
      </c>
      <c r="L353" s="252">
        <f t="shared" si="20"/>
        <v>122900</v>
      </c>
      <c r="M353" s="252">
        <f t="shared" si="20"/>
        <v>130850</v>
      </c>
    </row>
    <row r="354" spans="1:13" ht="21.95" customHeight="1" x14ac:dyDescent="0.25">
      <c r="A354" s="36" t="s">
        <v>2904</v>
      </c>
      <c r="B354" s="36" t="str">
        <f t="shared" si="19"/>
        <v>FL_MONROE COUNTY, FL</v>
      </c>
      <c r="D354" s="265" t="s">
        <v>96</v>
      </c>
      <c r="E354" s="266" t="s">
        <v>3240</v>
      </c>
      <c r="F354" s="252">
        <f t="shared" si="20"/>
        <v>73000</v>
      </c>
      <c r="G354" s="252">
        <f t="shared" si="20"/>
        <v>83400</v>
      </c>
      <c r="H354" s="252">
        <f t="shared" si="20"/>
        <v>93850</v>
      </c>
      <c r="I354" s="252">
        <f t="shared" si="20"/>
        <v>104250</v>
      </c>
      <c r="J354" s="252">
        <f t="shared" si="20"/>
        <v>112600</v>
      </c>
      <c r="K354" s="252">
        <f t="shared" si="20"/>
        <v>120950</v>
      </c>
      <c r="L354" s="252">
        <f t="shared" si="20"/>
        <v>129300</v>
      </c>
      <c r="M354" s="252">
        <f t="shared" si="20"/>
        <v>137650</v>
      </c>
    </row>
    <row r="355" spans="1:13" ht="21.95" customHeight="1" x14ac:dyDescent="0.25">
      <c r="A355" s="36" t="s">
        <v>2904</v>
      </c>
      <c r="B355" s="36" t="str">
        <f t="shared" si="19"/>
        <v>FL_NAPLES-MARCO ISLAND, FL MSA</v>
      </c>
      <c r="D355" s="265" t="s">
        <v>96</v>
      </c>
      <c r="E355" s="266" t="s">
        <v>9146</v>
      </c>
      <c r="F355" s="252">
        <f t="shared" si="20"/>
        <v>63650</v>
      </c>
      <c r="G355" s="252">
        <f t="shared" si="20"/>
        <v>72750</v>
      </c>
      <c r="H355" s="252">
        <f t="shared" si="20"/>
        <v>81850</v>
      </c>
      <c r="I355" s="252">
        <f t="shared" si="20"/>
        <v>90900</v>
      </c>
      <c r="J355" s="252">
        <f t="shared" si="20"/>
        <v>98200</v>
      </c>
      <c r="K355" s="252">
        <f t="shared" si="20"/>
        <v>105450</v>
      </c>
      <c r="L355" s="252">
        <f t="shared" si="20"/>
        <v>112750</v>
      </c>
      <c r="M355" s="252">
        <f t="shared" si="20"/>
        <v>120000</v>
      </c>
    </row>
    <row r="356" spans="1:13" ht="21.95" customHeight="1" x14ac:dyDescent="0.25">
      <c r="A356" s="36" t="s">
        <v>2904</v>
      </c>
      <c r="B356" s="36" t="str">
        <f t="shared" si="19"/>
        <v>FL_NORTH PORT-BRADENTON-SARASOTA, FL MSA</v>
      </c>
      <c r="D356" s="265" t="s">
        <v>96</v>
      </c>
      <c r="E356" s="266" t="s">
        <v>9148</v>
      </c>
      <c r="F356" s="252">
        <f t="shared" si="20"/>
        <v>60300</v>
      </c>
      <c r="G356" s="252">
        <f t="shared" si="20"/>
        <v>68900</v>
      </c>
      <c r="H356" s="252">
        <f t="shared" si="20"/>
        <v>77500</v>
      </c>
      <c r="I356" s="252">
        <f t="shared" si="20"/>
        <v>86100</v>
      </c>
      <c r="J356" s="252">
        <f t="shared" si="20"/>
        <v>93000</v>
      </c>
      <c r="K356" s="252">
        <f t="shared" si="20"/>
        <v>99900</v>
      </c>
      <c r="L356" s="252">
        <f t="shared" si="20"/>
        <v>106800</v>
      </c>
      <c r="M356" s="252">
        <f t="shared" si="20"/>
        <v>113700</v>
      </c>
    </row>
    <row r="357" spans="1:13" ht="21.95" customHeight="1" x14ac:dyDescent="0.25">
      <c r="A357" s="36" t="s">
        <v>2904</v>
      </c>
      <c r="B357" s="36" t="str">
        <f t="shared" si="19"/>
        <v>FL_OCALA, FL MSA</v>
      </c>
      <c r="D357" s="265" t="s">
        <v>96</v>
      </c>
      <c r="E357" s="266" t="s">
        <v>3241</v>
      </c>
      <c r="F357" s="252">
        <f t="shared" si="20"/>
        <v>43200</v>
      </c>
      <c r="G357" s="252">
        <f t="shared" si="20"/>
        <v>49400</v>
      </c>
      <c r="H357" s="252">
        <f t="shared" si="20"/>
        <v>55550</v>
      </c>
      <c r="I357" s="252">
        <f t="shared" si="20"/>
        <v>61700</v>
      </c>
      <c r="J357" s="252">
        <f t="shared" si="20"/>
        <v>66650</v>
      </c>
      <c r="K357" s="252">
        <f t="shared" si="20"/>
        <v>71600</v>
      </c>
      <c r="L357" s="252">
        <f t="shared" si="20"/>
        <v>76550</v>
      </c>
      <c r="M357" s="252">
        <f t="shared" si="20"/>
        <v>81450</v>
      </c>
    </row>
    <row r="358" spans="1:13" ht="21.95" customHeight="1" x14ac:dyDescent="0.25">
      <c r="A358" s="36" t="s">
        <v>2904</v>
      </c>
      <c r="B358" s="36" t="str">
        <f t="shared" si="19"/>
        <v>FL_OKEECHOBEE COUNTY, FL</v>
      </c>
      <c r="D358" s="265" t="s">
        <v>96</v>
      </c>
      <c r="E358" s="266" t="s">
        <v>3242</v>
      </c>
      <c r="F358" s="252">
        <f t="shared" si="20"/>
        <v>39900</v>
      </c>
      <c r="G358" s="252">
        <f t="shared" si="20"/>
        <v>45600</v>
      </c>
      <c r="H358" s="252">
        <f t="shared" si="20"/>
        <v>51300</v>
      </c>
      <c r="I358" s="252">
        <f t="shared" si="20"/>
        <v>56950</v>
      </c>
      <c r="J358" s="252">
        <f t="shared" si="20"/>
        <v>61550</v>
      </c>
      <c r="K358" s="252">
        <f t="shared" si="20"/>
        <v>66100</v>
      </c>
      <c r="L358" s="252">
        <f t="shared" si="20"/>
        <v>70650</v>
      </c>
      <c r="M358" s="252">
        <f t="shared" si="20"/>
        <v>75200</v>
      </c>
    </row>
    <row r="359" spans="1:13" ht="21.95" customHeight="1" x14ac:dyDescent="0.25">
      <c r="A359" s="36" t="s">
        <v>2904</v>
      </c>
      <c r="B359" s="36" t="str">
        <f t="shared" si="19"/>
        <v>FL_ORLANDO-KISSIMMEE-SANFORD, FL MSA</v>
      </c>
      <c r="D359" s="265" t="s">
        <v>96</v>
      </c>
      <c r="E359" s="266" t="s">
        <v>3243</v>
      </c>
      <c r="F359" s="252">
        <f t="shared" si="20"/>
        <v>59050</v>
      </c>
      <c r="G359" s="252">
        <f t="shared" si="20"/>
        <v>67450</v>
      </c>
      <c r="H359" s="252">
        <f t="shared" si="20"/>
        <v>75900</v>
      </c>
      <c r="I359" s="252">
        <f t="shared" si="20"/>
        <v>84300</v>
      </c>
      <c r="J359" s="252">
        <f t="shared" si="20"/>
        <v>91050</v>
      </c>
      <c r="K359" s="252">
        <f t="shared" si="20"/>
        <v>97800</v>
      </c>
      <c r="L359" s="252">
        <f t="shared" si="20"/>
        <v>104550</v>
      </c>
      <c r="M359" s="252">
        <f t="shared" si="20"/>
        <v>111300</v>
      </c>
    </row>
    <row r="360" spans="1:13" ht="21.95" customHeight="1" x14ac:dyDescent="0.25">
      <c r="A360" s="36" t="s">
        <v>2904</v>
      </c>
      <c r="B360" s="36" t="str">
        <f t="shared" si="19"/>
        <v>FL_PALM BAY-MELBOURNE-TITUSVILLE, FL MSA</v>
      </c>
      <c r="D360" s="265" t="s">
        <v>96</v>
      </c>
      <c r="E360" s="266" t="s">
        <v>3244</v>
      </c>
      <c r="F360" s="252">
        <f t="shared" si="20"/>
        <v>55950</v>
      </c>
      <c r="G360" s="252">
        <f t="shared" si="20"/>
        <v>63950</v>
      </c>
      <c r="H360" s="252">
        <f t="shared" si="20"/>
        <v>71950</v>
      </c>
      <c r="I360" s="252">
        <f t="shared" si="20"/>
        <v>79900</v>
      </c>
      <c r="J360" s="252">
        <f t="shared" si="20"/>
        <v>86300</v>
      </c>
      <c r="K360" s="252">
        <f t="shared" si="20"/>
        <v>92700</v>
      </c>
      <c r="L360" s="252">
        <f t="shared" si="20"/>
        <v>99100</v>
      </c>
      <c r="M360" s="252">
        <f t="shared" ref="F360:M392" si="21">VLOOKUP($B360,LOOKUP_AMI_TABLE,5+((M$7-1)),FALSE)</f>
        <v>105500</v>
      </c>
    </row>
    <row r="361" spans="1:13" ht="21.95" customHeight="1" x14ac:dyDescent="0.25">
      <c r="A361" s="36" t="s">
        <v>2904</v>
      </c>
      <c r="B361" s="36" t="str">
        <f t="shared" si="19"/>
        <v>FL_PALM COAST, FL HUD METRO FMR AREA</v>
      </c>
      <c r="D361" s="265" t="s">
        <v>96</v>
      </c>
      <c r="E361" s="266" t="s">
        <v>3245</v>
      </c>
      <c r="F361" s="252">
        <f t="shared" si="21"/>
        <v>53150</v>
      </c>
      <c r="G361" s="252">
        <f t="shared" si="21"/>
        <v>60750</v>
      </c>
      <c r="H361" s="252">
        <f t="shared" si="21"/>
        <v>68350</v>
      </c>
      <c r="I361" s="252">
        <f t="shared" si="21"/>
        <v>75900</v>
      </c>
      <c r="J361" s="252">
        <f t="shared" si="21"/>
        <v>82000</v>
      </c>
      <c r="K361" s="252">
        <f t="shared" si="21"/>
        <v>88050</v>
      </c>
      <c r="L361" s="252">
        <f t="shared" si="21"/>
        <v>94150</v>
      </c>
      <c r="M361" s="252">
        <f t="shared" si="21"/>
        <v>100200</v>
      </c>
    </row>
    <row r="362" spans="1:13" ht="21.95" customHeight="1" x14ac:dyDescent="0.25">
      <c r="A362" s="36" t="s">
        <v>2904</v>
      </c>
      <c r="B362" s="36" t="str">
        <f t="shared" si="19"/>
        <v>FL_PANAMA CITY, FL HUD METRO FMR AREA</v>
      </c>
      <c r="D362" s="265" t="s">
        <v>96</v>
      </c>
      <c r="E362" s="266" t="s">
        <v>9145</v>
      </c>
      <c r="F362" s="252">
        <f t="shared" si="21"/>
        <v>52750</v>
      </c>
      <c r="G362" s="252">
        <f t="shared" si="21"/>
        <v>60250</v>
      </c>
      <c r="H362" s="252">
        <f t="shared" si="21"/>
        <v>67800</v>
      </c>
      <c r="I362" s="252">
        <f t="shared" si="21"/>
        <v>75300</v>
      </c>
      <c r="J362" s="252">
        <f t="shared" si="21"/>
        <v>81350</v>
      </c>
      <c r="K362" s="252">
        <f t="shared" si="21"/>
        <v>87350</v>
      </c>
      <c r="L362" s="252">
        <f t="shared" si="21"/>
        <v>93400</v>
      </c>
      <c r="M362" s="252">
        <f t="shared" si="21"/>
        <v>99400</v>
      </c>
    </row>
    <row r="363" spans="1:13" ht="21.95" customHeight="1" x14ac:dyDescent="0.25">
      <c r="A363" s="36" t="s">
        <v>2904</v>
      </c>
      <c r="B363" s="36" t="str">
        <f t="shared" si="19"/>
        <v>FL_PENSACOLA-FERRY PASS-BRENT, FL MSA</v>
      </c>
      <c r="D363" s="265" t="s">
        <v>96</v>
      </c>
      <c r="E363" s="266" t="s">
        <v>3246</v>
      </c>
      <c r="F363" s="252">
        <f t="shared" si="21"/>
        <v>54950</v>
      </c>
      <c r="G363" s="252">
        <f t="shared" si="21"/>
        <v>62800</v>
      </c>
      <c r="H363" s="252">
        <f t="shared" si="21"/>
        <v>70650</v>
      </c>
      <c r="I363" s="252">
        <f t="shared" si="21"/>
        <v>78500</v>
      </c>
      <c r="J363" s="252">
        <f t="shared" si="21"/>
        <v>84800</v>
      </c>
      <c r="K363" s="252">
        <f t="shared" si="21"/>
        <v>91100</v>
      </c>
      <c r="L363" s="252">
        <f t="shared" si="21"/>
        <v>97350</v>
      </c>
      <c r="M363" s="252">
        <f t="shared" si="21"/>
        <v>103650</v>
      </c>
    </row>
    <row r="364" spans="1:13" ht="21.95" customHeight="1" x14ac:dyDescent="0.25">
      <c r="A364" s="36" t="s">
        <v>2904</v>
      </c>
      <c r="B364" s="36" t="str">
        <f t="shared" si="19"/>
        <v>FL_PORT ST. LUCIE, FL MSA</v>
      </c>
      <c r="D364" s="265" t="s">
        <v>96</v>
      </c>
      <c r="E364" s="266" t="s">
        <v>3247</v>
      </c>
      <c r="F364" s="252">
        <f t="shared" si="21"/>
        <v>53050</v>
      </c>
      <c r="G364" s="252">
        <f t="shared" si="21"/>
        <v>60600</v>
      </c>
      <c r="H364" s="252">
        <f t="shared" si="21"/>
        <v>68200</v>
      </c>
      <c r="I364" s="252">
        <f t="shared" si="21"/>
        <v>75750</v>
      </c>
      <c r="J364" s="252">
        <f t="shared" si="21"/>
        <v>81850</v>
      </c>
      <c r="K364" s="252">
        <f t="shared" si="21"/>
        <v>87900</v>
      </c>
      <c r="L364" s="252">
        <f t="shared" si="21"/>
        <v>93950</v>
      </c>
      <c r="M364" s="252">
        <f t="shared" si="21"/>
        <v>100000</v>
      </c>
    </row>
    <row r="365" spans="1:13" ht="21.95" customHeight="1" x14ac:dyDescent="0.25">
      <c r="A365" s="36" t="s">
        <v>2904</v>
      </c>
      <c r="B365" s="36" t="str">
        <f t="shared" si="19"/>
        <v>FL_PUNTA GORDA, FL MSA</v>
      </c>
      <c r="D365" s="265" t="s">
        <v>96</v>
      </c>
      <c r="E365" s="266" t="s">
        <v>3248</v>
      </c>
      <c r="F365" s="252">
        <f t="shared" si="21"/>
        <v>49150</v>
      </c>
      <c r="G365" s="252">
        <f t="shared" si="21"/>
        <v>56200</v>
      </c>
      <c r="H365" s="252">
        <f t="shared" si="21"/>
        <v>63200</v>
      </c>
      <c r="I365" s="252">
        <f t="shared" si="21"/>
        <v>70200</v>
      </c>
      <c r="J365" s="252">
        <f t="shared" si="21"/>
        <v>75850</v>
      </c>
      <c r="K365" s="252">
        <f t="shared" si="21"/>
        <v>81450</v>
      </c>
      <c r="L365" s="252">
        <f t="shared" si="21"/>
        <v>87050</v>
      </c>
      <c r="M365" s="252">
        <f t="shared" si="21"/>
        <v>92700</v>
      </c>
    </row>
    <row r="366" spans="1:13" ht="21.95" customHeight="1" x14ac:dyDescent="0.25">
      <c r="A366" s="36" t="s">
        <v>2904</v>
      </c>
      <c r="B366" s="36" t="str">
        <f t="shared" si="19"/>
        <v>FL_PUTNAM COUNTY, FL</v>
      </c>
      <c r="D366" s="265" t="s">
        <v>96</v>
      </c>
      <c r="E366" s="266" t="s">
        <v>3249</v>
      </c>
      <c r="F366" s="252">
        <f t="shared" si="21"/>
        <v>39900</v>
      </c>
      <c r="G366" s="252">
        <f t="shared" si="21"/>
        <v>45600</v>
      </c>
      <c r="H366" s="252">
        <f t="shared" si="21"/>
        <v>51300</v>
      </c>
      <c r="I366" s="252">
        <f t="shared" si="21"/>
        <v>56950</v>
      </c>
      <c r="J366" s="252">
        <f t="shared" si="21"/>
        <v>61550</v>
      </c>
      <c r="K366" s="252">
        <f t="shared" si="21"/>
        <v>66100</v>
      </c>
      <c r="L366" s="252">
        <f t="shared" si="21"/>
        <v>70650</v>
      </c>
      <c r="M366" s="252">
        <f t="shared" si="21"/>
        <v>75200</v>
      </c>
    </row>
    <row r="367" spans="1:13" ht="21.95" customHeight="1" x14ac:dyDescent="0.25">
      <c r="A367" s="36" t="s">
        <v>2904</v>
      </c>
      <c r="B367" s="36" t="str">
        <f t="shared" si="19"/>
        <v>FL_SEBASTIAN-VERO BEACH-WEST VERO CORRIDOR, FL MSA</v>
      </c>
      <c r="D367" s="265" t="s">
        <v>96</v>
      </c>
      <c r="E367" s="266" t="s">
        <v>9147</v>
      </c>
      <c r="F367" s="252">
        <f t="shared" si="21"/>
        <v>52100</v>
      </c>
      <c r="G367" s="252">
        <f t="shared" si="21"/>
        <v>59550</v>
      </c>
      <c r="H367" s="252">
        <f t="shared" si="21"/>
        <v>67000</v>
      </c>
      <c r="I367" s="252">
        <f t="shared" si="21"/>
        <v>74400</v>
      </c>
      <c r="J367" s="252">
        <f t="shared" si="21"/>
        <v>80400</v>
      </c>
      <c r="K367" s="252">
        <f t="shared" si="21"/>
        <v>86350</v>
      </c>
      <c r="L367" s="252">
        <f t="shared" si="21"/>
        <v>92300</v>
      </c>
      <c r="M367" s="252">
        <f t="shared" si="21"/>
        <v>98250</v>
      </c>
    </row>
    <row r="368" spans="1:13" ht="21.95" customHeight="1" x14ac:dyDescent="0.25">
      <c r="A368" s="36" t="s">
        <v>2904</v>
      </c>
      <c r="B368" s="36" t="str">
        <f t="shared" si="19"/>
        <v>FL_SEBRING, FL MSA</v>
      </c>
      <c r="D368" s="265" t="s">
        <v>96</v>
      </c>
      <c r="E368" s="266" t="s">
        <v>3250</v>
      </c>
      <c r="F368" s="252">
        <f t="shared" si="21"/>
        <v>42950</v>
      </c>
      <c r="G368" s="252">
        <f t="shared" si="21"/>
        <v>49050</v>
      </c>
      <c r="H368" s="252">
        <f t="shared" si="21"/>
        <v>55200</v>
      </c>
      <c r="I368" s="252">
        <f t="shared" si="21"/>
        <v>61300</v>
      </c>
      <c r="J368" s="252">
        <f t="shared" si="21"/>
        <v>66250</v>
      </c>
      <c r="K368" s="252">
        <f t="shared" si="21"/>
        <v>71150</v>
      </c>
      <c r="L368" s="252">
        <f t="shared" si="21"/>
        <v>76050</v>
      </c>
      <c r="M368" s="252">
        <f t="shared" si="21"/>
        <v>80950</v>
      </c>
    </row>
    <row r="369" spans="1:13" ht="21.95" customHeight="1" x14ac:dyDescent="0.25">
      <c r="A369" s="36" t="s">
        <v>2904</v>
      </c>
      <c r="B369" s="36" t="str">
        <f t="shared" si="19"/>
        <v>FL_SUWANNEE COUNTY, FL</v>
      </c>
      <c r="D369" s="265" t="s">
        <v>96</v>
      </c>
      <c r="E369" s="266" t="s">
        <v>3251</v>
      </c>
      <c r="F369" s="252">
        <f t="shared" si="21"/>
        <v>39900</v>
      </c>
      <c r="G369" s="252">
        <f t="shared" si="21"/>
        <v>45600</v>
      </c>
      <c r="H369" s="252">
        <f t="shared" si="21"/>
        <v>51300</v>
      </c>
      <c r="I369" s="252">
        <f t="shared" si="21"/>
        <v>56950</v>
      </c>
      <c r="J369" s="252">
        <f t="shared" si="21"/>
        <v>61550</v>
      </c>
      <c r="K369" s="252">
        <f t="shared" si="21"/>
        <v>66100</v>
      </c>
      <c r="L369" s="252">
        <f t="shared" si="21"/>
        <v>70650</v>
      </c>
      <c r="M369" s="252">
        <f t="shared" si="21"/>
        <v>75200</v>
      </c>
    </row>
    <row r="370" spans="1:13" ht="21.95" customHeight="1" x14ac:dyDescent="0.25">
      <c r="A370" s="36" t="s">
        <v>2904</v>
      </c>
      <c r="B370" s="36" t="str">
        <f t="shared" si="19"/>
        <v>FL_TALLAHASSEE, FL HUD METRO FMR AREA</v>
      </c>
      <c r="D370" s="265" t="s">
        <v>96</v>
      </c>
      <c r="E370" s="266" t="s">
        <v>3252</v>
      </c>
      <c r="F370" s="252">
        <f t="shared" si="21"/>
        <v>51700</v>
      </c>
      <c r="G370" s="252">
        <f t="shared" si="21"/>
        <v>59100</v>
      </c>
      <c r="H370" s="252">
        <f t="shared" si="21"/>
        <v>66500</v>
      </c>
      <c r="I370" s="252">
        <f t="shared" si="21"/>
        <v>73850</v>
      </c>
      <c r="J370" s="252">
        <f t="shared" si="21"/>
        <v>79800</v>
      </c>
      <c r="K370" s="252">
        <f t="shared" si="21"/>
        <v>85700</v>
      </c>
      <c r="L370" s="252">
        <f t="shared" si="21"/>
        <v>91600</v>
      </c>
      <c r="M370" s="252">
        <f t="shared" si="21"/>
        <v>97500</v>
      </c>
    </row>
    <row r="371" spans="1:13" ht="21.95" customHeight="1" x14ac:dyDescent="0.25">
      <c r="A371" s="36" t="s">
        <v>2904</v>
      </c>
      <c r="B371" s="36" t="str">
        <f t="shared" si="19"/>
        <v>FL_TAMPA-ST. PETERSBURG-CLEARWATER, FL MSA</v>
      </c>
      <c r="D371" s="265" t="s">
        <v>96</v>
      </c>
      <c r="E371" s="266" t="s">
        <v>3253</v>
      </c>
      <c r="F371" s="252">
        <f t="shared" si="21"/>
        <v>58450</v>
      </c>
      <c r="G371" s="252">
        <f t="shared" si="21"/>
        <v>66800</v>
      </c>
      <c r="H371" s="252">
        <f t="shared" si="21"/>
        <v>75150</v>
      </c>
      <c r="I371" s="252">
        <f t="shared" si="21"/>
        <v>83450</v>
      </c>
      <c r="J371" s="252">
        <f t="shared" si="21"/>
        <v>90150</v>
      </c>
      <c r="K371" s="252">
        <f t="shared" si="21"/>
        <v>96850</v>
      </c>
      <c r="L371" s="252">
        <f t="shared" si="21"/>
        <v>103500</v>
      </c>
      <c r="M371" s="252">
        <f t="shared" si="21"/>
        <v>110200</v>
      </c>
    </row>
    <row r="372" spans="1:13" ht="21.95" customHeight="1" x14ac:dyDescent="0.25">
      <c r="A372" s="36" t="s">
        <v>2904</v>
      </c>
      <c r="B372" s="36" t="str">
        <f t="shared" si="19"/>
        <v>FL_TAYLOR COUNTY, FL</v>
      </c>
      <c r="D372" s="265" t="s">
        <v>96</v>
      </c>
      <c r="E372" s="266" t="s">
        <v>3254</v>
      </c>
      <c r="F372" s="252">
        <f t="shared" si="21"/>
        <v>39900</v>
      </c>
      <c r="G372" s="252">
        <f t="shared" si="21"/>
        <v>45600</v>
      </c>
      <c r="H372" s="252">
        <f t="shared" si="21"/>
        <v>51300</v>
      </c>
      <c r="I372" s="252">
        <f t="shared" si="21"/>
        <v>56950</v>
      </c>
      <c r="J372" s="252">
        <f t="shared" si="21"/>
        <v>61550</v>
      </c>
      <c r="K372" s="252">
        <f t="shared" si="21"/>
        <v>66100</v>
      </c>
      <c r="L372" s="252">
        <f t="shared" si="21"/>
        <v>70650</v>
      </c>
      <c r="M372" s="252">
        <f t="shared" si="21"/>
        <v>75200</v>
      </c>
    </row>
    <row r="373" spans="1:13" ht="21.95" customHeight="1" x14ac:dyDescent="0.25">
      <c r="A373" s="36" t="s">
        <v>2904</v>
      </c>
      <c r="B373" s="36" t="str">
        <f t="shared" si="19"/>
        <v>FL_UNION COUNTY, FL</v>
      </c>
      <c r="D373" s="265" t="s">
        <v>96</v>
      </c>
      <c r="E373" s="266" t="s">
        <v>3255</v>
      </c>
      <c r="F373" s="252">
        <f t="shared" si="21"/>
        <v>43200</v>
      </c>
      <c r="G373" s="252">
        <f t="shared" si="21"/>
        <v>49350</v>
      </c>
      <c r="H373" s="252">
        <f t="shared" si="21"/>
        <v>55500</v>
      </c>
      <c r="I373" s="252">
        <f t="shared" si="21"/>
        <v>61650</v>
      </c>
      <c r="J373" s="252">
        <f t="shared" si="21"/>
        <v>66600</v>
      </c>
      <c r="K373" s="252">
        <f t="shared" si="21"/>
        <v>71550</v>
      </c>
      <c r="L373" s="252">
        <f t="shared" si="21"/>
        <v>76450</v>
      </c>
      <c r="M373" s="252">
        <f t="shared" si="21"/>
        <v>81400</v>
      </c>
    </row>
    <row r="374" spans="1:13" ht="21.95" customHeight="1" x14ac:dyDescent="0.25">
      <c r="A374" s="36" t="s">
        <v>2904</v>
      </c>
      <c r="B374" s="36" t="str">
        <f t="shared" si="19"/>
        <v>FL_WAKULLA COUNTY, FL HUD METRO FMR AREA</v>
      </c>
      <c r="D374" s="265" t="s">
        <v>96</v>
      </c>
      <c r="E374" s="266" t="s">
        <v>3256</v>
      </c>
      <c r="F374" s="252">
        <f t="shared" si="21"/>
        <v>51950</v>
      </c>
      <c r="G374" s="252">
        <f t="shared" si="21"/>
        <v>59350</v>
      </c>
      <c r="H374" s="252">
        <f t="shared" si="21"/>
        <v>66750</v>
      </c>
      <c r="I374" s="252">
        <f t="shared" si="21"/>
        <v>74150</v>
      </c>
      <c r="J374" s="252">
        <f t="shared" si="21"/>
        <v>80100</v>
      </c>
      <c r="K374" s="252">
        <f t="shared" si="21"/>
        <v>86050</v>
      </c>
      <c r="L374" s="252">
        <f t="shared" si="21"/>
        <v>91950</v>
      </c>
      <c r="M374" s="252">
        <f t="shared" si="21"/>
        <v>97900</v>
      </c>
    </row>
    <row r="375" spans="1:13" ht="21.95" customHeight="1" x14ac:dyDescent="0.25">
      <c r="A375" s="36" t="s">
        <v>2904</v>
      </c>
      <c r="B375" s="36" t="str">
        <f t="shared" si="19"/>
        <v>FL_WALTON COUNTY, FL HUD METRO FMR AREA</v>
      </c>
      <c r="D375" s="265" t="s">
        <v>96</v>
      </c>
      <c r="E375" s="266" t="s">
        <v>3257</v>
      </c>
      <c r="F375" s="252">
        <f t="shared" si="21"/>
        <v>55400</v>
      </c>
      <c r="G375" s="252">
        <f t="shared" si="21"/>
        <v>63300</v>
      </c>
      <c r="H375" s="252">
        <f t="shared" si="21"/>
        <v>71200</v>
      </c>
      <c r="I375" s="252">
        <f t="shared" si="21"/>
        <v>79100</v>
      </c>
      <c r="J375" s="252">
        <f t="shared" si="21"/>
        <v>85450</v>
      </c>
      <c r="K375" s="252">
        <f t="shared" si="21"/>
        <v>91800</v>
      </c>
      <c r="L375" s="252">
        <f t="shared" si="21"/>
        <v>98100</v>
      </c>
      <c r="M375" s="252">
        <f t="shared" si="21"/>
        <v>104450</v>
      </c>
    </row>
    <row r="376" spans="1:13" ht="21.95" customHeight="1" x14ac:dyDescent="0.25">
      <c r="A376" s="36" t="s">
        <v>2904</v>
      </c>
      <c r="B376" s="36" t="str">
        <f t="shared" si="19"/>
        <v>FL_WASHINGTON COUNTY, FL HUD METRO FMR AREA</v>
      </c>
      <c r="D376" s="265" t="s">
        <v>96</v>
      </c>
      <c r="E376" s="266" t="s">
        <v>9150</v>
      </c>
      <c r="F376" s="252">
        <f t="shared" si="21"/>
        <v>39900</v>
      </c>
      <c r="G376" s="252">
        <f t="shared" si="21"/>
        <v>45600</v>
      </c>
      <c r="H376" s="252">
        <f t="shared" si="21"/>
        <v>51300</v>
      </c>
      <c r="I376" s="252">
        <f t="shared" si="21"/>
        <v>56950</v>
      </c>
      <c r="J376" s="252">
        <f t="shared" si="21"/>
        <v>61550</v>
      </c>
      <c r="K376" s="252">
        <f t="shared" si="21"/>
        <v>66100</v>
      </c>
      <c r="L376" s="252">
        <f t="shared" si="21"/>
        <v>70650</v>
      </c>
      <c r="M376" s="252">
        <f t="shared" si="21"/>
        <v>75200</v>
      </c>
    </row>
    <row r="377" spans="1:13" ht="21.95" customHeight="1" x14ac:dyDescent="0.25">
      <c r="A377" s="36" t="s">
        <v>2904</v>
      </c>
      <c r="B377" s="36" t="str">
        <f t="shared" si="19"/>
        <v>FL_WEST PALM BEACH-BOCA RATON, FL HUD METRO FMR AREA</v>
      </c>
      <c r="D377" s="265" t="s">
        <v>96</v>
      </c>
      <c r="E377" s="266" t="s">
        <v>3258</v>
      </c>
      <c r="F377" s="252">
        <f t="shared" si="21"/>
        <v>65450</v>
      </c>
      <c r="G377" s="252">
        <f t="shared" si="21"/>
        <v>74800</v>
      </c>
      <c r="H377" s="252">
        <f t="shared" si="21"/>
        <v>84150</v>
      </c>
      <c r="I377" s="252">
        <f t="shared" si="21"/>
        <v>93500</v>
      </c>
      <c r="J377" s="252">
        <f t="shared" si="21"/>
        <v>101000</v>
      </c>
      <c r="K377" s="252">
        <f t="shared" si="21"/>
        <v>108500</v>
      </c>
      <c r="L377" s="252">
        <f t="shared" si="21"/>
        <v>115950</v>
      </c>
      <c r="M377" s="252">
        <f t="shared" si="21"/>
        <v>123450</v>
      </c>
    </row>
    <row r="378" spans="1:13" ht="21.95" customHeight="1" x14ac:dyDescent="0.25">
      <c r="A378" s="36" t="s">
        <v>2904</v>
      </c>
      <c r="B378" s="36" t="str">
        <f t="shared" si="19"/>
        <v>FL_WILDWOOD-THE VILLAGES, FL MSA</v>
      </c>
      <c r="D378" s="265" t="s">
        <v>96</v>
      </c>
      <c r="E378" s="266" t="s">
        <v>9149</v>
      </c>
      <c r="F378" s="252">
        <f t="shared" si="21"/>
        <v>53550</v>
      </c>
      <c r="G378" s="252">
        <f t="shared" si="21"/>
        <v>61200</v>
      </c>
      <c r="H378" s="252">
        <f t="shared" si="21"/>
        <v>68850</v>
      </c>
      <c r="I378" s="252">
        <f t="shared" si="21"/>
        <v>76500</v>
      </c>
      <c r="J378" s="252">
        <f t="shared" si="21"/>
        <v>82650</v>
      </c>
      <c r="K378" s="252">
        <f t="shared" si="21"/>
        <v>88750</v>
      </c>
      <c r="L378" s="252">
        <f t="shared" si="21"/>
        <v>94900</v>
      </c>
      <c r="M378" s="252">
        <f t="shared" si="21"/>
        <v>101000</v>
      </c>
    </row>
    <row r="379" spans="1:13" ht="21.95" customHeight="1" x14ac:dyDescent="0.25">
      <c r="A379" s="36" t="s">
        <v>2904</v>
      </c>
      <c r="B379" s="36" t="str">
        <f t="shared" si="19"/>
        <v>GA_ALBANY, GA MSA</v>
      </c>
      <c r="D379" s="265" t="s">
        <v>95</v>
      </c>
      <c r="E379" s="266" t="s">
        <v>3259</v>
      </c>
      <c r="F379" s="252">
        <f t="shared" si="21"/>
        <v>42700</v>
      </c>
      <c r="G379" s="252">
        <f t="shared" si="21"/>
        <v>48800</v>
      </c>
      <c r="H379" s="252">
        <f t="shared" si="21"/>
        <v>54900</v>
      </c>
      <c r="I379" s="252">
        <f t="shared" si="21"/>
        <v>60950</v>
      </c>
      <c r="J379" s="252">
        <f t="shared" si="21"/>
        <v>65850</v>
      </c>
      <c r="K379" s="252">
        <f t="shared" si="21"/>
        <v>70750</v>
      </c>
      <c r="L379" s="252">
        <f t="shared" si="21"/>
        <v>75600</v>
      </c>
      <c r="M379" s="252">
        <f t="shared" si="21"/>
        <v>80500</v>
      </c>
    </row>
    <row r="380" spans="1:13" ht="21.95" customHeight="1" x14ac:dyDescent="0.25">
      <c r="A380" s="36" t="s">
        <v>2904</v>
      </c>
      <c r="B380" s="36" t="str">
        <f t="shared" ref="B380:B443" si="22">UPPER(TRIM(D380)&amp;"_"&amp;TRIM(E380))</f>
        <v>GA_APPLING COUNTY, GA</v>
      </c>
      <c r="D380" s="265" t="s">
        <v>95</v>
      </c>
      <c r="E380" s="266" t="s">
        <v>3260</v>
      </c>
      <c r="F380" s="252">
        <f t="shared" si="21"/>
        <v>42700</v>
      </c>
      <c r="G380" s="252">
        <f t="shared" si="21"/>
        <v>48800</v>
      </c>
      <c r="H380" s="252">
        <f t="shared" si="21"/>
        <v>54900</v>
      </c>
      <c r="I380" s="252">
        <f t="shared" si="21"/>
        <v>60950</v>
      </c>
      <c r="J380" s="252">
        <f t="shared" si="21"/>
        <v>65850</v>
      </c>
      <c r="K380" s="252">
        <f t="shared" si="21"/>
        <v>70750</v>
      </c>
      <c r="L380" s="252">
        <f t="shared" si="21"/>
        <v>75600</v>
      </c>
      <c r="M380" s="252">
        <f t="shared" si="21"/>
        <v>80500</v>
      </c>
    </row>
    <row r="381" spans="1:13" ht="21.95" customHeight="1" x14ac:dyDescent="0.25">
      <c r="A381" s="36" t="s">
        <v>2904</v>
      </c>
      <c r="B381" s="36" t="str">
        <f t="shared" si="22"/>
        <v>GA_ATHENS-CLARKE COUNTY, GA MSA</v>
      </c>
      <c r="D381" s="265" t="s">
        <v>95</v>
      </c>
      <c r="E381" s="266" t="s">
        <v>3261</v>
      </c>
      <c r="F381" s="252">
        <f t="shared" si="21"/>
        <v>52850</v>
      </c>
      <c r="G381" s="252">
        <f t="shared" si="21"/>
        <v>60400</v>
      </c>
      <c r="H381" s="252">
        <f t="shared" si="21"/>
        <v>67950</v>
      </c>
      <c r="I381" s="252">
        <f t="shared" si="21"/>
        <v>75450</v>
      </c>
      <c r="J381" s="252">
        <f t="shared" si="21"/>
        <v>81500</v>
      </c>
      <c r="K381" s="252">
        <f t="shared" si="21"/>
        <v>87550</v>
      </c>
      <c r="L381" s="252">
        <f t="shared" si="21"/>
        <v>93600</v>
      </c>
      <c r="M381" s="252">
        <f t="shared" si="21"/>
        <v>99600</v>
      </c>
    </row>
    <row r="382" spans="1:13" ht="21.95" customHeight="1" x14ac:dyDescent="0.25">
      <c r="A382" s="36" t="s">
        <v>2904</v>
      </c>
      <c r="B382" s="36" t="str">
        <f t="shared" si="22"/>
        <v>GA_ATKINSON COUNTY, GA</v>
      </c>
      <c r="D382" s="265" t="s">
        <v>95</v>
      </c>
      <c r="E382" s="266" t="s">
        <v>3262</v>
      </c>
      <c r="F382" s="252">
        <f t="shared" si="21"/>
        <v>42700</v>
      </c>
      <c r="G382" s="252">
        <f t="shared" si="21"/>
        <v>48800</v>
      </c>
      <c r="H382" s="252">
        <f t="shared" si="21"/>
        <v>54900</v>
      </c>
      <c r="I382" s="252">
        <f t="shared" si="21"/>
        <v>60950</v>
      </c>
      <c r="J382" s="252">
        <f t="shared" si="21"/>
        <v>65850</v>
      </c>
      <c r="K382" s="252">
        <f t="shared" si="21"/>
        <v>70750</v>
      </c>
      <c r="L382" s="252">
        <f t="shared" si="21"/>
        <v>75600</v>
      </c>
      <c r="M382" s="252">
        <f t="shared" si="21"/>
        <v>80500</v>
      </c>
    </row>
    <row r="383" spans="1:13" ht="21.95" customHeight="1" x14ac:dyDescent="0.25">
      <c r="A383" s="36" t="s">
        <v>2904</v>
      </c>
      <c r="B383" s="36" t="str">
        <f t="shared" si="22"/>
        <v>GA_ATLANTA-SANDY SPRINGS-ROSWELL, GA HUD METRO FMR AREA</v>
      </c>
      <c r="D383" s="265" t="s">
        <v>95</v>
      </c>
      <c r="E383" s="266" t="s">
        <v>3263</v>
      </c>
      <c r="F383" s="252">
        <f t="shared" si="21"/>
        <v>63950</v>
      </c>
      <c r="G383" s="252">
        <f t="shared" si="21"/>
        <v>73100</v>
      </c>
      <c r="H383" s="252">
        <f t="shared" si="21"/>
        <v>82250</v>
      </c>
      <c r="I383" s="252">
        <f t="shared" si="21"/>
        <v>91350</v>
      </c>
      <c r="J383" s="252">
        <f t="shared" si="21"/>
        <v>98700</v>
      </c>
      <c r="K383" s="252">
        <f t="shared" si="21"/>
        <v>106000</v>
      </c>
      <c r="L383" s="252">
        <f t="shared" si="21"/>
        <v>113300</v>
      </c>
      <c r="M383" s="252">
        <f t="shared" si="21"/>
        <v>120600</v>
      </c>
    </row>
    <row r="384" spans="1:13" ht="21.95" customHeight="1" x14ac:dyDescent="0.25">
      <c r="A384" s="36" t="s">
        <v>2904</v>
      </c>
      <c r="B384" s="36" t="str">
        <f t="shared" si="22"/>
        <v>GA_AUGUSTA-RICHMOND COUNTY, GA-SC HUD METRO FMR AREA</v>
      </c>
      <c r="D384" s="265" t="s">
        <v>95</v>
      </c>
      <c r="E384" s="266" t="s">
        <v>3264</v>
      </c>
      <c r="F384" s="252">
        <f t="shared" si="21"/>
        <v>49500</v>
      </c>
      <c r="G384" s="252">
        <f t="shared" si="21"/>
        <v>56550</v>
      </c>
      <c r="H384" s="252">
        <f t="shared" si="21"/>
        <v>63600</v>
      </c>
      <c r="I384" s="252">
        <f t="shared" si="21"/>
        <v>70650</v>
      </c>
      <c r="J384" s="252">
        <f t="shared" si="21"/>
        <v>76350</v>
      </c>
      <c r="K384" s="252">
        <f t="shared" si="21"/>
        <v>82000</v>
      </c>
      <c r="L384" s="252">
        <f t="shared" si="21"/>
        <v>87650</v>
      </c>
      <c r="M384" s="252">
        <f t="shared" si="21"/>
        <v>93300</v>
      </c>
    </row>
    <row r="385" spans="1:13" ht="21.95" customHeight="1" x14ac:dyDescent="0.25">
      <c r="A385" s="36" t="s">
        <v>2904</v>
      </c>
      <c r="B385" s="36" t="str">
        <f t="shared" si="22"/>
        <v>GA_BACON COUNTY, GA</v>
      </c>
      <c r="D385" s="265" t="s">
        <v>95</v>
      </c>
      <c r="E385" s="266" t="s">
        <v>3265</v>
      </c>
      <c r="F385" s="252">
        <f t="shared" si="21"/>
        <v>42700</v>
      </c>
      <c r="G385" s="252">
        <f t="shared" si="21"/>
        <v>48800</v>
      </c>
      <c r="H385" s="252">
        <f t="shared" si="21"/>
        <v>54900</v>
      </c>
      <c r="I385" s="252">
        <f t="shared" si="21"/>
        <v>60950</v>
      </c>
      <c r="J385" s="252">
        <f t="shared" si="21"/>
        <v>65850</v>
      </c>
      <c r="K385" s="252">
        <f t="shared" si="21"/>
        <v>70750</v>
      </c>
      <c r="L385" s="252">
        <f t="shared" si="21"/>
        <v>75600</v>
      </c>
      <c r="M385" s="252">
        <f t="shared" si="21"/>
        <v>80500</v>
      </c>
    </row>
    <row r="386" spans="1:13" ht="21.95" customHeight="1" x14ac:dyDescent="0.25">
      <c r="A386" s="36" t="s">
        <v>2904</v>
      </c>
      <c r="B386" s="36" t="str">
        <f t="shared" si="22"/>
        <v>GA_BAKER COUNTY, GA</v>
      </c>
      <c r="D386" s="265" t="s">
        <v>95</v>
      </c>
      <c r="E386" s="266" t="s">
        <v>3266</v>
      </c>
      <c r="F386" s="252">
        <f t="shared" si="21"/>
        <v>42700</v>
      </c>
      <c r="G386" s="252">
        <f t="shared" si="21"/>
        <v>48800</v>
      </c>
      <c r="H386" s="252">
        <f t="shared" si="21"/>
        <v>54900</v>
      </c>
      <c r="I386" s="252">
        <f t="shared" si="21"/>
        <v>60950</v>
      </c>
      <c r="J386" s="252">
        <f t="shared" si="21"/>
        <v>65850</v>
      </c>
      <c r="K386" s="252">
        <f t="shared" si="21"/>
        <v>70750</v>
      </c>
      <c r="L386" s="252">
        <f t="shared" si="21"/>
        <v>75600</v>
      </c>
      <c r="M386" s="252">
        <f t="shared" si="21"/>
        <v>80500</v>
      </c>
    </row>
    <row r="387" spans="1:13" ht="21.95" customHeight="1" x14ac:dyDescent="0.25">
      <c r="A387" s="36" t="s">
        <v>2904</v>
      </c>
      <c r="B387" s="36" t="str">
        <f t="shared" si="22"/>
        <v>GA_BALDWIN COUNTY, GA</v>
      </c>
      <c r="D387" s="265" t="s">
        <v>95</v>
      </c>
      <c r="E387" s="266" t="s">
        <v>3267</v>
      </c>
      <c r="F387" s="252">
        <f t="shared" si="21"/>
        <v>44750</v>
      </c>
      <c r="G387" s="252">
        <f t="shared" si="21"/>
        <v>51150</v>
      </c>
      <c r="H387" s="252">
        <f t="shared" si="21"/>
        <v>57550</v>
      </c>
      <c r="I387" s="252">
        <f t="shared" si="21"/>
        <v>63900</v>
      </c>
      <c r="J387" s="252">
        <f t="shared" si="21"/>
        <v>69050</v>
      </c>
      <c r="K387" s="252">
        <f t="shared" si="21"/>
        <v>74150</v>
      </c>
      <c r="L387" s="252">
        <f t="shared" si="21"/>
        <v>79250</v>
      </c>
      <c r="M387" s="252">
        <f t="shared" si="21"/>
        <v>84350</v>
      </c>
    </row>
    <row r="388" spans="1:13" ht="21.95" customHeight="1" x14ac:dyDescent="0.25">
      <c r="A388" s="36" t="s">
        <v>2904</v>
      </c>
      <c r="B388" s="36" t="str">
        <f t="shared" si="22"/>
        <v>GA_BANKS COUNTY, GA</v>
      </c>
      <c r="D388" s="265" t="s">
        <v>95</v>
      </c>
      <c r="E388" s="266" t="s">
        <v>3268</v>
      </c>
      <c r="F388" s="252">
        <f t="shared" si="21"/>
        <v>45050</v>
      </c>
      <c r="G388" s="252">
        <f t="shared" si="21"/>
        <v>51500</v>
      </c>
      <c r="H388" s="252">
        <f t="shared" si="21"/>
        <v>57950</v>
      </c>
      <c r="I388" s="252">
        <f t="shared" si="21"/>
        <v>64350</v>
      </c>
      <c r="J388" s="252">
        <f t="shared" si="21"/>
        <v>69500</v>
      </c>
      <c r="K388" s="252">
        <f t="shared" si="21"/>
        <v>74650</v>
      </c>
      <c r="L388" s="252">
        <f t="shared" si="21"/>
        <v>79800</v>
      </c>
      <c r="M388" s="252">
        <f t="shared" si="21"/>
        <v>84950</v>
      </c>
    </row>
    <row r="389" spans="1:13" ht="21.95" customHeight="1" x14ac:dyDescent="0.25">
      <c r="A389" s="36" t="s">
        <v>2904</v>
      </c>
      <c r="B389" s="36" t="str">
        <f t="shared" si="22"/>
        <v>GA_BEN HILL COUNTY, GA</v>
      </c>
      <c r="D389" s="265" t="s">
        <v>95</v>
      </c>
      <c r="E389" s="266" t="s">
        <v>3269</v>
      </c>
      <c r="F389" s="252">
        <f t="shared" si="21"/>
        <v>42700</v>
      </c>
      <c r="G389" s="252">
        <f t="shared" si="21"/>
        <v>48800</v>
      </c>
      <c r="H389" s="252">
        <f t="shared" si="21"/>
        <v>54900</v>
      </c>
      <c r="I389" s="252">
        <f t="shared" si="21"/>
        <v>60950</v>
      </c>
      <c r="J389" s="252">
        <f t="shared" si="21"/>
        <v>65850</v>
      </c>
      <c r="K389" s="252">
        <f t="shared" si="21"/>
        <v>70750</v>
      </c>
      <c r="L389" s="252">
        <f t="shared" si="21"/>
        <v>75600</v>
      </c>
      <c r="M389" s="252">
        <f t="shared" si="21"/>
        <v>80500</v>
      </c>
    </row>
    <row r="390" spans="1:13" ht="21.95" customHeight="1" x14ac:dyDescent="0.25">
      <c r="A390" s="36" t="s">
        <v>2904</v>
      </c>
      <c r="B390" s="36" t="str">
        <f t="shared" si="22"/>
        <v>GA_BERRIEN COUNTY, GA</v>
      </c>
      <c r="D390" s="265" t="s">
        <v>95</v>
      </c>
      <c r="E390" s="266" t="s">
        <v>3270</v>
      </c>
      <c r="F390" s="252">
        <f t="shared" si="21"/>
        <v>42700</v>
      </c>
      <c r="G390" s="252">
        <f t="shared" si="21"/>
        <v>48800</v>
      </c>
      <c r="H390" s="252">
        <f t="shared" si="21"/>
        <v>54900</v>
      </c>
      <c r="I390" s="252">
        <f t="shared" si="21"/>
        <v>60950</v>
      </c>
      <c r="J390" s="252">
        <f t="shared" si="21"/>
        <v>65850</v>
      </c>
      <c r="K390" s="252">
        <f t="shared" si="21"/>
        <v>70750</v>
      </c>
      <c r="L390" s="252">
        <f t="shared" si="21"/>
        <v>75600</v>
      </c>
      <c r="M390" s="252">
        <f t="shared" si="21"/>
        <v>80500</v>
      </c>
    </row>
    <row r="391" spans="1:13" ht="21.95" customHeight="1" x14ac:dyDescent="0.25">
      <c r="A391" s="36" t="s">
        <v>2904</v>
      </c>
      <c r="B391" s="36" t="str">
        <f t="shared" si="22"/>
        <v>GA_BLECKLEY COUNTY, GA</v>
      </c>
      <c r="D391" s="265" t="s">
        <v>95</v>
      </c>
      <c r="E391" s="266" t="s">
        <v>3271</v>
      </c>
      <c r="F391" s="252">
        <f t="shared" si="21"/>
        <v>42700</v>
      </c>
      <c r="G391" s="252">
        <f t="shared" si="21"/>
        <v>48800</v>
      </c>
      <c r="H391" s="252">
        <f t="shared" si="21"/>
        <v>54900</v>
      </c>
      <c r="I391" s="252">
        <f t="shared" si="21"/>
        <v>60950</v>
      </c>
      <c r="J391" s="252">
        <f t="shared" si="21"/>
        <v>65850</v>
      </c>
      <c r="K391" s="252">
        <f t="shared" si="21"/>
        <v>70750</v>
      </c>
      <c r="L391" s="252">
        <f t="shared" si="21"/>
        <v>75600</v>
      </c>
      <c r="M391" s="252">
        <f t="shared" si="21"/>
        <v>80500</v>
      </c>
    </row>
    <row r="392" spans="1:13" ht="21.95" customHeight="1" x14ac:dyDescent="0.25">
      <c r="A392" s="36" t="s">
        <v>2904</v>
      </c>
      <c r="B392" s="36" t="str">
        <f t="shared" si="22"/>
        <v>GA_BRUNSWICK-ST. SIMONS, GA MSA</v>
      </c>
      <c r="D392" s="265" t="s">
        <v>95</v>
      </c>
      <c r="E392" s="266" t="s">
        <v>9151</v>
      </c>
      <c r="F392" s="252">
        <f t="shared" si="21"/>
        <v>47100</v>
      </c>
      <c r="G392" s="252">
        <f t="shared" si="21"/>
        <v>53800</v>
      </c>
      <c r="H392" s="252">
        <f t="shared" si="21"/>
        <v>60550</v>
      </c>
      <c r="I392" s="252">
        <f t="shared" si="21"/>
        <v>67250</v>
      </c>
      <c r="J392" s="252">
        <f t="shared" si="21"/>
        <v>72650</v>
      </c>
      <c r="K392" s="252">
        <f t="shared" si="21"/>
        <v>78050</v>
      </c>
      <c r="L392" s="252">
        <f t="shared" ref="F392:M424" si="23">VLOOKUP($B392,LOOKUP_AMI_TABLE,5+((L$7-1)),FALSE)</f>
        <v>83400</v>
      </c>
      <c r="M392" s="252">
        <f t="shared" si="23"/>
        <v>88800</v>
      </c>
    </row>
    <row r="393" spans="1:13" ht="21.95" customHeight="1" x14ac:dyDescent="0.25">
      <c r="A393" s="36" t="s">
        <v>2904</v>
      </c>
      <c r="B393" s="36" t="str">
        <f t="shared" si="22"/>
        <v>GA_BULLOCH COUNTY, GA</v>
      </c>
      <c r="D393" s="265" t="s">
        <v>95</v>
      </c>
      <c r="E393" s="266" t="s">
        <v>3272</v>
      </c>
      <c r="F393" s="252">
        <f t="shared" si="23"/>
        <v>43550</v>
      </c>
      <c r="G393" s="252">
        <f t="shared" si="23"/>
        <v>49750</v>
      </c>
      <c r="H393" s="252">
        <f t="shared" si="23"/>
        <v>55950</v>
      </c>
      <c r="I393" s="252">
        <f t="shared" si="23"/>
        <v>62150</v>
      </c>
      <c r="J393" s="252">
        <f t="shared" si="23"/>
        <v>67150</v>
      </c>
      <c r="K393" s="252">
        <f t="shared" si="23"/>
        <v>72100</v>
      </c>
      <c r="L393" s="252">
        <f t="shared" si="23"/>
        <v>77100</v>
      </c>
      <c r="M393" s="252">
        <f t="shared" si="23"/>
        <v>82050</v>
      </c>
    </row>
    <row r="394" spans="1:13" ht="21.95" customHeight="1" x14ac:dyDescent="0.25">
      <c r="A394" s="36" t="s">
        <v>2904</v>
      </c>
      <c r="B394" s="36" t="str">
        <f t="shared" si="22"/>
        <v>GA_BUTTS COUNTY, GA HUD METRO FMR AREA</v>
      </c>
      <c r="D394" s="265" t="s">
        <v>95</v>
      </c>
      <c r="E394" s="266" t="s">
        <v>3273</v>
      </c>
      <c r="F394" s="252">
        <f t="shared" si="23"/>
        <v>43750</v>
      </c>
      <c r="G394" s="252">
        <f t="shared" si="23"/>
        <v>50000</v>
      </c>
      <c r="H394" s="252">
        <f t="shared" si="23"/>
        <v>56250</v>
      </c>
      <c r="I394" s="252">
        <f t="shared" si="23"/>
        <v>62450</v>
      </c>
      <c r="J394" s="252">
        <f t="shared" si="23"/>
        <v>67450</v>
      </c>
      <c r="K394" s="252">
        <f t="shared" si="23"/>
        <v>72450</v>
      </c>
      <c r="L394" s="252">
        <f t="shared" si="23"/>
        <v>77450</v>
      </c>
      <c r="M394" s="252">
        <f t="shared" si="23"/>
        <v>82450</v>
      </c>
    </row>
    <row r="395" spans="1:13" ht="21.95" customHeight="1" x14ac:dyDescent="0.25">
      <c r="A395" s="36" t="s">
        <v>2904</v>
      </c>
      <c r="B395" s="36" t="str">
        <f t="shared" si="22"/>
        <v>GA_CALHOUN COUNTY, GA</v>
      </c>
      <c r="D395" s="265" t="s">
        <v>95</v>
      </c>
      <c r="E395" s="266" t="s">
        <v>3274</v>
      </c>
      <c r="F395" s="252">
        <f t="shared" si="23"/>
        <v>42700</v>
      </c>
      <c r="G395" s="252">
        <f t="shared" si="23"/>
        <v>48800</v>
      </c>
      <c r="H395" s="252">
        <f t="shared" si="23"/>
        <v>54900</v>
      </c>
      <c r="I395" s="252">
        <f t="shared" si="23"/>
        <v>60950</v>
      </c>
      <c r="J395" s="252">
        <f t="shared" si="23"/>
        <v>65850</v>
      </c>
      <c r="K395" s="252">
        <f t="shared" si="23"/>
        <v>70750</v>
      </c>
      <c r="L395" s="252">
        <f t="shared" si="23"/>
        <v>75600</v>
      </c>
      <c r="M395" s="252">
        <f t="shared" si="23"/>
        <v>80500</v>
      </c>
    </row>
    <row r="396" spans="1:13" ht="21.95" customHeight="1" x14ac:dyDescent="0.25">
      <c r="A396" s="36" t="s">
        <v>2904</v>
      </c>
      <c r="B396" s="36" t="str">
        <f t="shared" si="22"/>
        <v>GA_CAMDEN COUNTY, GA</v>
      </c>
      <c r="D396" s="265" t="s">
        <v>95</v>
      </c>
      <c r="E396" s="266" t="s">
        <v>3275</v>
      </c>
      <c r="F396" s="252">
        <f t="shared" si="23"/>
        <v>48550</v>
      </c>
      <c r="G396" s="252">
        <f t="shared" si="23"/>
        <v>55450</v>
      </c>
      <c r="H396" s="252">
        <f t="shared" si="23"/>
        <v>62400</v>
      </c>
      <c r="I396" s="252">
        <f t="shared" si="23"/>
        <v>69300</v>
      </c>
      <c r="J396" s="252">
        <f t="shared" si="23"/>
        <v>74850</v>
      </c>
      <c r="K396" s="252">
        <f t="shared" si="23"/>
        <v>80400</v>
      </c>
      <c r="L396" s="252">
        <f t="shared" si="23"/>
        <v>85950</v>
      </c>
      <c r="M396" s="252">
        <f t="shared" si="23"/>
        <v>91500</v>
      </c>
    </row>
    <row r="397" spans="1:13" ht="21.95" customHeight="1" x14ac:dyDescent="0.25">
      <c r="A397" s="36" t="s">
        <v>2904</v>
      </c>
      <c r="B397" s="36" t="str">
        <f t="shared" si="22"/>
        <v>GA_CANDLER COUNTY, GA</v>
      </c>
      <c r="D397" s="265" t="s">
        <v>95</v>
      </c>
      <c r="E397" s="266" t="s">
        <v>3276</v>
      </c>
      <c r="F397" s="252">
        <f t="shared" si="23"/>
        <v>42700</v>
      </c>
      <c r="G397" s="252">
        <f t="shared" si="23"/>
        <v>48800</v>
      </c>
      <c r="H397" s="252">
        <f t="shared" si="23"/>
        <v>54900</v>
      </c>
      <c r="I397" s="252">
        <f t="shared" si="23"/>
        <v>60950</v>
      </c>
      <c r="J397" s="252">
        <f t="shared" si="23"/>
        <v>65850</v>
      </c>
      <c r="K397" s="252">
        <f t="shared" si="23"/>
        <v>70750</v>
      </c>
      <c r="L397" s="252">
        <f t="shared" si="23"/>
        <v>75600</v>
      </c>
      <c r="M397" s="252">
        <f t="shared" si="23"/>
        <v>80500</v>
      </c>
    </row>
    <row r="398" spans="1:13" ht="21.95" customHeight="1" x14ac:dyDescent="0.25">
      <c r="A398" s="36" t="s">
        <v>2904</v>
      </c>
      <c r="B398" s="36" t="str">
        <f t="shared" si="22"/>
        <v>GA_CHARLTON COUNTY, GA</v>
      </c>
      <c r="D398" s="265" t="s">
        <v>95</v>
      </c>
      <c r="E398" s="266" t="s">
        <v>3277</v>
      </c>
      <c r="F398" s="252">
        <f t="shared" si="23"/>
        <v>42700</v>
      </c>
      <c r="G398" s="252">
        <f t="shared" si="23"/>
        <v>48800</v>
      </c>
      <c r="H398" s="252">
        <f t="shared" si="23"/>
        <v>54900</v>
      </c>
      <c r="I398" s="252">
        <f t="shared" si="23"/>
        <v>60950</v>
      </c>
      <c r="J398" s="252">
        <f t="shared" si="23"/>
        <v>65850</v>
      </c>
      <c r="K398" s="252">
        <f t="shared" si="23"/>
        <v>70750</v>
      </c>
      <c r="L398" s="252">
        <f t="shared" si="23"/>
        <v>75600</v>
      </c>
      <c r="M398" s="252">
        <f t="shared" si="23"/>
        <v>80500</v>
      </c>
    </row>
    <row r="399" spans="1:13" ht="21.95" customHeight="1" x14ac:dyDescent="0.25">
      <c r="A399" s="36" t="s">
        <v>2904</v>
      </c>
      <c r="B399" s="36" t="str">
        <f t="shared" si="22"/>
        <v>GA_CHATTANOOGA, TN-GA MSA</v>
      </c>
      <c r="D399" s="265" t="s">
        <v>95</v>
      </c>
      <c r="E399" s="266" t="s">
        <v>3278</v>
      </c>
      <c r="F399" s="252">
        <f t="shared" si="23"/>
        <v>53500</v>
      </c>
      <c r="G399" s="252">
        <f t="shared" si="23"/>
        <v>61150</v>
      </c>
      <c r="H399" s="252">
        <f t="shared" si="23"/>
        <v>68800</v>
      </c>
      <c r="I399" s="252">
        <f t="shared" si="23"/>
        <v>76400</v>
      </c>
      <c r="J399" s="252">
        <f t="shared" si="23"/>
        <v>82550</v>
      </c>
      <c r="K399" s="252">
        <f t="shared" si="23"/>
        <v>88650</v>
      </c>
      <c r="L399" s="252">
        <f t="shared" si="23"/>
        <v>94750</v>
      </c>
      <c r="M399" s="252">
        <f t="shared" si="23"/>
        <v>100850</v>
      </c>
    </row>
    <row r="400" spans="1:13" ht="21.95" customHeight="1" x14ac:dyDescent="0.25">
      <c r="A400" s="36" t="s">
        <v>2904</v>
      </c>
      <c r="B400" s="36" t="str">
        <f t="shared" si="22"/>
        <v>GA_CHATTOOGA COUNTY, GA</v>
      </c>
      <c r="D400" s="265" t="s">
        <v>95</v>
      </c>
      <c r="E400" s="266" t="s">
        <v>3279</v>
      </c>
      <c r="F400" s="252">
        <f t="shared" si="23"/>
        <v>42700</v>
      </c>
      <c r="G400" s="252">
        <f t="shared" si="23"/>
        <v>48800</v>
      </c>
      <c r="H400" s="252">
        <f t="shared" si="23"/>
        <v>54900</v>
      </c>
      <c r="I400" s="252">
        <f t="shared" si="23"/>
        <v>60950</v>
      </c>
      <c r="J400" s="252">
        <f t="shared" si="23"/>
        <v>65850</v>
      </c>
      <c r="K400" s="252">
        <f t="shared" si="23"/>
        <v>70750</v>
      </c>
      <c r="L400" s="252">
        <f t="shared" si="23"/>
        <v>75600</v>
      </c>
      <c r="M400" s="252">
        <f t="shared" si="23"/>
        <v>80500</v>
      </c>
    </row>
    <row r="401" spans="1:13" ht="21.95" customHeight="1" x14ac:dyDescent="0.25">
      <c r="A401" s="36" t="s">
        <v>2904</v>
      </c>
      <c r="B401" s="36" t="str">
        <f t="shared" si="22"/>
        <v>GA_CLAY COUNTY, GA</v>
      </c>
      <c r="D401" s="265" t="s">
        <v>95</v>
      </c>
      <c r="E401" s="266" t="s">
        <v>3280</v>
      </c>
      <c r="F401" s="252">
        <f t="shared" si="23"/>
        <v>42700</v>
      </c>
      <c r="G401" s="252">
        <f t="shared" si="23"/>
        <v>48800</v>
      </c>
      <c r="H401" s="252">
        <f t="shared" si="23"/>
        <v>54900</v>
      </c>
      <c r="I401" s="252">
        <f t="shared" si="23"/>
        <v>60950</v>
      </c>
      <c r="J401" s="252">
        <f t="shared" si="23"/>
        <v>65850</v>
      </c>
      <c r="K401" s="252">
        <f t="shared" si="23"/>
        <v>70750</v>
      </c>
      <c r="L401" s="252">
        <f t="shared" si="23"/>
        <v>75600</v>
      </c>
      <c r="M401" s="252">
        <f t="shared" si="23"/>
        <v>80500</v>
      </c>
    </row>
    <row r="402" spans="1:13" ht="21.95" customHeight="1" x14ac:dyDescent="0.25">
      <c r="A402" s="36" t="s">
        <v>2904</v>
      </c>
      <c r="B402" s="36" t="str">
        <f t="shared" si="22"/>
        <v>GA_CLINCH COUNTY, GA</v>
      </c>
      <c r="D402" s="265" t="s">
        <v>95</v>
      </c>
      <c r="E402" s="266" t="s">
        <v>3281</v>
      </c>
      <c r="F402" s="252">
        <f t="shared" si="23"/>
        <v>43250</v>
      </c>
      <c r="G402" s="252">
        <f t="shared" si="23"/>
        <v>49400</v>
      </c>
      <c r="H402" s="252">
        <f t="shared" si="23"/>
        <v>55600</v>
      </c>
      <c r="I402" s="252">
        <f t="shared" si="23"/>
        <v>61750</v>
      </c>
      <c r="J402" s="252">
        <f t="shared" si="23"/>
        <v>66700</v>
      </c>
      <c r="K402" s="252">
        <f t="shared" si="23"/>
        <v>71650</v>
      </c>
      <c r="L402" s="252">
        <f t="shared" si="23"/>
        <v>76600</v>
      </c>
      <c r="M402" s="252">
        <f t="shared" si="23"/>
        <v>81550</v>
      </c>
    </row>
    <row r="403" spans="1:13" ht="21.95" customHeight="1" x14ac:dyDescent="0.25">
      <c r="A403" s="36" t="s">
        <v>2904</v>
      </c>
      <c r="B403" s="36" t="str">
        <f t="shared" si="22"/>
        <v>GA_COFFEE COUNTY, GA</v>
      </c>
      <c r="D403" s="265" t="s">
        <v>95</v>
      </c>
      <c r="E403" s="266" t="s">
        <v>3282</v>
      </c>
      <c r="F403" s="252">
        <f t="shared" si="23"/>
        <v>42700</v>
      </c>
      <c r="G403" s="252">
        <f t="shared" si="23"/>
        <v>48800</v>
      </c>
      <c r="H403" s="252">
        <f t="shared" si="23"/>
        <v>54900</v>
      </c>
      <c r="I403" s="252">
        <f t="shared" si="23"/>
        <v>60950</v>
      </c>
      <c r="J403" s="252">
        <f t="shared" si="23"/>
        <v>65850</v>
      </c>
      <c r="K403" s="252">
        <f t="shared" si="23"/>
        <v>70750</v>
      </c>
      <c r="L403" s="252">
        <f t="shared" si="23"/>
        <v>75600</v>
      </c>
      <c r="M403" s="252">
        <f t="shared" si="23"/>
        <v>80500</v>
      </c>
    </row>
    <row r="404" spans="1:13" ht="21.95" customHeight="1" x14ac:dyDescent="0.25">
      <c r="A404" s="36" t="s">
        <v>2904</v>
      </c>
      <c r="B404" s="36" t="str">
        <f t="shared" si="22"/>
        <v>GA_COLQUITT COUNTY, GA</v>
      </c>
      <c r="D404" s="265" t="s">
        <v>95</v>
      </c>
      <c r="E404" s="266" t="s">
        <v>3283</v>
      </c>
      <c r="F404" s="252">
        <f t="shared" si="23"/>
        <v>42700</v>
      </c>
      <c r="G404" s="252">
        <f t="shared" si="23"/>
        <v>48800</v>
      </c>
      <c r="H404" s="252">
        <f t="shared" si="23"/>
        <v>54900</v>
      </c>
      <c r="I404" s="252">
        <f t="shared" si="23"/>
        <v>60950</v>
      </c>
      <c r="J404" s="252">
        <f t="shared" si="23"/>
        <v>65850</v>
      </c>
      <c r="K404" s="252">
        <f t="shared" si="23"/>
        <v>70750</v>
      </c>
      <c r="L404" s="252">
        <f t="shared" si="23"/>
        <v>75600</v>
      </c>
      <c r="M404" s="252">
        <f t="shared" si="23"/>
        <v>80500</v>
      </c>
    </row>
    <row r="405" spans="1:13" ht="21.95" customHeight="1" x14ac:dyDescent="0.25">
      <c r="A405" s="36" t="s">
        <v>2904</v>
      </c>
      <c r="B405" s="36" t="str">
        <f t="shared" si="22"/>
        <v>GA_COLUMBUS, GA-AL HUD METRO FMR AREA</v>
      </c>
      <c r="D405" s="265" t="s">
        <v>95</v>
      </c>
      <c r="E405" s="266" t="s">
        <v>3000</v>
      </c>
      <c r="F405" s="252">
        <f t="shared" si="23"/>
        <v>43150</v>
      </c>
      <c r="G405" s="252">
        <f t="shared" si="23"/>
        <v>49300</v>
      </c>
      <c r="H405" s="252">
        <f t="shared" si="23"/>
        <v>55450</v>
      </c>
      <c r="I405" s="252">
        <f t="shared" si="23"/>
        <v>61600</v>
      </c>
      <c r="J405" s="252">
        <f t="shared" si="23"/>
        <v>66550</v>
      </c>
      <c r="K405" s="252">
        <f t="shared" si="23"/>
        <v>71500</v>
      </c>
      <c r="L405" s="252">
        <f t="shared" si="23"/>
        <v>76400</v>
      </c>
      <c r="M405" s="252">
        <f t="shared" si="23"/>
        <v>81350</v>
      </c>
    </row>
    <row r="406" spans="1:13" ht="21.95" customHeight="1" x14ac:dyDescent="0.25">
      <c r="A406" s="36" t="s">
        <v>2904</v>
      </c>
      <c r="B406" s="36" t="str">
        <f t="shared" si="22"/>
        <v>GA_COOK COUNTY, GA</v>
      </c>
      <c r="D406" s="265" t="s">
        <v>95</v>
      </c>
      <c r="E406" s="266" t="s">
        <v>3284</v>
      </c>
      <c r="F406" s="252">
        <f t="shared" si="23"/>
        <v>42700</v>
      </c>
      <c r="G406" s="252">
        <f t="shared" si="23"/>
        <v>48800</v>
      </c>
      <c r="H406" s="252">
        <f t="shared" si="23"/>
        <v>54900</v>
      </c>
      <c r="I406" s="252">
        <f t="shared" si="23"/>
        <v>60950</v>
      </c>
      <c r="J406" s="252">
        <f t="shared" si="23"/>
        <v>65850</v>
      </c>
      <c r="K406" s="252">
        <f t="shared" si="23"/>
        <v>70750</v>
      </c>
      <c r="L406" s="252">
        <f t="shared" si="23"/>
        <v>75600</v>
      </c>
      <c r="M406" s="252">
        <f t="shared" si="23"/>
        <v>80500</v>
      </c>
    </row>
    <row r="407" spans="1:13" ht="21.95" customHeight="1" x14ac:dyDescent="0.25">
      <c r="A407" s="36" t="s">
        <v>2904</v>
      </c>
      <c r="B407" s="36" t="str">
        <f t="shared" si="22"/>
        <v>GA_CRISP COUNTY, GA</v>
      </c>
      <c r="D407" s="265" t="s">
        <v>95</v>
      </c>
      <c r="E407" s="266" t="s">
        <v>3285</v>
      </c>
      <c r="F407" s="252">
        <f t="shared" si="23"/>
        <v>42700</v>
      </c>
      <c r="G407" s="252">
        <f t="shared" si="23"/>
        <v>48800</v>
      </c>
      <c r="H407" s="252">
        <f t="shared" si="23"/>
        <v>54900</v>
      </c>
      <c r="I407" s="252">
        <f t="shared" si="23"/>
        <v>60950</v>
      </c>
      <c r="J407" s="252">
        <f t="shared" si="23"/>
        <v>65850</v>
      </c>
      <c r="K407" s="252">
        <f t="shared" si="23"/>
        <v>70750</v>
      </c>
      <c r="L407" s="252">
        <f t="shared" si="23"/>
        <v>75600</v>
      </c>
      <c r="M407" s="252">
        <f t="shared" si="23"/>
        <v>80500</v>
      </c>
    </row>
    <row r="408" spans="1:13" ht="21.95" customHeight="1" x14ac:dyDescent="0.25">
      <c r="A408" s="36" t="s">
        <v>2904</v>
      </c>
      <c r="B408" s="36" t="str">
        <f t="shared" si="22"/>
        <v>GA_DALTON, GA HUD METRO FMR AREA</v>
      </c>
      <c r="D408" s="265" t="s">
        <v>95</v>
      </c>
      <c r="E408" s="266" t="s">
        <v>3286</v>
      </c>
      <c r="F408" s="252">
        <f t="shared" si="23"/>
        <v>44750</v>
      </c>
      <c r="G408" s="252">
        <f t="shared" si="23"/>
        <v>51150</v>
      </c>
      <c r="H408" s="252">
        <f t="shared" si="23"/>
        <v>57550</v>
      </c>
      <c r="I408" s="252">
        <f t="shared" si="23"/>
        <v>63900</v>
      </c>
      <c r="J408" s="252">
        <f t="shared" si="23"/>
        <v>69050</v>
      </c>
      <c r="K408" s="252">
        <f t="shared" si="23"/>
        <v>74150</v>
      </c>
      <c r="L408" s="252">
        <f t="shared" si="23"/>
        <v>79250</v>
      </c>
      <c r="M408" s="252">
        <f t="shared" si="23"/>
        <v>84350</v>
      </c>
    </row>
    <row r="409" spans="1:13" ht="21.95" customHeight="1" x14ac:dyDescent="0.25">
      <c r="A409" s="36" t="s">
        <v>2904</v>
      </c>
      <c r="B409" s="36" t="str">
        <f t="shared" si="22"/>
        <v>GA_DECATUR COUNTY, GA</v>
      </c>
      <c r="D409" s="265" t="s">
        <v>95</v>
      </c>
      <c r="E409" s="266" t="s">
        <v>3287</v>
      </c>
      <c r="F409" s="252">
        <f t="shared" si="23"/>
        <v>42700</v>
      </c>
      <c r="G409" s="252">
        <f t="shared" si="23"/>
        <v>48800</v>
      </c>
      <c r="H409" s="252">
        <f t="shared" si="23"/>
        <v>54900</v>
      </c>
      <c r="I409" s="252">
        <f t="shared" si="23"/>
        <v>60950</v>
      </c>
      <c r="J409" s="252">
        <f t="shared" si="23"/>
        <v>65850</v>
      </c>
      <c r="K409" s="252">
        <f t="shared" si="23"/>
        <v>70750</v>
      </c>
      <c r="L409" s="252">
        <f t="shared" si="23"/>
        <v>75600</v>
      </c>
      <c r="M409" s="252">
        <f t="shared" si="23"/>
        <v>80500</v>
      </c>
    </row>
    <row r="410" spans="1:13" ht="21.95" customHeight="1" x14ac:dyDescent="0.25">
      <c r="A410" s="36" t="s">
        <v>2904</v>
      </c>
      <c r="B410" s="36" t="str">
        <f t="shared" si="22"/>
        <v>GA_DODGE COUNTY, GA</v>
      </c>
      <c r="D410" s="265" t="s">
        <v>95</v>
      </c>
      <c r="E410" s="266" t="s">
        <v>3288</v>
      </c>
      <c r="F410" s="252">
        <f t="shared" si="23"/>
        <v>42700</v>
      </c>
      <c r="G410" s="252">
        <f t="shared" si="23"/>
        <v>48800</v>
      </c>
      <c r="H410" s="252">
        <f t="shared" si="23"/>
        <v>54900</v>
      </c>
      <c r="I410" s="252">
        <f t="shared" si="23"/>
        <v>60950</v>
      </c>
      <c r="J410" s="252">
        <f t="shared" si="23"/>
        <v>65850</v>
      </c>
      <c r="K410" s="252">
        <f t="shared" si="23"/>
        <v>70750</v>
      </c>
      <c r="L410" s="252">
        <f t="shared" si="23"/>
        <v>75600</v>
      </c>
      <c r="M410" s="252">
        <f t="shared" si="23"/>
        <v>80500</v>
      </c>
    </row>
    <row r="411" spans="1:13" ht="21.95" customHeight="1" x14ac:dyDescent="0.25">
      <c r="A411" s="36" t="s">
        <v>2904</v>
      </c>
      <c r="B411" s="36" t="str">
        <f t="shared" si="22"/>
        <v>GA_DOOLY COUNTY, GA</v>
      </c>
      <c r="D411" s="265" t="s">
        <v>95</v>
      </c>
      <c r="E411" s="266" t="s">
        <v>3289</v>
      </c>
      <c r="F411" s="252">
        <f t="shared" si="23"/>
        <v>42700</v>
      </c>
      <c r="G411" s="252">
        <f t="shared" si="23"/>
        <v>48800</v>
      </c>
      <c r="H411" s="252">
        <f t="shared" si="23"/>
        <v>54900</v>
      </c>
      <c r="I411" s="252">
        <f t="shared" si="23"/>
        <v>60950</v>
      </c>
      <c r="J411" s="252">
        <f t="shared" si="23"/>
        <v>65850</v>
      </c>
      <c r="K411" s="252">
        <f t="shared" si="23"/>
        <v>70750</v>
      </c>
      <c r="L411" s="252">
        <f t="shared" si="23"/>
        <v>75600</v>
      </c>
      <c r="M411" s="252">
        <f t="shared" si="23"/>
        <v>80500</v>
      </c>
    </row>
    <row r="412" spans="1:13" ht="21.95" customHeight="1" x14ac:dyDescent="0.25">
      <c r="A412" s="36" t="s">
        <v>2904</v>
      </c>
      <c r="B412" s="36" t="str">
        <f t="shared" si="22"/>
        <v>GA_EARLY COUNTY, GA</v>
      </c>
      <c r="D412" s="265" t="s">
        <v>95</v>
      </c>
      <c r="E412" s="266" t="s">
        <v>3290</v>
      </c>
      <c r="F412" s="252">
        <f t="shared" si="23"/>
        <v>42700</v>
      </c>
      <c r="G412" s="252">
        <f t="shared" si="23"/>
        <v>48800</v>
      </c>
      <c r="H412" s="252">
        <f t="shared" si="23"/>
        <v>54900</v>
      </c>
      <c r="I412" s="252">
        <f t="shared" si="23"/>
        <v>60950</v>
      </c>
      <c r="J412" s="252">
        <f t="shared" si="23"/>
        <v>65850</v>
      </c>
      <c r="K412" s="252">
        <f t="shared" si="23"/>
        <v>70750</v>
      </c>
      <c r="L412" s="252">
        <f t="shared" si="23"/>
        <v>75600</v>
      </c>
      <c r="M412" s="252">
        <f t="shared" si="23"/>
        <v>80500</v>
      </c>
    </row>
    <row r="413" spans="1:13" ht="21.95" customHeight="1" x14ac:dyDescent="0.25">
      <c r="A413" s="36" t="s">
        <v>2904</v>
      </c>
      <c r="B413" s="36" t="str">
        <f t="shared" si="22"/>
        <v>GA_ELBERT COUNTY, GA</v>
      </c>
      <c r="D413" s="265" t="s">
        <v>95</v>
      </c>
      <c r="E413" s="266" t="s">
        <v>3291</v>
      </c>
      <c r="F413" s="252">
        <f t="shared" si="23"/>
        <v>42700</v>
      </c>
      <c r="G413" s="252">
        <f t="shared" si="23"/>
        <v>48800</v>
      </c>
      <c r="H413" s="252">
        <f t="shared" si="23"/>
        <v>54900</v>
      </c>
      <c r="I413" s="252">
        <f t="shared" si="23"/>
        <v>60950</v>
      </c>
      <c r="J413" s="252">
        <f t="shared" si="23"/>
        <v>65850</v>
      </c>
      <c r="K413" s="252">
        <f t="shared" si="23"/>
        <v>70750</v>
      </c>
      <c r="L413" s="252">
        <f t="shared" si="23"/>
        <v>75600</v>
      </c>
      <c r="M413" s="252">
        <f t="shared" si="23"/>
        <v>80500</v>
      </c>
    </row>
    <row r="414" spans="1:13" ht="21.95" customHeight="1" x14ac:dyDescent="0.25">
      <c r="A414" s="36" t="s">
        <v>2904</v>
      </c>
      <c r="B414" s="36" t="str">
        <f t="shared" si="22"/>
        <v>GA_EMANUEL COUNTY, GA</v>
      </c>
      <c r="D414" s="265" t="s">
        <v>95</v>
      </c>
      <c r="E414" s="266" t="s">
        <v>3292</v>
      </c>
      <c r="F414" s="252">
        <f t="shared" si="23"/>
        <v>42700</v>
      </c>
      <c r="G414" s="252">
        <f t="shared" si="23"/>
        <v>48800</v>
      </c>
      <c r="H414" s="252">
        <f t="shared" si="23"/>
        <v>54900</v>
      </c>
      <c r="I414" s="252">
        <f t="shared" si="23"/>
        <v>60950</v>
      </c>
      <c r="J414" s="252">
        <f t="shared" si="23"/>
        <v>65850</v>
      </c>
      <c r="K414" s="252">
        <f t="shared" si="23"/>
        <v>70750</v>
      </c>
      <c r="L414" s="252">
        <f t="shared" si="23"/>
        <v>75600</v>
      </c>
      <c r="M414" s="252">
        <f t="shared" si="23"/>
        <v>80500</v>
      </c>
    </row>
    <row r="415" spans="1:13" ht="21.95" customHeight="1" x14ac:dyDescent="0.25">
      <c r="A415" s="36" t="s">
        <v>2904</v>
      </c>
      <c r="B415" s="36" t="str">
        <f t="shared" si="22"/>
        <v>GA_EVANS COUNTY, GA</v>
      </c>
      <c r="D415" s="265" t="s">
        <v>95</v>
      </c>
      <c r="E415" s="266" t="s">
        <v>3293</v>
      </c>
      <c r="F415" s="252">
        <f t="shared" si="23"/>
        <v>42700</v>
      </c>
      <c r="G415" s="252">
        <f t="shared" si="23"/>
        <v>48800</v>
      </c>
      <c r="H415" s="252">
        <f t="shared" si="23"/>
        <v>54900</v>
      </c>
      <c r="I415" s="252">
        <f t="shared" si="23"/>
        <v>60950</v>
      </c>
      <c r="J415" s="252">
        <f t="shared" si="23"/>
        <v>65850</v>
      </c>
      <c r="K415" s="252">
        <f t="shared" si="23"/>
        <v>70750</v>
      </c>
      <c r="L415" s="252">
        <f t="shared" si="23"/>
        <v>75600</v>
      </c>
      <c r="M415" s="252">
        <f t="shared" si="23"/>
        <v>80500</v>
      </c>
    </row>
    <row r="416" spans="1:13" ht="21.95" customHeight="1" x14ac:dyDescent="0.25">
      <c r="A416" s="36" t="s">
        <v>2904</v>
      </c>
      <c r="B416" s="36" t="str">
        <f t="shared" si="22"/>
        <v>GA_FANNIN COUNTY, GA</v>
      </c>
      <c r="D416" s="265" t="s">
        <v>95</v>
      </c>
      <c r="E416" s="266" t="s">
        <v>3294</v>
      </c>
      <c r="F416" s="252">
        <f t="shared" si="23"/>
        <v>42700</v>
      </c>
      <c r="G416" s="252">
        <f t="shared" si="23"/>
        <v>48800</v>
      </c>
      <c r="H416" s="252">
        <f t="shared" si="23"/>
        <v>54900</v>
      </c>
      <c r="I416" s="252">
        <f t="shared" si="23"/>
        <v>60950</v>
      </c>
      <c r="J416" s="252">
        <f t="shared" si="23"/>
        <v>65850</v>
      </c>
      <c r="K416" s="252">
        <f t="shared" si="23"/>
        <v>70750</v>
      </c>
      <c r="L416" s="252">
        <f t="shared" si="23"/>
        <v>75600</v>
      </c>
      <c r="M416" s="252">
        <f t="shared" si="23"/>
        <v>80500</v>
      </c>
    </row>
    <row r="417" spans="1:13" ht="21.95" customHeight="1" x14ac:dyDescent="0.25">
      <c r="A417" s="36" t="s">
        <v>2904</v>
      </c>
      <c r="B417" s="36" t="str">
        <f t="shared" si="22"/>
        <v>GA_FRANKLIN COUNTY, GA</v>
      </c>
      <c r="D417" s="265" t="s">
        <v>95</v>
      </c>
      <c r="E417" s="266" t="s">
        <v>3295</v>
      </c>
      <c r="F417" s="252">
        <f t="shared" si="23"/>
        <v>42700</v>
      </c>
      <c r="G417" s="252">
        <f t="shared" si="23"/>
        <v>48800</v>
      </c>
      <c r="H417" s="252">
        <f t="shared" si="23"/>
        <v>54900</v>
      </c>
      <c r="I417" s="252">
        <f t="shared" si="23"/>
        <v>60950</v>
      </c>
      <c r="J417" s="252">
        <f t="shared" si="23"/>
        <v>65850</v>
      </c>
      <c r="K417" s="252">
        <f t="shared" si="23"/>
        <v>70750</v>
      </c>
      <c r="L417" s="252">
        <f t="shared" si="23"/>
        <v>75600</v>
      </c>
      <c r="M417" s="252">
        <f t="shared" si="23"/>
        <v>80500</v>
      </c>
    </row>
    <row r="418" spans="1:13" ht="21.95" customHeight="1" x14ac:dyDescent="0.25">
      <c r="A418" s="36" t="s">
        <v>2904</v>
      </c>
      <c r="B418" s="36" t="str">
        <f t="shared" si="22"/>
        <v>GA_GAINESVILLE, GA MSA</v>
      </c>
      <c r="D418" s="265" t="s">
        <v>95</v>
      </c>
      <c r="E418" s="266" t="s">
        <v>3296</v>
      </c>
      <c r="F418" s="252">
        <f t="shared" si="23"/>
        <v>56700</v>
      </c>
      <c r="G418" s="252">
        <f t="shared" si="23"/>
        <v>64800</v>
      </c>
      <c r="H418" s="252">
        <f t="shared" si="23"/>
        <v>72900</v>
      </c>
      <c r="I418" s="252">
        <f t="shared" si="23"/>
        <v>80950</v>
      </c>
      <c r="J418" s="252">
        <f t="shared" si="23"/>
        <v>87450</v>
      </c>
      <c r="K418" s="252">
        <f t="shared" si="23"/>
        <v>93950</v>
      </c>
      <c r="L418" s="252">
        <f t="shared" si="23"/>
        <v>100400</v>
      </c>
      <c r="M418" s="252">
        <f t="shared" si="23"/>
        <v>106900</v>
      </c>
    </row>
    <row r="419" spans="1:13" ht="21.95" customHeight="1" x14ac:dyDescent="0.25">
      <c r="A419" s="36" t="s">
        <v>2904</v>
      </c>
      <c r="B419" s="36" t="str">
        <f t="shared" si="22"/>
        <v>GA_GILMER COUNTY, GA</v>
      </c>
      <c r="D419" s="265" t="s">
        <v>95</v>
      </c>
      <c r="E419" s="266" t="s">
        <v>3297</v>
      </c>
      <c r="F419" s="252">
        <f t="shared" si="23"/>
        <v>48500</v>
      </c>
      <c r="G419" s="252">
        <f t="shared" si="23"/>
        <v>55400</v>
      </c>
      <c r="H419" s="252">
        <f t="shared" si="23"/>
        <v>62350</v>
      </c>
      <c r="I419" s="252">
        <f t="shared" si="23"/>
        <v>69250</v>
      </c>
      <c r="J419" s="252">
        <f t="shared" si="23"/>
        <v>74800</v>
      </c>
      <c r="K419" s="252">
        <f t="shared" si="23"/>
        <v>80350</v>
      </c>
      <c r="L419" s="252">
        <f t="shared" si="23"/>
        <v>85900</v>
      </c>
      <c r="M419" s="252">
        <f t="shared" si="23"/>
        <v>91450</v>
      </c>
    </row>
    <row r="420" spans="1:13" ht="21.95" customHeight="1" x14ac:dyDescent="0.25">
      <c r="A420" s="36" t="s">
        <v>2904</v>
      </c>
      <c r="B420" s="36" t="str">
        <f t="shared" si="22"/>
        <v>GA_GLASCOCK COUNTY, GA</v>
      </c>
      <c r="D420" s="265" t="s">
        <v>95</v>
      </c>
      <c r="E420" s="266" t="s">
        <v>3298</v>
      </c>
      <c r="F420" s="252">
        <f t="shared" si="23"/>
        <v>45150</v>
      </c>
      <c r="G420" s="252">
        <f t="shared" si="23"/>
        <v>51600</v>
      </c>
      <c r="H420" s="252">
        <f t="shared" si="23"/>
        <v>58050</v>
      </c>
      <c r="I420" s="252">
        <f t="shared" si="23"/>
        <v>64500</v>
      </c>
      <c r="J420" s="252">
        <f t="shared" si="23"/>
        <v>69700</v>
      </c>
      <c r="K420" s="252">
        <f t="shared" si="23"/>
        <v>74850</v>
      </c>
      <c r="L420" s="252">
        <f t="shared" si="23"/>
        <v>80000</v>
      </c>
      <c r="M420" s="252">
        <f t="shared" si="23"/>
        <v>85150</v>
      </c>
    </row>
    <row r="421" spans="1:13" ht="21.95" customHeight="1" x14ac:dyDescent="0.25">
      <c r="A421" s="36" t="s">
        <v>2904</v>
      </c>
      <c r="B421" s="36" t="str">
        <f t="shared" si="22"/>
        <v>GA_GORDON COUNTY, GA</v>
      </c>
      <c r="D421" s="265" t="s">
        <v>95</v>
      </c>
      <c r="E421" s="266" t="s">
        <v>3299</v>
      </c>
      <c r="F421" s="252">
        <f t="shared" si="23"/>
        <v>43750</v>
      </c>
      <c r="G421" s="252">
        <f t="shared" si="23"/>
        <v>50000</v>
      </c>
      <c r="H421" s="252">
        <f t="shared" si="23"/>
        <v>56250</v>
      </c>
      <c r="I421" s="252">
        <f t="shared" si="23"/>
        <v>62450</v>
      </c>
      <c r="J421" s="252">
        <f t="shared" si="23"/>
        <v>67450</v>
      </c>
      <c r="K421" s="252">
        <f t="shared" si="23"/>
        <v>72450</v>
      </c>
      <c r="L421" s="252">
        <f t="shared" si="23"/>
        <v>77450</v>
      </c>
      <c r="M421" s="252">
        <f t="shared" si="23"/>
        <v>82450</v>
      </c>
    </row>
    <row r="422" spans="1:13" ht="21.95" customHeight="1" x14ac:dyDescent="0.25">
      <c r="A422" s="36" t="s">
        <v>2904</v>
      </c>
      <c r="B422" s="36" t="str">
        <f t="shared" si="22"/>
        <v>GA_GRADY COUNTY, GA</v>
      </c>
      <c r="D422" s="265" t="s">
        <v>95</v>
      </c>
      <c r="E422" s="266" t="s">
        <v>3300</v>
      </c>
      <c r="F422" s="252">
        <f t="shared" si="23"/>
        <v>42700</v>
      </c>
      <c r="G422" s="252">
        <f t="shared" si="23"/>
        <v>48800</v>
      </c>
      <c r="H422" s="252">
        <f t="shared" si="23"/>
        <v>54900</v>
      </c>
      <c r="I422" s="252">
        <f t="shared" si="23"/>
        <v>60950</v>
      </c>
      <c r="J422" s="252">
        <f t="shared" si="23"/>
        <v>65850</v>
      </c>
      <c r="K422" s="252">
        <f t="shared" si="23"/>
        <v>70750</v>
      </c>
      <c r="L422" s="252">
        <f t="shared" si="23"/>
        <v>75600</v>
      </c>
      <c r="M422" s="252">
        <f t="shared" si="23"/>
        <v>80500</v>
      </c>
    </row>
    <row r="423" spans="1:13" ht="21.95" customHeight="1" x14ac:dyDescent="0.25">
      <c r="A423" s="36" t="s">
        <v>2904</v>
      </c>
      <c r="B423" s="36" t="str">
        <f t="shared" si="22"/>
        <v>GA_GREENE COUNTY, GA</v>
      </c>
      <c r="D423" s="265" t="s">
        <v>95</v>
      </c>
      <c r="E423" s="266" t="s">
        <v>3301</v>
      </c>
      <c r="F423" s="252">
        <f t="shared" si="23"/>
        <v>52200</v>
      </c>
      <c r="G423" s="252">
        <f t="shared" si="23"/>
        <v>59650</v>
      </c>
      <c r="H423" s="252">
        <f t="shared" si="23"/>
        <v>67100</v>
      </c>
      <c r="I423" s="252">
        <f t="shared" si="23"/>
        <v>74550</v>
      </c>
      <c r="J423" s="252">
        <f t="shared" si="23"/>
        <v>80550</v>
      </c>
      <c r="K423" s="252">
        <f t="shared" si="23"/>
        <v>86500</v>
      </c>
      <c r="L423" s="252">
        <f t="shared" si="23"/>
        <v>92450</v>
      </c>
      <c r="M423" s="252">
        <f t="shared" si="23"/>
        <v>98450</v>
      </c>
    </row>
    <row r="424" spans="1:13" ht="21.95" customHeight="1" x14ac:dyDescent="0.25">
      <c r="A424" s="36" t="s">
        <v>2904</v>
      </c>
      <c r="B424" s="36" t="str">
        <f t="shared" si="22"/>
        <v>GA_HABERSHAM COUNTY, GA</v>
      </c>
      <c r="D424" s="265" t="s">
        <v>95</v>
      </c>
      <c r="E424" s="266" t="s">
        <v>3302</v>
      </c>
      <c r="F424" s="252">
        <f t="shared" si="23"/>
        <v>47600</v>
      </c>
      <c r="G424" s="252">
        <f t="shared" si="23"/>
        <v>54400</v>
      </c>
      <c r="H424" s="252">
        <f t="shared" si="23"/>
        <v>61200</v>
      </c>
      <c r="I424" s="252">
        <f t="shared" si="23"/>
        <v>68000</v>
      </c>
      <c r="J424" s="252">
        <f t="shared" si="23"/>
        <v>73450</v>
      </c>
      <c r="K424" s="252">
        <f t="shared" ref="F424:M456" si="24">VLOOKUP($B424,LOOKUP_AMI_TABLE,5+((K$7-1)),FALSE)</f>
        <v>78900</v>
      </c>
      <c r="L424" s="252">
        <f t="shared" si="24"/>
        <v>84350</v>
      </c>
      <c r="M424" s="252">
        <f t="shared" si="24"/>
        <v>89800</v>
      </c>
    </row>
    <row r="425" spans="1:13" ht="21.95" customHeight="1" x14ac:dyDescent="0.25">
      <c r="A425" s="36" t="s">
        <v>2904</v>
      </c>
      <c r="B425" s="36" t="str">
        <f t="shared" si="22"/>
        <v>GA_HANCOCK COUNTY, GA</v>
      </c>
      <c r="D425" s="265" t="s">
        <v>95</v>
      </c>
      <c r="E425" s="266" t="s">
        <v>3303</v>
      </c>
      <c r="F425" s="252">
        <f t="shared" si="24"/>
        <v>42700</v>
      </c>
      <c r="G425" s="252">
        <f t="shared" si="24"/>
        <v>48800</v>
      </c>
      <c r="H425" s="252">
        <f t="shared" si="24"/>
        <v>54900</v>
      </c>
      <c r="I425" s="252">
        <f t="shared" si="24"/>
        <v>60950</v>
      </c>
      <c r="J425" s="252">
        <f t="shared" si="24"/>
        <v>65850</v>
      </c>
      <c r="K425" s="252">
        <f t="shared" si="24"/>
        <v>70750</v>
      </c>
      <c r="L425" s="252">
        <f t="shared" si="24"/>
        <v>75600</v>
      </c>
      <c r="M425" s="252">
        <f t="shared" si="24"/>
        <v>80500</v>
      </c>
    </row>
    <row r="426" spans="1:13" ht="21.95" customHeight="1" x14ac:dyDescent="0.25">
      <c r="A426" s="36" t="s">
        <v>2904</v>
      </c>
      <c r="B426" s="36" t="str">
        <f t="shared" si="22"/>
        <v>GA_HARALSON COUNTY, GA HUD METRO FMR AREA</v>
      </c>
      <c r="D426" s="265" t="s">
        <v>95</v>
      </c>
      <c r="E426" s="266" t="s">
        <v>3304</v>
      </c>
      <c r="F426" s="252">
        <f t="shared" si="24"/>
        <v>46450</v>
      </c>
      <c r="G426" s="252">
        <f t="shared" si="24"/>
        <v>53050</v>
      </c>
      <c r="H426" s="252">
        <f t="shared" si="24"/>
        <v>59700</v>
      </c>
      <c r="I426" s="252">
        <f t="shared" si="24"/>
        <v>66300</v>
      </c>
      <c r="J426" s="252">
        <f t="shared" si="24"/>
        <v>71650</v>
      </c>
      <c r="K426" s="252">
        <f t="shared" si="24"/>
        <v>76950</v>
      </c>
      <c r="L426" s="252">
        <f t="shared" si="24"/>
        <v>82250</v>
      </c>
      <c r="M426" s="252">
        <f t="shared" si="24"/>
        <v>87550</v>
      </c>
    </row>
    <row r="427" spans="1:13" ht="21.95" customHeight="1" x14ac:dyDescent="0.25">
      <c r="A427" s="36" t="s">
        <v>2904</v>
      </c>
      <c r="B427" s="36" t="str">
        <f t="shared" si="22"/>
        <v>GA_HART COUNTY, GA</v>
      </c>
      <c r="D427" s="265" t="s">
        <v>95</v>
      </c>
      <c r="E427" s="266" t="s">
        <v>3305</v>
      </c>
      <c r="F427" s="252">
        <f t="shared" si="24"/>
        <v>45050</v>
      </c>
      <c r="G427" s="252">
        <f t="shared" si="24"/>
        <v>51450</v>
      </c>
      <c r="H427" s="252">
        <f t="shared" si="24"/>
        <v>57900</v>
      </c>
      <c r="I427" s="252">
        <f t="shared" si="24"/>
        <v>64300</v>
      </c>
      <c r="J427" s="252">
        <f t="shared" si="24"/>
        <v>69450</v>
      </c>
      <c r="K427" s="252">
        <f t="shared" si="24"/>
        <v>74600</v>
      </c>
      <c r="L427" s="252">
        <f t="shared" si="24"/>
        <v>79750</v>
      </c>
      <c r="M427" s="252">
        <f t="shared" si="24"/>
        <v>84900</v>
      </c>
    </row>
    <row r="428" spans="1:13" ht="21.95" customHeight="1" x14ac:dyDescent="0.25">
      <c r="A428" s="36" t="s">
        <v>2904</v>
      </c>
      <c r="B428" s="36" t="str">
        <f t="shared" si="22"/>
        <v>GA_HINESVILLE, GA HUD METRO FMR AREA</v>
      </c>
      <c r="D428" s="265" t="s">
        <v>95</v>
      </c>
      <c r="E428" s="266" t="s">
        <v>3306</v>
      </c>
      <c r="F428" s="252">
        <f t="shared" si="24"/>
        <v>43900</v>
      </c>
      <c r="G428" s="252">
        <f t="shared" si="24"/>
        <v>50200</v>
      </c>
      <c r="H428" s="252">
        <f t="shared" si="24"/>
        <v>56450</v>
      </c>
      <c r="I428" s="252">
        <f t="shared" si="24"/>
        <v>62700</v>
      </c>
      <c r="J428" s="252">
        <f t="shared" si="24"/>
        <v>67750</v>
      </c>
      <c r="K428" s="252">
        <f t="shared" si="24"/>
        <v>72750</v>
      </c>
      <c r="L428" s="252">
        <f t="shared" si="24"/>
        <v>77750</v>
      </c>
      <c r="M428" s="252">
        <f t="shared" si="24"/>
        <v>82800</v>
      </c>
    </row>
    <row r="429" spans="1:13" ht="21.95" customHeight="1" x14ac:dyDescent="0.25">
      <c r="A429" s="36" t="s">
        <v>2904</v>
      </c>
      <c r="B429" s="36" t="str">
        <f t="shared" si="22"/>
        <v>GA_IRWIN COUNTY, GA</v>
      </c>
      <c r="D429" s="265" t="s">
        <v>95</v>
      </c>
      <c r="E429" s="266" t="s">
        <v>3307</v>
      </c>
      <c r="F429" s="252">
        <f t="shared" si="24"/>
        <v>43500</v>
      </c>
      <c r="G429" s="252">
        <f t="shared" si="24"/>
        <v>49700</v>
      </c>
      <c r="H429" s="252">
        <f t="shared" si="24"/>
        <v>55900</v>
      </c>
      <c r="I429" s="252">
        <f t="shared" si="24"/>
        <v>62100</v>
      </c>
      <c r="J429" s="252">
        <f t="shared" si="24"/>
        <v>67100</v>
      </c>
      <c r="K429" s="252">
        <f t="shared" si="24"/>
        <v>72050</v>
      </c>
      <c r="L429" s="252">
        <f t="shared" si="24"/>
        <v>77050</v>
      </c>
      <c r="M429" s="252">
        <f t="shared" si="24"/>
        <v>82000</v>
      </c>
    </row>
    <row r="430" spans="1:13" ht="21.95" customHeight="1" x14ac:dyDescent="0.25">
      <c r="A430" s="36" t="s">
        <v>2904</v>
      </c>
      <c r="B430" s="36" t="str">
        <f t="shared" si="22"/>
        <v>GA_JACKSON COUNTY, GA</v>
      </c>
      <c r="D430" s="265" t="s">
        <v>95</v>
      </c>
      <c r="E430" s="266" t="s">
        <v>3308</v>
      </c>
      <c r="F430" s="252">
        <f t="shared" si="24"/>
        <v>58100</v>
      </c>
      <c r="G430" s="252">
        <f t="shared" si="24"/>
        <v>66400</v>
      </c>
      <c r="H430" s="252">
        <f t="shared" si="24"/>
        <v>74700</v>
      </c>
      <c r="I430" s="252">
        <f t="shared" si="24"/>
        <v>82950</v>
      </c>
      <c r="J430" s="252">
        <f t="shared" si="24"/>
        <v>89600</v>
      </c>
      <c r="K430" s="252">
        <f t="shared" si="24"/>
        <v>96250</v>
      </c>
      <c r="L430" s="252">
        <f t="shared" si="24"/>
        <v>102900</v>
      </c>
      <c r="M430" s="252">
        <f t="shared" si="24"/>
        <v>109500</v>
      </c>
    </row>
    <row r="431" spans="1:13" ht="21.95" customHeight="1" x14ac:dyDescent="0.25">
      <c r="A431" s="36" t="s">
        <v>2904</v>
      </c>
      <c r="B431" s="36" t="str">
        <f t="shared" si="22"/>
        <v>GA_JEFF DAVIS COUNTY, GA</v>
      </c>
      <c r="D431" s="265" t="s">
        <v>95</v>
      </c>
      <c r="E431" s="266" t="s">
        <v>3309</v>
      </c>
      <c r="F431" s="252">
        <f t="shared" si="24"/>
        <v>42700</v>
      </c>
      <c r="G431" s="252">
        <f t="shared" si="24"/>
        <v>48800</v>
      </c>
      <c r="H431" s="252">
        <f t="shared" si="24"/>
        <v>54900</v>
      </c>
      <c r="I431" s="252">
        <f t="shared" si="24"/>
        <v>60950</v>
      </c>
      <c r="J431" s="252">
        <f t="shared" si="24"/>
        <v>65850</v>
      </c>
      <c r="K431" s="252">
        <f t="shared" si="24"/>
        <v>70750</v>
      </c>
      <c r="L431" s="252">
        <f t="shared" si="24"/>
        <v>75600</v>
      </c>
      <c r="M431" s="252">
        <f t="shared" si="24"/>
        <v>80500</v>
      </c>
    </row>
    <row r="432" spans="1:13" ht="21.95" customHeight="1" x14ac:dyDescent="0.25">
      <c r="A432" s="36" t="s">
        <v>2904</v>
      </c>
      <c r="B432" s="36" t="str">
        <f t="shared" si="22"/>
        <v>GA_JEFFERSON COUNTY, GA</v>
      </c>
      <c r="D432" s="265" t="s">
        <v>95</v>
      </c>
      <c r="E432" s="266" t="s">
        <v>3310</v>
      </c>
      <c r="F432" s="252">
        <f t="shared" si="24"/>
        <v>42700</v>
      </c>
      <c r="G432" s="252">
        <f t="shared" si="24"/>
        <v>48800</v>
      </c>
      <c r="H432" s="252">
        <f t="shared" si="24"/>
        <v>54900</v>
      </c>
      <c r="I432" s="252">
        <f t="shared" si="24"/>
        <v>60950</v>
      </c>
      <c r="J432" s="252">
        <f t="shared" si="24"/>
        <v>65850</v>
      </c>
      <c r="K432" s="252">
        <f t="shared" si="24"/>
        <v>70750</v>
      </c>
      <c r="L432" s="252">
        <f t="shared" si="24"/>
        <v>75600</v>
      </c>
      <c r="M432" s="252">
        <f t="shared" si="24"/>
        <v>80500</v>
      </c>
    </row>
    <row r="433" spans="1:13" ht="21.95" customHeight="1" x14ac:dyDescent="0.25">
      <c r="A433" s="36" t="s">
        <v>2904</v>
      </c>
      <c r="B433" s="36" t="str">
        <f t="shared" si="22"/>
        <v>GA_JENKINS COUNTY, GA</v>
      </c>
      <c r="D433" s="265" t="s">
        <v>95</v>
      </c>
      <c r="E433" s="266" t="s">
        <v>3311</v>
      </c>
      <c r="F433" s="252">
        <f t="shared" si="24"/>
        <v>42700</v>
      </c>
      <c r="G433" s="252">
        <f t="shared" si="24"/>
        <v>48800</v>
      </c>
      <c r="H433" s="252">
        <f t="shared" si="24"/>
        <v>54900</v>
      </c>
      <c r="I433" s="252">
        <f t="shared" si="24"/>
        <v>60950</v>
      </c>
      <c r="J433" s="252">
        <f t="shared" si="24"/>
        <v>65850</v>
      </c>
      <c r="K433" s="252">
        <f t="shared" si="24"/>
        <v>70750</v>
      </c>
      <c r="L433" s="252">
        <f t="shared" si="24"/>
        <v>75600</v>
      </c>
      <c r="M433" s="252">
        <f t="shared" si="24"/>
        <v>80500</v>
      </c>
    </row>
    <row r="434" spans="1:13" ht="21.95" customHeight="1" x14ac:dyDescent="0.25">
      <c r="A434" s="36" t="s">
        <v>2904</v>
      </c>
      <c r="B434" s="36" t="str">
        <f t="shared" si="22"/>
        <v>GA_JOHNSON COUNTY, GA</v>
      </c>
      <c r="D434" s="265" t="s">
        <v>95</v>
      </c>
      <c r="E434" s="266" t="s">
        <v>3312</v>
      </c>
      <c r="F434" s="252">
        <f t="shared" si="24"/>
        <v>42700</v>
      </c>
      <c r="G434" s="252">
        <f t="shared" si="24"/>
        <v>48800</v>
      </c>
      <c r="H434" s="252">
        <f t="shared" si="24"/>
        <v>54900</v>
      </c>
      <c r="I434" s="252">
        <f t="shared" si="24"/>
        <v>60950</v>
      </c>
      <c r="J434" s="252">
        <f t="shared" si="24"/>
        <v>65850</v>
      </c>
      <c r="K434" s="252">
        <f t="shared" si="24"/>
        <v>70750</v>
      </c>
      <c r="L434" s="252">
        <f t="shared" si="24"/>
        <v>75600</v>
      </c>
      <c r="M434" s="252">
        <f t="shared" si="24"/>
        <v>80500</v>
      </c>
    </row>
    <row r="435" spans="1:13" ht="21.95" customHeight="1" x14ac:dyDescent="0.25">
      <c r="A435" s="36" t="s">
        <v>2904</v>
      </c>
      <c r="B435" s="36" t="str">
        <f t="shared" si="22"/>
        <v>GA_LAMAR COUNTY, GA</v>
      </c>
      <c r="D435" s="265" t="s">
        <v>95</v>
      </c>
      <c r="E435" s="266" t="s">
        <v>9152</v>
      </c>
      <c r="F435" s="252">
        <f t="shared" si="24"/>
        <v>47850</v>
      </c>
      <c r="G435" s="252">
        <f t="shared" si="24"/>
        <v>54650</v>
      </c>
      <c r="H435" s="252">
        <f t="shared" si="24"/>
        <v>61500</v>
      </c>
      <c r="I435" s="252">
        <f t="shared" si="24"/>
        <v>68300</v>
      </c>
      <c r="J435" s="252">
        <f t="shared" si="24"/>
        <v>73800</v>
      </c>
      <c r="K435" s="252">
        <f t="shared" si="24"/>
        <v>79250</v>
      </c>
      <c r="L435" s="252">
        <f t="shared" si="24"/>
        <v>84700</v>
      </c>
      <c r="M435" s="252">
        <f t="shared" si="24"/>
        <v>90200</v>
      </c>
    </row>
    <row r="436" spans="1:13" ht="21.95" customHeight="1" x14ac:dyDescent="0.25">
      <c r="A436" s="36" t="s">
        <v>2904</v>
      </c>
      <c r="B436" s="36" t="str">
        <f t="shared" si="22"/>
        <v>GA_LAURENS COUNTY, GA</v>
      </c>
      <c r="D436" s="265" t="s">
        <v>95</v>
      </c>
      <c r="E436" s="266" t="s">
        <v>3313</v>
      </c>
      <c r="F436" s="252">
        <f t="shared" si="24"/>
        <v>42700</v>
      </c>
      <c r="G436" s="252">
        <f t="shared" si="24"/>
        <v>48800</v>
      </c>
      <c r="H436" s="252">
        <f t="shared" si="24"/>
        <v>54900</v>
      </c>
      <c r="I436" s="252">
        <f t="shared" si="24"/>
        <v>60950</v>
      </c>
      <c r="J436" s="252">
        <f t="shared" si="24"/>
        <v>65850</v>
      </c>
      <c r="K436" s="252">
        <f t="shared" si="24"/>
        <v>70750</v>
      </c>
      <c r="L436" s="252">
        <f t="shared" si="24"/>
        <v>75600</v>
      </c>
      <c r="M436" s="252">
        <f t="shared" si="24"/>
        <v>80500</v>
      </c>
    </row>
    <row r="437" spans="1:13" ht="21.95" customHeight="1" x14ac:dyDescent="0.25">
      <c r="A437" s="36" t="s">
        <v>2904</v>
      </c>
      <c r="B437" s="36" t="str">
        <f t="shared" si="22"/>
        <v>GA_LINCOLN COUNTY, GA HUD METRO FMR AREA</v>
      </c>
      <c r="D437" s="265" t="s">
        <v>95</v>
      </c>
      <c r="E437" s="266" t="s">
        <v>3314</v>
      </c>
      <c r="F437" s="252">
        <f t="shared" si="24"/>
        <v>42700</v>
      </c>
      <c r="G437" s="252">
        <f t="shared" si="24"/>
        <v>48800</v>
      </c>
      <c r="H437" s="252">
        <f t="shared" si="24"/>
        <v>54900</v>
      </c>
      <c r="I437" s="252">
        <f t="shared" si="24"/>
        <v>60950</v>
      </c>
      <c r="J437" s="252">
        <f t="shared" si="24"/>
        <v>65850</v>
      </c>
      <c r="K437" s="252">
        <f t="shared" si="24"/>
        <v>70750</v>
      </c>
      <c r="L437" s="252">
        <f t="shared" si="24"/>
        <v>75600</v>
      </c>
      <c r="M437" s="252">
        <f t="shared" si="24"/>
        <v>80500</v>
      </c>
    </row>
    <row r="438" spans="1:13" ht="21.95" customHeight="1" x14ac:dyDescent="0.25">
      <c r="A438" s="36" t="s">
        <v>2904</v>
      </c>
      <c r="B438" s="36" t="str">
        <f t="shared" si="22"/>
        <v>GA_LONG COUNTY, GA HUD METRO FMR AREA</v>
      </c>
      <c r="D438" s="265" t="s">
        <v>95</v>
      </c>
      <c r="E438" s="266" t="s">
        <v>3315</v>
      </c>
      <c r="F438" s="252">
        <f t="shared" si="24"/>
        <v>42700</v>
      </c>
      <c r="G438" s="252">
        <f t="shared" si="24"/>
        <v>48800</v>
      </c>
      <c r="H438" s="252">
        <f t="shared" si="24"/>
        <v>54900</v>
      </c>
      <c r="I438" s="252">
        <f t="shared" si="24"/>
        <v>60950</v>
      </c>
      <c r="J438" s="252">
        <f t="shared" si="24"/>
        <v>65850</v>
      </c>
      <c r="K438" s="252">
        <f t="shared" si="24"/>
        <v>70750</v>
      </c>
      <c r="L438" s="252">
        <f t="shared" si="24"/>
        <v>75600</v>
      </c>
      <c r="M438" s="252">
        <f t="shared" si="24"/>
        <v>80500</v>
      </c>
    </row>
    <row r="439" spans="1:13" ht="21.95" customHeight="1" x14ac:dyDescent="0.25">
      <c r="A439" s="36" t="s">
        <v>2904</v>
      </c>
      <c r="B439" s="36" t="str">
        <f t="shared" si="22"/>
        <v>GA_LUMPKIN COUNTY, GA HUD METRO FMR AREA</v>
      </c>
      <c r="D439" s="265" t="s">
        <v>95</v>
      </c>
      <c r="E439" s="266" t="s">
        <v>9153</v>
      </c>
      <c r="F439" s="252">
        <f t="shared" si="24"/>
        <v>49900</v>
      </c>
      <c r="G439" s="252">
        <f t="shared" si="24"/>
        <v>57000</v>
      </c>
      <c r="H439" s="252">
        <f t="shared" si="24"/>
        <v>64150</v>
      </c>
      <c r="I439" s="252">
        <f t="shared" si="24"/>
        <v>71250</v>
      </c>
      <c r="J439" s="252">
        <f t="shared" si="24"/>
        <v>76950</v>
      </c>
      <c r="K439" s="252">
        <f t="shared" si="24"/>
        <v>82650</v>
      </c>
      <c r="L439" s="252">
        <f t="shared" si="24"/>
        <v>88350</v>
      </c>
      <c r="M439" s="252">
        <f t="shared" si="24"/>
        <v>94050</v>
      </c>
    </row>
    <row r="440" spans="1:13" ht="21.95" customHeight="1" x14ac:dyDescent="0.25">
      <c r="A440" s="36" t="s">
        <v>2904</v>
      </c>
      <c r="B440" s="36" t="str">
        <f t="shared" si="22"/>
        <v>GA_MACON-BIBB COUNTY, GA HUD METRO FMR AREA</v>
      </c>
      <c r="D440" s="265" t="s">
        <v>95</v>
      </c>
      <c r="E440" s="266" t="s">
        <v>3317</v>
      </c>
      <c r="F440" s="252">
        <f t="shared" si="24"/>
        <v>43250</v>
      </c>
      <c r="G440" s="252">
        <f t="shared" si="24"/>
        <v>49400</v>
      </c>
      <c r="H440" s="252">
        <f t="shared" si="24"/>
        <v>55600</v>
      </c>
      <c r="I440" s="252">
        <f t="shared" si="24"/>
        <v>61750</v>
      </c>
      <c r="J440" s="252">
        <f t="shared" si="24"/>
        <v>66700</v>
      </c>
      <c r="K440" s="252">
        <f t="shared" si="24"/>
        <v>71650</v>
      </c>
      <c r="L440" s="252">
        <f t="shared" si="24"/>
        <v>76600</v>
      </c>
      <c r="M440" s="252">
        <f t="shared" si="24"/>
        <v>81550</v>
      </c>
    </row>
    <row r="441" spans="1:13" ht="21.95" customHeight="1" x14ac:dyDescent="0.25">
      <c r="A441" s="36" t="s">
        <v>2904</v>
      </c>
      <c r="B441" s="36" t="str">
        <f t="shared" si="22"/>
        <v>GA_MACON COUNTY, GA</v>
      </c>
      <c r="D441" s="265" t="s">
        <v>95</v>
      </c>
      <c r="E441" s="266" t="s">
        <v>3316</v>
      </c>
      <c r="F441" s="252">
        <f t="shared" si="24"/>
        <v>42700</v>
      </c>
      <c r="G441" s="252">
        <f t="shared" si="24"/>
        <v>48800</v>
      </c>
      <c r="H441" s="252">
        <f t="shared" si="24"/>
        <v>54900</v>
      </c>
      <c r="I441" s="252">
        <f t="shared" si="24"/>
        <v>60950</v>
      </c>
      <c r="J441" s="252">
        <f t="shared" si="24"/>
        <v>65850</v>
      </c>
      <c r="K441" s="252">
        <f t="shared" si="24"/>
        <v>70750</v>
      </c>
      <c r="L441" s="252">
        <f t="shared" si="24"/>
        <v>75600</v>
      </c>
      <c r="M441" s="252">
        <f t="shared" si="24"/>
        <v>80500</v>
      </c>
    </row>
    <row r="442" spans="1:13" ht="21.95" customHeight="1" x14ac:dyDescent="0.25">
      <c r="A442" s="36" t="s">
        <v>2904</v>
      </c>
      <c r="B442" s="36" t="str">
        <f t="shared" si="22"/>
        <v>GA_MERIWETHER COUNTY, GA HUD METRO FMR AREA</v>
      </c>
      <c r="D442" s="265" t="s">
        <v>95</v>
      </c>
      <c r="E442" s="266" t="s">
        <v>3318</v>
      </c>
      <c r="F442" s="252">
        <f t="shared" si="24"/>
        <v>42700</v>
      </c>
      <c r="G442" s="252">
        <f t="shared" si="24"/>
        <v>48800</v>
      </c>
      <c r="H442" s="252">
        <f t="shared" si="24"/>
        <v>54900</v>
      </c>
      <c r="I442" s="252">
        <f t="shared" si="24"/>
        <v>60950</v>
      </c>
      <c r="J442" s="252">
        <f t="shared" si="24"/>
        <v>65850</v>
      </c>
      <c r="K442" s="252">
        <f t="shared" si="24"/>
        <v>70750</v>
      </c>
      <c r="L442" s="252">
        <f t="shared" si="24"/>
        <v>75600</v>
      </c>
      <c r="M442" s="252">
        <f t="shared" si="24"/>
        <v>80500</v>
      </c>
    </row>
    <row r="443" spans="1:13" ht="21.95" customHeight="1" x14ac:dyDescent="0.25">
      <c r="A443" s="36" t="s">
        <v>2904</v>
      </c>
      <c r="B443" s="36" t="str">
        <f t="shared" si="22"/>
        <v>GA_MILLER COUNTY, GA</v>
      </c>
      <c r="D443" s="265" t="s">
        <v>95</v>
      </c>
      <c r="E443" s="266" t="s">
        <v>3319</v>
      </c>
      <c r="F443" s="252">
        <f t="shared" si="24"/>
        <v>43750</v>
      </c>
      <c r="G443" s="252">
        <f t="shared" si="24"/>
        <v>50000</v>
      </c>
      <c r="H443" s="252">
        <f t="shared" si="24"/>
        <v>56250</v>
      </c>
      <c r="I443" s="252">
        <f t="shared" si="24"/>
        <v>62450</v>
      </c>
      <c r="J443" s="252">
        <f t="shared" si="24"/>
        <v>67450</v>
      </c>
      <c r="K443" s="252">
        <f t="shared" si="24"/>
        <v>72450</v>
      </c>
      <c r="L443" s="252">
        <f t="shared" si="24"/>
        <v>77450</v>
      </c>
      <c r="M443" s="252">
        <f t="shared" si="24"/>
        <v>82450</v>
      </c>
    </row>
    <row r="444" spans="1:13" ht="21.95" customHeight="1" x14ac:dyDescent="0.25">
      <c r="A444" s="36" t="s">
        <v>2904</v>
      </c>
      <c r="B444" s="36" t="str">
        <f t="shared" ref="B444:B507" si="25">UPPER(TRIM(D444)&amp;"_"&amp;TRIM(E444))</f>
        <v>GA_MITCHELL COUNTY, GA</v>
      </c>
      <c r="D444" s="265" t="s">
        <v>95</v>
      </c>
      <c r="E444" s="266" t="s">
        <v>3320</v>
      </c>
      <c r="F444" s="252">
        <f t="shared" si="24"/>
        <v>42700</v>
      </c>
      <c r="G444" s="252">
        <f t="shared" si="24"/>
        <v>48800</v>
      </c>
      <c r="H444" s="252">
        <f t="shared" si="24"/>
        <v>54900</v>
      </c>
      <c r="I444" s="252">
        <f t="shared" si="24"/>
        <v>60950</v>
      </c>
      <c r="J444" s="252">
        <f t="shared" si="24"/>
        <v>65850</v>
      </c>
      <c r="K444" s="252">
        <f t="shared" si="24"/>
        <v>70750</v>
      </c>
      <c r="L444" s="252">
        <f t="shared" si="24"/>
        <v>75600</v>
      </c>
      <c r="M444" s="252">
        <f t="shared" si="24"/>
        <v>80500</v>
      </c>
    </row>
    <row r="445" spans="1:13" ht="21.95" customHeight="1" x14ac:dyDescent="0.25">
      <c r="A445" s="36" t="s">
        <v>2904</v>
      </c>
      <c r="B445" s="36" t="str">
        <f t="shared" si="25"/>
        <v>GA_MONROE COUNTY, GA HUD METRO FMR AREA</v>
      </c>
      <c r="D445" s="265" t="s">
        <v>95</v>
      </c>
      <c r="E445" s="266" t="s">
        <v>3321</v>
      </c>
      <c r="F445" s="252">
        <f t="shared" si="24"/>
        <v>57400</v>
      </c>
      <c r="G445" s="252">
        <f t="shared" si="24"/>
        <v>65600</v>
      </c>
      <c r="H445" s="252">
        <f t="shared" si="24"/>
        <v>73800</v>
      </c>
      <c r="I445" s="252">
        <f t="shared" si="24"/>
        <v>82000</v>
      </c>
      <c r="J445" s="252">
        <f t="shared" si="24"/>
        <v>88600</v>
      </c>
      <c r="K445" s="252">
        <f t="shared" si="24"/>
        <v>95150</v>
      </c>
      <c r="L445" s="252">
        <f t="shared" si="24"/>
        <v>101700</v>
      </c>
      <c r="M445" s="252">
        <f t="shared" si="24"/>
        <v>108250</v>
      </c>
    </row>
    <row r="446" spans="1:13" ht="21.95" customHeight="1" x14ac:dyDescent="0.25">
      <c r="A446" s="36" t="s">
        <v>2904</v>
      </c>
      <c r="B446" s="36" t="str">
        <f t="shared" si="25"/>
        <v>GA_MONTGOMERY COUNTY, GA</v>
      </c>
      <c r="D446" s="265" t="s">
        <v>95</v>
      </c>
      <c r="E446" s="266" t="s">
        <v>3322</v>
      </c>
      <c r="F446" s="252">
        <f t="shared" si="24"/>
        <v>42700</v>
      </c>
      <c r="G446" s="252">
        <f t="shared" si="24"/>
        <v>48800</v>
      </c>
      <c r="H446" s="252">
        <f t="shared" si="24"/>
        <v>54900</v>
      </c>
      <c r="I446" s="252">
        <f t="shared" si="24"/>
        <v>60950</v>
      </c>
      <c r="J446" s="252">
        <f t="shared" si="24"/>
        <v>65850</v>
      </c>
      <c r="K446" s="252">
        <f t="shared" si="24"/>
        <v>70750</v>
      </c>
      <c r="L446" s="252">
        <f t="shared" si="24"/>
        <v>75600</v>
      </c>
      <c r="M446" s="252">
        <f t="shared" si="24"/>
        <v>80500</v>
      </c>
    </row>
    <row r="447" spans="1:13" ht="21.95" customHeight="1" x14ac:dyDescent="0.25">
      <c r="A447" s="36" t="s">
        <v>2904</v>
      </c>
      <c r="B447" s="36" t="str">
        <f t="shared" si="25"/>
        <v>GA_MORGAN COUNTY, GA HUD METRO FMR AREA</v>
      </c>
      <c r="D447" s="265" t="s">
        <v>95</v>
      </c>
      <c r="E447" s="266" t="s">
        <v>3323</v>
      </c>
      <c r="F447" s="252">
        <f t="shared" si="24"/>
        <v>56150</v>
      </c>
      <c r="G447" s="252">
        <f t="shared" si="24"/>
        <v>64150</v>
      </c>
      <c r="H447" s="252">
        <f t="shared" si="24"/>
        <v>72150</v>
      </c>
      <c r="I447" s="252">
        <f t="shared" si="24"/>
        <v>80150</v>
      </c>
      <c r="J447" s="252">
        <f t="shared" si="24"/>
        <v>86600</v>
      </c>
      <c r="K447" s="252">
        <f t="shared" si="24"/>
        <v>93000</v>
      </c>
      <c r="L447" s="252">
        <f t="shared" si="24"/>
        <v>99400</v>
      </c>
      <c r="M447" s="252">
        <f t="shared" si="24"/>
        <v>105800</v>
      </c>
    </row>
    <row r="448" spans="1:13" ht="21.95" customHeight="1" x14ac:dyDescent="0.25">
      <c r="A448" s="36" t="s">
        <v>2904</v>
      </c>
      <c r="B448" s="36" t="str">
        <f t="shared" si="25"/>
        <v>GA_MURRAY COUNTY, GA HUD METRO FMR AREA</v>
      </c>
      <c r="D448" s="265" t="s">
        <v>95</v>
      </c>
      <c r="E448" s="266" t="s">
        <v>3324</v>
      </c>
      <c r="F448" s="252">
        <f t="shared" si="24"/>
        <v>43750</v>
      </c>
      <c r="G448" s="252">
        <f t="shared" si="24"/>
        <v>50000</v>
      </c>
      <c r="H448" s="252">
        <f t="shared" si="24"/>
        <v>56250</v>
      </c>
      <c r="I448" s="252">
        <f t="shared" si="24"/>
        <v>62450</v>
      </c>
      <c r="J448" s="252">
        <f t="shared" si="24"/>
        <v>67450</v>
      </c>
      <c r="K448" s="252">
        <f t="shared" si="24"/>
        <v>72450</v>
      </c>
      <c r="L448" s="252">
        <f t="shared" si="24"/>
        <v>77450</v>
      </c>
      <c r="M448" s="252">
        <f t="shared" si="24"/>
        <v>82450</v>
      </c>
    </row>
    <row r="449" spans="1:13" ht="21.95" customHeight="1" x14ac:dyDescent="0.25">
      <c r="A449" s="36" t="s">
        <v>2904</v>
      </c>
      <c r="B449" s="36" t="str">
        <f t="shared" si="25"/>
        <v>GA_PEACH COUNTY, GA HUD METRO FMR AREA</v>
      </c>
      <c r="D449" s="265" t="s">
        <v>95</v>
      </c>
      <c r="E449" s="266" t="s">
        <v>3325</v>
      </c>
      <c r="F449" s="252">
        <f t="shared" si="24"/>
        <v>45050</v>
      </c>
      <c r="G449" s="252">
        <f t="shared" si="24"/>
        <v>51500</v>
      </c>
      <c r="H449" s="252">
        <f t="shared" si="24"/>
        <v>57950</v>
      </c>
      <c r="I449" s="252">
        <f t="shared" si="24"/>
        <v>64350</v>
      </c>
      <c r="J449" s="252">
        <f t="shared" si="24"/>
        <v>69500</v>
      </c>
      <c r="K449" s="252">
        <f t="shared" si="24"/>
        <v>74650</v>
      </c>
      <c r="L449" s="252">
        <f t="shared" si="24"/>
        <v>79800</v>
      </c>
      <c r="M449" s="252">
        <f t="shared" si="24"/>
        <v>84950</v>
      </c>
    </row>
    <row r="450" spans="1:13" ht="21.95" customHeight="1" x14ac:dyDescent="0.25">
      <c r="A450" s="36" t="s">
        <v>2904</v>
      </c>
      <c r="B450" s="36" t="str">
        <f t="shared" si="25"/>
        <v>GA_PIERCE COUNTY, GA</v>
      </c>
      <c r="D450" s="265" t="s">
        <v>95</v>
      </c>
      <c r="E450" s="266" t="s">
        <v>3326</v>
      </c>
      <c r="F450" s="252">
        <f t="shared" si="24"/>
        <v>43150</v>
      </c>
      <c r="G450" s="252">
        <f t="shared" si="24"/>
        <v>49300</v>
      </c>
      <c r="H450" s="252">
        <f t="shared" si="24"/>
        <v>55450</v>
      </c>
      <c r="I450" s="252">
        <f t="shared" si="24"/>
        <v>61600</v>
      </c>
      <c r="J450" s="252">
        <f t="shared" si="24"/>
        <v>66550</v>
      </c>
      <c r="K450" s="252">
        <f t="shared" si="24"/>
        <v>71500</v>
      </c>
      <c r="L450" s="252">
        <f t="shared" si="24"/>
        <v>76400</v>
      </c>
      <c r="M450" s="252">
        <f t="shared" si="24"/>
        <v>81350</v>
      </c>
    </row>
    <row r="451" spans="1:13" ht="21.95" customHeight="1" x14ac:dyDescent="0.25">
      <c r="A451" s="36" t="s">
        <v>2904</v>
      </c>
      <c r="B451" s="36" t="str">
        <f t="shared" si="25"/>
        <v>GA_POLK COUNTY, GA</v>
      </c>
      <c r="D451" s="265" t="s">
        <v>95</v>
      </c>
      <c r="E451" s="266" t="s">
        <v>3327</v>
      </c>
      <c r="F451" s="252">
        <f t="shared" si="24"/>
        <v>42700</v>
      </c>
      <c r="G451" s="252">
        <f t="shared" si="24"/>
        <v>48800</v>
      </c>
      <c r="H451" s="252">
        <f t="shared" si="24"/>
        <v>54900</v>
      </c>
      <c r="I451" s="252">
        <f t="shared" si="24"/>
        <v>60950</v>
      </c>
      <c r="J451" s="252">
        <f t="shared" si="24"/>
        <v>65850</v>
      </c>
      <c r="K451" s="252">
        <f t="shared" si="24"/>
        <v>70750</v>
      </c>
      <c r="L451" s="252">
        <f t="shared" si="24"/>
        <v>75600</v>
      </c>
      <c r="M451" s="252">
        <f t="shared" si="24"/>
        <v>80500</v>
      </c>
    </row>
    <row r="452" spans="1:13" ht="21.95" customHeight="1" x14ac:dyDescent="0.25">
      <c r="A452" s="36" t="s">
        <v>2904</v>
      </c>
      <c r="B452" s="36" t="str">
        <f t="shared" si="25"/>
        <v>GA_PULASKI COUNTY, GA</v>
      </c>
      <c r="D452" s="265" t="s">
        <v>95</v>
      </c>
      <c r="E452" s="266" t="s">
        <v>3328</v>
      </c>
      <c r="F452" s="252">
        <f t="shared" si="24"/>
        <v>42700</v>
      </c>
      <c r="G452" s="252">
        <f t="shared" si="24"/>
        <v>48800</v>
      </c>
      <c r="H452" s="252">
        <f t="shared" si="24"/>
        <v>54900</v>
      </c>
      <c r="I452" s="252">
        <f t="shared" si="24"/>
        <v>60950</v>
      </c>
      <c r="J452" s="252">
        <f t="shared" si="24"/>
        <v>65850</v>
      </c>
      <c r="K452" s="252">
        <f t="shared" si="24"/>
        <v>70750</v>
      </c>
      <c r="L452" s="252">
        <f t="shared" si="24"/>
        <v>75600</v>
      </c>
      <c r="M452" s="252">
        <f t="shared" si="24"/>
        <v>80500</v>
      </c>
    </row>
    <row r="453" spans="1:13" ht="21.95" customHeight="1" x14ac:dyDescent="0.25">
      <c r="A453" s="36" t="s">
        <v>2904</v>
      </c>
      <c r="B453" s="36" t="str">
        <f t="shared" si="25"/>
        <v>GA_PUTNAM COUNTY, GA</v>
      </c>
      <c r="D453" s="265" t="s">
        <v>95</v>
      </c>
      <c r="E453" s="266" t="s">
        <v>3329</v>
      </c>
      <c r="F453" s="252">
        <f t="shared" si="24"/>
        <v>49650</v>
      </c>
      <c r="G453" s="252">
        <f t="shared" si="24"/>
        <v>56750</v>
      </c>
      <c r="H453" s="252">
        <f t="shared" si="24"/>
        <v>63850</v>
      </c>
      <c r="I453" s="252">
        <f t="shared" si="24"/>
        <v>70900</v>
      </c>
      <c r="J453" s="252">
        <f t="shared" si="24"/>
        <v>76600</v>
      </c>
      <c r="K453" s="252">
        <f t="shared" si="24"/>
        <v>82250</v>
      </c>
      <c r="L453" s="252">
        <f t="shared" si="24"/>
        <v>87950</v>
      </c>
      <c r="M453" s="252">
        <f t="shared" si="24"/>
        <v>93600</v>
      </c>
    </row>
    <row r="454" spans="1:13" ht="21.95" customHeight="1" x14ac:dyDescent="0.25">
      <c r="A454" s="36" t="s">
        <v>2904</v>
      </c>
      <c r="B454" s="36" t="str">
        <f t="shared" si="25"/>
        <v>GA_QUITMAN COUNTY, GA</v>
      </c>
      <c r="D454" s="265" t="s">
        <v>95</v>
      </c>
      <c r="E454" s="266" t="s">
        <v>3330</v>
      </c>
      <c r="F454" s="252">
        <f t="shared" si="24"/>
        <v>42700</v>
      </c>
      <c r="G454" s="252">
        <f t="shared" si="24"/>
        <v>48800</v>
      </c>
      <c r="H454" s="252">
        <f t="shared" si="24"/>
        <v>54900</v>
      </c>
      <c r="I454" s="252">
        <f t="shared" si="24"/>
        <v>60950</v>
      </c>
      <c r="J454" s="252">
        <f t="shared" si="24"/>
        <v>65850</v>
      </c>
      <c r="K454" s="252">
        <f t="shared" si="24"/>
        <v>70750</v>
      </c>
      <c r="L454" s="252">
        <f t="shared" si="24"/>
        <v>75600</v>
      </c>
      <c r="M454" s="252">
        <f t="shared" si="24"/>
        <v>80500</v>
      </c>
    </row>
    <row r="455" spans="1:13" ht="21.95" customHeight="1" x14ac:dyDescent="0.25">
      <c r="A455" s="36" t="s">
        <v>2904</v>
      </c>
      <c r="B455" s="36" t="str">
        <f t="shared" si="25"/>
        <v>GA_RABUN COUNTY, GA</v>
      </c>
      <c r="D455" s="265" t="s">
        <v>95</v>
      </c>
      <c r="E455" s="266" t="s">
        <v>3331</v>
      </c>
      <c r="F455" s="252">
        <f t="shared" si="24"/>
        <v>43750</v>
      </c>
      <c r="G455" s="252">
        <f t="shared" si="24"/>
        <v>50000</v>
      </c>
      <c r="H455" s="252">
        <f t="shared" si="24"/>
        <v>56250</v>
      </c>
      <c r="I455" s="252">
        <f t="shared" si="24"/>
        <v>62450</v>
      </c>
      <c r="J455" s="252">
        <f t="shared" si="24"/>
        <v>67450</v>
      </c>
      <c r="K455" s="252">
        <f t="shared" si="24"/>
        <v>72450</v>
      </c>
      <c r="L455" s="252">
        <f t="shared" si="24"/>
        <v>77450</v>
      </c>
      <c r="M455" s="252">
        <f t="shared" si="24"/>
        <v>82450</v>
      </c>
    </row>
    <row r="456" spans="1:13" ht="21.95" customHeight="1" x14ac:dyDescent="0.25">
      <c r="A456" s="36" t="s">
        <v>2904</v>
      </c>
      <c r="B456" s="36" t="str">
        <f t="shared" si="25"/>
        <v>GA_RANDOLPH COUNTY, GA</v>
      </c>
      <c r="D456" s="265" t="s">
        <v>95</v>
      </c>
      <c r="E456" s="266" t="s">
        <v>3332</v>
      </c>
      <c r="F456" s="252">
        <f t="shared" si="24"/>
        <v>42700</v>
      </c>
      <c r="G456" s="252">
        <f t="shared" si="24"/>
        <v>48800</v>
      </c>
      <c r="H456" s="252">
        <f t="shared" si="24"/>
        <v>54900</v>
      </c>
      <c r="I456" s="252">
        <f t="shared" si="24"/>
        <v>60950</v>
      </c>
      <c r="J456" s="252">
        <f t="shared" ref="F456:M488" si="26">VLOOKUP($B456,LOOKUP_AMI_TABLE,5+((J$7-1)),FALSE)</f>
        <v>65850</v>
      </c>
      <c r="K456" s="252">
        <f t="shared" si="26"/>
        <v>70750</v>
      </c>
      <c r="L456" s="252">
        <f t="shared" si="26"/>
        <v>75600</v>
      </c>
      <c r="M456" s="252">
        <f t="shared" si="26"/>
        <v>80500</v>
      </c>
    </row>
    <row r="457" spans="1:13" ht="21.95" customHeight="1" x14ac:dyDescent="0.25">
      <c r="A457" s="36" t="s">
        <v>2904</v>
      </c>
      <c r="B457" s="36" t="str">
        <f t="shared" si="25"/>
        <v>GA_ROME, GA MSA</v>
      </c>
      <c r="D457" s="265" t="s">
        <v>95</v>
      </c>
      <c r="E457" s="266" t="s">
        <v>3333</v>
      </c>
      <c r="F457" s="252">
        <f t="shared" si="26"/>
        <v>44400</v>
      </c>
      <c r="G457" s="252">
        <f t="shared" si="26"/>
        <v>50750</v>
      </c>
      <c r="H457" s="252">
        <f t="shared" si="26"/>
        <v>57100</v>
      </c>
      <c r="I457" s="252">
        <f t="shared" si="26"/>
        <v>63400</v>
      </c>
      <c r="J457" s="252">
        <f t="shared" si="26"/>
        <v>68500</v>
      </c>
      <c r="K457" s="252">
        <f t="shared" si="26"/>
        <v>73550</v>
      </c>
      <c r="L457" s="252">
        <f t="shared" si="26"/>
        <v>78650</v>
      </c>
      <c r="M457" s="252">
        <f t="shared" si="26"/>
        <v>83700</v>
      </c>
    </row>
    <row r="458" spans="1:13" ht="21.95" customHeight="1" x14ac:dyDescent="0.25">
      <c r="A458" s="36" t="s">
        <v>2904</v>
      </c>
      <c r="B458" s="36" t="str">
        <f t="shared" si="25"/>
        <v>GA_SAVANNAH, GA MSA</v>
      </c>
      <c r="D458" s="265" t="s">
        <v>95</v>
      </c>
      <c r="E458" s="266" t="s">
        <v>3334</v>
      </c>
      <c r="F458" s="252">
        <f t="shared" si="26"/>
        <v>55800</v>
      </c>
      <c r="G458" s="252">
        <f t="shared" si="26"/>
        <v>63800</v>
      </c>
      <c r="H458" s="252">
        <f t="shared" si="26"/>
        <v>71750</v>
      </c>
      <c r="I458" s="252">
        <f t="shared" si="26"/>
        <v>79700</v>
      </c>
      <c r="J458" s="252">
        <f t="shared" si="26"/>
        <v>86100</v>
      </c>
      <c r="K458" s="252">
        <f t="shared" si="26"/>
        <v>92500</v>
      </c>
      <c r="L458" s="252">
        <f t="shared" si="26"/>
        <v>98850</v>
      </c>
      <c r="M458" s="252">
        <f t="shared" si="26"/>
        <v>105250</v>
      </c>
    </row>
    <row r="459" spans="1:13" ht="21.95" customHeight="1" x14ac:dyDescent="0.25">
      <c r="A459" s="36" t="s">
        <v>2904</v>
      </c>
      <c r="B459" s="36" t="str">
        <f t="shared" si="25"/>
        <v>GA_SCHLEY COUNTY, GA</v>
      </c>
      <c r="D459" s="265" t="s">
        <v>95</v>
      </c>
      <c r="E459" s="266" t="s">
        <v>3335</v>
      </c>
      <c r="F459" s="252">
        <f t="shared" si="26"/>
        <v>43750</v>
      </c>
      <c r="G459" s="252">
        <f t="shared" si="26"/>
        <v>50000</v>
      </c>
      <c r="H459" s="252">
        <f t="shared" si="26"/>
        <v>56250</v>
      </c>
      <c r="I459" s="252">
        <f t="shared" si="26"/>
        <v>62450</v>
      </c>
      <c r="J459" s="252">
        <f t="shared" si="26"/>
        <v>67450</v>
      </c>
      <c r="K459" s="252">
        <f t="shared" si="26"/>
        <v>72450</v>
      </c>
      <c r="L459" s="252">
        <f t="shared" si="26"/>
        <v>77450</v>
      </c>
      <c r="M459" s="252">
        <f t="shared" si="26"/>
        <v>82450</v>
      </c>
    </row>
    <row r="460" spans="1:13" ht="21.95" customHeight="1" x14ac:dyDescent="0.25">
      <c r="A460" s="36" t="s">
        <v>2904</v>
      </c>
      <c r="B460" s="36" t="str">
        <f t="shared" si="25"/>
        <v>GA_SCREVEN COUNTY, GA</v>
      </c>
      <c r="D460" s="265" t="s">
        <v>95</v>
      </c>
      <c r="E460" s="266" t="s">
        <v>3336</v>
      </c>
      <c r="F460" s="252">
        <f t="shared" si="26"/>
        <v>42700</v>
      </c>
      <c r="G460" s="252">
        <f t="shared" si="26"/>
        <v>48800</v>
      </c>
      <c r="H460" s="252">
        <f t="shared" si="26"/>
        <v>54900</v>
      </c>
      <c r="I460" s="252">
        <f t="shared" si="26"/>
        <v>60950</v>
      </c>
      <c r="J460" s="252">
        <f t="shared" si="26"/>
        <v>65850</v>
      </c>
      <c r="K460" s="252">
        <f t="shared" si="26"/>
        <v>70750</v>
      </c>
      <c r="L460" s="252">
        <f t="shared" si="26"/>
        <v>75600</v>
      </c>
      <c r="M460" s="252">
        <f t="shared" si="26"/>
        <v>80500</v>
      </c>
    </row>
    <row r="461" spans="1:13" ht="21.95" customHeight="1" x14ac:dyDescent="0.25">
      <c r="A461" s="36" t="s">
        <v>2904</v>
      </c>
      <c r="B461" s="36" t="str">
        <f t="shared" si="25"/>
        <v>GA_SEMINOLE COUNTY, GA</v>
      </c>
      <c r="D461" s="265" t="s">
        <v>95</v>
      </c>
      <c r="E461" s="266" t="s">
        <v>3337</v>
      </c>
      <c r="F461" s="252">
        <f t="shared" si="26"/>
        <v>42700</v>
      </c>
      <c r="G461" s="252">
        <f t="shared" si="26"/>
        <v>48800</v>
      </c>
      <c r="H461" s="252">
        <f t="shared" si="26"/>
        <v>54900</v>
      </c>
      <c r="I461" s="252">
        <f t="shared" si="26"/>
        <v>60950</v>
      </c>
      <c r="J461" s="252">
        <f t="shared" si="26"/>
        <v>65850</v>
      </c>
      <c r="K461" s="252">
        <f t="shared" si="26"/>
        <v>70750</v>
      </c>
      <c r="L461" s="252">
        <f t="shared" si="26"/>
        <v>75600</v>
      </c>
      <c r="M461" s="252">
        <f t="shared" si="26"/>
        <v>80500</v>
      </c>
    </row>
    <row r="462" spans="1:13" ht="21.95" customHeight="1" x14ac:dyDescent="0.25">
      <c r="A462" s="36" t="s">
        <v>2904</v>
      </c>
      <c r="B462" s="36" t="str">
        <f t="shared" si="25"/>
        <v>GA_STEPHENS COUNTY, GA</v>
      </c>
      <c r="D462" s="265" t="s">
        <v>95</v>
      </c>
      <c r="E462" s="266" t="s">
        <v>3338</v>
      </c>
      <c r="F462" s="252">
        <f t="shared" si="26"/>
        <v>43150</v>
      </c>
      <c r="G462" s="252">
        <f t="shared" si="26"/>
        <v>49300</v>
      </c>
      <c r="H462" s="252">
        <f t="shared" si="26"/>
        <v>55450</v>
      </c>
      <c r="I462" s="252">
        <f t="shared" si="26"/>
        <v>61600</v>
      </c>
      <c r="J462" s="252">
        <f t="shared" si="26"/>
        <v>66550</v>
      </c>
      <c r="K462" s="252">
        <f t="shared" si="26"/>
        <v>71500</v>
      </c>
      <c r="L462" s="252">
        <f t="shared" si="26"/>
        <v>76400</v>
      </c>
      <c r="M462" s="252">
        <f t="shared" si="26"/>
        <v>81350</v>
      </c>
    </row>
    <row r="463" spans="1:13" ht="21.95" customHeight="1" x14ac:dyDescent="0.25">
      <c r="A463" s="36" t="s">
        <v>2904</v>
      </c>
      <c r="B463" s="36" t="str">
        <f t="shared" si="25"/>
        <v>GA_STEWART COUNTY, GA HUD METRO FMR AREA</v>
      </c>
      <c r="D463" s="265" t="s">
        <v>95</v>
      </c>
      <c r="E463" s="266" t="s">
        <v>3339</v>
      </c>
      <c r="F463" s="252">
        <f t="shared" si="26"/>
        <v>42700</v>
      </c>
      <c r="G463" s="252">
        <f t="shared" si="26"/>
        <v>48800</v>
      </c>
      <c r="H463" s="252">
        <f t="shared" si="26"/>
        <v>54900</v>
      </c>
      <c r="I463" s="252">
        <f t="shared" si="26"/>
        <v>60950</v>
      </c>
      <c r="J463" s="252">
        <f t="shared" si="26"/>
        <v>65850</v>
      </c>
      <c r="K463" s="252">
        <f t="shared" si="26"/>
        <v>70750</v>
      </c>
      <c r="L463" s="252">
        <f t="shared" si="26"/>
        <v>75600</v>
      </c>
      <c r="M463" s="252">
        <f t="shared" si="26"/>
        <v>80500</v>
      </c>
    </row>
    <row r="464" spans="1:13" ht="21.95" customHeight="1" x14ac:dyDescent="0.25">
      <c r="A464" s="36" t="s">
        <v>2904</v>
      </c>
      <c r="B464" s="36" t="str">
        <f t="shared" si="25"/>
        <v>GA_SUMTER COUNTY, GA</v>
      </c>
      <c r="D464" s="265" t="s">
        <v>95</v>
      </c>
      <c r="E464" s="266" t="s">
        <v>3340</v>
      </c>
      <c r="F464" s="252">
        <f t="shared" si="26"/>
        <v>42700</v>
      </c>
      <c r="G464" s="252">
        <f t="shared" si="26"/>
        <v>48800</v>
      </c>
      <c r="H464" s="252">
        <f t="shared" si="26"/>
        <v>54900</v>
      </c>
      <c r="I464" s="252">
        <f t="shared" si="26"/>
        <v>60950</v>
      </c>
      <c r="J464" s="252">
        <f t="shared" si="26"/>
        <v>65850</v>
      </c>
      <c r="K464" s="252">
        <f t="shared" si="26"/>
        <v>70750</v>
      </c>
      <c r="L464" s="252">
        <f t="shared" si="26"/>
        <v>75600</v>
      </c>
      <c r="M464" s="252">
        <f t="shared" si="26"/>
        <v>80500</v>
      </c>
    </row>
    <row r="465" spans="1:13" ht="21.95" customHeight="1" x14ac:dyDescent="0.25">
      <c r="A465" s="36" t="s">
        <v>2904</v>
      </c>
      <c r="B465" s="36" t="str">
        <f t="shared" si="25"/>
        <v>GA_TALBOT COUNTY, GA HUD METRO FMR AREA</v>
      </c>
      <c r="D465" s="265" t="s">
        <v>95</v>
      </c>
      <c r="E465" s="266" t="s">
        <v>3341</v>
      </c>
      <c r="F465" s="252">
        <f t="shared" si="26"/>
        <v>42700</v>
      </c>
      <c r="G465" s="252">
        <f t="shared" si="26"/>
        <v>48800</v>
      </c>
      <c r="H465" s="252">
        <f t="shared" si="26"/>
        <v>54900</v>
      </c>
      <c r="I465" s="252">
        <f t="shared" si="26"/>
        <v>60950</v>
      </c>
      <c r="J465" s="252">
        <f t="shared" si="26"/>
        <v>65850</v>
      </c>
      <c r="K465" s="252">
        <f t="shared" si="26"/>
        <v>70750</v>
      </c>
      <c r="L465" s="252">
        <f t="shared" si="26"/>
        <v>75600</v>
      </c>
      <c r="M465" s="252">
        <f t="shared" si="26"/>
        <v>80500</v>
      </c>
    </row>
    <row r="466" spans="1:13" ht="21.95" customHeight="1" x14ac:dyDescent="0.25">
      <c r="A466" s="36" t="s">
        <v>2904</v>
      </c>
      <c r="B466" s="36" t="str">
        <f t="shared" si="25"/>
        <v>GA_TALIAFERRO COUNTY, GA</v>
      </c>
      <c r="D466" s="265" t="s">
        <v>95</v>
      </c>
      <c r="E466" s="266" t="s">
        <v>3342</v>
      </c>
      <c r="F466" s="252">
        <f t="shared" si="26"/>
        <v>42700</v>
      </c>
      <c r="G466" s="252">
        <f t="shared" si="26"/>
        <v>48800</v>
      </c>
      <c r="H466" s="252">
        <f t="shared" si="26"/>
        <v>54900</v>
      </c>
      <c r="I466" s="252">
        <f t="shared" si="26"/>
        <v>60950</v>
      </c>
      <c r="J466" s="252">
        <f t="shared" si="26"/>
        <v>65850</v>
      </c>
      <c r="K466" s="252">
        <f t="shared" si="26"/>
        <v>70750</v>
      </c>
      <c r="L466" s="252">
        <f t="shared" si="26"/>
        <v>75600</v>
      </c>
      <c r="M466" s="252">
        <f t="shared" si="26"/>
        <v>80500</v>
      </c>
    </row>
    <row r="467" spans="1:13" ht="21.95" customHeight="1" x14ac:dyDescent="0.25">
      <c r="A467" s="36" t="s">
        <v>2904</v>
      </c>
      <c r="B467" s="36" t="str">
        <f t="shared" si="25"/>
        <v>GA_TATTNALL COUNTY, GA</v>
      </c>
      <c r="D467" s="265" t="s">
        <v>95</v>
      </c>
      <c r="E467" s="266" t="s">
        <v>3343</v>
      </c>
      <c r="F467" s="252">
        <f t="shared" si="26"/>
        <v>42700</v>
      </c>
      <c r="G467" s="252">
        <f t="shared" si="26"/>
        <v>48800</v>
      </c>
      <c r="H467" s="252">
        <f t="shared" si="26"/>
        <v>54900</v>
      </c>
      <c r="I467" s="252">
        <f t="shared" si="26"/>
        <v>60950</v>
      </c>
      <c r="J467" s="252">
        <f t="shared" si="26"/>
        <v>65850</v>
      </c>
      <c r="K467" s="252">
        <f t="shared" si="26"/>
        <v>70750</v>
      </c>
      <c r="L467" s="252">
        <f t="shared" si="26"/>
        <v>75600</v>
      </c>
      <c r="M467" s="252">
        <f t="shared" si="26"/>
        <v>80500</v>
      </c>
    </row>
    <row r="468" spans="1:13" ht="21.95" customHeight="1" x14ac:dyDescent="0.25">
      <c r="A468" s="36" t="s">
        <v>2904</v>
      </c>
      <c r="B468" s="36" t="str">
        <f t="shared" si="25"/>
        <v>GA_TAYLOR COUNTY, GA</v>
      </c>
      <c r="D468" s="265" t="s">
        <v>95</v>
      </c>
      <c r="E468" s="266" t="s">
        <v>3344</v>
      </c>
      <c r="F468" s="252">
        <f t="shared" si="26"/>
        <v>42700</v>
      </c>
      <c r="G468" s="252">
        <f t="shared" si="26"/>
        <v>48800</v>
      </c>
      <c r="H468" s="252">
        <f t="shared" si="26"/>
        <v>54900</v>
      </c>
      <c r="I468" s="252">
        <f t="shared" si="26"/>
        <v>60950</v>
      </c>
      <c r="J468" s="252">
        <f t="shared" si="26"/>
        <v>65850</v>
      </c>
      <c r="K468" s="252">
        <f t="shared" si="26"/>
        <v>70750</v>
      </c>
      <c r="L468" s="252">
        <f t="shared" si="26"/>
        <v>75600</v>
      </c>
      <c r="M468" s="252">
        <f t="shared" si="26"/>
        <v>80500</v>
      </c>
    </row>
    <row r="469" spans="1:13" ht="21.95" customHeight="1" x14ac:dyDescent="0.25">
      <c r="A469" s="36" t="s">
        <v>2904</v>
      </c>
      <c r="B469" s="36" t="str">
        <f t="shared" si="25"/>
        <v>GA_TELFAIR COUNTY, GA</v>
      </c>
      <c r="D469" s="265" t="s">
        <v>95</v>
      </c>
      <c r="E469" s="266" t="s">
        <v>3345</v>
      </c>
      <c r="F469" s="252">
        <f t="shared" si="26"/>
        <v>42700</v>
      </c>
      <c r="G469" s="252">
        <f t="shared" si="26"/>
        <v>48800</v>
      </c>
      <c r="H469" s="252">
        <f t="shared" si="26"/>
        <v>54900</v>
      </c>
      <c r="I469" s="252">
        <f t="shared" si="26"/>
        <v>60950</v>
      </c>
      <c r="J469" s="252">
        <f t="shared" si="26"/>
        <v>65850</v>
      </c>
      <c r="K469" s="252">
        <f t="shared" si="26"/>
        <v>70750</v>
      </c>
      <c r="L469" s="252">
        <f t="shared" si="26"/>
        <v>75600</v>
      </c>
      <c r="M469" s="252">
        <f t="shared" si="26"/>
        <v>80500</v>
      </c>
    </row>
    <row r="470" spans="1:13" ht="21.95" customHeight="1" x14ac:dyDescent="0.25">
      <c r="A470" s="36" t="s">
        <v>2904</v>
      </c>
      <c r="B470" s="36" t="str">
        <f t="shared" si="25"/>
        <v>GA_THOMAS COUNTY, GA</v>
      </c>
      <c r="D470" s="265" t="s">
        <v>95</v>
      </c>
      <c r="E470" s="266" t="s">
        <v>3346</v>
      </c>
      <c r="F470" s="252">
        <f t="shared" si="26"/>
        <v>43750</v>
      </c>
      <c r="G470" s="252">
        <f t="shared" si="26"/>
        <v>50000</v>
      </c>
      <c r="H470" s="252">
        <f t="shared" si="26"/>
        <v>56250</v>
      </c>
      <c r="I470" s="252">
        <f t="shared" si="26"/>
        <v>62450</v>
      </c>
      <c r="J470" s="252">
        <f t="shared" si="26"/>
        <v>67450</v>
      </c>
      <c r="K470" s="252">
        <f t="shared" si="26"/>
        <v>72450</v>
      </c>
      <c r="L470" s="252">
        <f t="shared" si="26"/>
        <v>77450</v>
      </c>
      <c r="M470" s="252">
        <f t="shared" si="26"/>
        <v>82450</v>
      </c>
    </row>
    <row r="471" spans="1:13" ht="21.95" customHeight="1" x14ac:dyDescent="0.25">
      <c r="A471" s="36" t="s">
        <v>2904</v>
      </c>
      <c r="B471" s="36" t="str">
        <f t="shared" si="25"/>
        <v>GA_TIFT COUNTY, GA</v>
      </c>
      <c r="D471" s="265" t="s">
        <v>95</v>
      </c>
      <c r="E471" s="266" t="s">
        <v>3347</v>
      </c>
      <c r="F471" s="252">
        <f t="shared" si="26"/>
        <v>42700</v>
      </c>
      <c r="G471" s="252">
        <f t="shared" si="26"/>
        <v>48800</v>
      </c>
      <c r="H471" s="252">
        <f t="shared" si="26"/>
        <v>54900</v>
      </c>
      <c r="I471" s="252">
        <f t="shared" si="26"/>
        <v>60950</v>
      </c>
      <c r="J471" s="252">
        <f t="shared" si="26"/>
        <v>65850</v>
      </c>
      <c r="K471" s="252">
        <f t="shared" si="26"/>
        <v>70750</v>
      </c>
      <c r="L471" s="252">
        <f t="shared" si="26"/>
        <v>75600</v>
      </c>
      <c r="M471" s="252">
        <f t="shared" si="26"/>
        <v>80500</v>
      </c>
    </row>
    <row r="472" spans="1:13" ht="21.95" customHeight="1" x14ac:dyDescent="0.25">
      <c r="A472" s="36" t="s">
        <v>2904</v>
      </c>
      <c r="B472" s="36" t="str">
        <f t="shared" si="25"/>
        <v>GA_TOOMBS COUNTY, GA</v>
      </c>
      <c r="D472" s="265" t="s">
        <v>95</v>
      </c>
      <c r="E472" s="266" t="s">
        <v>3348</v>
      </c>
      <c r="F472" s="252">
        <f t="shared" si="26"/>
        <v>42700</v>
      </c>
      <c r="G472" s="252">
        <f t="shared" si="26"/>
        <v>48800</v>
      </c>
      <c r="H472" s="252">
        <f t="shared" si="26"/>
        <v>54900</v>
      </c>
      <c r="I472" s="252">
        <f t="shared" si="26"/>
        <v>60950</v>
      </c>
      <c r="J472" s="252">
        <f t="shared" si="26"/>
        <v>65850</v>
      </c>
      <c r="K472" s="252">
        <f t="shared" si="26"/>
        <v>70750</v>
      </c>
      <c r="L472" s="252">
        <f t="shared" si="26"/>
        <v>75600</v>
      </c>
      <c r="M472" s="252">
        <f t="shared" si="26"/>
        <v>80500</v>
      </c>
    </row>
    <row r="473" spans="1:13" ht="21.95" customHeight="1" x14ac:dyDescent="0.25">
      <c r="A473" s="36" t="s">
        <v>2904</v>
      </c>
      <c r="B473" s="36" t="str">
        <f t="shared" si="25"/>
        <v>GA_TOWNS COUNTY, GA</v>
      </c>
      <c r="D473" s="265" t="s">
        <v>95</v>
      </c>
      <c r="E473" s="266" t="s">
        <v>3349</v>
      </c>
      <c r="F473" s="252">
        <f t="shared" si="26"/>
        <v>43750</v>
      </c>
      <c r="G473" s="252">
        <f t="shared" si="26"/>
        <v>50000</v>
      </c>
      <c r="H473" s="252">
        <f t="shared" si="26"/>
        <v>56250</v>
      </c>
      <c r="I473" s="252">
        <f t="shared" si="26"/>
        <v>62450</v>
      </c>
      <c r="J473" s="252">
        <f t="shared" si="26"/>
        <v>67450</v>
      </c>
      <c r="K473" s="252">
        <f t="shared" si="26"/>
        <v>72450</v>
      </c>
      <c r="L473" s="252">
        <f t="shared" si="26"/>
        <v>77450</v>
      </c>
      <c r="M473" s="252">
        <f t="shared" si="26"/>
        <v>82450</v>
      </c>
    </row>
    <row r="474" spans="1:13" ht="21.95" customHeight="1" x14ac:dyDescent="0.25">
      <c r="A474" s="36" t="s">
        <v>2904</v>
      </c>
      <c r="B474" s="36" t="str">
        <f t="shared" si="25"/>
        <v>GA_TREUTLEN COUNTY, GA</v>
      </c>
      <c r="D474" s="265" t="s">
        <v>95</v>
      </c>
      <c r="E474" s="266" t="s">
        <v>3350</v>
      </c>
      <c r="F474" s="252">
        <f t="shared" si="26"/>
        <v>42700</v>
      </c>
      <c r="G474" s="252">
        <f t="shared" si="26"/>
        <v>48800</v>
      </c>
      <c r="H474" s="252">
        <f t="shared" si="26"/>
        <v>54900</v>
      </c>
      <c r="I474" s="252">
        <f t="shared" si="26"/>
        <v>60950</v>
      </c>
      <c r="J474" s="252">
        <f t="shared" si="26"/>
        <v>65850</v>
      </c>
      <c r="K474" s="252">
        <f t="shared" si="26"/>
        <v>70750</v>
      </c>
      <c r="L474" s="252">
        <f t="shared" si="26"/>
        <v>75600</v>
      </c>
      <c r="M474" s="252">
        <f t="shared" si="26"/>
        <v>80500</v>
      </c>
    </row>
    <row r="475" spans="1:13" ht="21.95" customHeight="1" x14ac:dyDescent="0.25">
      <c r="A475" s="36" t="s">
        <v>2904</v>
      </c>
      <c r="B475" s="36" t="str">
        <f t="shared" si="25"/>
        <v>GA_TROUP COUNTY, GA</v>
      </c>
      <c r="D475" s="265" t="s">
        <v>95</v>
      </c>
      <c r="E475" s="266" t="s">
        <v>3351</v>
      </c>
      <c r="F475" s="252">
        <f t="shared" si="26"/>
        <v>46900</v>
      </c>
      <c r="G475" s="252">
        <f t="shared" si="26"/>
        <v>53600</v>
      </c>
      <c r="H475" s="252">
        <f t="shared" si="26"/>
        <v>60300</v>
      </c>
      <c r="I475" s="252">
        <f t="shared" si="26"/>
        <v>66950</v>
      </c>
      <c r="J475" s="252">
        <f t="shared" si="26"/>
        <v>72350</v>
      </c>
      <c r="K475" s="252">
        <f t="shared" si="26"/>
        <v>77700</v>
      </c>
      <c r="L475" s="252">
        <f t="shared" si="26"/>
        <v>83050</v>
      </c>
      <c r="M475" s="252">
        <f t="shared" si="26"/>
        <v>88400</v>
      </c>
    </row>
    <row r="476" spans="1:13" ht="21.95" customHeight="1" x14ac:dyDescent="0.25">
      <c r="A476" s="36" t="s">
        <v>2904</v>
      </c>
      <c r="B476" s="36" t="str">
        <f t="shared" si="25"/>
        <v>GA_TURNER COUNTY, GA</v>
      </c>
      <c r="D476" s="265" t="s">
        <v>95</v>
      </c>
      <c r="E476" s="266" t="s">
        <v>3352</v>
      </c>
      <c r="F476" s="252">
        <f t="shared" si="26"/>
        <v>42700</v>
      </c>
      <c r="G476" s="252">
        <f t="shared" si="26"/>
        <v>48800</v>
      </c>
      <c r="H476" s="252">
        <f t="shared" si="26"/>
        <v>54900</v>
      </c>
      <c r="I476" s="252">
        <f t="shared" si="26"/>
        <v>60950</v>
      </c>
      <c r="J476" s="252">
        <f t="shared" si="26"/>
        <v>65850</v>
      </c>
      <c r="K476" s="252">
        <f t="shared" si="26"/>
        <v>70750</v>
      </c>
      <c r="L476" s="252">
        <f t="shared" si="26"/>
        <v>75600</v>
      </c>
      <c r="M476" s="252">
        <f t="shared" si="26"/>
        <v>80500</v>
      </c>
    </row>
    <row r="477" spans="1:13" ht="21.95" customHeight="1" x14ac:dyDescent="0.25">
      <c r="A477" s="36" t="s">
        <v>2904</v>
      </c>
      <c r="B477" s="36" t="str">
        <f t="shared" si="25"/>
        <v>GA_UNION COUNTY, GA</v>
      </c>
      <c r="D477" s="265" t="s">
        <v>95</v>
      </c>
      <c r="E477" s="266" t="s">
        <v>3353</v>
      </c>
      <c r="F477" s="252">
        <f t="shared" si="26"/>
        <v>48450</v>
      </c>
      <c r="G477" s="252">
        <f t="shared" si="26"/>
        <v>55350</v>
      </c>
      <c r="H477" s="252">
        <f t="shared" si="26"/>
        <v>62250</v>
      </c>
      <c r="I477" s="252">
        <f t="shared" si="26"/>
        <v>69150</v>
      </c>
      <c r="J477" s="252">
        <f t="shared" si="26"/>
        <v>74700</v>
      </c>
      <c r="K477" s="252">
        <f t="shared" si="26"/>
        <v>80250</v>
      </c>
      <c r="L477" s="252">
        <f t="shared" si="26"/>
        <v>85750</v>
      </c>
      <c r="M477" s="252">
        <f t="shared" si="26"/>
        <v>91300</v>
      </c>
    </row>
    <row r="478" spans="1:13" ht="21.95" customHeight="1" x14ac:dyDescent="0.25">
      <c r="A478" s="36" t="s">
        <v>2904</v>
      </c>
      <c r="B478" s="36" t="str">
        <f t="shared" si="25"/>
        <v>GA_UPSON COUNTY, GA</v>
      </c>
      <c r="D478" s="265" t="s">
        <v>95</v>
      </c>
      <c r="E478" s="266" t="s">
        <v>3354</v>
      </c>
      <c r="F478" s="252">
        <f t="shared" si="26"/>
        <v>42700</v>
      </c>
      <c r="G478" s="252">
        <f t="shared" si="26"/>
        <v>48800</v>
      </c>
      <c r="H478" s="252">
        <f t="shared" si="26"/>
        <v>54900</v>
      </c>
      <c r="I478" s="252">
        <f t="shared" si="26"/>
        <v>60950</v>
      </c>
      <c r="J478" s="252">
        <f t="shared" si="26"/>
        <v>65850</v>
      </c>
      <c r="K478" s="252">
        <f t="shared" si="26"/>
        <v>70750</v>
      </c>
      <c r="L478" s="252">
        <f t="shared" si="26"/>
        <v>75600</v>
      </c>
      <c r="M478" s="252">
        <f t="shared" si="26"/>
        <v>80500</v>
      </c>
    </row>
    <row r="479" spans="1:13" ht="21.95" customHeight="1" x14ac:dyDescent="0.25">
      <c r="A479" s="36" t="s">
        <v>2904</v>
      </c>
      <c r="B479" s="36" t="str">
        <f t="shared" si="25"/>
        <v>GA_VALDOSTA, GA MSA</v>
      </c>
      <c r="D479" s="265" t="s">
        <v>95</v>
      </c>
      <c r="E479" s="266" t="s">
        <v>3355</v>
      </c>
      <c r="F479" s="252">
        <f t="shared" si="26"/>
        <v>43150</v>
      </c>
      <c r="G479" s="252">
        <f t="shared" si="26"/>
        <v>49300</v>
      </c>
      <c r="H479" s="252">
        <f t="shared" si="26"/>
        <v>55450</v>
      </c>
      <c r="I479" s="252">
        <f t="shared" si="26"/>
        <v>61600</v>
      </c>
      <c r="J479" s="252">
        <f t="shared" si="26"/>
        <v>66550</v>
      </c>
      <c r="K479" s="252">
        <f t="shared" si="26"/>
        <v>71500</v>
      </c>
      <c r="L479" s="252">
        <f t="shared" si="26"/>
        <v>76400</v>
      </c>
      <c r="M479" s="252">
        <f t="shared" si="26"/>
        <v>81350</v>
      </c>
    </row>
    <row r="480" spans="1:13" ht="21.95" customHeight="1" x14ac:dyDescent="0.25">
      <c r="A480" s="36" t="s">
        <v>2904</v>
      </c>
      <c r="B480" s="36" t="str">
        <f t="shared" si="25"/>
        <v>GA_WARE COUNTY, GA</v>
      </c>
      <c r="D480" s="265" t="s">
        <v>95</v>
      </c>
      <c r="E480" s="266" t="s">
        <v>3356</v>
      </c>
      <c r="F480" s="252">
        <f t="shared" si="26"/>
        <v>42700</v>
      </c>
      <c r="G480" s="252">
        <f t="shared" si="26"/>
        <v>48800</v>
      </c>
      <c r="H480" s="252">
        <f t="shared" si="26"/>
        <v>54900</v>
      </c>
      <c r="I480" s="252">
        <f t="shared" si="26"/>
        <v>60950</v>
      </c>
      <c r="J480" s="252">
        <f t="shared" si="26"/>
        <v>65850</v>
      </c>
      <c r="K480" s="252">
        <f t="shared" si="26"/>
        <v>70750</v>
      </c>
      <c r="L480" s="252">
        <f t="shared" si="26"/>
        <v>75600</v>
      </c>
      <c r="M480" s="252">
        <f t="shared" si="26"/>
        <v>80500</v>
      </c>
    </row>
    <row r="481" spans="1:13" ht="21.95" customHeight="1" x14ac:dyDescent="0.25">
      <c r="A481" s="36" t="s">
        <v>2904</v>
      </c>
      <c r="B481" s="36" t="str">
        <f t="shared" si="25"/>
        <v>GA_WARNER ROBINS, GA HUD METRO FMR AREA</v>
      </c>
      <c r="D481" s="265" t="s">
        <v>95</v>
      </c>
      <c r="E481" s="266" t="s">
        <v>3357</v>
      </c>
      <c r="F481" s="252">
        <f t="shared" si="26"/>
        <v>54750</v>
      </c>
      <c r="G481" s="252">
        <f t="shared" si="26"/>
        <v>62550</v>
      </c>
      <c r="H481" s="252">
        <f t="shared" si="26"/>
        <v>70350</v>
      </c>
      <c r="I481" s="252">
        <f t="shared" si="26"/>
        <v>78150</v>
      </c>
      <c r="J481" s="252">
        <f t="shared" si="26"/>
        <v>84450</v>
      </c>
      <c r="K481" s="252">
        <f t="shared" si="26"/>
        <v>90700</v>
      </c>
      <c r="L481" s="252">
        <f t="shared" si="26"/>
        <v>96950</v>
      </c>
      <c r="M481" s="252">
        <f t="shared" si="26"/>
        <v>103200</v>
      </c>
    </row>
    <row r="482" spans="1:13" ht="21.95" customHeight="1" x14ac:dyDescent="0.25">
      <c r="A482" s="36" t="s">
        <v>2904</v>
      </c>
      <c r="B482" s="36" t="str">
        <f t="shared" si="25"/>
        <v>GA_WARREN COUNTY, GA</v>
      </c>
      <c r="D482" s="265" t="s">
        <v>95</v>
      </c>
      <c r="E482" s="266" t="s">
        <v>3358</v>
      </c>
      <c r="F482" s="252">
        <f t="shared" si="26"/>
        <v>42700</v>
      </c>
      <c r="G482" s="252">
        <f t="shared" si="26"/>
        <v>48800</v>
      </c>
      <c r="H482" s="252">
        <f t="shared" si="26"/>
        <v>54900</v>
      </c>
      <c r="I482" s="252">
        <f t="shared" si="26"/>
        <v>60950</v>
      </c>
      <c r="J482" s="252">
        <f t="shared" si="26"/>
        <v>65850</v>
      </c>
      <c r="K482" s="252">
        <f t="shared" si="26"/>
        <v>70750</v>
      </c>
      <c r="L482" s="252">
        <f t="shared" si="26"/>
        <v>75600</v>
      </c>
      <c r="M482" s="252">
        <f t="shared" si="26"/>
        <v>80500</v>
      </c>
    </row>
    <row r="483" spans="1:13" ht="21.95" customHeight="1" x14ac:dyDescent="0.25">
      <c r="A483" s="36" t="s">
        <v>2904</v>
      </c>
      <c r="B483" s="36" t="str">
        <f t="shared" si="25"/>
        <v>GA_WASHINGTON COUNTY, GA</v>
      </c>
      <c r="D483" s="265" t="s">
        <v>95</v>
      </c>
      <c r="E483" s="266" t="s">
        <v>3359</v>
      </c>
      <c r="F483" s="252">
        <f t="shared" si="26"/>
        <v>42700</v>
      </c>
      <c r="G483" s="252">
        <f t="shared" si="26"/>
        <v>48800</v>
      </c>
      <c r="H483" s="252">
        <f t="shared" si="26"/>
        <v>54900</v>
      </c>
      <c r="I483" s="252">
        <f t="shared" si="26"/>
        <v>60950</v>
      </c>
      <c r="J483" s="252">
        <f t="shared" si="26"/>
        <v>65850</v>
      </c>
      <c r="K483" s="252">
        <f t="shared" si="26"/>
        <v>70750</v>
      </c>
      <c r="L483" s="252">
        <f t="shared" si="26"/>
        <v>75600</v>
      </c>
      <c r="M483" s="252">
        <f t="shared" si="26"/>
        <v>80500</v>
      </c>
    </row>
    <row r="484" spans="1:13" ht="21.95" customHeight="1" x14ac:dyDescent="0.25">
      <c r="A484" s="36" t="s">
        <v>2904</v>
      </c>
      <c r="B484" s="36" t="str">
        <f t="shared" si="25"/>
        <v>GA_WAYNE COUNTY, GA</v>
      </c>
      <c r="D484" s="265" t="s">
        <v>95</v>
      </c>
      <c r="E484" s="266" t="s">
        <v>3360</v>
      </c>
      <c r="F484" s="252">
        <f t="shared" si="26"/>
        <v>42700</v>
      </c>
      <c r="G484" s="252">
        <f t="shared" si="26"/>
        <v>48800</v>
      </c>
      <c r="H484" s="252">
        <f t="shared" si="26"/>
        <v>54900</v>
      </c>
      <c r="I484" s="252">
        <f t="shared" si="26"/>
        <v>60950</v>
      </c>
      <c r="J484" s="252">
        <f t="shared" si="26"/>
        <v>65850</v>
      </c>
      <c r="K484" s="252">
        <f t="shared" si="26"/>
        <v>70750</v>
      </c>
      <c r="L484" s="252">
        <f t="shared" si="26"/>
        <v>75600</v>
      </c>
      <c r="M484" s="252">
        <f t="shared" si="26"/>
        <v>80500</v>
      </c>
    </row>
    <row r="485" spans="1:13" ht="21.95" customHeight="1" x14ac:dyDescent="0.25">
      <c r="A485" s="36" t="s">
        <v>2904</v>
      </c>
      <c r="B485" s="36" t="str">
        <f t="shared" si="25"/>
        <v>GA_WEBSTER COUNTY, GA</v>
      </c>
      <c r="D485" s="265" t="s">
        <v>95</v>
      </c>
      <c r="E485" s="266" t="s">
        <v>3361</v>
      </c>
      <c r="F485" s="252">
        <f t="shared" si="26"/>
        <v>42700</v>
      </c>
      <c r="G485" s="252">
        <f t="shared" si="26"/>
        <v>48800</v>
      </c>
      <c r="H485" s="252">
        <f t="shared" si="26"/>
        <v>54900</v>
      </c>
      <c r="I485" s="252">
        <f t="shared" si="26"/>
        <v>60950</v>
      </c>
      <c r="J485" s="252">
        <f t="shared" si="26"/>
        <v>65850</v>
      </c>
      <c r="K485" s="252">
        <f t="shared" si="26"/>
        <v>70750</v>
      </c>
      <c r="L485" s="252">
        <f t="shared" si="26"/>
        <v>75600</v>
      </c>
      <c r="M485" s="252">
        <f t="shared" si="26"/>
        <v>80500</v>
      </c>
    </row>
    <row r="486" spans="1:13" ht="21.95" customHeight="1" x14ac:dyDescent="0.25">
      <c r="A486" s="36" t="s">
        <v>2904</v>
      </c>
      <c r="B486" s="36" t="str">
        <f t="shared" si="25"/>
        <v>GA_WHEELER COUNTY, GA</v>
      </c>
      <c r="D486" s="265" t="s">
        <v>95</v>
      </c>
      <c r="E486" s="266" t="s">
        <v>3362</v>
      </c>
      <c r="F486" s="252">
        <f t="shared" si="26"/>
        <v>42700</v>
      </c>
      <c r="G486" s="252">
        <f t="shared" si="26"/>
        <v>48800</v>
      </c>
      <c r="H486" s="252">
        <f t="shared" si="26"/>
        <v>54900</v>
      </c>
      <c r="I486" s="252">
        <f t="shared" si="26"/>
        <v>60950</v>
      </c>
      <c r="J486" s="252">
        <f t="shared" si="26"/>
        <v>65850</v>
      </c>
      <c r="K486" s="252">
        <f t="shared" si="26"/>
        <v>70750</v>
      </c>
      <c r="L486" s="252">
        <f t="shared" si="26"/>
        <v>75600</v>
      </c>
      <c r="M486" s="252">
        <f t="shared" si="26"/>
        <v>80500</v>
      </c>
    </row>
    <row r="487" spans="1:13" ht="21.95" customHeight="1" x14ac:dyDescent="0.25">
      <c r="A487" s="36" t="s">
        <v>2904</v>
      </c>
      <c r="B487" s="36" t="str">
        <f t="shared" si="25"/>
        <v>GA_WHITE COUNTY, GA</v>
      </c>
      <c r="D487" s="265" t="s">
        <v>95</v>
      </c>
      <c r="E487" s="266" t="s">
        <v>3363</v>
      </c>
      <c r="F487" s="252">
        <f t="shared" si="26"/>
        <v>46100</v>
      </c>
      <c r="G487" s="252">
        <f t="shared" si="26"/>
        <v>52700</v>
      </c>
      <c r="H487" s="252">
        <f t="shared" si="26"/>
        <v>59300</v>
      </c>
      <c r="I487" s="252">
        <f t="shared" si="26"/>
        <v>65850</v>
      </c>
      <c r="J487" s="252">
        <f t="shared" si="26"/>
        <v>71150</v>
      </c>
      <c r="K487" s="252">
        <f t="shared" si="26"/>
        <v>76400</v>
      </c>
      <c r="L487" s="252">
        <f t="shared" si="26"/>
        <v>81700</v>
      </c>
      <c r="M487" s="252">
        <f t="shared" si="26"/>
        <v>86950</v>
      </c>
    </row>
    <row r="488" spans="1:13" ht="21.95" customHeight="1" x14ac:dyDescent="0.25">
      <c r="A488" s="36" t="s">
        <v>2904</v>
      </c>
      <c r="B488" s="36" t="str">
        <f t="shared" si="25"/>
        <v>GA_WILCOX COUNTY, GA</v>
      </c>
      <c r="D488" s="265" t="s">
        <v>95</v>
      </c>
      <c r="E488" s="266" t="s">
        <v>3364</v>
      </c>
      <c r="F488" s="252">
        <f t="shared" si="26"/>
        <v>42700</v>
      </c>
      <c r="G488" s="252">
        <f t="shared" si="26"/>
        <v>48800</v>
      </c>
      <c r="H488" s="252">
        <f t="shared" si="26"/>
        <v>54900</v>
      </c>
      <c r="I488" s="252">
        <f t="shared" ref="F488:M520" si="27">VLOOKUP($B488,LOOKUP_AMI_TABLE,5+((I$7-1)),FALSE)</f>
        <v>60950</v>
      </c>
      <c r="J488" s="252">
        <f t="shared" si="27"/>
        <v>65850</v>
      </c>
      <c r="K488" s="252">
        <f t="shared" si="27"/>
        <v>70750</v>
      </c>
      <c r="L488" s="252">
        <f t="shared" si="27"/>
        <v>75600</v>
      </c>
      <c r="M488" s="252">
        <f t="shared" si="27"/>
        <v>80500</v>
      </c>
    </row>
    <row r="489" spans="1:13" ht="21.95" customHeight="1" x14ac:dyDescent="0.25">
      <c r="A489" s="36" t="s">
        <v>2904</v>
      </c>
      <c r="B489" s="36" t="str">
        <f t="shared" si="25"/>
        <v>GA_WILKES COUNTY, GA</v>
      </c>
      <c r="D489" s="265" t="s">
        <v>95</v>
      </c>
      <c r="E489" s="266" t="s">
        <v>3365</v>
      </c>
      <c r="F489" s="252">
        <f t="shared" si="27"/>
        <v>42700</v>
      </c>
      <c r="G489" s="252">
        <f t="shared" si="27"/>
        <v>48800</v>
      </c>
      <c r="H489" s="252">
        <f t="shared" si="27"/>
        <v>54900</v>
      </c>
      <c r="I489" s="252">
        <f t="shared" si="27"/>
        <v>60950</v>
      </c>
      <c r="J489" s="252">
        <f t="shared" si="27"/>
        <v>65850</v>
      </c>
      <c r="K489" s="252">
        <f t="shared" si="27"/>
        <v>70750</v>
      </c>
      <c r="L489" s="252">
        <f t="shared" si="27"/>
        <v>75600</v>
      </c>
      <c r="M489" s="252">
        <f t="shared" si="27"/>
        <v>80500</v>
      </c>
    </row>
    <row r="490" spans="1:13" ht="21.95" customHeight="1" x14ac:dyDescent="0.25">
      <c r="A490" s="36" t="s">
        <v>2904</v>
      </c>
      <c r="B490" s="36" t="str">
        <f t="shared" si="25"/>
        <v>GA_WILKINSON COUNTY, GA</v>
      </c>
      <c r="D490" s="265" t="s">
        <v>95</v>
      </c>
      <c r="E490" s="266" t="s">
        <v>3366</v>
      </c>
      <c r="F490" s="252">
        <f t="shared" si="27"/>
        <v>42700</v>
      </c>
      <c r="G490" s="252">
        <f t="shared" si="27"/>
        <v>48800</v>
      </c>
      <c r="H490" s="252">
        <f t="shared" si="27"/>
        <v>54900</v>
      </c>
      <c r="I490" s="252">
        <f t="shared" si="27"/>
        <v>60950</v>
      </c>
      <c r="J490" s="252">
        <f t="shared" si="27"/>
        <v>65850</v>
      </c>
      <c r="K490" s="252">
        <f t="shared" si="27"/>
        <v>70750</v>
      </c>
      <c r="L490" s="252">
        <f t="shared" si="27"/>
        <v>75600</v>
      </c>
      <c r="M490" s="252">
        <f t="shared" si="27"/>
        <v>80500</v>
      </c>
    </row>
    <row r="491" spans="1:13" ht="21.95" customHeight="1" x14ac:dyDescent="0.25">
      <c r="A491" s="36" t="s">
        <v>2904</v>
      </c>
      <c r="B491" s="36" t="str">
        <f t="shared" si="25"/>
        <v>GU_GUAM</v>
      </c>
      <c r="D491" s="265" t="s">
        <v>2928</v>
      </c>
      <c r="E491" s="266" t="s">
        <v>3367</v>
      </c>
      <c r="F491" s="252">
        <f t="shared" si="27"/>
        <v>54250</v>
      </c>
      <c r="G491" s="252">
        <f t="shared" si="27"/>
        <v>62000</v>
      </c>
      <c r="H491" s="252">
        <f t="shared" si="27"/>
        <v>69750</v>
      </c>
      <c r="I491" s="252">
        <f t="shared" si="27"/>
        <v>77500</v>
      </c>
      <c r="J491" s="252">
        <f t="shared" si="27"/>
        <v>83700</v>
      </c>
      <c r="K491" s="252">
        <f t="shared" si="27"/>
        <v>89900</v>
      </c>
      <c r="L491" s="252">
        <f t="shared" si="27"/>
        <v>96100</v>
      </c>
      <c r="M491" s="252">
        <f t="shared" si="27"/>
        <v>102300</v>
      </c>
    </row>
    <row r="492" spans="1:13" ht="21.95" customHeight="1" x14ac:dyDescent="0.25">
      <c r="A492" s="36" t="s">
        <v>2904</v>
      </c>
      <c r="B492" s="36" t="str">
        <f t="shared" si="25"/>
        <v>HI_HAWAII COUNTY, HI</v>
      </c>
      <c r="D492" s="265" t="s">
        <v>94</v>
      </c>
      <c r="E492" s="266" t="s">
        <v>3368</v>
      </c>
      <c r="F492" s="252">
        <f t="shared" si="27"/>
        <v>67700</v>
      </c>
      <c r="G492" s="252">
        <f t="shared" si="27"/>
        <v>77400</v>
      </c>
      <c r="H492" s="252">
        <f t="shared" si="27"/>
        <v>87050</v>
      </c>
      <c r="I492" s="252">
        <f t="shared" si="27"/>
        <v>96700</v>
      </c>
      <c r="J492" s="252">
        <f t="shared" si="27"/>
        <v>104450</v>
      </c>
      <c r="K492" s="252">
        <f t="shared" si="27"/>
        <v>112200</v>
      </c>
      <c r="L492" s="252">
        <f t="shared" si="27"/>
        <v>119950</v>
      </c>
      <c r="M492" s="252">
        <f t="shared" si="27"/>
        <v>127650</v>
      </c>
    </row>
    <row r="493" spans="1:13" ht="21.95" customHeight="1" x14ac:dyDescent="0.25">
      <c r="A493" s="36" t="s">
        <v>2904</v>
      </c>
      <c r="B493" s="36" t="str">
        <f t="shared" si="25"/>
        <v>HI_KAHULUI-WAILUKU-LAHAINA, HI HUD METRO FMR AREA</v>
      </c>
      <c r="D493" s="265" t="s">
        <v>94</v>
      </c>
      <c r="E493" s="266" t="s">
        <v>9155</v>
      </c>
      <c r="F493" s="252">
        <f t="shared" si="27"/>
        <v>75400</v>
      </c>
      <c r="G493" s="252">
        <f t="shared" si="27"/>
        <v>86200</v>
      </c>
      <c r="H493" s="252">
        <f t="shared" si="27"/>
        <v>96950</v>
      </c>
      <c r="I493" s="252">
        <f t="shared" si="27"/>
        <v>107700</v>
      </c>
      <c r="J493" s="252">
        <f t="shared" si="27"/>
        <v>116350</v>
      </c>
      <c r="K493" s="252">
        <f t="shared" si="27"/>
        <v>124950</v>
      </c>
      <c r="L493" s="252">
        <f t="shared" si="27"/>
        <v>133550</v>
      </c>
      <c r="M493" s="252">
        <f t="shared" si="27"/>
        <v>142200</v>
      </c>
    </row>
    <row r="494" spans="1:13" ht="21.95" customHeight="1" x14ac:dyDescent="0.25">
      <c r="A494" s="36" t="s">
        <v>2904</v>
      </c>
      <c r="B494" s="36" t="str">
        <f t="shared" si="25"/>
        <v>HI_KALAWAO COUNTY, HI HUD METRO FMR AREA</v>
      </c>
      <c r="D494" s="265" t="s">
        <v>94</v>
      </c>
      <c r="E494" s="266" t="s">
        <v>9154</v>
      </c>
      <c r="F494" s="252">
        <f t="shared" si="27"/>
        <v>62100</v>
      </c>
      <c r="G494" s="252">
        <f t="shared" si="27"/>
        <v>71000</v>
      </c>
      <c r="H494" s="252">
        <f t="shared" si="27"/>
        <v>79850</v>
      </c>
      <c r="I494" s="252">
        <f t="shared" si="27"/>
        <v>88700</v>
      </c>
      <c r="J494" s="252">
        <f t="shared" si="27"/>
        <v>95800</v>
      </c>
      <c r="K494" s="252">
        <f t="shared" si="27"/>
        <v>102900</v>
      </c>
      <c r="L494" s="252">
        <f t="shared" si="27"/>
        <v>110000</v>
      </c>
      <c r="M494" s="252">
        <f t="shared" si="27"/>
        <v>117100</v>
      </c>
    </row>
    <row r="495" spans="1:13" ht="21.95" customHeight="1" x14ac:dyDescent="0.25">
      <c r="A495" s="36" t="s">
        <v>2904</v>
      </c>
      <c r="B495" s="36" t="str">
        <f t="shared" si="25"/>
        <v>HI_KAUAI COUNTY, HI</v>
      </c>
      <c r="D495" s="265" t="s">
        <v>94</v>
      </c>
      <c r="E495" s="266" t="s">
        <v>3369</v>
      </c>
      <c r="F495" s="252">
        <f t="shared" si="27"/>
        <v>72950</v>
      </c>
      <c r="G495" s="252">
        <f t="shared" si="27"/>
        <v>83400</v>
      </c>
      <c r="H495" s="252">
        <f t="shared" si="27"/>
        <v>93800</v>
      </c>
      <c r="I495" s="252">
        <f t="shared" si="27"/>
        <v>104200</v>
      </c>
      <c r="J495" s="252">
        <f t="shared" si="27"/>
        <v>112550</v>
      </c>
      <c r="K495" s="252">
        <f t="shared" si="27"/>
        <v>120900</v>
      </c>
      <c r="L495" s="252">
        <f t="shared" si="27"/>
        <v>129250</v>
      </c>
      <c r="M495" s="252">
        <f t="shared" si="27"/>
        <v>137550</v>
      </c>
    </row>
    <row r="496" spans="1:13" ht="21.95" customHeight="1" x14ac:dyDescent="0.25">
      <c r="A496" s="36" t="s">
        <v>2904</v>
      </c>
      <c r="B496" s="36" t="str">
        <f t="shared" si="25"/>
        <v>HI_URBAN HONOLULU, HI MSA</v>
      </c>
      <c r="D496" s="265" t="s">
        <v>94</v>
      </c>
      <c r="E496" s="266" t="s">
        <v>3370</v>
      </c>
      <c r="F496" s="252">
        <f t="shared" si="27"/>
        <v>85150</v>
      </c>
      <c r="G496" s="252">
        <f t="shared" si="27"/>
        <v>97300</v>
      </c>
      <c r="H496" s="252">
        <f t="shared" si="27"/>
        <v>109450</v>
      </c>
      <c r="I496" s="252">
        <f t="shared" si="27"/>
        <v>121600</v>
      </c>
      <c r="J496" s="252">
        <f t="shared" si="27"/>
        <v>131350</v>
      </c>
      <c r="K496" s="252">
        <f t="shared" si="27"/>
        <v>141100</v>
      </c>
      <c r="L496" s="252">
        <f t="shared" si="27"/>
        <v>150800</v>
      </c>
      <c r="M496" s="252">
        <f t="shared" si="27"/>
        <v>160550</v>
      </c>
    </row>
    <row r="497" spans="1:13" ht="21.95" customHeight="1" x14ac:dyDescent="0.25">
      <c r="A497" s="36" t="s">
        <v>2904</v>
      </c>
      <c r="B497" s="36" t="str">
        <f t="shared" si="25"/>
        <v>IA_ADAIR COUNTY, IA</v>
      </c>
      <c r="D497" s="265" t="s">
        <v>90</v>
      </c>
      <c r="E497" s="266" t="s">
        <v>3371</v>
      </c>
      <c r="F497" s="252">
        <f t="shared" si="27"/>
        <v>56600</v>
      </c>
      <c r="G497" s="252">
        <f t="shared" si="27"/>
        <v>64650</v>
      </c>
      <c r="H497" s="252">
        <f t="shared" si="27"/>
        <v>72750</v>
      </c>
      <c r="I497" s="252">
        <f t="shared" si="27"/>
        <v>80800</v>
      </c>
      <c r="J497" s="252">
        <f t="shared" si="27"/>
        <v>87300</v>
      </c>
      <c r="K497" s="252">
        <f t="shared" si="27"/>
        <v>93750</v>
      </c>
      <c r="L497" s="252">
        <f t="shared" si="27"/>
        <v>100200</v>
      </c>
      <c r="M497" s="252">
        <f t="shared" si="27"/>
        <v>106700</v>
      </c>
    </row>
    <row r="498" spans="1:13" ht="21.95" customHeight="1" x14ac:dyDescent="0.25">
      <c r="A498" s="36" t="s">
        <v>2904</v>
      </c>
      <c r="B498" s="36" t="str">
        <f t="shared" si="25"/>
        <v>IA_ADAMS COUNTY, IA</v>
      </c>
      <c r="D498" s="265" t="s">
        <v>90</v>
      </c>
      <c r="E498" s="266" t="s">
        <v>3372</v>
      </c>
      <c r="F498" s="252">
        <f t="shared" si="27"/>
        <v>52600</v>
      </c>
      <c r="G498" s="252">
        <f t="shared" si="27"/>
        <v>60100</v>
      </c>
      <c r="H498" s="252">
        <f t="shared" si="27"/>
        <v>67600</v>
      </c>
      <c r="I498" s="252">
        <f t="shared" si="27"/>
        <v>75100</v>
      </c>
      <c r="J498" s="252">
        <f t="shared" si="27"/>
        <v>81150</v>
      </c>
      <c r="K498" s="252">
        <f t="shared" si="27"/>
        <v>87150</v>
      </c>
      <c r="L498" s="252">
        <f t="shared" si="27"/>
        <v>93150</v>
      </c>
      <c r="M498" s="252">
        <f t="shared" si="27"/>
        <v>99150</v>
      </c>
    </row>
    <row r="499" spans="1:13" ht="21.95" customHeight="1" x14ac:dyDescent="0.25">
      <c r="A499" s="36" t="s">
        <v>2904</v>
      </c>
      <c r="B499" s="36" t="str">
        <f t="shared" si="25"/>
        <v>IA_ALLAMAKEE COUNTY, IA</v>
      </c>
      <c r="D499" s="265" t="s">
        <v>90</v>
      </c>
      <c r="E499" s="266" t="s">
        <v>3373</v>
      </c>
      <c r="F499" s="252">
        <f t="shared" si="27"/>
        <v>51550</v>
      </c>
      <c r="G499" s="252">
        <f t="shared" si="27"/>
        <v>58900</v>
      </c>
      <c r="H499" s="252">
        <f t="shared" si="27"/>
        <v>66250</v>
      </c>
      <c r="I499" s="252">
        <f t="shared" si="27"/>
        <v>73600</v>
      </c>
      <c r="J499" s="252">
        <f t="shared" si="27"/>
        <v>79500</v>
      </c>
      <c r="K499" s="252">
        <f t="shared" si="27"/>
        <v>85400</v>
      </c>
      <c r="L499" s="252">
        <f t="shared" si="27"/>
        <v>91300</v>
      </c>
      <c r="M499" s="252">
        <f t="shared" si="27"/>
        <v>97200</v>
      </c>
    </row>
    <row r="500" spans="1:13" ht="21.95" customHeight="1" x14ac:dyDescent="0.25">
      <c r="A500" s="36" t="s">
        <v>2904</v>
      </c>
      <c r="B500" s="36" t="str">
        <f t="shared" si="25"/>
        <v>IA_AMES, IA HUD METRO FMR AREA</v>
      </c>
      <c r="D500" s="265" t="s">
        <v>90</v>
      </c>
      <c r="E500" s="266" t="s">
        <v>3374</v>
      </c>
      <c r="F500" s="252">
        <f t="shared" si="27"/>
        <v>69400</v>
      </c>
      <c r="G500" s="252">
        <f t="shared" si="27"/>
        <v>79300</v>
      </c>
      <c r="H500" s="252">
        <f t="shared" si="27"/>
        <v>89200</v>
      </c>
      <c r="I500" s="252">
        <f t="shared" si="27"/>
        <v>99100</v>
      </c>
      <c r="J500" s="252">
        <f t="shared" si="27"/>
        <v>107050</v>
      </c>
      <c r="K500" s="252">
        <f t="shared" si="27"/>
        <v>115000</v>
      </c>
      <c r="L500" s="252">
        <f t="shared" si="27"/>
        <v>122900</v>
      </c>
      <c r="M500" s="252">
        <f t="shared" si="27"/>
        <v>130850</v>
      </c>
    </row>
    <row r="501" spans="1:13" ht="21.95" customHeight="1" x14ac:dyDescent="0.25">
      <c r="A501" s="36" t="s">
        <v>2904</v>
      </c>
      <c r="B501" s="36" t="str">
        <f t="shared" si="25"/>
        <v>IA_APPANOOSE COUNTY, IA</v>
      </c>
      <c r="D501" s="265" t="s">
        <v>90</v>
      </c>
      <c r="E501" s="266" t="s">
        <v>3375</v>
      </c>
      <c r="F501" s="252">
        <f t="shared" si="27"/>
        <v>51550</v>
      </c>
      <c r="G501" s="252">
        <f t="shared" si="27"/>
        <v>58900</v>
      </c>
      <c r="H501" s="252">
        <f t="shared" si="27"/>
        <v>66250</v>
      </c>
      <c r="I501" s="252">
        <f t="shared" si="27"/>
        <v>73600</v>
      </c>
      <c r="J501" s="252">
        <f t="shared" si="27"/>
        <v>79500</v>
      </c>
      <c r="K501" s="252">
        <f t="shared" si="27"/>
        <v>85400</v>
      </c>
      <c r="L501" s="252">
        <f t="shared" si="27"/>
        <v>91300</v>
      </c>
      <c r="M501" s="252">
        <f t="shared" si="27"/>
        <v>97200</v>
      </c>
    </row>
    <row r="502" spans="1:13" ht="21.95" customHeight="1" x14ac:dyDescent="0.25">
      <c r="A502" s="36" t="s">
        <v>2904</v>
      </c>
      <c r="B502" s="36" t="str">
        <f t="shared" si="25"/>
        <v>IA_AUDUBON COUNTY, IA</v>
      </c>
      <c r="D502" s="265" t="s">
        <v>90</v>
      </c>
      <c r="E502" s="266" t="s">
        <v>3376</v>
      </c>
      <c r="F502" s="252">
        <f t="shared" si="27"/>
        <v>51550</v>
      </c>
      <c r="G502" s="252">
        <f t="shared" si="27"/>
        <v>58900</v>
      </c>
      <c r="H502" s="252">
        <f t="shared" si="27"/>
        <v>66250</v>
      </c>
      <c r="I502" s="252">
        <f t="shared" si="27"/>
        <v>73600</v>
      </c>
      <c r="J502" s="252">
        <f t="shared" si="27"/>
        <v>79500</v>
      </c>
      <c r="K502" s="252">
        <f t="shared" si="27"/>
        <v>85400</v>
      </c>
      <c r="L502" s="252">
        <f t="shared" si="27"/>
        <v>91300</v>
      </c>
      <c r="M502" s="252">
        <f t="shared" si="27"/>
        <v>97200</v>
      </c>
    </row>
    <row r="503" spans="1:13" ht="21.95" customHeight="1" x14ac:dyDescent="0.25">
      <c r="A503" s="36" t="s">
        <v>2904</v>
      </c>
      <c r="B503" s="36" t="str">
        <f t="shared" si="25"/>
        <v>IA_BENTON COUNTY, IA HUD METRO FMR AREA</v>
      </c>
      <c r="D503" s="265" t="s">
        <v>90</v>
      </c>
      <c r="E503" s="266" t="s">
        <v>3377</v>
      </c>
      <c r="F503" s="252">
        <f t="shared" si="27"/>
        <v>62100</v>
      </c>
      <c r="G503" s="252">
        <f t="shared" si="27"/>
        <v>70950</v>
      </c>
      <c r="H503" s="252">
        <f t="shared" si="27"/>
        <v>79800</v>
      </c>
      <c r="I503" s="252">
        <f t="shared" si="27"/>
        <v>88650</v>
      </c>
      <c r="J503" s="252">
        <f t="shared" si="27"/>
        <v>95750</v>
      </c>
      <c r="K503" s="252">
        <f t="shared" si="27"/>
        <v>102850</v>
      </c>
      <c r="L503" s="252">
        <f t="shared" si="27"/>
        <v>109950</v>
      </c>
      <c r="M503" s="252">
        <f t="shared" si="27"/>
        <v>117050</v>
      </c>
    </row>
    <row r="504" spans="1:13" ht="21.95" customHeight="1" x14ac:dyDescent="0.25">
      <c r="A504" s="36" t="s">
        <v>2904</v>
      </c>
      <c r="B504" s="36" t="str">
        <f t="shared" si="25"/>
        <v>IA_BOONE COUNTY, IA HUD METRO FMR AREA</v>
      </c>
      <c r="D504" s="265" t="s">
        <v>90</v>
      </c>
      <c r="E504" s="266" t="s">
        <v>3378</v>
      </c>
      <c r="F504" s="252">
        <f t="shared" si="27"/>
        <v>60950</v>
      </c>
      <c r="G504" s="252">
        <f t="shared" si="27"/>
        <v>69650</v>
      </c>
      <c r="H504" s="252">
        <f t="shared" si="27"/>
        <v>78350</v>
      </c>
      <c r="I504" s="252">
        <f t="shared" si="27"/>
        <v>87050</v>
      </c>
      <c r="J504" s="252">
        <f t="shared" si="27"/>
        <v>94050</v>
      </c>
      <c r="K504" s="252">
        <f t="shared" si="27"/>
        <v>101000</v>
      </c>
      <c r="L504" s="252">
        <f t="shared" si="27"/>
        <v>107950</v>
      </c>
      <c r="M504" s="252">
        <f t="shared" si="27"/>
        <v>114950</v>
      </c>
    </row>
    <row r="505" spans="1:13" ht="21.95" customHeight="1" x14ac:dyDescent="0.25">
      <c r="A505" s="36" t="s">
        <v>2904</v>
      </c>
      <c r="B505" s="36" t="str">
        <f t="shared" si="25"/>
        <v>IA_BREMER COUNTY, IA HUD METRO FMR AREA</v>
      </c>
      <c r="D505" s="265" t="s">
        <v>90</v>
      </c>
      <c r="E505" s="266" t="s">
        <v>3379</v>
      </c>
      <c r="F505" s="252">
        <f t="shared" si="27"/>
        <v>59950</v>
      </c>
      <c r="G505" s="252">
        <f t="shared" si="27"/>
        <v>68500</v>
      </c>
      <c r="H505" s="252">
        <f t="shared" si="27"/>
        <v>77050</v>
      </c>
      <c r="I505" s="252">
        <f t="shared" si="27"/>
        <v>85600</v>
      </c>
      <c r="J505" s="252">
        <f t="shared" si="27"/>
        <v>92450</v>
      </c>
      <c r="K505" s="252">
        <f t="shared" si="27"/>
        <v>99300</v>
      </c>
      <c r="L505" s="252">
        <f t="shared" si="27"/>
        <v>106150</v>
      </c>
      <c r="M505" s="252">
        <f t="shared" si="27"/>
        <v>113000</v>
      </c>
    </row>
    <row r="506" spans="1:13" ht="21.95" customHeight="1" x14ac:dyDescent="0.25">
      <c r="A506" s="36" t="s">
        <v>2904</v>
      </c>
      <c r="B506" s="36" t="str">
        <f t="shared" si="25"/>
        <v>IA_BUCHANAN COUNTY, IA</v>
      </c>
      <c r="D506" s="265" t="s">
        <v>90</v>
      </c>
      <c r="E506" s="266" t="s">
        <v>3380</v>
      </c>
      <c r="F506" s="252">
        <f t="shared" si="27"/>
        <v>55650</v>
      </c>
      <c r="G506" s="252">
        <f t="shared" si="27"/>
        <v>63600</v>
      </c>
      <c r="H506" s="252">
        <f t="shared" si="27"/>
        <v>71550</v>
      </c>
      <c r="I506" s="252">
        <f t="shared" si="27"/>
        <v>79500</v>
      </c>
      <c r="J506" s="252">
        <f t="shared" si="27"/>
        <v>85900</v>
      </c>
      <c r="K506" s="252">
        <f t="shared" si="27"/>
        <v>92250</v>
      </c>
      <c r="L506" s="252">
        <f t="shared" si="27"/>
        <v>98600</v>
      </c>
      <c r="M506" s="252">
        <f t="shared" si="27"/>
        <v>104950</v>
      </c>
    </row>
    <row r="507" spans="1:13" ht="21.95" customHeight="1" x14ac:dyDescent="0.25">
      <c r="A507" s="36" t="s">
        <v>2904</v>
      </c>
      <c r="B507" s="36" t="str">
        <f t="shared" si="25"/>
        <v>IA_BUENA VISTA COUNTY, IA</v>
      </c>
      <c r="D507" s="265" t="s">
        <v>90</v>
      </c>
      <c r="E507" s="266" t="s">
        <v>3381</v>
      </c>
      <c r="F507" s="252">
        <f t="shared" si="27"/>
        <v>55100</v>
      </c>
      <c r="G507" s="252">
        <f t="shared" si="27"/>
        <v>63000</v>
      </c>
      <c r="H507" s="252">
        <f t="shared" si="27"/>
        <v>70850</v>
      </c>
      <c r="I507" s="252">
        <f t="shared" si="27"/>
        <v>78700</v>
      </c>
      <c r="J507" s="252">
        <f t="shared" si="27"/>
        <v>85000</v>
      </c>
      <c r="K507" s="252">
        <f t="shared" si="27"/>
        <v>91300</v>
      </c>
      <c r="L507" s="252">
        <f t="shared" si="27"/>
        <v>97600</v>
      </c>
      <c r="M507" s="252">
        <f t="shared" si="27"/>
        <v>103900</v>
      </c>
    </row>
    <row r="508" spans="1:13" ht="21.95" customHeight="1" x14ac:dyDescent="0.25">
      <c r="A508" s="36" t="s">
        <v>2904</v>
      </c>
      <c r="B508" s="36" t="str">
        <f t="shared" ref="B508:B571" si="28">UPPER(TRIM(D508)&amp;"_"&amp;TRIM(E508))</f>
        <v>IA_BUTLER COUNTY, IA</v>
      </c>
      <c r="D508" s="265" t="s">
        <v>90</v>
      </c>
      <c r="E508" s="266" t="s">
        <v>3382</v>
      </c>
      <c r="F508" s="252">
        <f t="shared" si="27"/>
        <v>51550</v>
      </c>
      <c r="G508" s="252">
        <f t="shared" si="27"/>
        <v>58900</v>
      </c>
      <c r="H508" s="252">
        <f t="shared" si="27"/>
        <v>66250</v>
      </c>
      <c r="I508" s="252">
        <f t="shared" si="27"/>
        <v>73600</v>
      </c>
      <c r="J508" s="252">
        <f t="shared" si="27"/>
        <v>79500</v>
      </c>
      <c r="K508" s="252">
        <f t="shared" si="27"/>
        <v>85400</v>
      </c>
      <c r="L508" s="252">
        <f t="shared" si="27"/>
        <v>91300</v>
      </c>
      <c r="M508" s="252">
        <f t="shared" si="27"/>
        <v>97200</v>
      </c>
    </row>
    <row r="509" spans="1:13" ht="21.95" customHeight="1" x14ac:dyDescent="0.25">
      <c r="A509" s="36" t="s">
        <v>2904</v>
      </c>
      <c r="B509" s="36" t="str">
        <f t="shared" si="28"/>
        <v>IA_CALHOUN COUNTY, IA</v>
      </c>
      <c r="D509" s="265" t="s">
        <v>90</v>
      </c>
      <c r="E509" s="266" t="s">
        <v>3383</v>
      </c>
      <c r="F509" s="252">
        <f t="shared" si="27"/>
        <v>51550</v>
      </c>
      <c r="G509" s="252">
        <f t="shared" si="27"/>
        <v>58900</v>
      </c>
      <c r="H509" s="252">
        <f t="shared" si="27"/>
        <v>66250</v>
      </c>
      <c r="I509" s="252">
        <f t="shared" si="27"/>
        <v>73600</v>
      </c>
      <c r="J509" s="252">
        <f t="shared" si="27"/>
        <v>79500</v>
      </c>
      <c r="K509" s="252">
        <f t="shared" si="27"/>
        <v>85400</v>
      </c>
      <c r="L509" s="252">
        <f t="shared" si="27"/>
        <v>91300</v>
      </c>
      <c r="M509" s="252">
        <f t="shared" si="27"/>
        <v>97200</v>
      </c>
    </row>
    <row r="510" spans="1:13" ht="21.95" customHeight="1" x14ac:dyDescent="0.25">
      <c r="A510" s="36" t="s">
        <v>2904</v>
      </c>
      <c r="B510" s="36" t="str">
        <f t="shared" si="28"/>
        <v>IA_CARROLL COUNTY, IA</v>
      </c>
      <c r="D510" s="265" t="s">
        <v>90</v>
      </c>
      <c r="E510" s="266" t="s">
        <v>3384</v>
      </c>
      <c r="F510" s="252">
        <f t="shared" si="27"/>
        <v>55350</v>
      </c>
      <c r="G510" s="252">
        <f t="shared" si="27"/>
        <v>63250</v>
      </c>
      <c r="H510" s="252">
        <f t="shared" si="27"/>
        <v>71150</v>
      </c>
      <c r="I510" s="252">
        <f t="shared" si="27"/>
        <v>79050</v>
      </c>
      <c r="J510" s="252">
        <f t="shared" si="27"/>
        <v>85400</v>
      </c>
      <c r="K510" s="252">
        <f t="shared" si="27"/>
        <v>91700</v>
      </c>
      <c r="L510" s="252">
        <f t="shared" si="27"/>
        <v>98050</v>
      </c>
      <c r="M510" s="252">
        <f t="shared" si="27"/>
        <v>104350</v>
      </c>
    </row>
    <row r="511" spans="1:13" ht="21.95" customHeight="1" x14ac:dyDescent="0.25">
      <c r="A511" s="36" t="s">
        <v>2904</v>
      </c>
      <c r="B511" s="36" t="str">
        <f t="shared" si="28"/>
        <v>IA_CASS COUNTY, IA</v>
      </c>
      <c r="D511" s="265" t="s">
        <v>90</v>
      </c>
      <c r="E511" s="266" t="s">
        <v>3385</v>
      </c>
      <c r="F511" s="252">
        <f t="shared" si="27"/>
        <v>52450</v>
      </c>
      <c r="G511" s="252">
        <f t="shared" si="27"/>
        <v>59950</v>
      </c>
      <c r="H511" s="252">
        <f t="shared" si="27"/>
        <v>67450</v>
      </c>
      <c r="I511" s="252">
        <f t="shared" si="27"/>
        <v>74900</v>
      </c>
      <c r="J511" s="252">
        <f t="shared" si="27"/>
        <v>80900</v>
      </c>
      <c r="K511" s="252">
        <f t="shared" si="27"/>
        <v>86900</v>
      </c>
      <c r="L511" s="252">
        <f t="shared" si="27"/>
        <v>92900</v>
      </c>
      <c r="M511" s="252">
        <f t="shared" si="27"/>
        <v>98900</v>
      </c>
    </row>
    <row r="512" spans="1:13" ht="21.95" customHeight="1" x14ac:dyDescent="0.25">
      <c r="A512" s="36" t="s">
        <v>2904</v>
      </c>
      <c r="B512" s="36" t="str">
        <f t="shared" si="28"/>
        <v>IA_CEDAR COUNTY, IA</v>
      </c>
      <c r="D512" s="265" t="s">
        <v>90</v>
      </c>
      <c r="E512" s="266" t="s">
        <v>3386</v>
      </c>
      <c r="F512" s="252">
        <f t="shared" si="27"/>
        <v>58450</v>
      </c>
      <c r="G512" s="252">
        <f t="shared" si="27"/>
        <v>66800</v>
      </c>
      <c r="H512" s="252">
        <f t="shared" si="27"/>
        <v>75150</v>
      </c>
      <c r="I512" s="252">
        <f t="shared" si="27"/>
        <v>83500</v>
      </c>
      <c r="J512" s="252">
        <f t="shared" si="27"/>
        <v>90200</v>
      </c>
      <c r="K512" s="252">
        <f t="shared" si="27"/>
        <v>96900</v>
      </c>
      <c r="L512" s="252">
        <f t="shared" si="27"/>
        <v>103550</v>
      </c>
      <c r="M512" s="252">
        <f t="shared" si="27"/>
        <v>110250</v>
      </c>
    </row>
    <row r="513" spans="1:13" ht="21.95" customHeight="1" x14ac:dyDescent="0.25">
      <c r="A513" s="36" t="s">
        <v>2904</v>
      </c>
      <c r="B513" s="36" t="str">
        <f t="shared" si="28"/>
        <v>IA_CEDAR RAPIDS, IA HUD METRO FMR AREA</v>
      </c>
      <c r="D513" s="265" t="s">
        <v>90</v>
      </c>
      <c r="E513" s="266" t="s">
        <v>3387</v>
      </c>
      <c r="F513" s="252">
        <f t="shared" si="27"/>
        <v>56950</v>
      </c>
      <c r="G513" s="252">
        <f t="shared" si="27"/>
        <v>65050</v>
      </c>
      <c r="H513" s="252">
        <f t="shared" si="27"/>
        <v>73200</v>
      </c>
      <c r="I513" s="252">
        <f t="shared" si="27"/>
        <v>81300</v>
      </c>
      <c r="J513" s="252">
        <f t="shared" si="27"/>
        <v>87850</v>
      </c>
      <c r="K513" s="252">
        <f t="shared" si="27"/>
        <v>94350</v>
      </c>
      <c r="L513" s="252">
        <f t="shared" si="27"/>
        <v>100850</v>
      </c>
      <c r="M513" s="252">
        <f t="shared" si="27"/>
        <v>107350</v>
      </c>
    </row>
    <row r="514" spans="1:13" ht="21.95" customHeight="1" x14ac:dyDescent="0.25">
      <c r="A514" s="36" t="s">
        <v>2904</v>
      </c>
      <c r="B514" s="36" t="str">
        <f t="shared" si="28"/>
        <v>IA_CERRO GORDO COUNTY, IA</v>
      </c>
      <c r="D514" s="265" t="s">
        <v>90</v>
      </c>
      <c r="E514" s="266" t="s">
        <v>3388</v>
      </c>
      <c r="F514" s="252">
        <f t="shared" si="27"/>
        <v>52850</v>
      </c>
      <c r="G514" s="252">
        <f t="shared" si="27"/>
        <v>60400</v>
      </c>
      <c r="H514" s="252">
        <f t="shared" si="27"/>
        <v>67950</v>
      </c>
      <c r="I514" s="252">
        <f t="shared" si="27"/>
        <v>75450</v>
      </c>
      <c r="J514" s="252">
        <f t="shared" si="27"/>
        <v>81500</v>
      </c>
      <c r="K514" s="252">
        <f t="shared" si="27"/>
        <v>87550</v>
      </c>
      <c r="L514" s="252">
        <f t="shared" si="27"/>
        <v>93600</v>
      </c>
      <c r="M514" s="252">
        <f t="shared" si="27"/>
        <v>99600</v>
      </c>
    </row>
    <row r="515" spans="1:13" ht="21.95" customHeight="1" x14ac:dyDescent="0.25">
      <c r="A515" s="36" t="s">
        <v>2904</v>
      </c>
      <c r="B515" s="36" t="str">
        <f t="shared" si="28"/>
        <v>IA_CHEROKEE COUNTY, IA</v>
      </c>
      <c r="D515" s="265" t="s">
        <v>90</v>
      </c>
      <c r="E515" s="266" t="s">
        <v>3389</v>
      </c>
      <c r="F515" s="252">
        <f t="shared" si="27"/>
        <v>55000</v>
      </c>
      <c r="G515" s="252">
        <f t="shared" si="27"/>
        <v>62850</v>
      </c>
      <c r="H515" s="252">
        <f t="shared" si="27"/>
        <v>70700</v>
      </c>
      <c r="I515" s="252">
        <f t="shared" si="27"/>
        <v>78550</v>
      </c>
      <c r="J515" s="252">
        <f t="shared" si="27"/>
        <v>84850</v>
      </c>
      <c r="K515" s="252">
        <f t="shared" si="27"/>
        <v>91150</v>
      </c>
      <c r="L515" s="252">
        <f t="shared" si="27"/>
        <v>97450</v>
      </c>
      <c r="M515" s="252">
        <f t="shared" si="27"/>
        <v>103700</v>
      </c>
    </row>
    <row r="516" spans="1:13" ht="21.95" customHeight="1" x14ac:dyDescent="0.25">
      <c r="A516" s="36" t="s">
        <v>2904</v>
      </c>
      <c r="B516" s="36" t="str">
        <f t="shared" si="28"/>
        <v>IA_CHICKASAW COUNTY, IA</v>
      </c>
      <c r="D516" s="265" t="s">
        <v>90</v>
      </c>
      <c r="E516" s="266" t="s">
        <v>3390</v>
      </c>
      <c r="F516" s="252">
        <f t="shared" si="27"/>
        <v>52750</v>
      </c>
      <c r="G516" s="252">
        <f t="shared" si="27"/>
        <v>60300</v>
      </c>
      <c r="H516" s="252">
        <f t="shared" si="27"/>
        <v>67850</v>
      </c>
      <c r="I516" s="252">
        <f t="shared" si="27"/>
        <v>75350</v>
      </c>
      <c r="J516" s="252">
        <f t="shared" si="27"/>
        <v>81400</v>
      </c>
      <c r="K516" s="252">
        <f t="shared" si="27"/>
        <v>87450</v>
      </c>
      <c r="L516" s="252">
        <f t="shared" si="27"/>
        <v>93450</v>
      </c>
      <c r="M516" s="252">
        <f t="shared" si="27"/>
        <v>99500</v>
      </c>
    </row>
    <row r="517" spans="1:13" ht="21.95" customHeight="1" x14ac:dyDescent="0.25">
      <c r="A517" s="36" t="s">
        <v>2904</v>
      </c>
      <c r="B517" s="36" t="str">
        <f t="shared" si="28"/>
        <v>IA_CLARKE COUNTY, IA</v>
      </c>
      <c r="D517" s="265" t="s">
        <v>90</v>
      </c>
      <c r="E517" s="266" t="s">
        <v>3391</v>
      </c>
      <c r="F517" s="252">
        <f t="shared" si="27"/>
        <v>51550</v>
      </c>
      <c r="G517" s="252">
        <f t="shared" si="27"/>
        <v>58900</v>
      </c>
      <c r="H517" s="252">
        <f t="shared" si="27"/>
        <v>66250</v>
      </c>
      <c r="I517" s="252">
        <f t="shared" si="27"/>
        <v>73600</v>
      </c>
      <c r="J517" s="252">
        <f t="shared" si="27"/>
        <v>79500</v>
      </c>
      <c r="K517" s="252">
        <f t="shared" si="27"/>
        <v>85400</v>
      </c>
      <c r="L517" s="252">
        <f t="shared" si="27"/>
        <v>91300</v>
      </c>
      <c r="M517" s="252">
        <f t="shared" si="27"/>
        <v>97200</v>
      </c>
    </row>
    <row r="518" spans="1:13" ht="21.95" customHeight="1" x14ac:dyDescent="0.25">
      <c r="A518" s="36" t="s">
        <v>2904</v>
      </c>
      <c r="B518" s="36" t="str">
        <f t="shared" si="28"/>
        <v>IA_CLAY COUNTY, IA</v>
      </c>
      <c r="D518" s="265" t="s">
        <v>90</v>
      </c>
      <c r="E518" s="266" t="s">
        <v>3392</v>
      </c>
      <c r="F518" s="252">
        <f t="shared" si="27"/>
        <v>54800</v>
      </c>
      <c r="G518" s="252">
        <f t="shared" si="27"/>
        <v>62600</v>
      </c>
      <c r="H518" s="252">
        <f t="shared" si="27"/>
        <v>70450</v>
      </c>
      <c r="I518" s="252">
        <f t="shared" si="27"/>
        <v>78250</v>
      </c>
      <c r="J518" s="252">
        <f t="shared" si="27"/>
        <v>84550</v>
      </c>
      <c r="K518" s="252">
        <f t="shared" si="27"/>
        <v>90800</v>
      </c>
      <c r="L518" s="252">
        <f t="shared" si="27"/>
        <v>97050</v>
      </c>
      <c r="M518" s="252">
        <f t="shared" si="27"/>
        <v>103300</v>
      </c>
    </row>
    <row r="519" spans="1:13" ht="21.95" customHeight="1" x14ac:dyDescent="0.25">
      <c r="A519" s="36" t="s">
        <v>2904</v>
      </c>
      <c r="B519" s="36" t="str">
        <f t="shared" si="28"/>
        <v>IA_CLAYTON COUNTY, IA</v>
      </c>
      <c r="D519" s="265" t="s">
        <v>90</v>
      </c>
      <c r="E519" s="266" t="s">
        <v>3393</v>
      </c>
      <c r="F519" s="252">
        <f t="shared" si="27"/>
        <v>51550</v>
      </c>
      <c r="G519" s="252">
        <f t="shared" si="27"/>
        <v>58900</v>
      </c>
      <c r="H519" s="252">
        <f t="shared" si="27"/>
        <v>66250</v>
      </c>
      <c r="I519" s="252">
        <f t="shared" si="27"/>
        <v>73600</v>
      </c>
      <c r="J519" s="252">
        <f t="shared" si="27"/>
        <v>79500</v>
      </c>
      <c r="K519" s="252">
        <f t="shared" si="27"/>
        <v>85400</v>
      </c>
      <c r="L519" s="252">
        <f t="shared" si="27"/>
        <v>91300</v>
      </c>
      <c r="M519" s="252">
        <f t="shared" si="27"/>
        <v>97200</v>
      </c>
    </row>
    <row r="520" spans="1:13" ht="21.95" customHeight="1" x14ac:dyDescent="0.25">
      <c r="A520" s="36" t="s">
        <v>2904</v>
      </c>
      <c r="B520" s="36" t="str">
        <f t="shared" si="28"/>
        <v>IA_CLINTON COUNTY, IA</v>
      </c>
      <c r="D520" s="265" t="s">
        <v>90</v>
      </c>
      <c r="E520" s="266" t="s">
        <v>3394</v>
      </c>
      <c r="F520" s="252">
        <f t="shared" si="27"/>
        <v>52150</v>
      </c>
      <c r="G520" s="252">
        <f t="shared" si="27"/>
        <v>59600</v>
      </c>
      <c r="H520" s="252">
        <f t="shared" ref="F520:M552" si="29">VLOOKUP($B520,LOOKUP_AMI_TABLE,5+((H$7-1)),FALSE)</f>
        <v>67050</v>
      </c>
      <c r="I520" s="252">
        <f t="shared" si="29"/>
        <v>74500</v>
      </c>
      <c r="J520" s="252">
        <f t="shared" si="29"/>
        <v>80500</v>
      </c>
      <c r="K520" s="252">
        <f t="shared" si="29"/>
        <v>86450</v>
      </c>
      <c r="L520" s="252">
        <f t="shared" si="29"/>
        <v>92400</v>
      </c>
      <c r="M520" s="252">
        <f t="shared" si="29"/>
        <v>98350</v>
      </c>
    </row>
    <row r="521" spans="1:13" ht="21.95" customHeight="1" x14ac:dyDescent="0.25">
      <c r="A521" s="36" t="s">
        <v>2904</v>
      </c>
      <c r="B521" s="36" t="str">
        <f t="shared" si="28"/>
        <v>IA_CRAWFORD COUNTY, IA</v>
      </c>
      <c r="D521" s="265" t="s">
        <v>90</v>
      </c>
      <c r="E521" s="266" t="s">
        <v>3395</v>
      </c>
      <c r="F521" s="252">
        <f t="shared" si="29"/>
        <v>51550</v>
      </c>
      <c r="G521" s="252">
        <f t="shared" si="29"/>
        <v>58900</v>
      </c>
      <c r="H521" s="252">
        <f t="shared" si="29"/>
        <v>66250</v>
      </c>
      <c r="I521" s="252">
        <f t="shared" si="29"/>
        <v>73600</v>
      </c>
      <c r="J521" s="252">
        <f t="shared" si="29"/>
        <v>79500</v>
      </c>
      <c r="K521" s="252">
        <f t="shared" si="29"/>
        <v>85400</v>
      </c>
      <c r="L521" s="252">
        <f t="shared" si="29"/>
        <v>91300</v>
      </c>
      <c r="M521" s="252">
        <f t="shared" si="29"/>
        <v>97200</v>
      </c>
    </row>
    <row r="522" spans="1:13" ht="21.95" customHeight="1" x14ac:dyDescent="0.25">
      <c r="A522" s="36" t="s">
        <v>2904</v>
      </c>
      <c r="B522" s="36" t="str">
        <f t="shared" si="28"/>
        <v>IA_DAVENPORT-MOLINE-ROCK ISLAND, IA-IL MSA</v>
      </c>
      <c r="D522" s="265" t="s">
        <v>90</v>
      </c>
      <c r="E522" s="266" t="s">
        <v>3396</v>
      </c>
      <c r="F522" s="252">
        <f t="shared" si="29"/>
        <v>54750</v>
      </c>
      <c r="G522" s="252">
        <f t="shared" si="29"/>
        <v>62550</v>
      </c>
      <c r="H522" s="252">
        <f t="shared" si="29"/>
        <v>70350</v>
      </c>
      <c r="I522" s="252">
        <f t="shared" si="29"/>
        <v>78150</v>
      </c>
      <c r="J522" s="252">
        <f t="shared" si="29"/>
        <v>84450</v>
      </c>
      <c r="K522" s="252">
        <f t="shared" si="29"/>
        <v>90700</v>
      </c>
      <c r="L522" s="252">
        <f t="shared" si="29"/>
        <v>96950</v>
      </c>
      <c r="M522" s="252">
        <f t="shared" si="29"/>
        <v>103200</v>
      </c>
    </row>
    <row r="523" spans="1:13" ht="21.95" customHeight="1" x14ac:dyDescent="0.25">
      <c r="A523" s="36" t="s">
        <v>2904</v>
      </c>
      <c r="B523" s="36" t="str">
        <f t="shared" si="28"/>
        <v>IA_DAVIS COUNTY, IA</v>
      </c>
      <c r="D523" s="265" t="s">
        <v>90</v>
      </c>
      <c r="E523" s="266" t="s">
        <v>3397</v>
      </c>
      <c r="F523" s="252">
        <f t="shared" si="29"/>
        <v>55850</v>
      </c>
      <c r="G523" s="252">
        <f t="shared" si="29"/>
        <v>63800</v>
      </c>
      <c r="H523" s="252">
        <f t="shared" si="29"/>
        <v>71800</v>
      </c>
      <c r="I523" s="252">
        <f t="shared" si="29"/>
        <v>79750</v>
      </c>
      <c r="J523" s="252">
        <f t="shared" si="29"/>
        <v>86150</v>
      </c>
      <c r="K523" s="252">
        <f t="shared" si="29"/>
        <v>92550</v>
      </c>
      <c r="L523" s="252">
        <f t="shared" si="29"/>
        <v>98900</v>
      </c>
      <c r="M523" s="252">
        <f t="shared" si="29"/>
        <v>105300</v>
      </c>
    </row>
    <row r="524" spans="1:13" ht="21.95" customHeight="1" x14ac:dyDescent="0.25">
      <c r="A524" s="36" t="s">
        <v>2904</v>
      </c>
      <c r="B524" s="36" t="str">
        <f t="shared" si="28"/>
        <v>IA_DECATUR COUNTY, IA</v>
      </c>
      <c r="D524" s="265" t="s">
        <v>90</v>
      </c>
      <c r="E524" s="266" t="s">
        <v>3398</v>
      </c>
      <c r="F524" s="252">
        <f t="shared" si="29"/>
        <v>51550</v>
      </c>
      <c r="G524" s="252">
        <f t="shared" si="29"/>
        <v>58900</v>
      </c>
      <c r="H524" s="252">
        <f t="shared" si="29"/>
        <v>66250</v>
      </c>
      <c r="I524" s="252">
        <f t="shared" si="29"/>
        <v>73600</v>
      </c>
      <c r="J524" s="252">
        <f t="shared" si="29"/>
        <v>79500</v>
      </c>
      <c r="K524" s="252">
        <f t="shared" si="29"/>
        <v>85400</v>
      </c>
      <c r="L524" s="252">
        <f t="shared" si="29"/>
        <v>91300</v>
      </c>
      <c r="M524" s="252">
        <f t="shared" si="29"/>
        <v>97200</v>
      </c>
    </row>
    <row r="525" spans="1:13" ht="21.95" customHeight="1" x14ac:dyDescent="0.25">
      <c r="A525" s="36" t="s">
        <v>2904</v>
      </c>
      <c r="B525" s="36" t="str">
        <f t="shared" si="28"/>
        <v>IA_DELAWARE COUNTY, IA</v>
      </c>
      <c r="D525" s="265" t="s">
        <v>90</v>
      </c>
      <c r="E525" s="266" t="s">
        <v>3399</v>
      </c>
      <c r="F525" s="252">
        <f t="shared" si="29"/>
        <v>54250</v>
      </c>
      <c r="G525" s="252">
        <f t="shared" si="29"/>
        <v>62000</v>
      </c>
      <c r="H525" s="252">
        <f t="shared" si="29"/>
        <v>69750</v>
      </c>
      <c r="I525" s="252">
        <f t="shared" si="29"/>
        <v>77500</v>
      </c>
      <c r="J525" s="252">
        <f t="shared" si="29"/>
        <v>83700</v>
      </c>
      <c r="K525" s="252">
        <f t="shared" si="29"/>
        <v>89900</v>
      </c>
      <c r="L525" s="252">
        <f t="shared" si="29"/>
        <v>96100</v>
      </c>
      <c r="M525" s="252">
        <f t="shared" si="29"/>
        <v>102300</v>
      </c>
    </row>
    <row r="526" spans="1:13" ht="21.95" customHeight="1" x14ac:dyDescent="0.25">
      <c r="A526" s="36" t="s">
        <v>2904</v>
      </c>
      <c r="B526" s="36" t="str">
        <f t="shared" si="28"/>
        <v>IA_DES MOINES COUNTY, IA</v>
      </c>
      <c r="D526" s="265" t="s">
        <v>90</v>
      </c>
      <c r="E526" s="266" t="s">
        <v>3400</v>
      </c>
      <c r="F526" s="252">
        <f t="shared" si="29"/>
        <v>51550</v>
      </c>
      <c r="G526" s="252">
        <f t="shared" si="29"/>
        <v>58900</v>
      </c>
      <c r="H526" s="252">
        <f t="shared" si="29"/>
        <v>66250</v>
      </c>
      <c r="I526" s="252">
        <f t="shared" si="29"/>
        <v>73600</v>
      </c>
      <c r="J526" s="252">
        <f t="shared" si="29"/>
        <v>79500</v>
      </c>
      <c r="K526" s="252">
        <f t="shared" si="29"/>
        <v>85400</v>
      </c>
      <c r="L526" s="252">
        <f t="shared" si="29"/>
        <v>91300</v>
      </c>
      <c r="M526" s="252">
        <f t="shared" si="29"/>
        <v>97200</v>
      </c>
    </row>
    <row r="527" spans="1:13" ht="21.95" customHeight="1" x14ac:dyDescent="0.25">
      <c r="A527" s="36" t="s">
        <v>2904</v>
      </c>
      <c r="B527" s="36" t="str">
        <f t="shared" si="28"/>
        <v>IA_DES MOINES-WEST DES MOINES, IA HUD METRO FMR AREA</v>
      </c>
      <c r="D527" s="265" t="s">
        <v>90</v>
      </c>
      <c r="E527" s="266" t="s">
        <v>3401</v>
      </c>
      <c r="F527" s="252">
        <f t="shared" si="29"/>
        <v>64150</v>
      </c>
      <c r="G527" s="252">
        <f t="shared" si="29"/>
        <v>73300</v>
      </c>
      <c r="H527" s="252">
        <f t="shared" si="29"/>
        <v>82450</v>
      </c>
      <c r="I527" s="252">
        <f t="shared" si="29"/>
        <v>91600</v>
      </c>
      <c r="J527" s="252">
        <f t="shared" si="29"/>
        <v>98950</v>
      </c>
      <c r="K527" s="252">
        <f t="shared" si="29"/>
        <v>106300</v>
      </c>
      <c r="L527" s="252">
        <f t="shared" si="29"/>
        <v>113600</v>
      </c>
      <c r="M527" s="252">
        <f t="shared" si="29"/>
        <v>120950</v>
      </c>
    </row>
    <row r="528" spans="1:13" ht="21.95" customHeight="1" x14ac:dyDescent="0.25">
      <c r="A528" s="36" t="s">
        <v>2904</v>
      </c>
      <c r="B528" s="36" t="str">
        <f t="shared" si="28"/>
        <v>IA_DICKINSON COUNTY, IA</v>
      </c>
      <c r="D528" s="265" t="s">
        <v>90</v>
      </c>
      <c r="E528" s="266" t="s">
        <v>3402</v>
      </c>
      <c r="F528" s="252">
        <f t="shared" si="29"/>
        <v>61200</v>
      </c>
      <c r="G528" s="252">
        <f t="shared" si="29"/>
        <v>69950</v>
      </c>
      <c r="H528" s="252">
        <f t="shared" si="29"/>
        <v>78700</v>
      </c>
      <c r="I528" s="252">
        <f t="shared" si="29"/>
        <v>87400</v>
      </c>
      <c r="J528" s="252">
        <f t="shared" si="29"/>
        <v>94400</v>
      </c>
      <c r="K528" s="252">
        <f t="shared" si="29"/>
        <v>101400</v>
      </c>
      <c r="L528" s="252">
        <f t="shared" si="29"/>
        <v>108400</v>
      </c>
      <c r="M528" s="252">
        <f t="shared" si="29"/>
        <v>115400</v>
      </c>
    </row>
    <row r="529" spans="1:13" ht="21.95" customHeight="1" x14ac:dyDescent="0.25">
      <c r="A529" s="36" t="s">
        <v>2904</v>
      </c>
      <c r="B529" s="36" t="str">
        <f t="shared" si="28"/>
        <v>IA_DUBUQUE, IA MSA</v>
      </c>
      <c r="D529" s="265" t="s">
        <v>90</v>
      </c>
      <c r="E529" s="266" t="s">
        <v>3403</v>
      </c>
      <c r="F529" s="252">
        <f t="shared" si="29"/>
        <v>57550</v>
      </c>
      <c r="G529" s="252">
        <f t="shared" si="29"/>
        <v>65750</v>
      </c>
      <c r="H529" s="252">
        <f t="shared" si="29"/>
        <v>73950</v>
      </c>
      <c r="I529" s="252">
        <f t="shared" si="29"/>
        <v>82150</v>
      </c>
      <c r="J529" s="252">
        <f t="shared" si="29"/>
        <v>88750</v>
      </c>
      <c r="K529" s="252">
        <f t="shared" si="29"/>
        <v>95300</v>
      </c>
      <c r="L529" s="252">
        <f t="shared" si="29"/>
        <v>101900</v>
      </c>
      <c r="M529" s="252">
        <f t="shared" si="29"/>
        <v>108450</v>
      </c>
    </row>
    <row r="530" spans="1:13" ht="21.95" customHeight="1" x14ac:dyDescent="0.25">
      <c r="A530" s="36" t="s">
        <v>2904</v>
      </c>
      <c r="B530" s="36" t="str">
        <f t="shared" si="28"/>
        <v>IA_EMMET COUNTY, IA</v>
      </c>
      <c r="D530" s="265" t="s">
        <v>90</v>
      </c>
      <c r="E530" s="266" t="s">
        <v>3404</v>
      </c>
      <c r="F530" s="252">
        <f t="shared" si="29"/>
        <v>51550</v>
      </c>
      <c r="G530" s="252">
        <f t="shared" si="29"/>
        <v>58900</v>
      </c>
      <c r="H530" s="252">
        <f t="shared" si="29"/>
        <v>66250</v>
      </c>
      <c r="I530" s="252">
        <f t="shared" si="29"/>
        <v>73600</v>
      </c>
      <c r="J530" s="252">
        <f t="shared" si="29"/>
        <v>79500</v>
      </c>
      <c r="K530" s="252">
        <f t="shared" si="29"/>
        <v>85400</v>
      </c>
      <c r="L530" s="252">
        <f t="shared" si="29"/>
        <v>91300</v>
      </c>
      <c r="M530" s="252">
        <f t="shared" si="29"/>
        <v>97200</v>
      </c>
    </row>
    <row r="531" spans="1:13" ht="21.95" customHeight="1" x14ac:dyDescent="0.25">
      <c r="A531" s="36" t="s">
        <v>2904</v>
      </c>
      <c r="B531" s="36" t="str">
        <f t="shared" si="28"/>
        <v>IA_FAYETTE COUNTY, IA</v>
      </c>
      <c r="D531" s="265" t="s">
        <v>90</v>
      </c>
      <c r="E531" s="266" t="s">
        <v>3405</v>
      </c>
      <c r="F531" s="252">
        <f t="shared" si="29"/>
        <v>51550</v>
      </c>
      <c r="G531" s="252">
        <f t="shared" si="29"/>
        <v>58900</v>
      </c>
      <c r="H531" s="252">
        <f t="shared" si="29"/>
        <v>66250</v>
      </c>
      <c r="I531" s="252">
        <f t="shared" si="29"/>
        <v>73600</v>
      </c>
      <c r="J531" s="252">
        <f t="shared" si="29"/>
        <v>79500</v>
      </c>
      <c r="K531" s="252">
        <f t="shared" si="29"/>
        <v>85400</v>
      </c>
      <c r="L531" s="252">
        <f t="shared" si="29"/>
        <v>91300</v>
      </c>
      <c r="M531" s="252">
        <f t="shared" si="29"/>
        <v>97200</v>
      </c>
    </row>
    <row r="532" spans="1:13" ht="21.95" customHeight="1" x14ac:dyDescent="0.25">
      <c r="A532" s="36" t="s">
        <v>2904</v>
      </c>
      <c r="B532" s="36" t="str">
        <f t="shared" si="28"/>
        <v>IA_FLOYD COUNTY, IA</v>
      </c>
      <c r="D532" s="265" t="s">
        <v>90</v>
      </c>
      <c r="E532" s="266" t="s">
        <v>3406</v>
      </c>
      <c r="F532" s="252">
        <f t="shared" si="29"/>
        <v>54950</v>
      </c>
      <c r="G532" s="252">
        <f t="shared" si="29"/>
        <v>62800</v>
      </c>
      <c r="H532" s="252">
        <f t="shared" si="29"/>
        <v>70650</v>
      </c>
      <c r="I532" s="252">
        <f t="shared" si="29"/>
        <v>78500</v>
      </c>
      <c r="J532" s="252">
        <f t="shared" si="29"/>
        <v>84800</v>
      </c>
      <c r="K532" s="252">
        <f t="shared" si="29"/>
        <v>91100</v>
      </c>
      <c r="L532" s="252">
        <f t="shared" si="29"/>
        <v>97350</v>
      </c>
      <c r="M532" s="252">
        <f t="shared" si="29"/>
        <v>103650</v>
      </c>
    </row>
    <row r="533" spans="1:13" ht="21.95" customHeight="1" x14ac:dyDescent="0.25">
      <c r="A533" s="36" t="s">
        <v>2904</v>
      </c>
      <c r="B533" s="36" t="str">
        <f t="shared" si="28"/>
        <v>IA_FRANKLIN COUNTY, IA</v>
      </c>
      <c r="D533" s="265" t="s">
        <v>90</v>
      </c>
      <c r="E533" s="266" t="s">
        <v>3407</v>
      </c>
      <c r="F533" s="252">
        <f t="shared" si="29"/>
        <v>51550</v>
      </c>
      <c r="G533" s="252">
        <f t="shared" si="29"/>
        <v>58900</v>
      </c>
      <c r="H533" s="252">
        <f t="shared" si="29"/>
        <v>66250</v>
      </c>
      <c r="I533" s="252">
        <f t="shared" si="29"/>
        <v>73600</v>
      </c>
      <c r="J533" s="252">
        <f t="shared" si="29"/>
        <v>79500</v>
      </c>
      <c r="K533" s="252">
        <f t="shared" si="29"/>
        <v>85400</v>
      </c>
      <c r="L533" s="252">
        <f t="shared" si="29"/>
        <v>91300</v>
      </c>
      <c r="M533" s="252">
        <f t="shared" si="29"/>
        <v>97200</v>
      </c>
    </row>
    <row r="534" spans="1:13" ht="21.95" customHeight="1" x14ac:dyDescent="0.25">
      <c r="A534" s="36" t="s">
        <v>2904</v>
      </c>
      <c r="B534" s="36" t="str">
        <f t="shared" si="28"/>
        <v>IA_FREMONT COUNTY, IA</v>
      </c>
      <c r="D534" s="265" t="s">
        <v>90</v>
      </c>
      <c r="E534" s="266" t="s">
        <v>3408</v>
      </c>
      <c r="F534" s="252">
        <f t="shared" si="29"/>
        <v>53800</v>
      </c>
      <c r="G534" s="252">
        <f t="shared" si="29"/>
        <v>61450</v>
      </c>
      <c r="H534" s="252">
        <f t="shared" si="29"/>
        <v>69150</v>
      </c>
      <c r="I534" s="252">
        <f t="shared" si="29"/>
        <v>76800</v>
      </c>
      <c r="J534" s="252">
        <f t="shared" si="29"/>
        <v>82950</v>
      </c>
      <c r="K534" s="252">
        <f t="shared" si="29"/>
        <v>89100</v>
      </c>
      <c r="L534" s="252">
        <f t="shared" si="29"/>
        <v>95250</v>
      </c>
      <c r="M534" s="252">
        <f t="shared" si="29"/>
        <v>101400</v>
      </c>
    </row>
    <row r="535" spans="1:13" ht="21.95" customHeight="1" x14ac:dyDescent="0.25">
      <c r="A535" s="36" t="s">
        <v>2904</v>
      </c>
      <c r="B535" s="36" t="str">
        <f t="shared" si="28"/>
        <v>IA_GREENE COUNTY, IA</v>
      </c>
      <c r="D535" s="265" t="s">
        <v>90</v>
      </c>
      <c r="E535" s="266" t="s">
        <v>3409</v>
      </c>
      <c r="F535" s="252">
        <f t="shared" si="29"/>
        <v>51550</v>
      </c>
      <c r="G535" s="252">
        <f t="shared" si="29"/>
        <v>58900</v>
      </c>
      <c r="H535" s="252">
        <f t="shared" si="29"/>
        <v>66250</v>
      </c>
      <c r="I535" s="252">
        <f t="shared" si="29"/>
        <v>73600</v>
      </c>
      <c r="J535" s="252">
        <f t="shared" si="29"/>
        <v>79500</v>
      </c>
      <c r="K535" s="252">
        <f t="shared" si="29"/>
        <v>85400</v>
      </c>
      <c r="L535" s="252">
        <f t="shared" si="29"/>
        <v>91300</v>
      </c>
      <c r="M535" s="252">
        <f t="shared" si="29"/>
        <v>97200</v>
      </c>
    </row>
    <row r="536" spans="1:13" ht="21.95" customHeight="1" x14ac:dyDescent="0.25">
      <c r="A536" s="36" t="s">
        <v>2904</v>
      </c>
      <c r="B536" s="36" t="str">
        <f t="shared" si="28"/>
        <v>IA_HAMILTON COUNTY, IA</v>
      </c>
      <c r="D536" s="265" t="s">
        <v>90</v>
      </c>
      <c r="E536" s="266" t="s">
        <v>3410</v>
      </c>
      <c r="F536" s="252">
        <f t="shared" si="29"/>
        <v>53050</v>
      </c>
      <c r="G536" s="252">
        <f t="shared" si="29"/>
        <v>60600</v>
      </c>
      <c r="H536" s="252">
        <f t="shared" si="29"/>
        <v>68200</v>
      </c>
      <c r="I536" s="252">
        <f t="shared" si="29"/>
        <v>75750</v>
      </c>
      <c r="J536" s="252">
        <f t="shared" si="29"/>
        <v>81850</v>
      </c>
      <c r="K536" s="252">
        <f t="shared" si="29"/>
        <v>87900</v>
      </c>
      <c r="L536" s="252">
        <f t="shared" si="29"/>
        <v>93950</v>
      </c>
      <c r="M536" s="252">
        <f t="shared" si="29"/>
        <v>100000</v>
      </c>
    </row>
    <row r="537" spans="1:13" ht="21.95" customHeight="1" x14ac:dyDescent="0.25">
      <c r="A537" s="36" t="s">
        <v>2904</v>
      </c>
      <c r="B537" s="36" t="str">
        <f t="shared" si="28"/>
        <v>IA_HANCOCK COUNTY, IA</v>
      </c>
      <c r="D537" s="265" t="s">
        <v>90</v>
      </c>
      <c r="E537" s="266" t="s">
        <v>3411</v>
      </c>
      <c r="F537" s="252">
        <f t="shared" si="29"/>
        <v>51550</v>
      </c>
      <c r="G537" s="252">
        <f t="shared" si="29"/>
        <v>58900</v>
      </c>
      <c r="H537" s="252">
        <f t="shared" si="29"/>
        <v>66250</v>
      </c>
      <c r="I537" s="252">
        <f t="shared" si="29"/>
        <v>73600</v>
      </c>
      <c r="J537" s="252">
        <f t="shared" si="29"/>
        <v>79500</v>
      </c>
      <c r="K537" s="252">
        <f t="shared" si="29"/>
        <v>85400</v>
      </c>
      <c r="L537" s="252">
        <f t="shared" si="29"/>
        <v>91300</v>
      </c>
      <c r="M537" s="252">
        <f t="shared" si="29"/>
        <v>97200</v>
      </c>
    </row>
    <row r="538" spans="1:13" ht="21.95" customHeight="1" x14ac:dyDescent="0.25">
      <c r="A538" s="36" t="s">
        <v>2904</v>
      </c>
      <c r="B538" s="36" t="str">
        <f t="shared" si="28"/>
        <v>IA_HARDIN COUNTY, IA</v>
      </c>
      <c r="D538" s="265" t="s">
        <v>90</v>
      </c>
      <c r="E538" s="266" t="s">
        <v>3412</v>
      </c>
      <c r="F538" s="252">
        <f t="shared" si="29"/>
        <v>51550</v>
      </c>
      <c r="G538" s="252">
        <f t="shared" si="29"/>
        <v>58900</v>
      </c>
      <c r="H538" s="252">
        <f t="shared" si="29"/>
        <v>66250</v>
      </c>
      <c r="I538" s="252">
        <f t="shared" si="29"/>
        <v>73600</v>
      </c>
      <c r="J538" s="252">
        <f t="shared" si="29"/>
        <v>79500</v>
      </c>
      <c r="K538" s="252">
        <f t="shared" si="29"/>
        <v>85400</v>
      </c>
      <c r="L538" s="252">
        <f t="shared" si="29"/>
        <v>91300</v>
      </c>
      <c r="M538" s="252">
        <f t="shared" si="29"/>
        <v>97200</v>
      </c>
    </row>
    <row r="539" spans="1:13" ht="21.95" customHeight="1" x14ac:dyDescent="0.25">
      <c r="A539" s="36" t="s">
        <v>2904</v>
      </c>
      <c r="B539" s="36" t="str">
        <f t="shared" si="28"/>
        <v>IA_HENRY COUNTY, IA</v>
      </c>
      <c r="D539" s="265" t="s">
        <v>90</v>
      </c>
      <c r="E539" s="266" t="s">
        <v>3413</v>
      </c>
      <c r="F539" s="252">
        <f t="shared" si="29"/>
        <v>51550</v>
      </c>
      <c r="G539" s="252">
        <f t="shared" si="29"/>
        <v>58900</v>
      </c>
      <c r="H539" s="252">
        <f t="shared" si="29"/>
        <v>66250</v>
      </c>
      <c r="I539" s="252">
        <f t="shared" si="29"/>
        <v>73600</v>
      </c>
      <c r="J539" s="252">
        <f t="shared" si="29"/>
        <v>79500</v>
      </c>
      <c r="K539" s="252">
        <f t="shared" si="29"/>
        <v>85400</v>
      </c>
      <c r="L539" s="252">
        <f t="shared" si="29"/>
        <v>91300</v>
      </c>
      <c r="M539" s="252">
        <f t="shared" si="29"/>
        <v>97200</v>
      </c>
    </row>
    <row r="540" spans="1:13" ht="21.95" customHeight="1" x14ac:dyDescent="0.25">
      <c r="A540" s="36" t="s">
        <v>2904</v>
      </c>
      <c r="B540" s="36" t="str">
        <f t="shared" si="28"/>
        <v>IA_HOWARD COUNTY, IA</v>
      </c>
      <c r="D540" s="265" t="s">
        <v>90</v>
      </c>
      <c r="E540" s="266" t="s">
        <v>3414</v>
      </c>
      <c r="F540" s="252">
        <f t="shared" si="29"/>
        <v>51550</v>
      </c>
      <c r="G540" s="252">
        <f t="shared" si="29"/>
        <v>58900</v>
      </c>
      <c r="H540" s="252">
        <f t="shared" si="29"/>
        <v>66250</v>
      </c>
      <c r="I540" s="252">
        <f t="shared" si="29"/>
        <v>73600</v>
      </c>
      <c r="J540" s="252">
        <f t="shared" si="29"/>
        <v>79500</v>
      </c>
      <c r="K540" s="252">
        <f t="shared" si="29"/>
        <v>85400</v>
      </c>
      <c r="L540" s="252">
        <f t="shared" si="29"/>
        <v>91300</v>
      </c>
      <c r="M540" s="252">
        <f t="shared" si="29"/>
        <v>97200</v>
      </c>
    </row>
    <row r="541" spans="1:13" ht="21.95" customHeight="1" x14ac:dyDescent="0.25">
      <c r="A541" s="36" t="s">
        <v>2904</v>
      </c>
      <c r="B541" s="36" t="str">
        <f t="shared" si="28"/>
        <v>IA_HUMBOLDT COUNTY, IA</v>
      </c>
      <c r="D541" s="265" t="s">
        <v>90</v>
      </c>
      <c r="E541" s="266" t="s">
        <v>3415</v>
      </c>
      <c r="F541" s="252">
        <f t="shared" si="29"/>
        <v>51550</v>
      </c>
      <c r="G541" s="252">
        <f t="shared" si="29"/>
        <v>58900</v>
      </c>
      <c r="H541" s="252">
        <f t="shared" si="29"/>
        <v>66250</v>
      </c>
      <c r="I541" s="252">
        <f t="shared" si="29"/>
        <v>73600</v>
      </c>
      <c r="J541" s="252">
        <f t="shared" si="29"/>
        <v>79500</v>
      </c>
      <c r="K541" s="252">
        <f t="shared" si="29"/>
        <v>85400</v>
      </c>
      <c r="L541" s="252">
        <f t="shared" si="29"/>
        <v>91300</v>
      </c>
      <c r="M541" s="252">
        <f t="shared" si="29"/>
        <v>97200</v>
      </c>
    </row>
    <row r="542" spans="1:13" ht="21.95" customHeight="1" x14ac:dyDescent="0.25">
      <c r="A542" s="36" t="s">
        <v>2904</v>
      </c>
      <c r="B542" s="36" t="str">
        <f t="shared" si="28"/>
        <v>IA_IDA COUNTY, IA</v>
      </c>
      <c r="D542" s="265" t="s">
        <v>90</v>
      </c>
      <c r="E542" s="266" t="s">
        <v>3416</v>
      </c>
      <c r="F542" s="252">
        <f t="shared" si="29"/>
        <v>51550</v>
      </c>
      <c r="G542" s="252">
        <f t="shared" si="29"/>
        <v>58900</v>
      </c>
      <c r="H542" s="252">
        <f t="shared" si="29"/>
        <v>66250</v>
      </c>
      <c r="I542" s="252">
        <f t="shared" si="29"/>
        <v>73600</v>
      </c>
      <c r="J542" s="252">
        <f t="shared" si="29"/>
        <v>79500</v>
      </c>
      <c r="K542" s="252">
        <f t="shared" si="29"/>
        <v>85400</v>
      </c>
      <c r="L542" s="252">
        <f t="shared" si="29"/>
        <v>91300</v>
      </c>
      <c r="M542" s="252">
        <f t="shared" si="29"/>
        <v>97200</v>
      </c>
    </row>
    <row r="543" spans="1:13" ht="21.95" customHeight="1" x14ac:dyDescent="0.25">
      <c r="A543" s="36" t="s">
        <v>2904</v>
      </c>
      <c r="B543" s="36" t="str">
        <f t="shared" si="28"/>
        <v>IA_IOWA CITY, IA HUD METRO FMR AREA</v>
      </c>
      <c r="D543" s="265" t="s">
        <v>90</v>
      </c>
      <c r="E543" s="266" t="s">
        <v>3417</v>
      </c>
      <c r="F543" s="252">
        <f t="shared" si="29"/>
        <v>66200</v>
      </c>
      <c r="G543" s="252">
        <f t="shared" si="29"/>
        <v>75650</v>
      </c>
      <c r="H543" s="252">
        <f t="shared" si="29"/>
        <v>85100</v>
      </c>
      <c r="I543" s="252">
        <f t="shared" si="29"/>
        <v>94550</v>
      </c>
      <c r="J543" s="252">
        <f t="shared" si="29"/>
        <v>102150</v>
      </c>
      <c r="K543" s="252">
        <f t="shared" si="29"/>
        <v>109700</v>
      </c>
      <c r="L543" s="252">
        <f t="shared" si="29"/>
        <v>117250</v>
      </c>
      <c r="M543" s="252">
        <f t="shared" si="29"/>
        <v>124850</v>
      </c>
    </row>
    <row r="544" spans="1:13" ht="21.95" customHeight="1" x14ac:dyDescent="0.25">
      <c r="A544" s="36" t="s">
        <v>2904</v>
      </c>
      <c r="B544" s="36" t="str">
        <f t="shared" si="28"/>
        <v>IA_IOWA COUNTY, IA</v>
      </c>
      <c r="D544" s="265" t="s">
        <v>90</v>
      </c>
      <c r="E544" s="266" t="s">
        <v>3418</v>
      </c>
      <c r="F544" s="252">
        <f t="shared" si="29"/>
        <v>56100</v>
      </c>
      <c r="G544" s="252">
        <f t="shared" si="29"/>
        <v>64100</v>
      </c>
      <c r="H544" s="252">
        <f t="shared" si="29"/>
        <v>72100</v>
      </c>
      <c r="I544" s="252">
        <f t="shared" si="29"/>
        <v>80100</v>
      </c>
      <c r="J544" s="252">
        <f t="shared" si="29"/>
        <v>86550</v>
      </c>
      <c r="K544" s="252">
        <f t="shared" si="29"/>
        <v>92950</v>
      </c>
      <c r="L544" s="252">
        <f t="shared" si="29"/>
        <v>99350</v>
      </c>
      <c r="M544" s="252">
        <f t="shared" si="29"/>
        <v>105750</v>
      </c>
    </row>
    <row r="545" spans="1:13" ht="21.95" customHeight="1" x14ac:dyDescent="0.25">
      <c r="A545" s="36" t="s">
        <v>2904</v>
      </c>
      <c r="B545" s="36" t="str">
        <f t="shared" si="28"/>
        <v>IA_JACKSON COUNTY, IA</v>
      </c>
      <c r="D545" s="265" t="s">
        <v>90</v>
      </c>
      <c r="E545" s="266" t="s">
        <v>3419</v>
      </c>
      <c r="F545" s="252">
        <f t="shared" si="29"/>
        <v>53300</v>
      </c>
      <c r="G545" s="252">
        <f t="shared" si="29"/>
        <v>60900</v>
      </c>
      <c r="H545" s="252">
        <f t="shared" si="29"/>
        <v>68500</v>
      </c>
      <c r="I545" s="252">
        <f t="shared" si="29"/>
        <v>76100</v>
      </c>
      <c r="J545" s="252">
        <f t="shared" si="29"/>
        <v>82200</v>
      </c>
      <c r="K545" s="252">
        <f t="shared" si="29"/>
        <v>88300</v>
      </c>
      <c r="L545" s="252">
        <f t="shared" si="29"/>
        <v>94400</v>
      </c>
      <c r="M545" s="252">
        <f t="shared" si="29"/>
        <v>100500</v>
      </c>
    </row>
    <row r="546" spans="1:13" ht="21.95" customHeight="1" x14ac:dyDescent="0.25">
      <c r="A546" s="36" t="s">
        <v>2904</v>
      </c>
      <c r="B546" s="36" t="str">
        <f t="shared" si="28"/>
        <v>IA_JASPER COUNTY, IA HUD METRO FMR AREA</v>
      </c>
      <c r="D546" s="265" t="s">
        <v>90</v>
      </c>
      <c r="E546" s="266" t="s">
        <v>3420</v>
      </c>
      <c r="F546" s="252">
        <f t="shared" si="29"/>
        <v>53050</v>
      </c>
      <c r="G546" s="252">
        <f t="shared" si="29"/>
        <v>60600</v>
      </c>
      <c r="H546" s="252">
        <f t="shared" si="29"/>
        <v>68200</v>
      </c>
      <c r="I546" s="252">
        <f t="shared" si="29"/>
        <v>75750</v>
      </c>
      <c r="J546" s="252">
        <f t="shared" si="29"/>
        <v>81850</v>
      </c>
      <c r="K546" s="252">
        <f t="shared" si="29"/>
        <v>87900</v>
      </c>
      <c r="L546" s="252">
        <f t="shared" si="29"/>
        <v>93950</v>
      </c>
      <c r="M546" s="252">
        <f t="shared" si="29"/>
        <v>100000</v>
      </c>
    </row>
    <row r="547" spans="1:13" ht="21.95" customHeight="1" x14ac:dyDescent="0.25">
      <c r="A547" s="36" t="s">
        <v>2904</v>
      </c>
      <c r="B547" s="36" t="str">
        <f t="shared" si="28"/>
        <v>IA_JEFFERSON COUNTY, IA</v>
      </c>
      <c r="D547" s="265" t="s">
        <v>90</v>
      </c>
      <c r="E547" s="266" t="s">
        <v>3421</v>
      </c>
      <c r="F547" s="252">
        <f t="shared" si="29"/>
        <v>51550</v>
      </c>
      <c r="G547" s="252">
        <f t="shared" si="29"/>
        <v>58900</v>
      </c>
      <c r="H547" s="252">
        <f t="shared" si="29"/>
        <v>66250</v>
      </c>
      <c r="I547" s="252">
        <f t="shared" si="29"/>
        <v>73600</v>
      </c>
      <c r="J547" s="252">
        <f t="shared" si="29"/>
        <v>79500</v>
      </c>
      <c r="K547" s="252">
        <f t="shared" si="29"/>
        <v>85400</v>
      </c>
      <c r="L547" s="252">
        <f t="shared" si="29"/>
        <v>91300</v>
      </c>
      <c r="M547" s="252">
        <f t="shared" si="29"/>
        <v>97200</v>
      </c>
    </row>
    <row r="548" spans="1:13" ht="21.95" customHeight="1" x14ac:dyDescent="0.25">
      <c r="A548" s="36" t="s">
        <v>2904</v>
      </c>
      <c r="B548" s="36" t="str">
        <f t="shared" si="28"/>
        <v>IA_JONES COUNTY, IA HUD METRO FMR AREA</v>
      </c>
      <c r="D548" s="265" t="s">
        <v>90</v>
      </c>
      <c r="E548" s="266" t="s">
        <v>3422</v>
      </c>
      <c r="F548" s="252">
        <f t="shared" si="29"/>
        <v>56750</v>
      </c>
      <c r="G548" s="252">
        <f t="shared" si="29"/>
        <v>64850</v>
      </c>
      <c r="H548" s="252">
        <f t="shared" si="29"/>
        <v>72950</v>
      </c>
      <c r="I548" s="252">
        <f t="shared" si="29"/>
        <v>81050</v>
      </c>
      <c r="J548" s="252">
        <f t="shared" si="29"/>
        <v>87550</v>
      </c>
      <c r="K548" s="252">
        <f t="shared" si="29"/>
        <v>94050</v>
      </c>
      <c r="L548" s="252">
        <f t="shared" si="29"/>
        <v>100550</v>
      </c>
      <c r="M548" s="252">
        <f t="shared" si="29"/>
        <v>107000</v>
      </c>
    </row>
    <row r="549" spans="1:13" ht="21.95" customHeight="1" x14ac:dyDescent="0.25">
      <c r="A549" s="36" t="s">
        <v>2904</v>
      </c>
      <c r="B549" s="36" t="str">
        <f t="shared" si="28"/>
        <v>IA_KEOKUK COUNTY, IA</v>
      </c>
      <c r="D549" s="265" t="s">
        <v>90</v>
      </c>
      <c r="E549" s="266" t="s">
        <v>3423</v>
      </c>
      <c r="F549" s="252">
        <f t="shared" si="29"/>
        <v>51550</v>
      </c>
      <c r="G549" s="252">
        <f t="shared" si="29"/>
        <v>58900</v>
      </c>
      <c r="H549" s="252">
        <f t="shared" si="29"/>
        <v>66250</v>
      </c>
      <c r="I549" s="252">
        <f t="shared" si="29"/>
        <v>73600</v>
      </c>
      <c r="J549" s="252">
        <f t="shared" si="29"/>
        <v>79500</v>
      </c>
      <c r="K549" s="252">
        <f t="shared" si="29"/>
        <v>85400</v>
      </c>
      <c r="L549" s="252">
        <f t="shared" si="29"/>
        <v>91300</v>
      </c>
      <c r="M549" s="252">
        <f t="shared" si="29"/>
        <v>97200</v>
      </c>
    </row>
    <row r="550" spans="1:13" ht="21.95" customHeight="1" x14ac:dyDescent="0.25">
      <c r="A550" s="36" t="s">
        <v>2904</v>
      </c>
      <c r="B550" s="36" t="str">
        <f t="shared" si="28"/>
        <v>IA_KOSSUTH COUNTY, IA</v>
      </c>
      <c r="D550" s="265" t="s">
        <v>90</v>
      </c>
      <c r="E550" s="266" t="s">
        <v>3424</v>
      </c>
      <c r="F550" s="252">
        <f t="shared" si="29"/>
        <v>52200</v>
      </c>
      <c r="G550" s="252">
        <f t="shared" si="29"/>
        <v>59650</v>
      </c>
      <c r="H550" s="252">
        <f t="shared" si="29"/>
        <v>67100</v>
      </c>
      <c r="I550" s="252">
        <f t="shared" si="29"/>
        <v>74550</v>
      </c>
      <c r="J550" s="252">
        <f t="shared" si="29"/>
        <v>80550</v>
      </c>
      <c r="K550" s="252">
        <f t="shared" si="29"/>
        <v>86500</v>
      </c>
      <c r="L550" s="252">
        <f t="shared" si="29"/>
        <v>92450</v>
      </c>
      <c r="M550" s="252">
        <f t="shared" si="29"/>
        <v>98450</v>
      </c>
    </row>
    <row r="551" spans="1:13" ht="21.95" customHeight="1" x14ac:dyDescent="0.25">
      <c r="A551" s="36" t="s">
        <v>2904</v>
      </c>
      <c r="B551" s="36" t="str">
        <f t="shared" si="28"/>
        <v>IA_LEE COUNTY, IA</v>
      </c>
      <c r="D551" s="265" t="s">
        <v>90</v>
      </c>
      <c r="E551" s="266" t="s">
        <v>3425</v>
      </c>
      <c r="F551" s="252">
        <f t="shared" si="29"/>
        <v>51550</v>
      </c>
      <c r="G551" s="252">
        <f t="shared" si="29"/>
        <v>58900</v>
      </c>
      <c r="H551" s="252">
        <f t="shared" si="29"/>
        <v>66250</v>
      </c>
      <c r="I551" s="252">
        <f t="shared" si="29"/>
        <v>73600</v>
      </c>
      <c r="J551" s="252">
        <f t="shared" si="29"/>
        <v>79500</v>
      </c>
      <c r="K551" s="252">
        <f t="shared" si="29"/>
        <v>85400</v>
      </c>
      <c r="L551" s="252">
        <f t="shared" si="29"/>
        <v>91300</v>
      </c>
      <c r="M551" s="252">
        <f t="shared" si="29"/>
        <v>97200</v>
      </c>
    </row>
    <row r="552" spans="1:13" ht="21.95" customHeight="1" x14ac:dyDescent="0.25">
      <c r="A552" s="36" t="s">
        <v>2904</v>
      </c>
      <c r="B552" s="36" t="str">
        <f t="shared" si="28"/>
        <v>IA_LOUISA COUNTY, IA</v>
      </c>
      <c r="D552" s="265" t="s">
        <v>90</v>
      </c>
      <c r="E552" s="266" t="s">
        <v>3426</v>
      </c>
      <c r="F552" s="252">
        <f t="shared" si="29"/>
        <v>53850</v>
      </c>
      <c r="G552" s="252">
        <f t="shared" ref="F552:M583" si="30">VLOOKUP($B552,LOOKUP_AMI_TABLE,5+((G$7-1)),FALSE)</f>
        <v>61550</v>
      </c>
      <c r="H552" s="252">
        <f t="shared" si="30"/>
        <v>69250</v>
      </c>
      <c r="I552" s="252">
        <f t="shared" si="30"/>
        <v>76900</v>
      </c>
      <c r="J552" s="252">
        <f t="shared" si="30"/>
        <v>83100</v>
      </c>
      <c r="K552" s="252">
        <f t="shared" si="30"/>
        <v>89250</v>
      </c>
      <c r="L552" s="252">
        <f t="shared" si="30"/>
        <v>95400</v>
      </c>
      <c r="M552" s="252">
        <f t="shared" si="30"/>
        <v>101550</v>
      </c>
    </row>
    <row r="553" spans="1:13" ht="21.95" customHeight="1" x14ac:dyDescent="0.25">
      <c r="A553" s="36" t="s">
        <v>2904</v>
      </c>
      <c r="B553" s="36" t="str">
        <f t="shared" si="28"/>
        <v>IA_LUCAS COUNTY, IA</v>
      </c>
      <c r="D553" s="265" t="s">
        <v>90</v>
      </c>
      <c r="E553" s="266" t="s">
        <v>3427</v>
      </c>
      <c r="F553" s="252">
        <f t="shared" si="30"/>
        <v>51550</v>
      </c>
      <c r="G553" s="252">
        <f t="shared" si="30"/>
        <v>58900</v>
      </c>
      <c r="H553" s="252">
        <f t="shared" si="30"/>
        <v>66250</v>
      </c>
      <c r="I553" s="252">
        <f t="shared" si="30"/>
        <v>73600</v>
      </c>
      <c r="J553" s="252">
        <f t="shared" si="30"/>
        <v>79500</v>
      </c>
      <c r="K553" s="252">
        <f t="shared" si="30"/>
        <v>85400</v>
      </c>
      <c r="L553" s="252">
        <f t="shared" si="30"/>
        <v>91300</v>
      </c>
      <c r="M553" s="252">
        <f t="shared" si="30"/>
        <v>97200</v>
      </c>
    </row>
    <row r="554" spans="1:13" ht="21.95" customHeight="1" x14ac:dyDescent="0.25">
      <c r="A554" s="36" t="s">
        <v>2904</v>
      </c>
      <c r="B554" s="36" t="str">
        <f t="shared" si="28"/>
        <v>IA_LYON COUNTY, IA</v>
      </c>
      <c r="D554" s="265" t="s">
        <v>90</v>
      </c>
      <c r="E554" s="266" t="s">
        <v>3428</v>
      </c>
      <c r="F554" s="252">
        <f t="shared" si="30"/>
        <v>53350</v>
      </c>
      <c r="G554" s="252">
        <f t="shared" si="30"/>
        <v>60950</v>
      </c>
      <c r="H554" s="252">
        <f t="shared" si="30"/>
        <v>68550</v>
      </c>
      <c r="I554" s="252">
        <f t="shared" si="30"/>
        <v>76150</v>
      </c>
      <c r="J554" s="252">
        <f t="shared" si="30"/>
        <v>82250</v>
      </c>
      <c r="K554" s="252">
        <f t="shared" si="30"/>
        <v>88350</v>
      </c>
      <c r="L554" s="252">
        <f t="shared" si="30"/>
        <v>94450</v>
      </c>
      <c r="M554" s="252">
        <f t="shared" si="30"/>
        <v>100550</v>
      </c>
    </row>
    <row r="555" spans="1:13" ht="21.95" customHeight="1" x14ac:dyDescent="0.25">
      <c r="A555" s="36" t="s">
        <v>2904</v>
      </c>
      <c r="B555" s="36" t="str">
        <f t="shared" si="28"/>
        <v>IA_MAHASKA COUNTY, IA</v>
      </c>
      <c r="D555" s="265" t="s">
        <v>90</v>
      </c>
      <c r="E555" s="266" t="s">
        <v>3429</v>
      </c>
      <c r="F555" s="252">
        <f t="shared" si="30"/>
        <v>51550</v>
      </c>
      <c r="G555" s="252">
        <f t="shared" si="30"/>
        <v>58900</v>
      </c>
      <c r="H555" s="252">
        <f t="shared" si="30"/>
        <v>66250</v>
      </c>
      <c r="I555" s="252">
        <f t="shared" si="30"/>
        <v>73600</v>
      </c>
      <c r="J555" s="252">
        <f t="shared" si="30"/>
        <v>79500</v>
      </c>
      <c r="K555" s="252">
        <f t="shared" si="30"/>
        <v>85400</v>
      </c>
      <c r="L555" s="252">
        <f t="shared" si="30"/>
        <v>91300</v>
      </c>
      <c r="M555" s="252">
        <f t="shared" si="30"/>
        <v>97200</v>
      </c>
    </row>
    <row r="556" spans="1:13" ht="21.95" customHeight="1" x14ac:dyDescent="0.25">
      <c r="A556" s="36" t="s">
        <v>2904</v>
      </c>
      <c r="B556" s="36" t="str">
        <f t="shared" si="28"/>
        <v>IA_MARION COUNTY, IA</v>
      </c>
      <c r="D556" s="265" t="s">
        <v>90</v>
      </c>
      <c r="E556" s="266" t="s">
        <v>3430</v>
      </c>
      <c r="F556" s="252">
        <f t="shared" si="30"/>
        <v>58600</v>
      </c>
      <c r="G556" s="252">
        <f t="shared" si="30"/>
        <v>67000</v>
      </c>
      <c r="H556" s="252">
        <f t="shared" si="30"/>
        <v>75350</v>
      </c>
      <c r="I556" s="252">
        <f t="shared" si="30"/>
        <v>83700</v>
      </c>
      <c r="J556" s="252">
        <f t="shared" si="30"/>
        <v>90400</v>
      </c>
      <c r="K556" s="252">
        <f t="shared" si="30"/>
        <v>97100</v>
      </c>
      <c r="L556" s="252">
        <f t="shared" si="30"/>
        <v>103800</v>
      </c>
      <c r="M556" s="252">
        <f t="shared" si="30"/>
        <v>110500</v>
      </c>
    </row>
    <row r="557" spans="1:13" ht="21.95" customHeight="1" x14ac:dyDescent="0.25">
      <c r="A557" s="36" t="s">
        <v>2904</v>
      </c>
      <c r="B557" s="36" t="str">
        <f t="shared" si="28"/>
        <v>IA_MARSHALL COUNTY, IA</v>
      </c>
      <c r="D557" s="265" t="s">
        <v>90</v>
      </c>
      <c r="E557" s="266" t="s">
        <v>3431</v>
      </c>
      <c r="F557" s="252">
        <f t="shared" si="30"/>
        <v>53100</v>
      </c>
      <c r="G557" s="252">
        <f t="shared" si="30"/>
        <v>60700</v>
      </c>
      <c r="H557" s="252">
        <f t="shared" si="30"/>
        <v>68300</v>
      </c>
      <c r="I557" s="252">
        <f t="shared" si="30"/>
        <v>75850</v>
      </c>
      <c r="J557" s="252">
        <f t="shared" si="30"/>
        <v>81950</v>
      </c>
      <c r="K557" s="252">
        <f t="shared" si="30"/>
        <v>88000</v>
      </c>
      <c r="L557" s="252">
        <f t="shared" si="30"/>
        <v>94100</v>
      </c>
      <c r="M557" s="252">
        <f t="shared" si="30"/>
        <v>100150</v>
      </c>
    </row>
    <row r="558" spans="1:13" ht="21.95" customHeight="1" x14ac:dyDescent="0.25">
      <c r="A558" s="36" t="s">
        <v>2904</v>
      </c>
      <c r="B558" s="36" t="str">
        <f t="shared" si="28"/>
        <v>IA_MITCHELL COUNTY, IA</v>
      </c>
      <c r="D558" s="265" t="s">
        <v>90</v>
      </c>
      <c r="E558" s="266" t="s">
        <v>3432</v>
      </c>
      <c r="F558" s="252">
        <f t="shared" si="30"/>
        <v>53450</v>
      </c>
      <c r="G558" s="252">
        <f t="shared" si="30"/>
        <v>61050</v>
      </c>
      <c r="H558" s="252">
        <f t="shared" si="30"/>
        <v>68700</v>
      </c>
      <c r="I558" s="252">
        <f t="shared" si="30"/>
        <v>76300</v>
      </c>
      <c r="J558" s="252">
        <f t="shared" si="30"/>
        <v>82450</v>
      </c>
      <c r="K558" s="252">
        <f t="shared" si="30"/>
        <v>88550</v>
      </c>
      <c r="L558" s="252">
        <f t="shared" si="30"/>
        <v>94650</v>
      </c>
      <c r="M558" s="252">
        <f t="shared" si="30"/>
        <v>100750</v>
      </c>
    </row>
    <row r="559" spans="1:13" ht="21.95" customHeight="1" x14ac:dyDescent="0.25">
      <c r="A559" s="36" t="s">
        <v>2904</v>
      </c>
      <c r="B559" s="36" t="str">
        <f t="shared" si="28"/>
        <v>IA_MONONA COUNTY, IA</v>
      </c>
      <c r="D559" s="265" t="s">
        <v>90</v>
      </c>
      <c r="E559" s="266" t="s">
        <v>3433</v>
      </c>
      <c r="F559" s="252">
        <f t="shared" si="30"/>
        <v>51550</v>
      </c>
      <c r="G559" s="252">
        <f t="shared" si="30"/>
        <v>58900</v>
      </c>
      <c r="H559" s="252">
        <f t="shared" si="30"/>
        <v>66250</v>
      </c>
      <c r="I559" s="252">
        <f t="shared" si="30"/>
        <v>73600</v>
      </c>
      <c r="J559" s="252">
        <f t="shared" si="30"/>
        <v>79500</v>
      </c>
      <c r="K559" s="252">
        <f t="shared" si="30"/>
        <v>85400</v>
      </c>
      <c r="L559" s="252">
        <f t="shared" si="30"/>
        <v>91300</v>
      </c>
      <c r="M559" s="252">
        <f t="shared" si="30"/>
        <v>97200</v>
      </c>
    </row>
    <row r="560" spans="1:13" ht="21.95" customHeight="1" x14ac:dyDescent="0.25">
      <c r="A560" s="36" t="s">
        <v>2904</v>
      </c>
      <c r="B560" s="36" t="str">
        <f t="shared" si="28"/>
        <v>IA_MONROE COUNTY, IA</v>
      </c>
      <c r="D560" s="265" t="s">
        <v>90</v>
      </c>
      <c r="E560" s="266" t="s">
        <v>3434</v>
      </c>
      <c r="F560" s="252">
        <f t="shared" si="30"/>
        <v>51550</v>
      </c>
      <c r="G560" s="252">
        <f t="shared" si="30"/>
        <v>58900</v>
      </c>
      <c r="H560" s="252">
        <f t="shared" si="30"/>
        <v>66250</v>
      </c>
      <c r="I560" s="252">
        <f t="shared" si="30"/>
        <v>73600</v>
      </c>
      <c r="J560" s="252">
        <f t="shared" si="30"/>
        <v>79500</v>
      </c>
      <c r="K560" s="252">
        <f t="shared" si="30"/>
        <v>85400</v>
      </c>
      <c r="L560" s="252">
        <f t="shared" si="30"/>
        <v>91300</v>
      </c>
      <c r="M560" s="252">
        <f t="shared" si="30"/>
        <v>97200</v>
      </c>
    </row>
    <row r="561" spans="1:13" ht="21.95" customHeight="1" x14ac:dyDescent="0.25">
      <c r="A561" s="36" t="s">
        <v>2904</v>
      </c>
      <c r="B561" s="36" t="str">
        <f t="shared" si="28"/>
        <v>IA_MONTGOMERY COUNTY, IA</v>
      </c>
      <c r="D561" s="265" t="s">
        <v>90</v>
      </c>
      <c r="E561" s="266" t="s">
        <v>3435</v>
      </c>
      <c r="F561" s="252">
        <f t="shared" si="30"/>
        <v>51550</v>
      </c>
      <c r="G561" s="252">
        <f t="shared" si="30"/>
        <v>58900</v>
      </c>
      <c r="H561" s="252">
        <f t="shared" si="30"/>
        <v>66250</v>
      </c>
      <c r="I561" s="252">
        <f t="shared" si="30"/>
        <v>73600</v>
      </c>
      <c r="J561" s="252">
        <f t="shared" si="30"/>
        <v>79500</v>
      </c>
      <c r="K561" s="252">
        <f t="shared" si="30"/>
        <v>85400</v>
      </c>
      <c r="L561" s="252">
        <f t="shared" si="30"/>
        <v>91300</v>
      </c>
      <c r="M561" s="252">
        <f t="shared" si="30"/>
        <v>97200</v>
      </c>
    </row>
    <row r="562" spans="1:13" ht="21.95" customHeight="1" x14ac:dyDescent="0.25">
      <c r="A562" s="36" t="s">
        <v>2904</v>
      </c>
      <c r="B562" s="36" t="str">
        <f t="shared" si="28"/>
        <v>IA_MUSCATINE COUNTY, IA</v>
      </c>
      <c r="D562" s="265" t="s">
        <v>90</v>
      </c>
      <c r="E562" s="266" t="s">
        <v>3436</v>
      </c>
      <c r="F562" s="252">
        <f t="shared" si="30"/>
        <v>53300</v>
      </c>
      <c r="G562" s="252">
        <f t="shared" si="30"/>
        <v>60900</v>
      </c>
      <c r="H562" s="252">
        <f t="shared" si="30"/>
        <v>68500</v>
      </c>
      <c r="I562" s="252">
        <f t="shared" si="30"/>
        <v>76100</v>
      </c>
      <c r="J562" s="252">
        <f t="shared" si="30"/>
        <v>82200</v>
      </c>
      <c r="K562" s="252">
        <f t="shared" si="30"/>
        <v>88300</v>
      </c>
      <c r="L562" s="252">
        <f t="shared" si="30"/>
        <v>94400</v>
      </c>
      <c r="M562" s="252">
        <f t="shared" si="30"/>
        <v>100500</v>
      </c>
    </row>
    <row r="563" spans="1:13" ht="21.95" customHeight="1" x14ac:dyDescent="0.25">
      <c r="A563" s="36" t="s">
        <v>2904</v>
      </c>
      <c r="B563" s="36" t="str">
        <f t="shared" si="28"/>
        <v>IA_O'BRIEN COUNTY, IA</v>
      </c>
      <c r="D563" s="265" t="s">
        <v>90</v>
      </c>
      <c r="E563" s="266" t="s">
        <v>3437</v>
      </c>
      <c r="F563" s="252">
        <f t="shared" si="30"/>
        <v>56600</v>
      </c>
      <c r="G563" s="252">
        <f t="shared" si="30"/>
        <v>64650</v>
      </c>
      <c r="H563" s="252">
        <f t="shared" si="30"/>
        <v>72750</v>
      </c>
      <c r="I563" s="252">
        <f t="shared" si="30"/>
        <v>80800</v>
      </c>
      <c r="J563" s="252">
        <f t="shared" si="30"/>
        <v>87300</v>
      </c>
      <c r="K563" s="252">
        <f t="shared" si="30"/>
        <v>93750</v>
      </c>
      <c r="L563" s="252">
        <f t="shared" si="30"/>
        <v>100200</v>
      </c>
      <c r="M563" s="252">
        <f t="shared" si="30"/>
        <v>106700</v>
      </c>
    </row>
    <row r="564" spans="1:13" ht="21.95" customHeight="1" x14ac:dyDescent="0.25">
      <c r="A564" s="36" t="s">
        <v>2904</v>
      </c>
      <c r="B564" s="36" t="str">
        <f t="shared" si="28"/>
        <v>IA_OMAHA-COUNCIL BLUFFS, NE-IA HUD METRO FMR AREA</v>
      </c>
      <c r="D564" s="265" t="s">
        <v>90</v>
      </c>
      <c r="E564" s="266" t="s">
        <v>3438</v>
      </c>
      <c r="F564" s="252">
        <f t="shared" si="30"/>
        <v>63700</v>
      </c>
      <c r="G564" s="252">
        <f t="shared" si="30"/>
        <v>72800</v>
      </c>
      <c r="H564" s="252">
        <f t="shared" si="30"/>
        <v>81900</v>
      </c>
      <c r="I564" s="252">
        <f t="shared" si="30"/>
        <v>90950</v>
      </c>
      <c r="J564" s="252">
        <f t="shared" si="30"/>
        <v>98250</v>
      </c>
      <c r="K564" s="252">
        <f t="shared" si="30"/>
        <v>105550</v>
      </c>
      <c r="L564" s="252">
        <f t="shared" si="30"/>
        <v>112800</v>
      </c>
      <c r="M564" s="252">
        <f t="shared" si="30"/>
        <v>120100</v>
      </c>
    </row>
    <row r="565" spans="1:13" ht="21.95" customHeight="1" x14ac:dyDescent="0.25">
      <c r="A565" s="36" t="s">
        <v>2904</v>
      </c>
      <c r="B565" s="36" t="str">
        <f t="shared" si="28"/>
        <v>IA_OSCEOLA COUNTY, IA</v>
      </c>
      <c r="D565" s="265" t="s">
        <v>90</v>
      </c>
      <c r="E565" s="266" t="s">
        <v>3439</v>
      </c>
      <c r="F565" s="252">
        <f t="shared" si="30"/>
        <v>51550</v>
      </c>
      <c r="G565" s="252">
        <f t="shared" si="30"/>
        <v>58900</v>
      </c>
      <c r="H565" s="252">
        <f t="shared" si="30"/>
        <v>66250</v>
      </c>
      <c r="I565" s="252">
        <f t="shared" si="30"/>
        <v>73600</v>
      </c>
      <c r="J565" s="252">
        <f t="shared" si="30"/>
        <v>79500</v>
      </c>
      <c r="K565" s="252">
        <f t="shared" si="30"/>
        <v>85400</v>
      </c>
      <c r="L565" s="252">
        <f t="shared" si="30"/>
        <v>91300</v>
      </c>
      <c r="M565" s="252">
        <f t="shared" si="30"/>
        <v>97200</v>
      </c>
    </row>
    <row r="566" spans="1:13" ht="21.95" customHeight="1" x14ac:dyDescent="0.25">
      <c r="A566" s="36" t="s">
        <v>2904</v>
      </c>
      <c r="B566" s="36" t="str">
        <f t="shared" si="28"/>
        <v>IA_PAGE COUNTY, IA</v>
      </c>
      <c r="D566" s="265" t="s">
        <v>90</v>
      </c>
      <c r="E566" s="266" t="s">
        <v>3440</v>
      </c>
      <c r="F566" s="252">
        <f t="shared" si="30"/>
        <v>51550</v>
      </c>
      <c r="G566" s="252">
        <f t="shared" si="30"/>
        <v>58900</v>
      </c>
      <c r="H566" s="252">
        <f t="shared" si="30"/>
        <v>66250</v>
      </c>
      <c r="I566" s="252">
        <f t="shared" si="30"/>
        <v>73600</v>
      </c>
      <c r="J566" s="252">
        <f t="shared" si="30"/>
        <v>79500</v>
      </c>
      <c r="K566" s="252">
        <f t="shared" si="30"/>
        <v>85400</v>
      </c>
      <c r="L566" s="252">
        <f t="shared" si="30"/>
        <v>91300</v>
      </c>
      <c r="M566" s="252">
        <f t="shared" si="30"/>
        <v>97200</v>
      </c>
    </row>
    <row r="567" spans="1:13" ht="21.95" customHeight="1" x14ac:dyDescent="0.25">
      <c r="A567" s="36" t="s">
        <v>2904</v>
      </c>
      <c r="B567" s="36" t="str">
        <f t="shared" si="28"/>
        <v>IA_PALO ALTO COUNTY, IA</v>
      </c>
      <c r="D567" s="265" t="s">
        <v>90</v>
      </c>
      <c r="E567" s="266" t="s">
        <v>3441</v>
      </c>
      <c r="F567" s="252">
        <f t="shared" si="30"/>
        <v>55850</v>
      </c>
      <c r="G567" s="252">
        <f t="shared" si="30"/>
        <v>63800</v>
      </c>
      <c r="H567" s="252">
        <f t="shared" si="30"/>
        <v>71800</v>
      </c>
      <c r="I567" s="252">
        <f t="shared" si="30"/>
        <v>79750</v>
      </c>
      <c r="J567" s="252">
        <f t="shared" si="30"/>
        <v>86150</v>
      </c>
      <c r="K567" s="252">
        <f t="shared" si="30"/>
        <v>92550</v>
      </c>
      <c r="L567" s="252">
        <f t="shared" si="30"/>
        <v>98900</v>
      </c>
      <c r="M567" s="252">
        <f t="shared" si="30"/>
        <v>105300</v>
      </c>
    </row>
    <row r="568" spans="1:13" ht="21.95" customHeight="1" x14ac:dyDescent="0.25">
      <c r="A568" s="36" t="s">
        <v>2904</v>
      </c>
      <c r="B568" s="36" t="str">
        <f t="shared" si="28"/>
        <v>IA_PLYMOUTH COUNTY, IA</v>
      </c>
      <c r="D568" s="265" t="s">
        <v>90</v>
      </c>
      <c r="E568" s="266" t="s">
        <v>3442</v>
      </c>
      <c r="F568" s="252">
        <f t="shared" si="30"/>
        <v>56950</v>
      </c>
      <c r="G568" s="252">
        <f t="shared" si="30"/>
        <v>65100</v>
      </c>
      <c r="H568" s="252">
        <f t="shared" si="30"/>
        <v>73250</v>
      </c>
      <c r="I568" s="252">
        <f t="shared" si="30"/>
        <v>81350</v>
      </c>
      <c r="J568" s="252">
        <f t="shared" si="30"/>
        <v>87900</v>
      </c>
      <c r="K568" s="252">
        <f t="shared" si="30"/>
        <v>94400</v>
      </c>
      <c r="L568" s="252">
        <f t="shared" si="30"/>
        <v>100900</v>
      </c>
      <c r="M568" s="252">
        <f t="shared" si="30"/>
        <v>107400</v>
      </c>
    </row>
    <row r="569" spans="1:13" ht="21.95" customHeight="1" x14ac:dyDescent="0.25">
      <c r="A569" s="36" t="s">
        <v>2904</v>
      </c>
      <c r="B569" s="36" t="str">
        <f t="shared" si="28"/>
        <v>IA_POCAHONTAS COUNTY, IA</v>
      </c>
      <c r="D569" s="265" t="s">
        <v>90</v>
      </c>
      <c r="E569" s="266" t="s">
        <v>3443</v>
      </c>
      <c r="F569" s="252">
        <f t="shared" si="30"/>
        <v>51550</v>
      </c>
      <c r="G569" s="252">
        <f t="shared" si="30"/>
        <v>58900</v>
      </c>
      <c r="H569" s="252">
        <f t="shared" si="30"/>
        <v>66250</v>
      </c>
      <c r="I569" s="252">
        <f t="shared" si="30"/>
        <v>73600</v>
      </c>
      <c r="J569" s="252">
        <f t="shared" si="30"/>
        <v>79500</v>
      </c>
      <c r="K569" s="252">
        <f t="shared" si="30"/>
        <v>85400</v>
      </c>
      <c r="L569" s="252">
        <f t="shared" si="30"/>
        <v>91300</v>
      </c>
      <c r="M569" s="252">
        <f t="shared" si="30"/>
        <v>97200</v>
      </c>
    </row>
    <row r="570" spans="1:13" ht="21.95" customHeight="1" x14ac:dyDescent="0.25">
      <c r="A570" s="36" t="s">
        <v>2904</v>
      </c>
      <c r="B570" s="36" t="str">
        <f t="shared" si="28"/>
        <v>IA_POWESHIEK COUNTY, IA</v>
      </c>
      <c r="D570" s="265" t="s">
        <v>90</v>
      </c>
      <c r="E570" s="266" t="s">
        <v>3444</v>
      </c>
      <c r="F570" s="252">
        <f t="shared" si="30"/>
        <v>55400</v>
      </c>
      <c r="G570" s="252">
        <f t="shared" si="30"/>
        <v>63300</v>
      </c>
      <c r="H570" s="252">
        <f t="shared" si="30"/>
        <v>71200</v>
      </c>
      <c r="I570" s="252">
        <f t="shared" si="30"/>
        <v>79100</v>
      </c>
      <c r="J570" s="252">
        <f t="shared" si="30"/>
        <v>85450</v>
      </c>
      <c r="K570" s="252">
        <f t="shared" si="30"/>
        <v>91800</v>
      </c>
      <c r="L570" s="252">
        <f t="shared" si="30"/>
        <v>98100</v>
      </c>
      <c r="M570" s="252">
        <f t="shared" si="30"/>
        <v>104450</v>
      </c>
    </row>
    <row r="571" spans="1:13" ht="21.95" customHeight="1" x14ac:dyDescent="0.25">
      <c r="A571" s="36" t="s">
        <v>2904</v>
      </c>
      <c r="B571" s="36" t="str">
        <f t="shared" si="28"/>
        <v>IA_RINGGOLD COUNTY, IA</v>
      </c>
      <c r="D571" s="265" t="s">
        <v>90</v>
      </c>
      <c r="E571" s="266" t="s">
        <v>3445</v>
      </c>
      <c r="F571" s="252">
        <f t="shared" si="30"/>
        <v>53050</v>
      </c>
      <c r="G571" s="252">
        <f t="shared" si="30"/>
        <v>60600</v>
      </c>
      <c r="H571" s="252">
        <f t="shared" si="30"/>
        <v>68200</v>
      </c>
      <c r="I571" s="252">
        <f t="shared" si="30"/>
        <v>75750</v>
      </c>
      <c r="J571" s="252">
        <f t="shared" si="30"/>
        <v>81850</v>
      </c>
      <c r="K571" s="252">
        <f t="shared" si="30"/>
        <v>87900</v>
      </c>
      <c r="L571" s="252">
        <f t="shared" si="30"/>
        <v>93950</v>
      </c>
      <c r="M571" s="252">
        <f t="shared" si="30"/>
        <v>100000</v>
      </c>
    </row>
    <row r="572" spans="1:13" ht="21.95" customHeight="1" x14ac:dyDescent="0.25">
      <c r="A572" s="36" t="s">
        <v>2904</v>
      </c>
      <c r="B572" s="36" t="str">
        <f t="shared" ref="B572:B635" si="31">UPPER(TRIM(D572)&amp;"_"&amp;TRIM(E572))</f>
        <v>IA_SAC COUNTY, IA</v>
      </c>
      <c r="D572" s="265" t="s">
        <v>90</v>
      </c>
      <c r="E572" s="266" t="s">
        <v>3446</v>
      </c>
      <c r="F572" s="252">
        <f t="shared" si="30"/>
        <v>52850</v>
      </c>
      <c r="G572" s="252">
        <f t="shared" si="30"/>
        <v>60400</v>
      </c>
      <c r="H572" s="252">
        <f t="shared" si="30"/>
        <v>67950</v>
      </c>
      <c r="I572" s="252">
        <f t="shared" si="30"/>
        <v>75450</v>
      </c>
      <c r="J572" s="252">
        <f t="shared" si="30"/>
        <v>81500</v>
      </c>
      <c r="K572" s="252">
        <f t="shared" si="30"/>
        <v>87550</v>
      </c>
      <c r="L572" s="252">
        <f t="shared" si="30"/>
        <v>93600</v>
      </c>
      <c r="M572" s="252">
        <f t="shared" si="30"/>
        <v>99600</v>
      </c>
    </row>
    <row r="573" spans="1:13" ht="21.95" customHeight="1" x14ac:dyDescent="0.25">
      <c r="A573" s="36" t="s">
        <v>2904</v>
      </c>
      <c r="B573" s="36" t="str">
        <f t="shared" si="31"/>
        <v>IA_SHELBY COUNTY, IA</v>
      </c>
      <c r="D573" s="265" t="s">
        <v>90</v>
      </c>
      <c r="E573" s="266" t="s">
        <v>3447</v>
      </c>
      <c r="F573" s="252">
        <f t="shared" si="30"/>
        <v>54750</v>
      </c>
      <c r="G573" s="252">
        <f t="shared" si="30"/>
        <v>62550</v>
      </c>
      <c r="H573" s="252">
        <f t="shared" si="30"/>
        <v>70350</v>
      </c>
      <c r="I573" s="252">
        <f t="shared" si="30"/>
        <v>78150</v>
      </c>
      <c r="J573" s="252">
        <f t="shared" si="30"/>
        <v>84450</v>
      </c>
      <c r="K573" s="252">
        <f t="shared" si="30"/>
        <v>90700</v>
      </c>
      <c r="L573" s="252">
        <f t="shared" si="30"/>
        <v>96950</v>
      </c>
      <c r="M573" s="252">
        <f t="shared" si="30"/>
        <v>103200</v>
      </c>
    </row>
    <row r="574" spans="1:13" ht="21.95" customHeight="1" x14ac:dyDescent="0.25">
      <c r="A574" s="36" t="s">
        <v>2904</v>
      </c>
      <c r="B574" s="36" t="str">
        <f t="shared" si="31"/>
        <v>IA_SIOUX CITY, IA-NE-SD MSA</v>
      </c>
      <c r="D574" s="265" t="s">
        <v>90</v>
      </c>
      <c r="E574" s="266" t="s">
        <v>3448</v>
      </c>
      <c r="F574" s="252">
        <f t="shared" si="30"/>
        <v>51550</v>
      </c>
      <c r="G574" s="252">
        <f t="shared" si="30"/>
        <v>58900</v>
      </c>
      <c r="H574" s="252">
        <f t="shared" si="30"/>
        <v>66250</v>
      </c>
      <c r="I574" s="252">
        <f t="shared" si="30"/>
        <v>73600</v>
      </c>
      <c r="J574" s="252">
        <f t="shared" si="30"/>
        <v>79500</v>
      </c>
      <c r="K574" s="252">
        <f t="shared" si="30"/>
        <v>85400</v>
      </c>
      <c r="L574" s="252">
        <f t="shared" si="30"/>
        <v>91300</v>
      </c>
      <c r="M574" s="252">
        <f t="shared" si="30"/>
        <v>97200</v>
      </c>
    </row>
    <row r="575" spans="1:13" ht="21.95" customHeight="1" x14ac:dyDescent="0.25">
      <c r="A575" s="36" t="s">
        <v>2904</v>
      </c>
      <c r="B575" s="36" t="str">
        <f t="shared" si="31"/>
        <v>IA_SIOUX COUNTY, IA</v>
      </c>
      <c r="D575" s="265" t="s">
        <v>90</v>
      </c>
      <c r="E575" s="266" t="s">
        <v>3449</v>
      </c>
      <c r="F575" s="252">
        <f t="shared" si="30"/>
        <v>61400</v>
      </c>
      <c r="G575" s="252">
        <f t="shared" si="30"/>
        <v>70200</v>
      </c>
      <c r="H575" s="252">
        <f t="shared" si="30"/>
        <v>78950</v>
      </c>
      <c r="I575" s="252">
        <f t="shared" si="30"/>
        <v>87700</v>
      </c>
      <c r="J575" s="252">
        <f t="shared" si="30"/>
        <v>94750</v>
      </c>
      <c r="K575" s="252">
        <f t="shared" si="30"/>
        <v>101750</v>
      </c>
      <c r="L575" s="252">
        <f t="shared" si="30"/>
        <v>108750</v>
      </c>
      <c r="M575" s="252">
        <f t="shared" si="30"/>
        <v>115800</v>
      </c>
    </row>
    <row r="576" spans="1:13" ht="21.95" customHeight="1" x14ac:dyDescent="0.25">
      <c r="A576" s="36" t="s">
        <v>2904</v>
      </c>
      <c r="B576" s="36" t="str">
        <f t="shared" si="31"/>
        <v>IA_TAMA COUNTY, IA</v>
      </c>
      <c r="D576" s="265" t="s">
        <v>90</v>
      </c>
      <c r="E576" s="266" t="s">
        <v>3450</v>
      </c>
      <c r="F576" s="252">
        <f t="shared" si="30"/>
        <v>51550</v>
      </c>
      <c r="G576" s="252">
        <f t="shared" si="30"/>
        <v>58900</v>
      </c>
      <c r="H576" s="252">
        <f t="shared" si="30"/>
        <v>66250</v>
      </c>
      <c r="I576" s="252">
        <f t="shared" si="30"/>
        <v>73600</v>
      </c>
      <c r="J576" s="252">
        <f t="shared" si="30"/>
        <v>79500</v>
      </c>
      <c r="K576" s="252">
        <f t="shared" si="30"/>
        <v>85400</v>
      </c>
      <c r="L576" s="252">
        <f t="shared" si="30"/>
        <v>91300</v>
      </c>
      <c r="M576" s="252">
        <f t="shared" si="30"/>
        <v>97200</v>
      </c>
    </row>
    <row r="577" spans="1:13" ht="21.95" customHeight="1" x14ac:dyDescent="0.25">
      <c r="A577" s="36" t="s">
        <v>2904</v>
      </c>
      <c r="B577" s="36" t="str">
        <f t="shared" si="31"/>
        <v>IA_TAYLOR COUNTY, IA</v>
      </c>
      <c r="D577" s="265" t="s">
        <v>90</v>
      </c>
      <c r="E577" s="266" t="s">
        <v>3451</v>
      </c>
      <c r="F577" s="252">
        <f t="shared" si="30"/>
        <v>51550</v>
      </c>
      <c r="G577" s="252">
        <f t="shared" si="30"/>
        <v>58900</v>
      </c>
      <c r="H577" s="252">
        <f t="shared" si="30"/>
        <v>66250</v>
      </c>
      <c r="I577" s="252">
        <f t="shared" si="30"/>
        <v>73600</v>
      </c>
      <c r="J577" s="252">
        <f t="shared" si="30"/>
        <v>79500</v>
      </c>
      <c r="K577" s="252">
        <f t="shared" si="30"/>
        <v>85400</v>
      </c>
      <c r="L577" s="252">
        <f t="shared" si="30"/>
        <v>91300</v>
      </c>
      <c r="M577" s="252">
        <f t="shared" si="30"/>
        <v>97200</v>
      </c>
    </row>
    <row r="578" spans="1:13" ht="21.95" customHeight="1" x14ac:dyDescent="0.25">
      <c r="A578" s="36" t="s">
        <v>2904</v>
      </c>
      <c r="B578" s="36" t="str">
        <f t="shared" si="31"/>
        <v>IA_UNION COUNTY, IA</v>
      </c>
      <c r="D578" s="265" t="s">
        <v>90</v>
      </c>
      <c r="E578" s="266" t="s">
        <v>3452</v>
      </c>
      <c r="F578" s="252">
        <f t="shared" si="30"/>
        <v>51550</v>
      </c>
      <c r="G578" s="252">
        <f t="shared" si="30"/>
        <v>58900</v>
      </c>
      <c r="H578" s="252">
        <f t="shared" si="30"/>
        <v>66250</v>
      </c>
      <c r="I578" s="252">
        <f t="shared" si="30"/>
        <v>73600</v>
      </c>
      <c r="J578" s="252">
        <f t="shared" si="30"/>
        <v>79500</v>
      </c>
      <c r="K578" s="252">
        <f t="shared" si="30"/>
        <v>85400</v>
      </c>
      <c r="L578" s="252">
        <f t="shared" si="30"/>
        <v>91300</v>
      </c>
      <c r="M578" s="252">
        <f t="shared" si="30"/>
        <v>97200</v>
      </c>
    </row>
    <row r="579" spans="1:13" ht="21.95" customHeight="1" x14ac:dyDescent="0.25">
      <c r="A579" s="36" t="s">
        <v>2904</v>
      </c>
      <c r="B579" s="36" t="str">
        <f t="shared" si="31"/>
        <v>IA_VAN BUREN COUNTY, IA</v>
      </c>
      <c r="D579" s="265" t="s">
        <v>90</v>
      </c>
      <c r="E579" s="266" t="s">
        <v>3453</v>
      </c>
      <c r="F579" s="252">
        <f t="shared" si="30"/>
        <v>51550</v>
      </c>
      <c r="G579" s="252">
        <f t="shared" si="30"/>
        <v>58900</v>
      </c>
      <c r="H579" s="252">
        <f t="shared" si="30"/>
        <v>66250</v>
      </c>
      <c r="I579" s="252">
        <f t="shared" si="30"/>
        <v>73600</v>
      </c>
      <c r="J579" s="252">
        <f t="shared" si="30"/>
        <v>79500</v>
      </c>
      <c r="K579" s="252">
        <f t="shared" si="30"/>
        <v>85400</v>
      </c>
      <c r="L579" s="252">
        <f t="shared" si="30"/>
        <v>91300</v>
      </c>
      <c r="M579" s="252">
        <f t="shared" si="30"/>
        <v>97200</v>
      </c>
    </row>
    <row r="580" spans="1:13" ht="21.95" customHeight="1" x14ac:dyDescent="0.25">
      <c r="A580" s="36" t="s">
        <v>2904</v>
      </c>
      <c r="B580" s="36" t="str">
        <f t="shared" si="31"/>
        <v>IA_WAPELLO COUNTY, IA</v>
      </c>
      <c r="D580" s="265" t="s">
        <v>90</v>
      </c>
      <c r="E580" s="266" t="s">
        <v>3454</v>
      </c>
      <c r="F580" s="252">
        <f t="shared" si="30"/>
        <v>51550</v>
      </c>
      <c r="G580" s="252">
        <f t="shared" si="30"/>
        <v>58900</v>
      </c>
      <c r="H580" s="252">
        <f t="shared" si="30"/>
        <v>66250</v>
      </c>
      <c r="I580" s="252">
        <f t="shared" si="30"/>
        <v>73600</v>
      </c>
      <c r="J580" s="252">
        <f t="shared" si="30"/>
        <v>79500</v>
      </c>
      <c r="K580" s="252">
        <f t="shared" si="30"/>
        <v>85400</v>
      </c>
      <c r="L580" s="252">
        <f t="shared" si="30"/>
        <v>91300</v>
      </c>
      <c r="M580" s="252">
        <f t="shared" si="30"/>
        <v>97200</v>
      </c>
    </row>
    <row r="581" spans="1:13" ht="21.95" customHeight="1" x14ac:dyDescent="0.25">
      <c r="A581" s="36" t="s">
        <v>2904</v>
      </c>
      <c r="B581" s="36" t="str">
        <f t="shared" si="31"/>
        <v>IA_WASHINGTON COUNTY, IA HUD METRO FMR AREA</v>
      </c>
      <c r="D581" s="265" t="s">
        <v>90</v>
      </c>
      <c r="E581" s="266" t="s">
        <v>3455</v>
      </c>
      <c r="F581" s="252">
        <f t="shared" si="30"/>
        <v>53100</v>
      </c>
      <c r="G581" s="252">
        <f t="shared" si="30"/>
        <v>60700</v>
      </c>
      <c r="H581" s="252">
        <f t="shared" si="30"/>
        <v>68300</v>
      </c>
      <c r="I581" s="252">
        <f t="shared" si="30"/>
        <v>75850</v>
      </c>
      <c r="J581" s="252">
        <f t="shared" si="30"/>
        <v>81950</v>
      </c>
      <c r="K581" s="252">
        <f t="shared" si="30"/>
        <v>88000</v>
      </c>
      <c r="L581" s="252">
        <f t="shared" si="30"/>
        <v>94100</v>
      </c>
      <c r="M581" s="252">
        <f t="shared" si="30"/>
        <v>100150</v>
      </c>
    </row>
    <row r="582" spans="1:13" ht="21.95" customHeight="1" x14ac:dyDescent="0.25">
      <c r="A582" s="36" t="s">
        <v>2904</v>
      </c>
      <c r="B582" s="36" t="str">
        <f t="shared" si="31"/>
        <v>IA_WATERLOO-CEDAR FALLS, IA HUD METRO FMR AREA</v>
      </c>
      <c r="D582" s="265" t="s">
        <v>90</v>
      </c>
      <c r="E582" s="266" t="s">
        <v>3456</v>
      </c>
      <c r="F582" s="252">
        <f t="shared" si="30"/>
        <v>51550</v>
      </c>
      <c r="G582" s="252">
        <f t="shared" si="30"/>
        <v>58900</v>
      </c>
      <c r="H582" s="252">
        <f t="shared" si="30"/>
        <v>66250</v>
      </c>
      <c r="I582" s="252">
        <f t="shared" si="30"/>
        <v>73600</v>
      </c>
      <c r="J582" s="252">
        <f t="shared" si="30"/>
        <v>79500</v>
      </c>
      <c r="K582" s="252">
        <f t="shared" si="30"/>
        <v>85400</v>
      </c>
      <c r="L582" s="252">
        <f t="shared" si="30"/>
        <v>91300</v>
      </c>
      <c r="M582" s="252">
        <f t="shared" si="30"/>
        <v>97200</v>
      </c>
    </row>
    <row r="583" spans="1:13" ht="21.95" customHeight="1" x14ac:dyDescent="0.25">
      <c r="A583" s="36" t="s">
        <v>2904</v>
      </c>
      <c r="B583" s="36" t="str">
        <f t="shared" si="31"/>
        <v>IA_WAYNE COUNTY, IA</v>
      </c>
      <c r="D583" s="265" t="s">
        <v>90</v>
      </c>
      <c r="E583" s="266" t="s">
        <v>3457</v>
      </c>
      <c r="F583" s="252">
        <f t="shared" si="30"/>
        <v>51550</v>
      </c>
      <c r="G583" s="252">
        <f t="shared" si="30"/>
        <v>58900</v>
      </c>
      <c r="H583" s="252">
        <f t="shared" si="30"/>
        <v>66250</v>
      </c>
      <c r="I583" s="252">
        <f t="shared" si="30"/>
        <v>73600</v>
      </c>
      <c r="J583" s="252">
        <f t="shared" si="30"/>
        <v>79500</v>
      </c>
      <c r="K583" s="252">
        <f t="shared" si="30"/>
        <v>85400</v>
      </c>
      <c r="L583" s="252">
        <f t="shared" si="30"/>
        <v>91300</v>
      </c>
      <c r="M583" s="252">
        <f t="shared" si="30"/>
        <v>97200</v>
      </c>
    </row>
    <row r="584" spans="1:13" ht="21.95" customHeight="1" x14ac:dyDescent="0.25">
      <c r="A584" s="36" t="s">
        <v>2904</v>
      </c>
      <c r="B584" s="36" t="str">
        <f t="shared" si="31"/>
        <v>IA_WEBSTER COUNTY, IA</v>
      </c>
      <c r="D584" s="265" t="s">
        <v>90</v>
      </c>
      <c r="E584" s="266" t="s">
        <v>3458</v>
      </c>
      <c r="F584" s="252">
        <f t="shared" ref="F584:M615" si="32">VLOOKUP($B584,LOOKUP_AMI_TABLE,5+((F$7-1)),FALSE)</f>
        <v>53700</v>
      </c>
      <c r="G584" s="252">
        <f t="shared" si="32"/>
        <v>61400</v>
      </c>
      <c r="H584" s="252">
        <f t="shared" si="32"/>
        <v>69050</v>
      </c>
      <c r="I584" s="252">
        <f t="shared" si="32"/>
        <v>76700</v>
      </c>
      <c r="J584" s="252">
        <f t="shared" si="32"/>
        <v>82850</v>
      </c>
      <c r="K584" s="252">
        <f t="shared" si="32"/>
        <v>89000</v>
      </c>
      <c r="L584" s="252">
        <f t="shared" si="32"/>
        <v>95150</v>
      </c>
      <c r="M584" s="252">
        <f t="shared" si="32"/>
        <v>101250</v>
      </c>
    </row>
    <row r="585" spans="1:13" ht="21.95" customHeight="1" x14ac:dyDescent="0.25">
      <c r="A585" s="36" t="s">
        <v>2904</v>
      </c>
      <c r="B585" s="36" t="str">
        <f t="shared" si="31"/>
        <v>IA_WINNEBAGO COUNTY, IA</v>
      </c>
      <c r="D585" s="265" t="s">
        <v>90</v>
      </c>
      <c r="E585" s="266" t="s">
        <v>3459</v>
      </c>
      <c r="F585" s="252">
        <f t="shared" si="32"/>
        <v>51550</v>
      </c>
      <c r="G585" s="252">
        <f t="shared" si="32"/>
        <v>58900</v>
      </c>
      <c r="H585" s="252">
        <f t="shared" si="32"/>
        <v>66250</v>
      </c>
      <c r="I585" s="252">
        <f t="shared" si="32"/>
        <v>73600</v>
      </c>
      <c r="J585" s="252">
        <f t="shared" si="32"/>
        <v>79500</v>
      </c>
      <c r="K585" s="252">
        <f t="shared" si="32"/>
        <v>85400</v>
      </c>
      <c r="L585" s="252">
        <f t="shared" si="32"/>
        <v>91300</v>
      </c>
      <c r="M585" s="252">
        <f t="shared" si="32"/>
        <v>97200</v>
      </c>
    </row>
    <row r="586" spans="1:13" ht="21.95" customHeight="1" x14ac:dyDescent="0.25">
      <c r="A586" s="36" t="s">
        <v>2904</v>
      </c>
      <c r="B586" s="36" t="str">
        <f t="shared" si="31"/>
        <v>IA_WINNESHIEK COUNTY, IA</v>
      </c>
      <c r="D586" s="265" t="s">
        <v>90</v>
      </c>
      <c r="E586" s="266" t="s">
        <v>3460</v>
      </c>
      <c r="F586" s="252">
        <f t="shared" si="32"/>
        <v>57200</v>
      </c>
      <c r="G586" s="252">
        <f t="shared" si="32"/>
        <v>65400</v>
      </c>
      <c r="H586" s="252">
        <f t="shared" si="32"/>
        <v>73550</v>
      </c>
      <c r="I586" s="252">
        <f t="shared" si="32"/>
        <v>81700</v>
      </c>
      <c r="J586" s="252">
        <f t="shared" si="32"/>
        <v>88250</v>
      </c>
      <c r="K586" s="252">
        <f t="shared" si="32"/>
        <v>94800</v>
      </c>
      <c r="L586" s="252">
        <f t="shared" si="32"/>
        <v>101350</v>
      </c>
      <c r="M586" s="252">
        <f t="shared" si="32"/>
        <v>107850</v>
      </c>
    </row>
    <row r="587" spans="1:13" ht="21.95" customHeight="1" x14ac:dyDescent="0.25">
      <c r="A587" s="36" t="s">
        <v>2904</v>
      </c>
      <c r="B587" s="36" t="str">
        <f t="shared" si="31"/>
        <v>IA_WORTH COUNTY, IA</v>
      </c>
      <c r="D587" s="265" t="s">
        <v>90</v>
      </c>
      <c r="E587" s="266" t="s">
        <v>3461</v>
      </c>
      <c r="F587" s="252">
        <f t="shared" si="32"/>
        <v>57000</v>
      </c>
      <c r="G587" s="252">
        <f t="shared" si="32"/>
        <v>65150</v>
      </c>
      <c r="H587" s="252">
        <f t="shared" si="32"/>
        <v>73300</v>
      </c>
      <c r="I587" s="252">
        <f t="shared" si="32"/>
        <v>81400</v>
      </c>
      <c r="J587" s="252">
        <f t="shared" si="32"/>
        <v>87950</v>
      </c>
      <c r="K587" s="252">
        <f t="shared" si="32"/>
        <v>94450</v>
      </c>
      <c r="L587" s="252">
        <f t="shared" si="32"/>
        <v>100950</v>
      </c>
      <c r="M587" s="252">
        <f t="shared" si="32"/>
        <v>107450</v>
      </c>
    </row>
    <row r="588" spans="1:13" ht="21.95" customHeight="1" x14ac:dyDescent="0.25">
      <c r="A588" s="36" t="s">
        <v>2904</v>
      </c>
      <c r="B588" s="36" t="str">
        <f t="shared" si="31"/>
        <v>IA_WRIGHT COUNTY, IA</v>
      </c>
      <c r="D588" s="265" t="s">
        <v>90</v>
      </c>
      <c r="E588" s="266" t="s">
        <v>3462</v>
      </c>
      <c r="F588" s="252">
        <f t="shared" si="32"/>
        <v>51550</v>
      </c>
      <c r="G588" s="252">
        <f t="shared" si="32"/>
        <v>58900</v>
      </c>
      <c r="H588" s="252">
        <f t="shared" si="32"/>
        <v>66250</v>
      </c>
      <c r="I588" s="252">
        <f t="shared" si="32"/>
        <v>73600</v>
      </c>
      <c r="J588" s="252">
        <f t="shared" si="32"/>
        <v>79500</v>
      </c>
      <c r="K588" s="252">
        <f t="shared" si="32"/>
        <v>85400</v>
      </c>
      <c r="L588" s="252">
        <f t="shared" si="32"/>
        <v>91300</v>
      </c>
      <c r="M588" s="252">
        <f t="shared" si="32"/>
        <v>97200</v>
      </c>
    </row>
    <row r="589" spans="1:13" ht="21.95" customHeight="1" x14ac:dyDescent="0.25">
      <c r="A589" s="36" t="s">
        <v>2904</v>
      </c>
      <c r="B589" s="36" t="str">
        <f t="shared" si="31"/>
        <v>ID_ADAMS COUNTY, ID</v>
      </c>
      <c r="D589" s="265" t="s">
        <v>93</v>
      </c>
      <c r="E589" s="266" t="s">
        <v>3463</v>
      </c>
      <c r="F589" s="252">
        <f t="shared" si="32"/>
        <v>47400</v>
      </c>
      <c r="G589" s="252">
        <f t="shared" si="32"/>
        <v>54200</v>
      </c>
      <c r="H589" s="252">
        <f t="shared" si="32"/>
        <v>60950</v>
      </c>
      <c r="I589" s="252">
        <f t="shared" si="32"/>
        <v>67700</v>
      </c>
      <c r="J589" s="252">
        <f t="shared" si="32"/>
        <v>73150</v>
      </c>
      <c r="K589" s="252">
        <f t="shared" si="32"/>
        <v>78550</v>
      </c>
      <c r="L589" s="252">
        <f t="shared" si="32"/>
        <v>83950</v>
      </c>
      <c r="M589" s="252">
        <f t="shared" si="32"/>
        <v>89400</v>
      </c>
    </row>
    <row r="590" spans="1:13" ht="21.95" customHeight="1" x14ac:dyDescent="0.25">
      <c r="A590" s="36" t="s">
        <v>2904</v>
      </c>
      <c r="B590" s="36" t="str">
        <f t="shared" si="31"/>
        <v>ID_BEAR LAKE COUNTY, ID</v>
      </c>
      <c r="D590" s="265" t="s">
        <v>93</v>
      </c>
      <c r="E590" s="266" t="s">
        <v>3464</v>
      </c>
      <c r="F590" s="252">
        <f t="shared" si="32"/>
        <v>52450</v>
      </c>
      <c r="G590" s="252">
        <f t="shared" si="32"/>
        <v>59950</v>
      </c>
      <c r="H590" s="252">
        <f t="shared" si="32"/>
        <v>67450</v>
      </c>
      <c r="I590" s="252">
        <f t="shared" si="32"/>
        <v>74900</v>
      </c>
      <c r="J590" s="252">
        <f t="shared" si="32"/>
        <v>80900</v>
      </c>
      <c r="K590" s="252">
        <f t="shared" si="32"/>
        <v>86900</v>
      </c>
      <c r="L590" s="252">
        <f t="shared" si="32"/>
        <v>92900</v>
      </c>
      <c r="M590" s="252">
        <f t="shared" si="32"/>
        <v>98900</v>
      </c>
    </row>
    <row r="591" spans="1:13" ht="21.95" customHeight="1" x14ac:dyDescent="0.25">
      <c r="A591" s="36" t="s">
        <v>2904</v>
      </c>
      <c r="B591" s="36" t="str">
        <f t="shared" si="31"/>
        <v>ID_BENEWAH COUNTY, ID</v>
      </c>
      <c r="D591" s="265" t="s">
        <v>93</v>
      </c>
      <c r="E591" s="266" t="s">
        <v>3465</v>
      </c>
      <c r="F591" s="252">
        <f t="shared" si="32"/>
        <v>47350</v>
      </c>
      <c r="G591" s="252">
        <f t="shared" si="32"/>
        <v>54100</v>
      </c>
      <c r="H591" s="252">
        <f t="shared" si="32"/>
        <v>60850</v>
      </c>
      <c r="I591" s="252">
        <f t="shared" si="32"/>
        <v>67600</v>
      </c>
      <c r="J591" s="252">
        <f t="shared" si="32"/>
        <v>73050</v>
      </c>
      <c r="K591" s="252">
        <f t="shared" si="32"/>
        <v>78450</v>
      </c>
      <c r="L591" s="252">
        <f t="shared" si="32"/>
        <v>83850</v>
      </c>
      <c r="M591" s="252">
        <f t="shared" si="32"/>
        <v>89250</v>
      </c>
    </row>
    <row r="592" spans="1:13" ht="21.95" customHeight="1" x14ac:dyDescent="0.25">
      <c r="A592" s="36" t="s">
        <v>2904</v>
      </c>
      <c r="B592" s="36" t="str">
        <f t="shared" si="31"/>
        <v>ID_BINGHAM COUNTY, ID</v>
      </c>
      <c r="D592" s="265" t="s">
        <v>93</v>
      </c>
      <c r="E592" s="266" t="s">
        <v>3466</v>
      </c>
      <c r="F592" s="252">
        <f t="shared" si="32"/>
        <v>51200</v>
      </c>
      <c r="G592" s="252">
        <f t="shared" si="32"/>
        <v>58500</v>
      </c>
      <c r="H592" s="252">
        <f t="shared" si="32"/>
        <v>65800</v>
      </c>
      <c r="I592" s="252">
        <f t="shared" si="32"/>
        <v>73100</v>
      </c>
      <c r="J592" s="252">
        <f t="shared" si="32"/>
        <v>78950</v>
      </c>
      <c r="K592" s="252">
        <f t="shared" si="32"/>
        <v>84800</v>
      </c>
      <c r="L592" s="252">
        <f t="shared" si="32"/>
        <v>90650</v>
      </c>
      <c r="M592" s="252">
        <f t="shared" si="32"/>
        <v>96500</v>
      </c>
    </row>
    <row r="593" spans="1:13" ht="21.95" customHeight="1" x14ac:dyDescent="0.25">
      <c r="A593" s="36" t="s">
        <v>2904</v>
      </c>
      <c r="B593" s="36" t="str">
        <f t="shared" si="31"/>
        <v>ID_BLAINE COUNTY, ID</v>
      </c>
      <c r="D593" s="265" t="s">
        <v>93</v>
      </c>
      <c r="E593" s="266" t="s">
        <v>3467</v>
      </c>
      <c r="F593" s="252">
        <f t="shared" si="32"/>
        <v>56250</v>
      </c>
      <c r="G593" s="252">
        <f t="shared" si="32"/>
        <v>64250</v>
      </c>
      <c r="H593" s="252">
        <f t="shared" si="32"/>
        <v>72300</v>
      </c>
      <c r="I593" s="252">
        <f t="shared" si="32"/>
        <v>80300</v>
      </c>
      <c r="J593" s="252">
        <f t="shared" si="32"/>
        <v>86750</v>
      </c>
      <c r="K593" s="252">
        <f t="shared" si="32"/>
        <v>93150</v>
      </c>
      <c r="L593" s="252">
        <f t="shared" si="32"/>
        <v>99600</v>
      </c>
      <c r="M593" s="252">
        <f t="shared" si="32"/>
        <v>106000</v>
      </c>
    </row>
    <row r="594" spans="1:13" ht="21.95" customHeight="1" x14ac:dyDescent="0.25">
      <c r="A594" s="36" t="s">
        <v>2904</v>
      </c>
      <c r="B594" s="36" t="str">
        <f t="shared" si="31"/>
        <v>ID_BOISE CITY, ID HUD METRO FMR AREA</v>
      </c>
      <c r="D594" s="265" t="s">
        <v>93</v>
      </c>
      <c r="E594" s="266" t="s">
        <v>3468</v>
      </c>
      <c r="F594" s="252">
        <f t="shared" si="32"/>
        <v>59950</v>
      </c>
      <c r="G594" s="252">
        <f t="shared" si="32"/>
        <v>68500</v>
      </c>
      <c r="H594" s="252">
        <f t="shared" si="32"/>
        <v>77050</v>
      </c>
      <c r="I594" s="252">
        <f t="shared" si="32"/>
        <v>85600</v>
      </c>
      <c r="J594" s="252">
        <f t="shared" si="32"/>
        <v>92450</v>
      </c>
      <c r="K594" s="252">
        <f t="shared" si="32"/>
        <v>99300</v>
      </c>
      <c r="L594" s="252">
        <f t="shared" si="32"/>
        <v>106150</v>
      </c>
      <c r="M594" s="252">
        <f t="shared" si="32"/>
        <v>113000</v>
      </c>
    </row>
    <row r="595" spans="1:13" ht="21.95" customHeight="1" x14ac:dyDescent="0.25">
      <c r="A595" s="36" t="s">
        <v>2904</v>
      </c>
      <c r="B595" s="36" t="str">
        <f t="shared" si="31"/>
        <v>ID_BONNER COUNTY, ID</v>
      </c>
      <c r="D595" s="265" t="s">
        <v>93</v>
      </c>
      <c r="E595" s="266" t="s">
        <v>3469</v>
      </c>
      <c r="F595" s="252">
        <f t="shared" si="32"/>
        <v>48550</v>
      </c>
      <c r="G595" s="252">
        <f t="shared" si="32"/>
        <v>55450</v>
      </c>
      <c r="H595" s="252">
        <f t="shared" si="32"/>
        <v>62400</v>
      </c>
      <c r="I595" s="252">
        <f t="shared" si="32"/>
        <v>69300</v>
      </c>
      <c r="J595" s="252">
        <f t="shared" si="32"/>
        <v>74850</v>
      </c>
      <c r="K595" s="252">
        <f t="shared" si="32"/>
        <v>80400</v>
      </c>
      <c r="L595" s="252">
        <f t="shared" si="32"/>
        <v>85950</v>
      </c>
      <c r="M595" s="252">
        <f t="shared" si="32"/>
        <v>91500</v>
      </c>
    </row>
    <row r="596" spans="1:13" ht="21.95" customHeight="1" x14ac:dyDescent="0.25">
      <c r="A596" s="36" t="s">
        <v>2904</v>
      </c>
      <c r="B596" s="36" t="str">
        <f t="shared" si="31"/>
        <v>ID_BOUNDARY COUNTY, ID</v>
      </c>
      <c r="D596" s="265" t="s">
        <v>93</v>
      </c>
      <c r="E596" s="266" t="s">
        <v>3470</v>
      </c>
      <c r="F596" s="252">
        <f t="shared" si="32"/>
        <v>48550</v>
      </c>
      <c r="G596" s="252">
        <f t="shared" si="32"/>
        <v>55450</v>
      </c>
      <c r="H596" s="252">
        <f t="shared" si="32"/>
        <v>62400</v>
      </c>
      <c r="I596" s="252">
        <f t="shared" si="32"/>
        <v>69300</v>
      </c>
      <c r="J596" s="252">
        <f t="shared" si="32"/>
        <v>74850</v>
      </c>
      <c r="K596" s="252">
        <f t="shared" si="32"/>
        <v>80400</v>
      </c>
      <c r="L596" s="252">
        <f t="shared" si="32"/>
        <v>85950</v>
      </c>
      <c r="M596" s="252">
        <f t="shared" si="32"/>
        <v>91500</v>
      </c>
    </row>
    <row r="597" spans="1:13" ht="21.95" customHeight="1" x14ac:dyDescent="0.25">
      <c r="A597" s="36" t="s">
        <v>2904</v>
      </c>
      <c r="B597" s="36" t="str">
        <f t="shared" si="31"/>
        <v>ID_BUTTE COUNTY, ID HUD METRO FMR AREA</v>
      </c>
      <c r="D597" s="265" t="s">
        <v>93</v>
      </c>
      <c r="E597" s="266" t="s">
        <v>3471</v>
      </c>
      <c r="F597" s="252">
        <f t="shared" si="32"/>
        <v>47350</v>
      </c>
      <c r="G597" s="252">
        <f t="shared" si="32"/>
        <v>54100</v>
      </c>
      <c r="H597" s="252">
        <f t="shared" si="32"/>
        <v>60850</v>
      </c>
      <c r="I597" s="252">
        <f t="shared" si="32"/>
        <v>67600</v>
      </c>
      <c r="J597" s="252">
        <f t="shared" si="32"/>
        <v>73050</v>
      </c>
      <c r="K597" s="252">
        <f t="shared" si="32"/>
        <v>78450</v>
      </c>
      <c r="L597" s="252">
        <f t="shared" si="32"/>
        <v>83850</v>
      </c>
      <c r="M597" s="252">
        <f t="shared" si="32"/>
        <v>89250</v>
      </c>
    </row>
    <row r="598" spans="1:13" ht="21.95" customHeight="1" x14ac:dyDescent="0.25">
      <c r="A598" s="36" t="s">
        <v>2904</v>
      </c>
      <c r="B598" s="36" t="str">
        <f t="shared" si="31"/>
        <v>ID_CAMAS COUNTY, ID</v>
      </c>
      <c r="D598" s="265" t="s">
        <v>93</v>
      </c>
      <c r="E598" s="266" t="s">
        <v>3472</v>
      </c>
      <c r="F598" s="252">
        <f t="shared" si="32"/>
        <v>47350</v>
      </c>
      <c r="G598" s="252">
        <f t="shared" si="32"/>
        <v>54100</v>
      </c>
      <c r="H598" s="252">
        <f t="shared" si="32"/>
        <v>60850</v>
      </c>
      <c r="I598" s="252">
        <f t="shared" si="32"/>
        <v>67600</v>
      </c>
      <c r="J598" s="252">
        <f t="shared" si="32"/>
        <v>73050</v>
      </c>
      <c r="K598" s="252">
        <f t="shared" si="32"/>
        <v>78450</v>
      </c>
      <c r="L598" s="252">
        <f t="shared" si="32"/>
        <v>83850</v>
      </c>
      <c r="M598" s="252">
        <f t="shared" si="32"/>
        <v>89250</v>
      </c>
    </row>
    <row r="599" spans="1:13" ht="21.95" customHeight="1" x14ac:dyDescent="0.25">
      <c r="A599" s="36" t="s">
        <v>2904</v>
      </c>
      <c r="B599" s="36" t="str">
        <f t="shared" si="31"/>
        <v>ID_CARIBOU COUNTY, ID</v>
      </c>
      <c r="D599" s="265" t="s">
        <v>93</v>
      </c>
      <c r="E599" s="266" t="s">
        <v>3473</v>
      </c>
      <c r="F599" s="252">
        <f t="shared" si="32"/>
        <v>48550</v>
      </c>
      <c r="G599" s="252">
        <f t="shared" si="32"/>
        <v>55450</v>
      </c>
      <c r="H599" s="252">
        <f t="shared" si="32"/>
        <v>62400</v>
      </c>
      <c r="I599" s="252">
        <f t="shared" si="32"/>
        <v>69300</v>
      </c>
      <c r="J599" s="252">
        <f t="shared" si="32"/>
        <v>74850</v>
      </c>
      <c r="K599" s="252">
        <f t="shared" si="32"/>
        <v>80400</v>
      </c>
      <c r="L599" s="252">
        <f t="shared" si="32"/>
        <v>85950</v>
      </c>
      <c r="M599" s="252">
        <f t="shared" si="32"/>
        <v>91500</v>
      </c>
    </row>
    <row r="600" spans="1:13" ht="21.95" customHeight="1" x14ac:dyDescent="0.25">
      <c r="A600" s="36" t="s">
        <v>2904</v>
      </c>
      <c r="B600" s="36" t="str">
        <f t="shared" si="31"/>
        <v>ID_CASSIA COUNTY, ID</v>
      </c>
      <c r="D600" s="265" t="s">
        <v>93</v>
      </c>
      <c r="E600" s="266" t="s">
        <v>3474</v>
      </c>
      <c r="F600" s="252">
        <f t="shared" si="32"/>
        <v>47600</v>
      </c>
      <c r="G600" s="252">
        <f t="shared" si="32"/>
        <v>54400</v>
      </c>
      <c r="H600" s="252">
        <f t="shared" si="32"/>
        <v>61200</v>
      </c>
      <c r="I600" s="252">
        <f t="shared" si="32"/>
        <v>68000</v>
      </c>
      <c r="J600" s="252">
        <f t="shared" si="32"/>
        <v>73450</v>
      </c>
      <c r="K600" s="252">
        <f t="shared" si="32"/>
        <v>78900</v>
      </c>
      <c r="L600" s="252">
        <f t="shared" si="32"/>
        <v>84350</v>
      </c>
      <c r="M600" s="252">
        <f t="shared" si="32"/>
        <v>89800</v>
      </c>
    </row>
    <row r="601" spans="1:13" ht="21.95" customHeight="1" x14ac:dyDescent="0.25">
      <c r="A601" s="36" t="s">
        <v>2904</v>
      </c>
      <c r="B601" s="36" t="str">
        <f t="shared" si="31"/>
        <v>ID_CLARK COUNTY, ID</v>
      </c>
      <c r="D601" s="265" t="s">
        <v>93</v>
      </c>
      <c r="E601" s="266" t="s">
        <v>3475</v>
      </c>
      <c r="F601" s="252">
        <f t="shared" si="32"/>
        <v>47350</v>
      </c>
      <c r="G601" s="252">
        <f t="shared" si="32"/>
        <v>54100</v>
      </c>
      <c r="H601" s="252">
        <f t="shared" si="32"/>
        <v>60850</v>
      </c>
      <c r="I601" s="252">
        <f t="shared" si="32"/>
        <v>67600</v>
      </c>
      <c r="J601" s="252">
        <f t="shared" si="32"/>
        <v>73050</v>
      </c>
      <c r="K601" s="252">
        <f t="shared" si="32"/>
        <v>78450</v>
      </c>
      <c r="L601" s="252">
        <f t="shared" si="32"/>
        <v>83850</v>
      </c>
      <c r="M601" s="252">
        <f t="shared" si="32"/>
        <v>89250</v>
      </c>
    </row>
    <row r="602" spans="1:13" ht="21.95" customHeight="1" x14ac:dyDescent="0.25">
      <c r="A602" s="36" t="s">
        <v>2904</v>
      </c>
      <c r="B602" s="36" t="str">
        <f t="shared" si="31"/>
        <v>ID_CLEARWATER COUNTY, ID</v>
      </c>
      <c r="D602" s="265" t="s">
        <v>93</v>
      </c>
      <c r="E602" s="266" t="s">
        <v>3476</v>
      </c>
      <c r="F602" s="252">
        <f t="shared" si="32"/>
        <v>47350</v>
      </c>
      <c r="G602" s="252">
        <f t="shared" si="32"/>
        <v>54100</v>
      </c>
      <c r="H602" s="252">
        <f t="shared" si="32"/>
        <v>60850</v>
      </c>
      <c r="I602" s="252">
        <f t="shared" si="32"/>
        <v>67600</v>
      </c>
      <c r="J602" s="252">
        <f t="shared" si="32"/>
        <v>73050</v>
      </c>
      <c r="K602" s="252">
        <f t="shared" si="32"/>
        <v>78450</v>
      </c>
      <c r="L602" s="252">
        <f t="shared" si="32"/>
        <v>83850</v>
      </c>
      <c r="M602" s="252">
        <f t="shared" si="32"/>
        <v>89250</v>
      </c>
    </row>
    <row r="603" spans="1:13" ht="21.95" customHeight="1" x14ac:dyDescent="0.25">
      <c r="A603" s="36" t="s">
        <v>2904</v>
      </c>
      <c r="B603" s="36" t="str">
        <f t="shared" si="31"/>
        <v>ID_COEUR D'ALENE, ID MSA</v>
      </c>
      <c r="D603" s="265" t="s">
        <v>93</v>
      </c>
      <c r="E603" s="266" t="s">
        <v>3477</v>
      </c>
      <c r="F603" s="252">
        <f t="shared" si="32"/>
        <v>52750</v>
      </c>
      <c r="G603" s="252">
        <f t="shared" si="32"/>
        <v>60250</v>
      </c>
      <c r="H603" s="252">
        <f t="shared" si="32"/>
        <v>67800</v>
      </c>
      <c r="I603" s="252">
        <f t="shared" si="32"/>
        <v>75300</v>
      </c>
      <c r="J603" s="252">
        <f t="shared" si="32"/>
        <v>81350</v>
      </c>
      <c r="K603" s="252">
        <f t="shared" si="32"/>
        <v>87350</v>
      </c>
      <c r="L603" s="252">
        <f t="shared" si="32"/>
        <v>93400</v>
      </c>
      <c r="M603" s="252">
        <f t="shared" si="32"/>
        <v>99400</v>
      </c>
    </row>
    <row r="604" spans="1:13" ht="21.95" customHeight="1" x14ac:dyDescent="0.25">
      <c r="A604" s="36" t="s">
        <v>2904</v>
      </c>
      <c r="B604" s="36" t="str">
        <f t="shared" si="31"/>
        <v>ID_CUSTER COUNTY, ID</v>
      </c>
      <c r="D604" s="265" t="s">
        <v>93</v>
      </c>
      <c r="E604" s="266" t="s">
        <v>3478</v>
      </c>
      <c r="F604" s="252">
        <f t="shared" si="32"/>
        <v>47350</v>
      </c>
      <c r="G604" s="252">
        <f t="shared" si="32"/>
        <v>54100</v>
      </c>
      <c r="H604" s="252">
        <f t="shared" si="32"/>
        <v>60850</v>
      </c>
      <c r="I604" s="252">
        <f t="shared" si="32"/>
        <v>67600</v>
      </c>
      <c r="J604" s="252">
        <f t="shared" si="32"/>
        <v>73050</v>
      </c>
      <c r="K604" s="252">
        <f t="shared" si="32"/>
        <v>78450</v>
      </c>
      <c r="L604" s="252">
        <f t="shared" si="32"/>
        <v>83850</v>
      </c>
      <c r="M604" s="252">
        <f t="shared" si="32"/>
        <v>89250</v>
      </c>
    </row>
    <row r="605" spans="1:13" ht="21.95" customHeight="1" x14ac:dyDescent="0.25">
      <c r="A605" s="36" t="s">
        <v>2904</v>
      </c>
      <c r="B605" s="36" t="str">
        <f t="shared" si="31"/>
        <v>ID_ELMORE COUNTY, ID</v>
      </c>
      <c r="D605" s="265" t="s">
        <v>93</v>
      </c>
      <c r="E605" s="266" t="s">
        <v>3479</v>
      </c>
      <c r="F605" s="252">
        <f t="shared" si="32"/>
        <v>47350</v>
      </c>
      <c r="G605" s="252">
        <f t="shared" si="32"/>
        <v>54100</v>
      </c>
      <c r="H605" s="252">
        <f t="shared" si="32"/>
        <v>60850</v>
      </c>
      <c r="I605" s="252">
        <f t="shared" si="32"/>
        <v>67600</v>
      </c>
      <c r="J605" s="252">
        <f t="shared" si="32"/>
        <v>73050</v>
      </c>
      <c r="K605" s="252">
        <f t="shared" si="32"/>
        <v>78450</v>
      </c>
      <c r="L605" s="252">
        <f t="shared" si="32"/>
        <v>83850</v>
      </c>
      <c r="M605" s="252">
        <f t="shared" si="32"/>
        <v>89250</v>
      </c>
    </row>
    <row r="606" spans="1:13" ht="21.95" customHeight="1" x14ac:dyDescent="0.25">
      <c r="A606" s="36" t="s">
        <v>2904</v>
      </c>
      <c r="B606" s="36" t="str">
        <f t="shared" si="31"/>
        <v>ID_FREMONT COUNTY, ID</v>
      </c>
      <c r="D606" s="265" t="s">
        <v>93</v>
      </c>
      <c r="E606" s="266" t="s">
        <v>3480</v>
      </c>
      <c r="F606" s="252">
        <f t="shared" si="32"/>
        <v>48550</v>
      </c>
      <c r="G606" s="252">
        <f t="shared" si="32"/>
        <v>55450</v>
      </c>
      <c r="H606" s="252">
        <f t="shared" si="32"/>
        <v>62400</v>
      </c>
      <c r="I606" s="252">
        <f t="shared" si="32"/>
        <v>69300</v>
      </c>
      <c r="J606" s="252">
        <f t="shared" si="32"/>
        <v>74850</v>
      </c>
      <c r="K606" s="252">
        <f t="shared" si="32"/>
        <v>80400</v>
      </c>
      <c r="L606" s="252">
        <f t="shared" si="32"/>
        <v>85950</v>
      </c>
      <c r="M606" s="252">
        <f t="shared" si="32"/>
        <v>91500</v>
      </c>
    </row>
    <row r="607" spans="1:13" ht="21.95" customHeight="1" x14ac:dyDescent="0.25">
      <c r="A607" s="36" t="s">
        <v>2904</v>
      </c>
      <c r="B607" s="36" t="str">
        <f t="shared" si="31"/>
        <v>ID_GEM COUNTY, ID HUD METRO FMR AREA</v>
      </c>
      <c r="D607" s="265" t="s">
        <v>93</v>
      </c>
      <c r="E607" s="266" t="s">
        <v>3481</v>
      </c>
      <c r="F607" s="252">
        <f t="shared" si="32"/>
        <v>47350</v>
      </c>
      <c r="G607" s="252">
        <f t="shared" si="32"/>
        <v>54100</v>
      </c>
      <c r="H607" s="252">
        <f t="shared" si="32"/>
        <v>60850</v>
      </c>
      <c r="I607" s="252">
        <f t="shared" si="32"/>
        <v>67600</v>
      </c>
      <c r="J607" s="252">
        <f t="shared" si="32"/>
        <v>73050</v>
      </c>
      <c r="K607" s="252">
        <f t="shared" si="32"/>
        <v>78450</v>
      </c>
      <c r="L607" s="252">
        <f t="shared" si="32"/>
        <v>83850</v>
      </c>
      <c r="M607" s="252">
        <f t="shared" si="32"/>
        <v>89250</v>
      </c>
    </row>
    <row r="608" spans="1:13" ht="21.95" customHeight="1" x14ac:dyDescent="0.25">
      <c r="A608" s="36" t="s">
        <v>2904</v>
      </c>
      <c r="B608" s="36" t="str">
        <f t="shared" si="31"/>
        <v>ID_GOODING COUNTY, ID</v>
      </c>
      <c r="D608" s="265" t="s">
        <v>93</v>
      </c>
      <c r="E608" s="266" t="s">
        <v>3482</v>
      </c>
      <c r="F608" s="252">
        <f t="shared" si="32"/>
        <v>48500</v>
      </c>
      <c r="G608" s="252">
        <f t="shared" si="32"/>
        <v>55400</v>
      </c>
      <c r="H608" s="252">
        <f t="shared" si="32"/>
        <v>62350</v>
      </c>
      <c r="I608" s="252">
        <f t="shared" si="32"/>
        <v>69250</v>
      </c>
      <c r="J608" s="252">
        <f t="shared" si="32"/>
        <v>74800</v>
      </c>
      <c r="K608" s="252">
        <f t="shared" si="32"/>
        <v>80350</v>
      </c>
      <c r="L608" s="252">
        <f t="shared" si="32"/>
        <v>85900</v>
      </c>
      <c r="M608" s="252">
        <f t="shared" si="32"/>
        <v>91450</v>
      </c>
    </row>
    <row r="609" spans="1:13" ht="21.95" customHeight="1" x14ac:dyDescent="0.25">
      <c r="A609" s="36" t="s">
        <v>2904</v>
      </c>
      <c r="B609" s="36" t="str">
        <f t="shared" si="31"/>
        <v>ID_IDAHO COUNTY, ID</v>
      </c>
      <c r="D609" s="265" t="s">
        <v>93</v>
      </c>
      <c r="E609" s="266" t="s">
        <v>3483</v>
      </c>
      <c r="F609" s="252">
        <f t="shared" si="32"/>
        <v>47350</v>
      </c>
      <c r="G609" s="252">
        <f t="shared" si="32"/>
        <v>54100</v>
      </c>
      <c r="H609" s="252">
        <f t="shared" si="32"/>
        <v>60850</v>
      </c>
      <c r="I609" s="252">
        <f t="shared" si="32"/>
        <v>67600</v>
      </c>
      <c r="J609" s="252">
        <f t="shared" si="32"/>
        <v>73050</v>
      </c>
      <c r="K609" s="252">
        <f t="shared" si="32"/>
        <v>78450</v>
      </c>
      <c r="L609" s="252">
        <f t="shared" si="32"/>
        <v>83850</v>
      </c>
      <c r="M609" s="252">
        <f t="shared" si="32"/>
        <v>89250</v>
      </c>
    </row>
    <row r="610" spans="1:13" ht="21.95" customHeight="1" x14ac:dyDescent="0.25">
      <c r="A610" s="36" t="s">
        <v>2904</v>
      </c>
      <c r="B610" s="36" t="str">
        <f t="shared" si="31"/>
        <v>ID_IDAHO FALLS, ID HUD METRO FMR AREA</v>
      </c>
      <c r="D610" s="265" t="s">
        <v>93</v>
      </c>
      <c r="E610" s="266" t="s">
        <v>3484</v>
      </c>
      <c r="F610" s="252">
        <f t="shared" si="32"/>
        <v>53350</v>
      </c>
      <c r="G610" s="252">
        <f t="shared" si="32"/>
        <v>60950</v>
      </c>
      <c r="H610" s="252">
        <f t="shared" si="32"/>
        <v>68550</v>
      </c>
      <c r="I610" s="252">
        <f t="shared" si="32"/>
        <v>76150</v>
      </c>
      <c r="J610" s="252">
        <f t="shared" si="32"/>
        <v>82250</v>
      </c>
      <c r="K610" s="252">
        <f t="shared" si="32"/>
        <v>88350</v>
      </c>
      <c r="L610" s="252">
        <f t="shared" si="32"/>
        <v>94450</v>
      </c>
      <c r="M610" s="252">
        <f t="shared" si="32"/>
        <v>100550</v>
      </c>
    </row>
    <row r="611" spans="1:13" ht="21.95" customHeight="1" x14ac:dyDescent="0.25">
      <c r="A611" s="36" t="s">
        <v>2904</v>
      </c>
      <c r="B611" s="36" t="str">
        <f t="shared" si="31"/>
        <v>ID_JEROME COUNTY, ID HUD METRO FMR AREA</v>
      </c>
      <c r="D611" s="265" t="s">
        <v>93</v>
      </c>
      <c r="E611" s="266" t="s">
        <v>3485</v>
      </c>
      <c r="F611" s="252">
        <f t="shared" si="32"/>
        <v>47350</v>
      </c>
      <c r="G611" s="252">
        <f t="shared" si="32"/>
        <v>54100</v>
      </c>
      <c r="H611" s="252">
        <f t="shared" si="32"/>
        <v>60850</v>
      </c>
      <c r="I611" s="252">
        <f t="shared" si="32"/>
        <v>67600</v>
      </c>
      <c r="J611" s="252">
        <f t="shared" si="32"/>
        <v>73050</v>
      </c>
      <c r="K611" s="252">
        <f t="shared" si="32"/>
        <v>78450</v>
      </c>
      <c r="L611" s="252">
        <f t="shared" si="32"/>
        <v>83850</v>
      </c>
      <c r="M611" s="252">
        <f t="shared" si="32"/>
        <v>89250</v>
      </c>
    </row>
    <row r="612" spans="1:13" ht="21.95" customHeight="1" x14ac:dyDescent="0.25">
      <c r="A612" s="36" t="s">
        <v>2904</v>
      </c>
      <c r="B612" s="36" t="str">
        <f t="shared" si="31"/>
        <v>ID_LATAH COUNTY, ID</v>
      </c>
      <c r="D612" s="265" t="s">
        <v>93</v>
      </c>
      <c r="E612" s="266" t="s">
        <v>3486</v>
      </c>
      <c r="F612" s="252">
        <f t="shared" si="32"/>
        <v>53550</v>
      </c>
      <c r="G612" s="252">
        <f t="shared" si="32"/>
        <v>61200</v>
      </c>
      <c r="H612" s="252">
        <f t="shared" si="32"/>
        <v>68850</v>
      </c>
      <c r="I612" s="252">
        <f t="shared" si="32"/>
        <v>76500</v>
      </c>
      <c r="J612" s="252">
        <f t="shared" si="32"/>
        <v>82650</v>
      </c>
      <c r="K612" s="252">
        <f t="shared" si="32"/>
        <v>88750</v>
      </c>
      <c r="L612" s="252">
        <f t="shared" si="32"/>
        <v>94900</v>
      </c>
      <c r="M612" s="252">
        <f t="shared" si="32"/>
        <v>101000</v>
      </c>
    </row>
    <row r="613" spans="1:13" ht="21.95" customHeight="1" x14ac:dyDescent="0.25">
      <c r="A613" s="36" t="s">
        <v>2904</v>
      </c>
      <c r="B613" s="36" t="str">
        <f t="shared" si="31"/>
        <v>ID_LEMHI COUNTY, ID</v>
      </c>
      <c r="D613" s="265" t="s">
        <v>93</v>
      </c>
      <c r="E613" s="266" t="s">
        <v>3487</v>
      </c>
      <c r="F613" s="252">
        <f t="shared" si="32"/>
        <v>47350</v>
      </c>
      <c r="G613" s="252">
        <f t="shared" si="32"/>
        <v>54100</v>
      </c>
      <c r="H613" s="252">
        <f t="shared" si="32"/>
        <v>60850</v>
      </c>
      <c r="I613" s="252">
        <f t="shared" si="32"/>
        <v>67600</v>
      </c>
      <c r="J613" s="252">
        <f t="shared" si="32"/>
        <v>73050</v>
      </c>
      <c r="K613" s="252">
        <f t="shared" si="32"/>
        <v>78450</v>
      </c>
      <c r="L613" s="252">
        <f t="shared" si="32"/>
        <v>83850</v>
      </c>
      <c r="M613" s="252">
        <f t="shared" si="32"/>
        <v>89250</v>
      </c>
    </row>
    <row r="614" spans="1:13" ht="21.95" customHeight="1" x14ac:dyDescent="0.25">
      <c r="A614" s="36" t="s">
        <v>2904</v>
      </c>
      <c r="B614" s="36" t="str">
        <f t="shared" si="31"/>
        <v>ID_LEWIS COUNTY, ID</v>
      </c>
      <c r="D614" s="265" t="s">
        <v>93</v>
      </c>
      <c r="E614" s="266" t="s">
        <v>3488</v>
      </c>
      <c r="F614" s="252">
        <f t="shared" si="32"/>
        <v>47350</v>
      </c>
      <c r="G614" s="252">
        <f t="shared" si="32"/>
        <v>54100</v>
      </c>
      <c r="H614" s="252">
        <f t="shared" si="32"/>
        <v>60850</v>
      </c>
      <c r="I614" s="252">
        <f t="shared" si="32"/>
        <v>67600</v>
      </c>
      <c r="J614" s="252">
        <f t="shared" si="32"/>
        <v>73050</v>
      </c>
      <c r="K614" s="252">
        <f t="shared" si="32"/>
        <v>78450</v>
      </c>
      <c r="L614" s="252">
        <f t="shared" si="32"/>
        <v>83850</v>
      </c>
      <c r="M614" s="252">
        <f t="shared" si="32"/>
        <v>89250</v>
      </c>
    </row>
    <row r="615" spans="1:13" ht="21.95" customHeight="1" x14ac:dyDescent="0.25">
      <c r="A615" s="36" t="s">
        <v>2904</v>
      </c>
      <c r="B615" s="36" t="str">
        <f t="shared" si="31"/>
        <v>ID_LEWISTON, ID-WA MSA</v>
      </c>
      <c r="D615" s="265" t="s">
        <v>93</v>
      </c>
      <c r="E615" s="266" t="s">
        <v>3489</v>
      </c>
      <c r="F615" s="252">
        <f t="shared" si="32"/>
        <v>48800</v>
      </c>
      <c r="G615" s="252">
        <f t="shared" si="32"/>
        <v>55800</v>
      </c>
      <c r="H615" s="252">
        <f t="shared" si="32"/>
        <v>62750</v>
      </c>
      <c r="I615" s="252">
        <f t="shared" si="32"/>
        <v>69700</v>
      </c>
      <c r="J615" s="252">
        <f t="shared" si="32"/>
        <v>75300</v>
      </c>
      <c r="K615" s="252">
        <f t="shared" si="32"/>
        <v>80900</v>
      </c>
      <c r="L615" s="252">
        <f t="shared" si="32"/>
        <v>86450</v>
      </c>
      <c r="M615" s="252">
        <f t="shared" ref="F615:M647" si="33">VLOOKUP($B615,LOOKUP_AMI_TABLE,5+((M$7-1)),FALSE)</f>
        <v>92050</v>
      </c>
    </row>
    <row r="616" spans="1:13" ht="21.95" customHeight="1" x14ac:dyDescent="0.25">
      <c r="A616" s="36" t="s">
        <v>2904</v>
      </c>
      <c r="B616" s="36" t="str">
        <f t="shared" si="31"/>
        <v>ID_LINCOLN COUNTY, ID</v>
      </c>
      <c r="D616" s="265" t="s">
        <v>93</v>
      </c>
      <c r="E616" s="266" t="s">
        <v>3490</v>
      </c>
      <c r="F616" s="252">
        <f t="shared" si="33"/>
        <v>47350</v>
      </c>
      <c r="G616" s="252">
        <f t="shared" si="33"/>
        <v>54100</v>
      </c>
      <c r="H616" s="252">
        <f t="shared" si="33"/>
        <v>60850</v>
      </c>
      <c r="I616" s="252">
        <f t="shared" si="33"/>
        <v>67600</v>
      </c>
      <c r="J616" s="252">
        <f t="shared" si="33"/>
        <v>73050</v>
      </c>
      <c r="K616" s="252">
        <f t="shared" si="33"/>
        <v>78450</v>
      </c>
      <c r="L616" s="252">
        <f t="shared" si="33"/>
        <v>83850</v>
      </c>
      <c r="M616" s="252">
        <f t="shared" si="33"/>
        <v>89250</v>
      </c>
    </row>
    <row r="617" spans="1:13" ht="21.95" customHeight="1" x14ac:dyDescent="0.25">
      <c r="A617" s="36" t="s">
        <v>2904</v>
      </c>
      <c r="B617" s="36" t="str">
        <f t="shared" si="31"/>
        <v>ID_LOGAN, UT-ID MSA</v>
      </c>
      <c r="D617" s="265" t="s">
        <v>93</v>
      </c>
      <c r="E617" s="266" t="s">
        <v>3491</v>
      </c>
      <c r="F617" s="252">
        <f t="shared" si="33"/>
        <v>57900</v>
      </c>
      <c r="G617" s="252">
        <f t="shared" si="33"/>
        <v>66200</v>
      </c>
      <c r="H617" s="252">
        <f t="shared" si="33"/>
        <v>74450</v>
      </c>
      <c r="I617" s="252">
        <f t="shared" si="33"/>
        <v>82700</v>
      </c>
      <c r="J617" s="252">
        <f t="shared" si="33"/>
        <v>89350</v>
      </c>
      <c r="K617" s="252">
        <f t="shared" si="33"/>
        <v>95950</v>
      </c>
      <c r="L617" s="252">
        <f t="shared" si="33"/>
        <v>102550</v>
      </c>
      <c r="M617" s="252">
        <f t="shared" si="33"/>
        <v>109200</v>
      </c>
    </row>
    <row r="618" spans="1:13" ht="21.95" customHeight="1" x14ac:dyDescent="0.25">
      <c r="A618" s="36" t="s">
        <v>2904</v>
      </c>
      <c r="B618" s="36" t="str">
        <f t="shared" si="31"/>
        <v>ID_MADISON COUNTY, ID</v>
      </c>
      <c r="D618" s="265" t="s">
        <v>93</v>
      </c>
      <c r="E618" s="266" t="s">
        <v>3492</v>
      </c>
      <c r="F618" s="252">
        <f t="shared" si="33"/>
        <v>47350</v>
      </c>
      <c r="G618" s="252">
        <f t="shared" si="33"/>
        <v>54100</v>
      </c>
      <c r="H618" s="252">
        <f t="shared" si="33"/>
        <v>60850</v>
      </c>
      <c r="I618" s="252">
        <f t="shared" si="33"/>
        <v>67600</v>
      </c>
      <c r="J618" s="252">
        <f t="shared" si="33"/>
        <v>73050</v>
      </c>
      <c r="K618" s="252">
        <f t="shared" si="33"/>
        <v>78450</v>
      </c>
      <c r="L618" s="252">
        <f t="shared" si="33"/>
        <v>83850</v>
      </c>
      <c r="M618" s="252">
        <f t="shared" si="33"/>
        <v>89250</v>
      </c>
    </row>
    <row r="619" spans="1:13" ht="21.95" customHeight="1" x14ac:dyDescent="0.25">
      <c r="A619" s="36" t="s">
        <v>2904</v>
      </c>
      <c r="B619" s="36" t="str">
        <f t="shared" si="31"/>
        <v>ID_MINIDOKA COUNTY, ID</v>
      </c>
      <c r="D619" s="265" t="s">
        <v>93</v>
      </c>
      <c r="E619" s="266" t="s">
        <v>3493</v>
      </c>
      <c r="F619" s="252">
        <f t="shared" si="33"/>
        <v>47350</v>
      </c>
      <c r="G619" s="252">
        <f t="shared" si="33"/>
        <v>54100</v>
      </c>
      <c r="H619" s="252">
        <f t="shared" si="33"/>
        <v>60850</v>
      </c>
      <c r="I619" s="252">
        <f t="shared" si="33"/>
        <v>67600</v>
      </c>
      <c r="J619" s="252">
        <f t="shared" si="33"/>
        <v>73050</v>
      </c>
      <c r="K619" s="252">
        <f t="shared" si="33"/>
        <v>78450</v>
      </c>
      <c r="L619" s="252">
        <f t="shared" si="33"/>
        <v>83850</v>
      </c>
      <c r="M619" s="252">
        <f t="shared" si="33"/>
        <v>89250</v>
      </c>
    </row>
    <row r="620" spans="1:13" ht="21.95" customHeight="1" x14ac:dyDescent="0.25">
      <c r="A620" s="36" t="s">
        <v>2904</v>
      </c>
      <c r="B620" s="36" t="str">
        <f t="shared" si="31"/>
        <v>ID_ONEIDA COUNTY, ID</v>
      </c>
      <c r="D620" s="265" t="s">
        <v>93</v>
      </c>
      <c r="E620" s="266" t="s">
        <v>3494</v>
      </c>
      <c r="F620" s="252">
        <f t="shared" si="33"/>
        <v>48850</v>
      </c>
      <c r="G620" s="252">
        <f t="shared" si="33"/>
        <v>55800</v>
      </c>
      <c r="H620" s="252">
        <f t="shared" si="33"/>
        <v>62800</v>
      </c>
      <c r="I620" s="252">
        <f t="shared" si="33"/>
        <v>69750</v>
      </c>
      <c r="J620" s="252">
        <f t="shared" si="33"/>
        <v>75350</v>
      </c>
      <c r="K620" s="252">
        <f t="shared" si="33"/>
        <v>80950</v>
      </c>
      <c r="L620" s="252">
        <f t="shared" si="33"/>
        <v>86500</v>
      </c>
      <c r="M620" s="252">
        <f t="shared" si="33"/>
        <v>92100</v>
      </c>
    </row>
    <row r="621" spans="1:13" ht="21.95" customHeight="1" x14ac:dyDescent="0.25">
      <c r="A621" s="36" t="s">
        <v>2904</v>
      </c>
      <c r="B621" s="36" t="str">
        <f t="shared" si="31"/>
        <v>ID_PAYETTE COUNTY, ID</v>
      </c>
      <c r="D621" s="265" t="s">
        <v>93</v>
      </c>
      <c r="E621" s="266" t="s">
        <v>3495</v>
      </c>
      <c r="F621" s="252">
        <f t="shared" si="33"/>
        <v>48550</v>
      </c>
      <c r="G621" s="252">
        <f t="shared" si="33"/>
        <v>55450</v>
      </c>
      <c r="H621" s="252">
        <f t="shared" si="33"/>
        <v>62400</v>
      </c>
      <c r="I621" s="252">
        <f t="shared" si="33"/>
        <v>69300</v>
      </c>
      <c r="J621" s="252">
        <f t="shared" si="33"/>
        <v>74850</v>
      </c>
      <c r="K621" s="252">
        <f t="shared" si="33"/>
        <v>80400</v>
      </c>
      <c r="L621" s="252">
        <f t="shared" si="33"/>
        <v>85950</v>
      </c>
      <c r="M621" s="252">
        <f t="shared" si="33"/>
        <v>91500</v>
      </c>
    </row>
    <row r="622" spans="1:13" ht="21.95" customHeight="1" x14ac:dyDescent="0.25">
      <c r="A622" s="36" t="s">
        <v>2904</v>
      </c>
      <c r="B622" s="36" t="str">
        <f t="shared" si="31"/>
        <v>ID_POCATELLO, ID MSA</v>
      </c>
      <c r="D622" s="265" t="s">
        <v>93</v>
      </c>
      <c r="E622" s="266" t="s">
        <v>9156</v>
      </c>
      <c r="F622" s="252">
        <f t="shared" si="33"/>
        <v>51950</v>
      </c>
      <c r="G622" s="252">
        <f t="shared" si="33"/>
        <v>59350</v>
      </c>
      <c r="H622" s="252">
        <f t="shared" si="33"/>
        <v>66750</v>
      </c>
      <c r="I622" s="252">
        <f t="shared" si="33"/>
        <v>74150</v>
      </c>
      <c r="J622" s="252">
        <f t="shared" si="33"/>
        <v>80100</v>
      </c>
      <c r="K622" s="252">
        <f t="shared" si="33"/>
        <v>86050</v>
      </c>
      <c r="L622" s="252">
        <f t="shared" si="33"/>
        <v>91950</v>
      </c>
      <c r="M622" s="252">
        <f t="shared" si="33"/>
        <v>97900</v>
      </c>
    </row>
    <row r="623" spans="1:13" ht="21.95" customHeight="1" x14ac:dyDescent="0.25">
      <c r="A623" s="36" t="s">
        <v>2904</v>
      </c>
      <c r="B623" s="36" t="str">
        <f t="shared" si="31"/>
        <v>ID_POWER COUNTY, ID</v>
      </c>
      <c r="D623" s="265" t="s">
        <v>93</v>
      </c>
      <c r="E623" s="266" t="s">
        <v>9157</v>
      </c>
      <c r="F623" s="252">
        <f t="shared" si="33"/>
        <v>48550</v>
      </c>
      <c r="G623" s="252">
        <f t="shared" si="33"/>
        <v>55450</v>
      </c>
      <c r="H623" s="252">
        <f t="shared" si="33"/>
        <v>62400</v>
      </c>
      <c r="I623" s="252">
        <f t="shared" si="33"/>
        <v>69300</v>
      </c>
      <c r="J623" s="252">
        <f t="shared" si="33"/>
        <v>74850</v>
      </c>
      <c r="K623" s="252">
        <f t="shared" si="33"/>
        <v>80400</v>
      </c>
      <c r="L623" s="252">
        <f t="shared" si="33"/>
        <v>85950</v>
      </c>
      <c r="M623" s="252">
        <f t="shared" si="33"/>
        <v>91500</v>
      </c>
    </row>
    <row r="624" spans="1:13" ht="21.95" customHeight="1" x14ac:dyDescent="0.25">
      <c r="A624" s="36" t="s">
        <v>2904</v>
      </c>
      <c r="B624" s="36" t="str">
        <f t="shared" si="31"/>
        <v>ID_SHOSHONE COUNTY, ID</v>
      </c>
      <c r="D624" s="265" t="s">
        <v>93</v>
      </c>
      <c r="E624" s="266" t="s">
        <v>3496</v>
      </c>
      <c r="F624" s="252">
        <f t="shared" si="33"/>
        <v>47350</v>
      </c>
      <c r="G624" s="252">
        <f t="shared" si="33"/>
        <v>54100</v>
      </c>
      <c r="H624" s="252">
        <f t="shared" si="33"/>
        <v>60850</v>
      </c>
      <c r="I624" s="252">
        <f t="shared" si="33"/>
        <v>67600</v>
      </c>
      <c r="J624" s="252">
        <f t="shared" si="33"/>
        <v>73050</v>
      </c>
      <c r="K624" s="252">
        <f t="shared" si="33"/>
        <v>78450</v>
      </c>
      <c r="L624" s="252">
        <f t="shared" si="33"/>
        <v>83850</v>
      </c>
      <c r="M624" s="252">
        <f t="shared" si="33"/>
        <v>89250</v>
      </c>
    </row>
    <row r="625" spans="1:13" ht="21.95" customHeight="1" x14ac:dyDescent="0.25">
      <c r="A625" s="36" t="s">
        <v>2904</v>
      </c>
      <c r="B625" s="36" t="str">
        <f t="shared" si="31"/>
        <v>ID_TETON COUNTY, ID</v>
      </c>
      <c r="D625" s="265" t="s">
        <v>93</v>
      </c>
      <c r="E625" s="266" t="s">
        <v>3497</v>
      </c>
      <c r="F625" s="252">
        <f t="shared" si="33"/>
        <v>60800</v>
      </c>
      <c r="G625" s="252">
        <f t="shared" si="33"/>
        <v>69450</v>
      </c>
      <c r="H625" s="252">
        <f t="shared" si="33"/>
        <v>78150</v>
      </c>
      <c r="I625" s="252">
        <f t="shared" si="33"/>
        <v>86800</v>
      </c>
      <c r="J625" s="252">
        <f t="shared" si="33"/>
        <v>93750</v>
      </c>
      <c r="K625" s="252">
        <f t="shared" si="33"/>
        <v>100700</v>
      </c>
      <c r="L625" s="252">
        <f t="shared" si="33"/>
        <v>107650</v>
      </c>
      <c r="M625" s="252">
        <f t="shared" si="33"/>
        <v>114600</v>
      </c>
    </row>
    <row r="626" spans="1:13" ht="21.95" customHeight="1" x14ac:dyDescent="0.25">
      <c r="A626" s="36" t="s">
        <v>2904</v>
      </c>
      <c r="B626" s="36" t="str">
        <f t="shared" si="31"/>
        <v>ID_TWIN FALLS COUNTY, ID HUD METRO FMR AREA</v>
      </c>
      <c r="D626" s="265" t="s">
        <v>93</v>
      </c>
      <c r="E626" s="266" t="s">
        <v>3498</v>
      </c>
      <c r="F626" s="252">
        <f t="shared" si="33"/>
        <v>48550</v>
      </c>
      <c r="G626" s="252">
        <f t="shared" si="33"/>
        <v>55450</v>
      </c>
      <c r="H626" s="252">
        <f t="shared" si="33"/>
        <v>62400</v>
      </c>
      <c r="I626" s="252">
        <f t="shared" si="33"/>
        <v>69300</v>
      </c>
      <c r="J626" s="252">
        <f t="shared" si="33"/>
        <v>74850</v>
      </c>
      <c r="K626" s="252">
        <f t="shared" si="33"/>
        <v>80400</v>
      </c>
      <c r="L626" s="252">
        <f t="shared" si="33"/>
        <v>85950</v>
      </c>
      <c r="M626" s="252">
        <f t="shared" si="33"/>
        <v>91500</v>
      </c>
    </row>
    <row r="627" spans="1:13" ht="21.95" customHeight="1" x14ac:dyDescent="0.25">
      <c r="A627" s="36" t="s">
        <v>2904</v>
      </c>
      <c r="B627" s="36" t="str">
        <f t="shared" si="31"/>
        <v>ID_VALLEY COUNTY, ID</v>
      </c>
      <c r="D627" s="265" t="s">
        <v>93</v>
      </c>
      <c r="E627" s="266" t="s">
        <v>3499</v>
      </c>
      <c r="F627" s="252">
        <f t="shared" si="33"/>
        <v>55650</v>
      </c>
      <c r="G627" s="252">
        <f t="shared" si="33"/>
        <v>63600</v>
      </c>
      <c r="H627" s="252">
        <f t="shared" si="33"/>
        <v>71550</v>
      </c>
      <c r="I627" s="252">
        <f t="shared" si="33"/>
        <v>79450</v>
      </c>
      <c r="J627" s="252">
        <f t="shared" si="33"/>
        <v>85850</v>
      </c>
      <c r="K627" s="252">
        <f t="shared" si="33"/>
        <v>92200</v>
      </c>
      <c r="L627" s="252">
        <f t="shared" si="33"/>
        <v>98550</v>
      </c>
      <c r="M627" s="252">
        <f t="shared" si="33"/>
        <v>104900</v>
      </c>
    </row>
    <row r="628" spans="1:13" ht="21.95" customHeight="1" x14ac:dyDescent="0.25">
      <c r="A628" s="36" t="s">
        <v>2904</v>
      </c>
      <c r="B628" s="36" t="str">
        <f t="shared" si="31"/>
        <v>ID_WASHINGTON COUNTY, ID</v>
      </c>
      <c r="D628" s="265" t="s">
        <v>93</v>
      </c>
      <c r="E628" s="266" t="s">
        <v>3500</v>
      </c>
      <c r="F628" s="252">
        <f t="shared" si="33"/>
        <v>47350</v>
      </c>
      <c r="G628" s="252">
        <f t="shared" si="33"/>
        <v>54100</v>
      </c>
      <c r="H628" s="252">
        <f t="shared" si="33"/>
        <v>60850</v>
      </c>
      <c r="I628" s="252">
        <f t="shared" si="33"/>
        <v>67600</v>
      </c>
      <c r="J628" s="252">
        <f t="shared" si="33"/>
        <v>73050</v>
      </c>
      <c r="K628" s="252">
        <f t="shared" si="33"/>
        <v>78450</v>
      </c>
      <c r="L628" s="252">
        <f t="shared" si="33"/>
        <v>83850</v>
      </c>
      <c r="M628" s="252">
        <f t="shared" si="33"/>
        <v>89250</v>
      </c>
    </row>
    <row r="629" spans="1:13" ht="21.95" customHeight="1" x14ac:dyDescent="0.25">
      <c r="A629" s="36" t="s">
        <v>2904</v>
      </c>
      <c r="B629" s="36" t="str">
        <f t="shared" si="31"/>
        <v>IL_ADAMS COUNTY, IL</v>
      </c>
      <c r="D629" s="265" t="s">
        <v>92</v>
      </c>
      <c r="E629" s="266" t="s">
        <v>3501</v>
      </c>
      <c r="F629" s="252">
        <f t="shared" si="33"/>
        <v>52150</v>
      </c>
      <c r="G629" s="252">
        <f t="shared" si="33"/>
        <v>59600</v>
      </c>
      <c r="H629" s="252">
        <f t="shared" si="33"/>
        <v>67050</v>
      </c>
      <c r="I629" s="252">
        <f t="shared" si="33"/>
        <v>74500</v>
      </c>
      <c r="J629" s="252">
        <f t="shared" si="33"/>
        <v>80500</v>
      </c>
      <c r="K629" s="252">
        <f t="shared" si="33"/>
        <v>86450</v>
      </c>
      <c r="L629" s="252">
        <f t="shared" si="33"/>
        <v>92400</v>
      </c>
      <c r="M629" s="252">
        <f t="shared" si="33"/>
        <v>98350</v>
      </c>
    </row>
    <row r="630" spans="1:13" ht="21.95" customHeight="1" x14ac:dyDescent="0.25">
      <c r="A630" s="36" t="s">
        <v>2904</v>
      </c>
      <c r="B630" s="36" t="str">
        <f t="shared" si="31"/>
        <v>IL_BLOOMINGTON, IL MSA</v>
      </c>
      <c r="D630" s="265" t="s">
        <v>92</v>
      </c>
      <c r="E630" s="266" t="s">
        <v>3502</v>
      </c>
      <c r="F630" s="252">
        <f t="shared" si="33"/>
        <v>66550</v>
      </c>
      <c r="G630" s="252">
        <f t="shared" si="33"/>
        <v>76050</v>
      </c>
      <c r="H630" s="252">
        <f t="shared" si="33"/>
        <v>85550</v>
      </c>
      <c r="I630" s="252">
        <f t="shared" si="33"/>
        <v>95050</v>
      </c>
      <c r="J630" s="252">
        <f t="shared" si="33"/>
        <v>102700</v>
      </c>
      <c r="K630" s="252">
        <f t="shared" si="33"/>
        <v>110300</v>
      </c>
      <c r="L630" s="252">
        <f t="shared" si="33"/>
        <v>117900</v>
      </c>
      <c r="M630" s="252">
        <f t="shared" si="33"/>
        <v>125500</v>
      </c>
    </row>
    <row r="631" spans="1:13" ht="21.95" customHeight="1" x14ac:dyDescent="0.25">
      <c r="A631" s="36" t="s">
        <v>2904</v>
      </c>
      <c r="B631" s="36" t="str">
        <f t="shared" si="31"/>
        <v>IL_BOND COUNTY, IL HUD METRO FMR AREA</v>
      </c>
      <c r="D631" s="265" t="s">
        <v>92</v>
      </c>
      <c r="E631" s="266" t="s">
        <v>3503</v>
      </c>
      <c r="F631" s="252">
        <f t="shared" si="33"/>
        <v>52450</v>
      </c>
      <c r="G631" s="252">
        <f t="shared" si="33"/>
        <v>59950</v>
      </c>
      <c r="H631" s="252">
        <f t="shared" si="33"/>
        <v>67450</v>
      </c>
      <c r="I631" s="252">
        <f t="shared" si="33"/>
        <v>74900</v>
      </c>
      <c r="J631" s="252">
        <f t="shared" si="33"/>
        <v>80900</v>
      </c>
      <c r="K631" s="252">
        <f t="shared" si="33"/>
        <v>86900</v>
      </c>
      <c r="L631" s="252">
        <f t="shared" si="33"/>
        <v>92900</v>
      </c>
      <c r="M631" s="252">
        <f t="shared" si="33"/>
        <v>98900</v>
      </c>
    </row>
    <row r="632" spans="1:13" ht="21.95" customHeight="1" x14ac:dyDescent="0.25">
      <c r="A632" s="36" t="s">
        <v>2904</v>
      </c>
      <c r="B632" s="36" t="str">
        <f t="shared" si="31"/>
        <v>IL_BROWN COUNTY, IL</v>
      </c>
      <c r="D632" s="265" t="s">
        <v>92</v>
      </c>
      <c r="E632" s="266" t="s">
        <v>3504</v>
      </c>
      <c r="F632" s="252">
        <f t="shared" si="33"/>
        <v>51800</v>
      </c>
      <c r="G632" s="252">
        <f t="shared" si="33"/>
        <v>59200</v>
      </c>
      <c r="H632" s="252">
        <f t="shared" si="33"/>
        <v>66600</v>
      </c>
      <c r="I632" s="252">
        <f t="shared" si="33"/>
        <v>74000</v>
      </c>
      <c r="J632" s="252">
        <f t="shared" si="33"/>
        <v>79950</v>
      </c>
      <c r="K632" s="252">
        <f t="shared" si="33"/>
        <v>85850</v>
      </c>
      <c r="L632" s="252">
        <f t="shared" si="33"/>
        <v>91800</v>
      </c>
      <c r="M632" s="252">
        <f t="shared" si="33"/>
        <v>97700</v>
      </c>
    </row>
    <row r="633" spans="1:13" ht="21.95" customHeight="1" x14ac:dyDescent="0.25">
      <c r="A633" s="36" t="s">
        <v>2904</v>
      </c>
      <c r="B633" s="36" t="str">
        <f t="shared" si="31"/>
        <v>IL_BUREAU COUNTY, IL</v>
      </c>
      <c r="D633" s="265" t="s">
        <v>92</v>
      </c>
      <c r="E633" s="266" t="s">
        <v>3505</v>
      </c>
      <c r="F633" s="252">
        <f t="shared" si="33"/>
        <v>49950</v>
      </c>
      <c r="G633" s="252">
        <f t="shared" si="33"/>
        <v>57050</v>
      </c>
      <c r="H633" s="252">
        <f t="shared" si="33"/>
        <v>64200</v>
      </c>
      <c r="I633" s="252">
        <f t="shared" si="33"/>
        <v>71300</v>
      </c>
      <c r="J633" s="252">
        <f t="shared" si="33"/>
        <v>77050</v>
      </c>
      <c r="K633" s="252">
        <f t="shared" si="33"/>
        <v>82750</v>
      </c>
      <c r="L633" s="252">
        <f t="shared" si="33"/>
        <v>88450</v>
      </c>
      <c r="M633" s="252">
        <f t="shared" si="33"/>
        <v>94150</v>
      </c>
    </row>
    <row r="634" spans="1:13" ht="21.95" customHeight="1" x14ac:dyDescent="0.25">
      <c r="A634" s="36" t="s">
        <v>2904</v>
      </c>
      <c r="B634" s="36" t="str">
        <f t="shared" si="31"/>
        <v>IL_CAPE GIRARDEAU, MO-IL MSA</v>
      </c>
      <c r="D634" s="265" t="s">
        <v>92</v>
      </c>
      <c r="E634" s="266" t="s">
        <v>3506</v>
      </c>
      <c r="F634" s="252">
        <f t="shared" si="33"/>
        <v>50700</v>
      </c>
      <c r="G634" s="252">
        <f t="shared" si="33"/>
        <v>57950</v>
      </c>
      <c r="H634" s="252">
        <f t="shared" si="33"/>
        <v>65200</v>
      </c>
      <c r="I634" s="252">
        <f t="shared" si="33"/>
        <v>72400</v>
      </c>
      <c r="J634" s="252">
        <f t="shared" si="33"/>
        <v>78200</v>
      </c>
      <c r="K634" s="252">
        <f t="shared" si="33"/>
        <v>84000</v>
      </c>
      <c r="L634" s="252">
        <f t="shared" si="33"/>
        <v>89800</v>
      </c>
      <c r="M634" s="252">
        <f t="shared" si="33"/>
        <v>95600</v>
      </c>
    </row>
    <row r="635" spans="1:13" ht="21.95" customHeight="1" x14ac:dyDescent="0.25">
      <c r="A635" s="36" t="s">
        <v>2904</v>
      </c>
      <c r="B635" s="36" t="str">
        <f t="shared" si="31"/>
        <v>IL_CARROLL COUNTY, IL</v>
      </c>
      <c r="D635" s="265" t="s">
        <v>92</v>
      </c>
      <c r="E635" s="266" t="s">
        <v>3507</v>
      </c>
      <c r="F635" s="252">
        <f t="shared" si="33"/>
        <v>48550</v>
      </c>
      <c r="G635" s="252">
        <f t="shared" si="33"/>
        <v>55450</v>
      </c>
      <c r="H635" s="252">
        <f t="shared" si="33"/>
        <v>62400</v>
      </c>
      <c r="I635" s="252">
        <f t="shared" si="33"/>
        <v>69300</v>
      </c>
      <c r="J635" s="252">
        <f t="shared" si="33"/>
        <v>74850</v>
      </c>
      <c r="K635" s="252">
        <f t="shared" si="33"/>
        <v>80400</v>
      </c>
      <c r="L635" s="252">
        <f t="shared" si="33"/>
        <v>85950</v>
      </c>
      <c r="M635" s="252">
        <f t="shared" si="33"/>
        <v>91500</v>
      </c>
    </row>
    <row r="636" spans="1:13" ht="21.95" customHeight="1" x14ac:dyDescent="0.25">
      <c r="A636" s="36" t="s">
        <v>2904</v>
      </c>
      <c r="B636" s="36" t="str">
        <f t="shared" ref="B636:B699" si="34">UPPER(TRIM(D636)&amp;"_"&amp;TRIM(E636))</f>
        <v>IL_CASS COUNTY, IL</v>
      </c>
      <c r="D636" s="265" t="s">
        <v>92</v>
      </c>
      <c r="E636" s="266" t="s">
        <v>3508</v>
      </c>
      <c r="F636" s="252">
        <f t="shared" si="33"/>
        <v>48550</v>
      </c>
      <c r="G636" s="252">
        <f t="shared" si="33"/>
        <v>55450</v>
      </c>
      <c r="H636" s="252">
        <f t="shared" si="33"/>
        <v>62400</v>
      </c>
      <c r="I636" s="252">
        <f t="shared" si="33"/>
        <v>69300</v>
      </c>
      <c r="J636" s="252">
        <f t="shared" si="33"/>
        <v>74850</v>
      </c>
      <c r="K636" s="252">
        <f t="shared" si="33"/>
        <v>80400</v>
      </c>
      <c r="L636" s="252">
        <f t="shared" si="33"/>
        <v>85950</v>
      </c>
      <c r="M636" s="252">
        <f t="shared" si="33"/>
        <v>91500</v>
      </c>
    </row>
    <row r="637" spans="1:13" ht="21.95" customHeight="1" x14ac:dyDescent="0.25">
      <c r="A637" s="36" t="s">
        <v>2904</v>
      </c>
      <c r="B637" s="36" t="str">
        <f t="shared" si="34"/>
        <v>IL_CHAMPAIGN-URBANA, IL HUD METRO FMR AREA</v>
      </c>
      <c r="D637" s="265" t="s">
        <v>92</v>
      </c>
      <c r="E637" s="266" t="s">
        <v>9158</v>
      </c>
      <c r="F637" s="252">
        <f t="shared" si="33"/>
        <v>56550</v>
      </c>
      <c r="G637" s="252">
        <f t="shared" si="33"/>
        <v>64600</v>
      </c>
      <c r="H637" s="252">
        <f t="shared" si="33"/>
        <v>72700</v>
      </c>
      <c r="I637" s="252">
        <f t="shared" si="33"/>
        <v>80750</v>
      </c>
      <c r="J637" s="252">
        <f t="shared" si="33"/>
        <v>87250</v>
      </c>
      <c r="K637" s="252">
        <f t="shared" si="33"/>
        <v>93700</v>
      </c>
      <c r="L637" s="252">
        <f t="shared" si="33"/>
        <v>100150</v>
      </c>
      <c r="M637" s="252">
        <f t="shared" si="33"/>
        <v>106600</v>
      </c>
    </row>
    <row r="638" spans="1:13" ht="21.95" customHeight="1" x14ac:dyDescent="0.25">
      <c r="A638" s="36" t="s">
        <v>2904</v>
      </c>
      <c r="B638" s="36" t="str">
        <f t="shared" si="34"/>
        <v>IL_CHICAGO-JOLIET-NAPERVILLE, IL HUD METRO FMR AREA</v>
      </c>
      <c r="D638" s="265" t="s">
        <v>92</v>
      </c>
      <c r="E638" s="266" t="s">
        <v>3509</v>
      </c>
      <c r="F638" s="252">
        <f t="shared" si="33"/>
        <v>67150</v>
      </c>
      <c r="G638" s="252">
        <f t="shared" si="33"/>
        <v>76750</v>
      </c>
      <c r="H638" s="252">
        <f t="shared" si="33"/>
        <v>86350</v>
      </c>
      <c r="I638" s="252">
        <f t="shared" si="33"/>
        <v>95900</v>
      </c>
      <c r="J638" s="252">
        <f t="shared" si="33"/>
        <v>103600</v>
      </c>
      <c r="K638" s="252">
        <f t="shared" si="33"/>
        <v>111250</v>
      </c>
      <c r="L638" s="252">
        <f t="shared" si="33"/>
        <v>118950</v>
      </c>
      <c r="M638" s="252">
        <f t="shared" si="33"/>
        <v>126600</v>
      </c>
    </row>
    <row r="639" spans="1:13" ht="21.95" customHeight="1" x14ac:dyDescent="0.25">
      <c r="A639" s="36" t="s">
        <v>2904</v>
      </c>
      <c r="B639" s="36" t="str">
        <f t="shared" si="34"/>
        <v>IL_CHRISTIAN COUNTY, IL</v>
      </c>
      <c r="D639" s="265" t="s">
        <v>92</v>
      </c>
      <c r="E639" s="266" t="s">
        <v>3510</v>
      </c>
      <c r="F639" s="252">
        <f t="shared" si="33"/>
        <v>48550</v>
      </c>
      <c r="G639" s="252">
        <f t="shared" si="33"/>
        <v>55450</v>
      </c>
      <c r="H639" s="252">
        <f t="shared" si="33"/>
        <v>62400</v>
      </c>
      <c r="I639" s="252">
        <f t="shared" si="33"/>
        <v>69300</v>
      </c>
      <c r="J639" s="252">
        <f t="shared" si="33"/>
        <v>74850</v>
      </c>
      <c r="K639" s="252">
        <f t="shared" si="33"/>
        <v>80400</v>
      </c>
      <c r="L639" s="252">
        <f t="shared" si="33"/>
        <v>85950</v>
      </c>
      <c r="M639" s="252">
        <f t="shared" si="33"/>
        <v>91500</v>
      </c>
    </row>
    <row r="640" spans="1:13" ht="21.95" customHeight="1" x14ac:dyDescent="0.25">
      <c r="A640" s="36" t="s">
        <v>2904</v>
      </c>
      <c r="B640" s="36" t="str">
        <f t="shared" si="34"/>
        <v>IL_CLARK COUNTY, IL</v>
      </c>
      <c r="D640" s="265" t="s">
        <v>92</v>
      </c>
      <c r="E640" s="266" t="s">
        <v>3511</v>
      </c>
      <c r="F640" s="252">
        <f t="shared" si="33"/>
        <v>51450</v>
      </c>
      <c r="G640" s="252">
        <f t="shared" si="33"/>
        <v>58800</v>
      </c>
      <c r="H640" s="252">
        <f t="shared" si="33"/>
        <v>66150</v>
      </c>
      <c r="I640" s="252">
        <f t="shared" si="33"/>
        <v>73450</v>
      </c>
      <c r="J640" s="252">
        <f t="shared" si="33"/>
        <v>79350</v>
      </c>
      <c r="K640" s="252">
        <f t="shared" si="33"/>
        <v>85250</v>
      </c>
      <c r="L640" s="252">
        <f t="shared" si="33"/>
        <v>91100</v>
      </c>
      <c r="M640" s="252">
        <f t="shared" si="33"/>
        <v>97000</v>
      </c>
    </row>
    <row r="641" spans="1:13" ht="21.95" customHeight="1" x14ac:dyDescent="0.25">
      <c r="A641" s="36" t="s">
        <v>2904</v>
      </c>
      <c r="B641" s="36" t="str">
        <f t="shared" si="34"/>
        <v>IL_CLAY COUNTY, IL</v>
      </c>
      <c r="D641" s="265" t="s">
        <v>92</v>
      </c>
      <c r="E641" s="266" t="s">
        <v>3512</v>
      </c>
      <c r="F641" s="252">
        <f t="shared" si="33"/>
        <v>48550</v>
      </c>
      <c r="G641" s="252">
        <f t="shared" si="33"/>
        <v>55450</v>
      </c>
      <c r="H641" s="252">
        <f t="shared" si="33"/>
        <v>62400</v>
      </c>
      <c r="I641" s="252">
        <f t="shared" si="33"/>
        <v>69300</v>
      </c>
      <c r="J641" s="252">
        <f t="shared" si="33"/>
        <v>74850</v>
      </c>
      <c r="K641" s="252">
        <f t="shared" si="33"/>
        <v>80400</v>
      </c>
      <c r="L641" s="252">
        <f t="shared" si="33"/>
        <v>85950</v>
      </c>
      <c r="M641" s="252">
        <f t="shared" si="33"/>
        <v>91500</v>
      </c>
    </row>
    <row r="642" spans="1:13" ht="21.95" customHeight="1" x14ac:dyDescent="0.25">
      <c r="A642" s="36" t="s">
        <v>2904</v>
      </c>
      <c r="B642" s="36" t="str">
        <f t="shared" si="34"/>
        <v>IL_COLES COUNTY, IL</v>
      </c>
      <c r="D642" s="265" t="s">
        <v>92</v>
      </c>
      <c r="E642" s="266" t="s">
        <v>3513</v>
      </c>
      <c r="F642" s="252">
        <f t="shared" si="33"/>
        <v>48550</v>
      </c>
      <c r="G642" s="252">
        <f t="shared" si="33"/>
        <v>55450</v>
      </c>
      <c r="H642" s="252">
        <f t="shared" si="33"/>
        <v>62400</v>
      </c>
      <c r="I642" s="252">
        <f t="shared" si="33"/>
        <v>69300</v>
      </c>
      <c r="J642" s="252">
        <f t="shared" si="33"/>
        <v>74850</v>
      </c>
      <c r="K642" s="252">
        <f t="shared" si="33"/>
        <v>80400</v>
      </c>
      <c r="L642" s="252">
        <f t="shared" si="33"/>
        <v>85950</v>
      </c>
      <c r="M642" s="252">
        <f t="shared" si="33"/>
        <v>91500</v>
      </c>
    </row>
    <row r="643" spans="1:13" ht="21.95" customHeight="1" x14ac:dyDescent="0.25">
      <c r="A643" s="36" t="s">
        <v>2904</v>
      </c>
      <c r="B643" s="36" t="str">
        <f t="shared" si="34"/>
        <v>IL_CRAWFORD COUNTY, IL</v>
      </c>
      <c r="D643" s="265" t="s">
        <v>92</v>
      </c>
      <c r="E643" s="266" t="s">
        <v>3514</v>
      </c>
      <c r="F643" s="252">
        <f t="shared" si="33"/>
        <v>51350</v>
      </c>
      <c r="G643" s="252">
        <f t="shared" si="33"/>
        <v>58700</v>
      </c>
      <c r="H643" s="252">
        <f t="shared" si="33"/>
        <v>66050</v>
      </c>
      <c r="I643" s="252">
        <f t="shared" si="33"/>
        <v>73350</v>
      </c>
      <c r="J643" s="252">
        <f t="shared" si="33"/>
        <v>79250</v>
      </c>
      <c r="K643" s="252">
        <f t="shared" si="33"/>
        <v>85100</v>
      </c>
      <c r="L643" s="252">
        <f t="shared" si="33"/>
        <v>91000</v>
      </c>
      <c r="M643" s="252">
        <f t="shared" si="33"/>
        <v>96850</v>
      </c>
    </row>
    <row r="644" spans="1:13" ht="21.95" customHeight="1" x14ac:dyDescent="0.25">
      <c r="A644" s="36" t="s">
        <v>2904</v>
      </c>
      <c r="B644" s="36" t="str">
        <f t="shared" si="34"/>
        <v>IL_CUMBERLAND COUNTY, IL</v>
      </c>
      <c r="D644" s="265" t="s">
        <v>92</v>
      </c>
      <c r="E644" s="266" t="s">
        <v>3515</v>
      </c>
      <c r="F644" s="252">
        <f t="shared" si="33"/>
        <v>55900</v>
      </c>
      <c r="G644" s="252">
        <f t="shared" si="33"/>
        <v>63850</v>
      </c>
      <c r="H644" s="252">
        <f t="shared" si="33"/>
        <v>71850</v>
      </c>
      <c r="I644" s="252">
        <f t="shared" si="33"/>
        <v>79800</v>
      </c>
      <c r="J644" s="252">
        <f t="shared" si="33"/>
        <v>86200</v>
      </c>
      <c r="K644" s="252">
        <f t="shared" si="33"/>
        <v>92600</v>
      </c>
      <c r="L644" s="252">
        <f t="shared" si="33"/>
        <v>99000</v>
      </c>
      <c r="M644" s="252">
        <f t="shared" si="33"/>
        <v>105350</v>
      </c>
    </row>
    <row r="645" spans="1:13" ht="21.95" customHeight="1" x14ac:dyDescent="0.25">
      <c r="A645" s="36" t="s">
        <v>2904</v>
      </c>
      <c r="B645" s="36" t="str">
        <f t="shared" si="34"/>
        <v>IL_DAVENPORT-MOLINE-ROCK ISLAND, IA-IL MSA</v>
      </c>
      <c r="D645" s="265" t="s">
        <v>92</v>
      </c>
      <c r="E645" s="266" t="s">
        <v>3396</v>
      </c>
      <c r="F645" s="252">
        <f t="shared" si="33"/>
        <v>54750</v>
      </c>
      <c r="G645" s="252">
        <f t="shared" si="33"/>
        <v>62550</v>
      </c>
      <c r="H645" s="252">
        <f t="shared" si="33"/>
        <v>70350</v>
      </c>
      <c r="I645" s="252">
        <f t="shared" si="33"/>
        <v>78150</v>
      </c>
      <c r="J645" s="252">
        <f t="shared" si="33"/>
        <v>84450</v>
      </c>
      <c r="K645" s="252">
        <f t="shared" si="33"/>
        <v>90700</v>
      </c>
      <c r="L645" s="252">
        <f t="shared" si="33"/>
        <v>96950</v>
      </c>
      <c r="M645" s="252">
        <f t="shared" si="33"/>
        <v>103200</v>
      </c>
    </row>
    <row r="646" spans="1:13" ht="21.95" customHeight="1" x14ac:dyDescent="0.25">
      <c r="A646" s="36" t="s">
        <v>2904</v>
      </c>
      <c r="B646" s="36" t="str">
        <f t="shared" si="34"/>
        <v>IL_DECATUR, IL MSA</v>
      </c>
      <c r="D646" s="265" t="s">
        <v>92</v>
      </c>
      <c r="E646" s="266" t="s">
        <v>3517</v>
      </c>
      <c r="F646" s="252">
        <f t="shared" si="33"/>
        <v>51350</v>
      </c>
      <c r="G646" s="252">
        <f t="shared" si="33"/>
        <v>58650</v>
      </c>
      <c r="H646" s="252">
        <f t="shared" si="33"/>
        <v>66000</v>
      </c>
      <c r="I646" s="252">
        <f t="shared" si="33"/>
        <v>73300</v>
      </c>
      <c r="J646" s="252">
        <f t="shared" si="33"/>
        <v>79200</v>
      </c>
      <c r="K646" s="252">
        <f t="shared" si="33"/>
        <v>85050</v>
      </c>
      <c r="L646" s="252">
        <f t="shared" si="33"/>
        <v>90900</v>
      </c>
      <c r="M646" s="252">
        <f t="shared" si="33"/>
        <v>96800</v>
      </c>
    </row>
    <row r="647" spans="1:13" ht="21.95" customHeight="1" x14ac:dyDescent="0.25">
      <c r="A647" s="36" t="s">
        <v>2904</v>
      </c>
      <c r="B647" s="36" t="str">
        <f t="shared" si="34"/>
        <v>IL_DEKALB COUNTY, IL HUD METRO FMR AREA</v>
      </c>
      <c r="D647" s="265" t="s">
        <v>92</v>
      </c>
      <c r="E647" s="266" t="s">
        <v>3518</v>
      </c>
      <c r="F647" s="252">
        <f t="shared" si="33"/>
        <v>56650</v>
      </c>
      <c r="G647" s="252">
        <f t="shared" si="33"/>
        <v>64750</v>
      </c>
      <c r="H647" s="252">
        <f t="shared" si="33"/>
        <v>72850</v>
      </c>
      <c r="I647" s="252">
        <f t="shared" si="33"/>
        <v>80900</v>
      </c>
      <c r="J647" s="252">
        <f t="shared" si="33"/>
        <v>87400</v>
      </c>
      <c r="K647" s="252">
        <f t="shared" si="33"/>
        <v>93850</v>
      </c>
      <c r="L647" s="252">
        <f t="shared" ref="F647:M679" si="35">VLOOKUP($B647,LOOKUP_AMI_TABLE,5+((L$7-1)),FALSE)</f>
        <v>100350</v>
      </c>
      <c r="M647" s="252">
        <f t="shared" si="35"/>
        <v>106800</v>
      </c>
    </row>
    <row r="648" spans="1:13" ht="21.95" customHeight="1" x14ac:dyDescent="0.25">
      <c r="A648" s="36" t="s">
        <v>2904</v>
      </c>
      <c r="B648" s="36" t="str">
        <f t="shared" si="34"/>
        <v>IL_DE WITT COUNTY, IL</v>
      </c>
      <c r="D648" s="265" t="s">
        <v>92</v>
      </c>
      <c r="E648" s="266" t="s">
        <v>3516</v>
      </c>
      <c r="F648" s="252">
        <f t="shared" si="35"/>
        <v>54400</v>
      </c>
      <c r="G648" s="252">
        <f t="shared" si="35"/>
        <v>62200</v>
      </c>
      <c r="H648" s="252">
        <f t="shared" si="35"/>
        <v>69950</v>
      </c>
      <c r="I648" s="252">
        <f t="shared" si="35"/>
        <v>77700</v>
      </c>
      <c r="J648" s="252">
        <f t="shared" si="35"/>
        <v>83950</v>
      </c>
      <c r="K648" s="252">
        <f t="shared" si="35"/>
        <v>90150</v>
      </c>
      <c r="L648" s="252">
        <f t="shared" si="35"/>
        <v>96350</v>
      </c>
      <c r="M648" s="252">
        <f t="shared" si="35"/>
        <v>102600</v>
      </c>
    </row>
    <row r="649" spans="1:13" ht="21.95" customHeight="1" x14ac:dyDescent="0.25">
      <c r="A649" s="36" t="s">
        <v>2904</v>
      </c>
      <c r="B649" s="36" t="str">
        <f t="shared" si="34"/>
        <v>IL_DOUGLAS COUNTY, IL</v>
      </c>
      <c r="D649" s="265" t="s">
        <v>92</v>
      </c>
      <c r="E649" s="266" t="s">
        <v>3519</v>
      </c>
      <c r="F649" s="252">
        <f t="shared" si="35"/>
        <v>52850</v>
      </c>
      <c r="G649" s="252">
        <f t="shared" si="35"/>
        <v>60400</v>
      </c>
      <c r="H649" s="252">
        <f t="shared" si="35"/>
        <v>67950</v>
      </c>
      <c r="I649" s="252">
        <f t="shared" si="35"/>
        <v>75500</v>
      </c>
      <c r="J649" s="252">
        <f t="shared" si="35"/>
        <v>81550</v>
      </c>
      <c r="K649" s="252">
        <f t="shared" si="35"/>
        <v>87600</v>
      </c>
      <c r="L649" s="252">
        <f t="shared" si="35"/>
        <v>93650</v>
      </c>
      <c r="M649" s="252">
        <f t="shared" si="35"/>
        <v>99700</v>
      </c>
    </row>
    <row r="650" spans="1:13" ht="21.95" customHeight="1" x14ac:dyDescent="0.25">
      <c r="A650" s="36" t="s">
        <v>2904</v>
      </c>
      <c r="B650" s="36" t="str">
        <f t="shared" si="34"/>
        <v>IL_EDGAR COUNTY, IL</v>
      </c>
      <c r="D650" s="265" t="s">
        <v>92</v>
      </c>
      <c r="E650" s="266" t="s">
        <v>3520</v>
      </c>
      <c r="F650" s="252">
        <f t="shared" si="35"/>
        <v>48550</v>
      </c>
      <c r="G650" s="252">
        <f t="shared" si="35"/>
        <v>55450</v>
      </c>
      <c r="H650" s="252">
        <f t="shared" si="35"/>
        <v>62400</v>
      </c>
      <c r="I650" s="252">
        <f t="shared" si="35"/>
        <v>69300</v>
      </c>
      <c r="J650" s="252">
        <f t="shared" si="35"/>
        <v>74850</v>
      </c>
      <c r="K650" s="252">
        <f t="shared" si="35"/>
        <v>80400</v>
      </c>
      <c r="L650" s="252">
        <f t="shared" si="35"/>
        <v>85950</v>
      </c>
      <c r="M650" s="252">
        <f t="shared" si="35"/>
        <v>91500</v>
      </c>
    </row>
    <row r="651" spans="1:13" ht="21.95" customHeight="1" x14ac:dyDescent="0.25">
      <c r="A651" s="36" t="s">
        <v>2904</v>
      </c>
      <c r="B651" s="36" t="str">
        <f t="shared" si="34"/>
        <v>IL_EDWARDS COUNTY, IL</v>
      </c>
      <c r="D651" s="265" t="s">
        <v>92</v>
      </c>
      <c r="E651" s="266" t="s">
        <v>3521</v>
      </c>
      <c r="F651" s="252">
        <f t="shared" si="35"/>
        <v>48550</v>
      </c>
      <c r="G651" s="252">
        <f t="shared" si="35"/>
        <v>55450</v>
      </c>
      <c r="H651" s="252">
        <f t="shared" si="35"/>
        <v>62400</v>
      </c>
      <c r="I651" s="252">
        <f t="shared" si="35"/>
        <v>69300</v>
      </c>
      <c r="J651" s="252">
        <f t="shared" si="35"/>
        <v>74850</v>
      </c>
      <c r="K651" s="252">
        <f t="shared" si="35"/>
        <v>80400</v>
      </c>
      <c r="L651" s="252">
        <f t="shared" si="35"/>
        <v>85950</v>
      </c>
      <c r="M651" s="252">
        <f t="shared" si="35"/>
        <v>91500</v>
      </c>
    </row>
    <row r="652" spans="1:13" ht="21.95" customHeight="1" x14ac:dyDescent="0.25">
      <c r="A652" s="36" t="s">
        <v>2904</v>
      </c>
      <c r="B652" s="36" t="str">
        <f t="shared" si="34"/>
        <v>IL_EFFINGHAM COUNTY, IL</v>
      </c>
      <c r="D652" s="265" t="s">
        <v>92</v>
      </c>
      <c r="E652" s="266" t="s">
        <v>3522</v>
      </c>
      <c r="F652" s="252">
        <f t="shared" si="35"/>
        <v>56700</v>
      </c>
      <c r="G652" s="252">
        <f t="shared" si="35"/>
        <v>64800</v>
      </c>
      <c r="H652" s="252">
        <f t="shared" si="35"/>
        <v>72900</v>
      </c>
      <c r="I652" s="252">
        <f t="shared" si="35"/>
        <v>80950</v>
      </c>
      <c r="J652" s="252">
        <f t="shared" si="35"/>
        <v>87450</v>
      </c>
      <c r="K652" s="252">
        <f t="shared" si="35"/>
        <v>93950</v>
      </c>
      <c r="L652" s="252">
        <f t="shared" si="35"/>
        <v>100400</v>
      </c>
      <c r="M652" s="252">
        <f t="shared" si="35"/>
        <v>106900</v>
      </c>
    </row>
    <row r="653" spans="1:13" ht="21.95" customHeight="1" x14ac:dyDescent="0.25">
      <c r="A653" s="36" t="s">
        <v>2904</v>
      </c>
      <c r="B653" s="36" t="str">
        <f t="shared" si="34"/>
        <v>IL_FAYETTE COUNTY, IL</v>
      </c>
      <c r="D653" s="265" t="s">
        <v>92</v>
      </c>
      <c r="E653" s="266" t="s">
        <v>3523</v>
      </c>
      <c r="F653" s="252">
        <f t="shared" si="35"/>
        <v>48550</v>
      </c>
      <c r="G653" s="252">
        <f t="shared" si="35"/>
        <v>55450</v>
      </c>
      <c r="H653" s="252">
        <f t="shared" si="35"/>
        <v>62400</v>
      </c>
      <c r="I653" s="252">
        <f t="shared" si="35"/>
        <v>69300</v>
      </c>
      <c r="J653" s="252">
        <f t="shared" si="35"/>
        <v>74850</v>
      </c>
      <c r="K653" s="252">
        <f t="shared" si="35"/>
        <v>80400</v>
      </c>
      <c r="L653" s="252">
        <f t="shared" si="35"/>
        <v>85950</v>
      </c>
      <c r="M653" s="252">
        <f t="shared" si="35"/>
        <v>91500</v>
      </c>
    </row>
    <row r="654" spans="1:13" ht="21.95" customHeight="1" x14ac:dyDescent="0.25">
      <c r="A654" s="36" t="s">
        <v>2904</v>
      </c>
      <c r="B654" s="36" t="str">
        <f t="shared" si="34"/>
        <v>IL_FORD COUNTY, IL HUD METRO FMR AREA</v>
      </c>
      <c r="D654" s="265" t="s">
        <v>92</v>
      </c>
      <c r="E654" s="266" t="s">
        <v>9159</v>
      </c>
      <c r="F654" s="252">
        <f t="shared" si="35"/>
        <v>51550</v>
      </c>
      <c r="G654" s="252">
        <f t="shared" si="35"/>
        <v>58900</v>
      </c>
      <c r="H654" s="252">
        <f t="shared" si="35"/>
        <v>66250</v>
      </c>
      <c r="I654" s="252">
        <f t="shared" si="35"/>
        <v>73600</v>
      </c>
      <c r="J654" s="252">
        <f t="shared" si="35"/>
        <v>79500</v>
      </c>
      <c r="K654" s="252">
        <f t="shared" si="35"/>
        <v>85400</v>
      </c>
      <c r="L654" s="252">
        <f t="shared" si="35"/>
        <v>91300</v>
      </c>
      <c r="M654" s="252">
        <f t="shared" si="35"/>
        <v>97200</v>
      </c>
    </row>
    <row r="655" spans="1:13" ht="21.95" customHeight="1" x14ac:dyDescent="0.25">
      <c r="A655" s="36" t="s">
        <v>2904</v>
      </c>
      <c r="B655" s="36" t="str">
        <f t="shared" si="34"/>
        <v>IL_FRANKLIN COUNTY, IL</v>
      </c>
      <c r="D655" s="265" t="s">
        <v>92</v>
      </c>
      <c r="E655" s="266" t="s">
        <v>3524</v>
      </c>
      <c r="F655" s="252">
        <f t="shared" si="35"/>
        <v>48550</v>
      </c>
      <c r="G655" s="252">
        <f t="shared" si="35"/>
        <v>55450</v>
      </c>
      <c r="H655" s="252">
        <f t="shared" si="35"/>
        <v>62400</v>
      </c>
      <c r="I655" s="252">
        <f t="shared" si="35"/>
        <v>69300</v>
      </c>
      <c r="J655" s="252">
        <f t="shared" si="35"/>
        <v>74850</v>
      </c>
      <c r="K655" s="252">
        <f t="shared" si="35"/>
        <v>80400</v>
      </c>
      <c r="L655" s="252">
        <f t="shared" si="35"/>
        <v>85950</v>
      </c>
      <c r="M655" s="252">
        <f t="shared" si="35"/>
        <v>91500</v>
      </c>
    </row>
    <row r="656" spans="1:13" ht="21.95" customHeight="1" x14ac:dyDescent="0.25">
      <c r="A656" s="36" t="s">
        <v>2904</v>
      </c>
      <c r="B656" s="36" t="str">
        <f t="shared" si="34"/>
        <v>IL_FULTON COUNTY, IL</v>
      </c>
      <c r="D656" s="265" t="s">
        <v>92</v>
      </c>
      <c r="E656" s="266" t="s">
        <v>9160</v>
      </c>
      <c r="F656" s="252">
        <f t="shared" si="35"/>
        <v>48550</v>
      </c>
      <c r="G656" s="252">
        <f t="shared" si="35"/>
        <v>55450</v>
      </c>
      <c r="H656" s="252">
        <f t="shared" si="35"/>
        <v>62400</v>
      </c>
      <c r="I656" s="252">
        <f t="shared" si="35"/>
        <v>69300</v>
      </c>
      <c r="J656" s="252">
        <f t="shared" si="35"/>
        <v>74850</v>
      </c>
      <c r="K656" s="252">
        <f t="shared" si="35"/>
        <v>80400</v>
      </c>
      <c r="L656" s="252">
        <f t="shared" si="35"/>
        <v>85950</v>
      </c>
      <c r="M656" s="252">
        <f t="shared" si="35"/>
        <v>91500</v>
      </c>
    </row>
    <row r="657" spans="1:13" ht="21.95" customHeight="1" x14ac:dyDescent="0.25">
      <c r="A657" s="36" t="s">
        <v>2904</v>
      </c>
      <c r="B657" s="36" t="str">
        <f t="shared" si="34"/>
        <v>IL_GALLATIN COUNTY, IL</v>
      </c>
      <c r="D657" s="265" t="s">
        <v>92</v>
      </c>
      <c r="E657" s="266" t="s">
        <v>3525</v>
      </c>
      <c r="F657" s="252">
        <f t="shared" si="35"/>
        <v>48550</v>
      </c>
      <c r="G657" s="252">
        <f t="shared" si="35"/>
        <v>55450</v>
      </c>
      <c r="H657" s="252">
        <f t="shared" si="35"/>
        <v>62400</v>
      </c>
      <c r="I657" s="252">
        <f t="shared" si="35"/>
        <v>69300</v>
      </c>
      <c r="J657" s="252">
        <f t="shared" si="35"/>
        <v>74850</v>
      </c>
      <c r="K657" s="252">
        <f t="shared" si="35"/>
        <v>80400</v>
      </c>
      <c r="L657" s="252">
        <f t="shared" si="35"/>
        <v>85950</v>
      </c>
      <c r="M657" s="252">
        <f t="shared" si="35"/>
        <v>91500</v>
      </c>
    </row>
    <row r="658" spans="1:13" ht="21.95" customHeight="1" x14ac:dyDescent="0.25">
      <c r="A658" s="36" t="s">
        <v>2904</v>
      </c>
      <c r="B658" s="36" t="str">
        <f t="shared" si="34"/>
        <v>IL_GREENE COUNTY, IL</v>
      </c>
      <c r="D658" s="265" t="s">
        <v>92</v>
      </c>
      <c r="E658" s="266" t="s">
        <v>3526</v>
      </c>
      <c r="F658" s="252">
        <f t="shared" si="35"/>
        <v>48550</v>
      </c>
      <c r="G658" s="252">
        <f t="shared" si="35"/>
        <v>55450</v>
      </c>
      <c r="H658" s="252">
        <f t="shared" si="35"/>
        <v>62400</v>
      </c>
      <c r="I658" s="252">
        <f t="shared" si="35"/>
        <v>69300</v>
      </c>
      <c r="J658" s="252">
        <f t="shared" si="35"/>
        <v>74850</v>
      </c>
      <c r="K658" s="252">
        <f t="shared" si="35"/>
        <v>80400</v>
      </c>
      <c r="L658" s="252">
        <f t="shared" si="35"/>
        <v>85950</v>
      </c>
      <c r="M658" s="252">
        <f t="shared" si="35"/>
        <v>91500</v>
      </c>
    </row>
    <row r="659" spans="1:13" ht="21.95" customHeight="1" x14ac:dyDescent="0.25">
      <c r="A659" s="36" t="s">
        <v>2904</v>
      </c>
      <c r="B659" s="36" t="str">
        <f t="shared" si="34"/>
        <v>IL_GRUNDY COUNTY, IL HUD METRO FMR AREA</v>
      </c>
      <c r="D659" s="265" t="s">
        <v>92</v>
      </c>
      <c r="E659" s="266" t="s">
        <v>3527</v>
      </c>
      <c r="F659" s="252">
        <f t="shared" si="35"/>
        <v>66550</v>
      </c>
      <c r="G659" s="252">
        <f t="shared" si="35"/>
        <v>76050</v>
      </c>
      <c r="H659" s="252">
        <f t="shared" si="35"/>
        <v>85550</v>
      </c>
      <c r="I659" s="252">
        <f t="shared" si="35"/>
        <v>95050</v>
      </c>
      <c r="J659" s="252">
        <f t="shared" si="35"/>
        <v>102700</v>
      </c>
      <c r="K659" s="252">
        <f t="shared" si="35"/>
        <v>110300</v>
      </c>
      <c r="L659" s="252">
        <f t="shared" si="35"/>
        <v>117900</v>
      </c>
      <c r="M659" s="252">
        <f t="shared" si="35"/>
        <v>125500</v>
      </c>
    </row>
    <row r="660" spans="1:13" ht="21.95" customHeight="1" x14ac:dyDescent="0.25">
      <c r="A660" s="36" t="s">
        <v>2904</v>
      </c>
      <c r="B660" s="36" t="str">
        <f t="shared" si="34"/>
        <v>IL_HAMILTON COUNTY, IL</v>
      </c>
      <c r="D660" s="265" t="s">
        <v>92</v>
      </c>
      <c r="E660" s="266" t="s">
        <v>3528</v>
      </c>
      <c r="F660" s="252">
        <f t="shared" si="35"/>
        <v>48550</v>
      </c>
      <c r="G660" s="252">
        <f t="shared" si="35"/>
        <v>55450</v>
      </c>
      <c r="H660" s="252">
        <f t="shared" si="35"/>
        <v>62400</v>
      </c>
      <c r="I660" s="252">
        <f t="shared" si="35"/>
        <v>69300</v>
      </c>
      <c r="J660" s="252">
        <f t="shared" si="35"/>
        <v>74850</v>
      </c>
      <c r="K660" s="252">
        <f t="shared" si="35"/>
        <v>80400</v>
      </c>
      <c r="L660" s="252">
        <f t="shared" si="35"/>
        <v>85950</v>
      </c>
      <c r="M660" s="252">
        <f t="shared" si="35"/>
        <v>91500</v>
      </c>
    </row>
    <row r="661" spans="1:13" ht="21.95" customHeight="1" x14ac:dyDescent="0.25">
      <c r="A661" s="36" t="s">
        <v>2904</v>
      </c>
      <c r="B661" s="36" t="str">
        <f t="shared" si="34"/>
        <v>IL_HANCOCK COUNTY, IL</v>
      </c>
      <c r="D661" s="265" t="s">
        <v>92</v>
      </c>
      <c r="E661" s="266" t="s">
        <v>3529</v>
      </c>
      <c r="F661" s="252">
        <f t="shared" si="35"/>
        <v>51450</v>
      </c>
      <c r="G661" s="252">
        <f t="shared" si="35"/>
        <v>58800</v>
      </c>
      <c r="H661" s="252">
        <f t="shared" si="35"/>
        <v>66150</v>
      </c>
      <c r="I661" s="252">
        <f t="shared" si="35"/>
        <v>73500</v>
      </c>
      <c r="J661" s="252">
        <f t="shared" si="35"/>
        <v>79400</v>
      </c>
      <c r="K661" s="252">
        <f t="shared" si="35"/>
        <v>85300</v>
      </c>
      <c r="L661" s="252">
        <f t="shared" si="35"/>
        <v>91150</v>
      </c>
      <c r="M661" s="252">
        <f t="shared" si="35"/>
        <v>97050</v>
      </c>
    </row>
    <row r="662" spans="1:13" ht="21.95" customHeight="1" x14ac:dyDescent="0.25">
      <c r="A662" s="36" t="s">
        <v>2904</v>
      </c>
      <c r="B662" s="36" t="str">
        <f t="shared" si="34"/>
        <v>IL_HARDIN COUNTY, IL</v>
      </c>
      <c r="D662" s="265" t="s">
        <v>92</v>
      </c>
      <c r="E662" s="266" t="s">
        <v>3530</v>
      </c>
      <c r="F662" s="252">
        <f t="shared" si="35"/>
        <v>48550</v>
      </c>
      <c r="G662" s="252">
        <f t="shared" si="35"/>
        <v>55450</v>
      </c>
      <c r="H662" s="252">
        <f t="shared" si="35"/>
        <v>62400</v>
      </c>
      <c r="I662" s="252">
        <f t="shared" si="35"/>
        <v>69300</v>
      </c>
      <c r="J662" s="252">
        <f t="shared" si="35"/>
        <v>74850</v>
      </c>
      <c r="K662" s="252">
        <f t="shared" si="35"/>
        <v>80400</v>
      </c>
      <c r="L662" s="252">
        <f t="shared" si="35"/>
        <v>85950</v>
      </c>
      <c r="M662" s="252">
        <f t="shared" si="35"/>
        <v>91500</v>
      </c>
    </row>
    <row r="663" spans="1:13" ht="21.95" customHeight="1" x14ac:dyDescent="0.25">
      <c r="A663" s="36" t="s">
        <v>2904</v>
      </c>
      <c r="B663" s="36" t="str">
        <f t="shared" si="34"/>
        <v>IL_HENDERSON COUNTY, IL</v>
      </c>
      <c r="D663" s="265" t="s">
        <v>92</v>
      </c>
      <c r="E663" s="266" t="s">
        <v>3531</v>
      </c>
      <c r="F663" s="252">
        <f t="shared" si="35"/>
        <v>48550</v>
      </c>
      <c r="G663" s="252">
        <f t="shared" si="35"/>
        <v>55450</v>
      </c>
      <c r="H663" s="252">
        <f t="shared" si="35"/>
        <v>62400</v>
      </c>
      <c r="I663" s="252">
        <f t="shared" si="35"/>
        <v>69300</v>
      </c>
      <c r="J663" s="252">
        <f t="shared" si="35"/>
        <v>74850</v>
      </c>
      <c r="K663" s="252">
        <f t="shared" si="35"/>
        <v>80400</v>
      </c>
      <c r="L663" s="252">
        <f t="shared" si="35"/>
        <v>85950</v>
      </c>
      <c r="M663" s="252">
        <f t="shared" si="35"/>
        <v>91500</v>
      </c>
    </row>
    <row r="664" spans="1:13" ht="21.95" customHeight="1" x14ac:dyDescent="0.25">
      <c r="A664" s="36" t="s">
        <v>2904</v>
      </c>
      <c r="B664" s="36" t="str">
        <f t="shared" si="34"/>
        <v>IL_IROQUOIS COUNTY, IL</v>
      </c>
      <c r="D664" s="265" t="s">
        <v>92</v>
      </c>
      <c r="E664" s="266" t="s">
        <v>3532</v>
      </c>
      <c r="F664" s="252">
        <f t="shared" si="35"/>
        <v>49650</v>
      </c>
      <c r="G664" s="252">
        <f t="shared" si="35"/>
        <v>56750</v>
      </c>
      <c r="H664" s="252">
        <f t="shared" si="35"/>
        <v>63850</v>
      </c>
      <c r="I664" s="252">
        <f t="shared" si="35"/>
        <v>70900</v>
      </c>
      <c r="J664" s="252">
        <f t="shared" si="35"/>
        <v>76600</v>
      </c>
      <c r="K664" s="252">
        <f t="shared" si="35"/>
        <v>82250</v>
      </c>
      <c r="L664" s="252">
        <f t="shared" si="35"/>
        <v>87950</v>
      </c>
      <c r="M664" s="252">
        <f t="shared" si="35"/>
        <v>93600</v>
      </c>
    </row>
    <row r="665" spans="1:13" ht="21.95" customHeight="1" x14ac:dyDescent="0.25">
      <c r="A665" s="36" t="s">
        <v>2904</v>
      </c>
      <c r="B665" s="36" t="str">
        <f t="shared" si="34"/>
        <v>IL_JACKSON COUNTY, IL</v>
      </c>
      <c r="D665" s="265" t="s">
        <v>92</v>
      </c>
      <c r="E665" s="266" t="s">
        <v>9161</v>
      </c>
      <c r="F665" s="252">
        <f t="shared" si="35"/>
        <v>48550</v>
      </c>
      <c r="G665" s="252">
        <f t="shared" si="35"/>
        <v>55450</v>
      </c>
      <c r="H665" s="252">
        <f t="shared" si="35"/>
        <v>62400</v>
      </c>
      <c r="I665" s="252">
        <f t="shared" si="35"/>
        <v>69300</v>
      </c>
      <c r="J665" s="252">
        <f t="shared" si="35"/>
        <v>74850</v>
      </c>
      <c r="K665" s="252">
        <f t="shared" si="35"/>
        <v>80400</v>
      </c>
      <c r="L665" s="252">
        <f t="shared" si="35"/>
        <v>85950</v>
      </c>
      <c r="M665" s="252">
        <f t="shared" si="35"/>
        <v>91500</v>
      </c>
    </row>
    <row r="666" spans="1:13" ht="21.95" customHeight="1" x14ac:dyDescent="0.25">
      <c r="A666" s="36" t="s">
        <v>2904</v>
      </c>
      <c r="B666" s="36" t="str">
        <f t="shared" si="34"/>
        <v>IL_JASPER COUNTY, IL</v>
      </c>
      <c r="D666" s="265" t="s">
        <v>92</v>
      </c>
      <c r="E666" s="266" t="s">
        <v>3533</v>
      </c>
      <c r="F666" s="252">
        <f t="shared" si="35"/>
        <v>51950</v>
      </c>
      <c r="G666" s="252">
        <f t="shared" si="35"/>
        <v>59350</v>
      </c>
      <c r="H666" s="252">
        <f t="shared" si="35"/>
        <v>66750</v>
      </c>
      <c r="I666" s="252">
        <f t="shared" si="35"/>
        <v>74150</v>
      </c>
      <c r="J666" s="252">
        <f t="shared" si="35"/>
        <v>80100</v>
      </c>
      <c r="K666" s="252">
        <f t="shared" si="35"/>
        <v>86050</v>
      </c>
      <c r="L666" s="252">
        <f t="shared" si="35"/>
        <v>91950</v>
      </c>
      <c r="M666" s="252">
        <f t="shared" si="35"/>
        <v>97900</v>
      </c>
    </row>
    <row r="667" spans="1:13" ht="21.95" customHeight="1" x14ac:dyDescent="0.25">
      <c r="A667" s="36" t="s">
        <v>2904</v>
      </c>
      <c r="B667" s="36" t="str">
        <f t="shared" si="34"/>
        <v>IL_JEFFERSON COUNTY, IL</v>
      </c>
      <c r="D667" s="265" t="s">
        <v>92</v>
      </c>
      <c r="E667" s="266" t="s">
        <v>3534</v>
      </c>
      <c r="F667" s="252">
        <f t="shared" si="35"/>
        <v>48550</v>
      </c>
      <c r="G667" s="252">
        <f t="shared" si="35"/>
        <v>55450</v>
      </c>
      <c r="H667" s="252">
        <f t="shared" si="35"/>
        <v>62400</v>
      </c>
      <c r="I667" s="252">
        <f t="shared" si="35"/>
        <v>69300</v>
      </c>
      <c r="J667" s="252">
        <f t="shared" si="35"/>
        <v>74850</v>
      </c>
      <c r="K667" s="252">
        <f t="shared" si="35"/>
        <v>80400</v>
      </c>
      <c r="L667" s="252">
        <f t="shared" si="35"/>
        <v>85950</v>
      </c>
      <c r="M667" s="252">
        <f t="shared" si="35"/>
        <v>91500</v>
      </c>
    </row>
    <row r="668" spans="1:13" ht="21.95" customHeight="1" x14ac:dyDescent="0.25">
      <c r="A668" s="36" t="s">
        <v>2904</v>
      </c>
      <c r="B668" s="36" t="str">
        <f t="shared" si="34"/>
        <v>IL_JO DAVIESS COUNTY, IL</v>
      </c>
      <c r="D668" s="265" t="s">
        <v>92</v>
      </c>
      <c r="E668" s="266" t="s">
        <v>3535</v>
      </c>
      <c r="F668" s="252">
        <f t="shared" si="35"/>
        <v>56400</v>
      </c>
      <c r="G668" s="252">
        <f t="shared" si="35"/>
        <v>64450</v>
      </c>
      <c r="H668" s="252">
        <f t="shared" si="35"/>
        <v>72500</v>
      </c>
      <c r="I668" s="252">
        <f t="shared" si="35"/>
        <v>80550</v>
      </c>
      <c r="J668" s="252">
        <f t="shared" si="35"/>
        <v>87000</v>
      </c>
      <c r="K668" s="252">
        <f t="shared" si="35"/>
        <v>93450</v>
      </c>
      <c r="L668" s="252">
        <f t="shared" si="35"/>
        <v>99900</v>
      </c>
      <c r="M668" s="252">
        <f t="shared" si="35"/>
        <v>106350</v>
      </c>
    </row>
    <row r="669" spans="1:13" ht="21.95" customHeight="1" x14ac:dyDescent="0.25">
      <c r="A669" s="36" t="s">
        <v>2904</v>
      </c>
      <c r="B669" s="36" t="str">
        <f t="shared" si="34"/>
        <v>IL_JOHNSON COUNTY, IL</v>
      </c>
      <c r="D669" s="265" t="s">
        <v>92</v>
      </c>
      <c r="E669" s="266" t="s">
        <v>9162</v>
      </c>
      <c r="F669" s="252">
        <f t="shared" si="35"/>
        <v>48550</v>
      </c>
      <c r="G669" s="252">
        <f t="shared" si="35"/>
        <v>55450</v>
      </c>
      <c r="H669" s="252">
        <f t="shared" si="35"/>
        <v>62400</v>
      </c>
      <c r="I669" s="252">
        <f t="shared" si="35"/>
        <v>69300</v>
      </c>
      <c r="J669" s="252">
        <f t="shared" si="35"/>
        <v>74850</v>
      </c>
      <c r="K669" s="252">
        <f t="shared" si="35"/>
        <v>80400</v>
      </c>
      <c r="L669" s="252">
        <f t="shared" si="35"/>
        <v>85950</v>
      </c>
      <c r="M669" s="252">
        <f t="shared" si="35"/>
        <v>91500</v>
      </c>
    </row>
    <row r="670" spans="1:13" ht="21.95" customHeight="1" x14ac:dyDescent="0.25">
      <c r="A670" s="36" t="s">
        <v>2904</v>
      </c>
      <c r="B670" s="36" t="str">
        <f t="shared" si="34"/>
        <v>IL_KANKAKEE, IL MSA</v>
      </c>
      <c r="D670" s="265" t="s">
        <v>92</v>
      </c>
      <c r="E670" s="266" t="s">
        <v>3536</v>
      </c>
      <c r="F670" s="252">
        <f t="shared" si="35"/>
        <v>51100</v>
      </c>
      <c r="G670" s="252">
        <f t="shared" si="35"/>
        <v>58400</v>
      </c>
      <c r="H670" s="252">
        <f t="shared" si="35"/>
        <v>65700</v>
      </c>
      <c r="I670" s="252">
        <f t="shared" si="35"/>
        <v>72950</v>
      </c>
      <c r="J670" s="252">
        <f t="shared" si="35"/>
        <v>78800</v>
      </c>
      <c r="K670" s="252">
        <f t="shared" si="35"/>
        <v>84650</v>
      </c>
      <c r="L670" s="252">
        <f t="shared" si="35"/>
        <v>90500</v>
      </c>
      <c r="M670" s="252">
        <f t="shared" si="35"/>
        <v>96300</v>
      </c>
    </row>
    <row r="671" spans="1:13" ht="21.95" customHeight="1" x14ac:dyDescent="0.25">
      <c r="A671" s="36" t="s">
        <v>2904</v>
      </c>
      <c r="B671" s="36" t="str">
        <f t="shared" si="34"/>
        <v>IL_KENDALL COUNTY, IL HUD METRO FMR AREA</v>
      </c>
      <c r="D671" s="265" t="s">
        <v>92</v>
      </c>
      <c r="E671" s="266" t="s">
        <v>3537</v>
      </c>
      <c r="F671" s="252">
        <f t="shared" si="35"/>
        <v>72950</v>
      </c>
      <c r="G671" s="252">
        <f t="shared" si="35"/>
        <v>83400</v>
      </c>
      <c r="H671" s="252">
        <f t="shared" si="35"/>
        <v>93800</v>
      </c>
      <c r="I671" s="252">
        <f t="shared" si="35"/>
        <v>104200</v>
      </c>
      <c r="J671" s="252">
        <f t="shared" si="35"/>
        <v>112550</v>
      </c>
      <c r="K671" s="252">
        <f t="shared" si="35"/>
        <v>120900</v>
      </c>
      <c r="L671" s="252">
        <f t="shared" si="35"/>
        <v>129250</v>
      </c>
      <c r="M671" s="252">
        <f t="shared" si="35"/>
        <v>137550</v>
      </c>
    </row>
    <row r="672" spans="1:13" ht="21.95" customHeight="1" x14ac:dyDescent="0.25">
      <c r="A672" s="36" t="s">
        <v>2904</v>
      </c>
      <c r="B672" s="36" t="str">
        <f t="shared" si="34"/>
        <v>IL_KNOX COUNTY, IL</v>
      </c>
      <c r="D672" s="265" t="s">
        <v>92</v>
      </c>
      <c r="E672" s="266" t="s">
        <v>3538</v>
      </c>
      <c r="F672" s="252">
        <f t="shared" si="35"/>
        <v>48550</v>
      </c>
      <c r="G672" s="252">
        <f t="shared" si="35"/>
        <v>55450</v>
      </c>
      <c r="H672" s="252">
        <f t="shared" si="35"/>
        <v>62400</v>
      </c>
      <c r="I672" s="252">
        <f t="shared" si="35"/>
        <v>69300</v>
      </c>
      <c r="J672" s="252">
        <f t="shared" si="35"/>
        <v>74850</v>
      </c>
      <c r="K672" s="252">
        <f t="shared" si="35"/>
        <v>80400</v>
      </c>
      <c r="L672" s="252">
        <f t="shared" si="35"/>
        <v>85950</v>
      </c>
      <c r="M672" s="252">
        <f t="shared" si="35"/>
        <v>91500</v>
      </c>
    </row>
    <row r="673" spans="1:13" ht="21.95" customHeight="1" x14ac:dyDescent="0.25">
      <c r="A673" s="36" t="s">
        <v>2904</v>
      </c>
      <c r="B673" s="36" t="str">
        <f t="shared" si="34"/>
        <v>IL_LA SALLE COUNTY, IL</v>
      </c>
      <c r="D673" s="265" t="s">
        <v>92</v>
      </c>
      <c r="E673" s="266" t="s">
        <v>3539</v>
      </c>
      <c r="F673" s="252">
        <f t="shared" si="35"/>
        <v>51000</v>
      </c>
      <c r="G673" s="252">
        <f t="shared" si="35"/>
        <v>58250</v>
      </c>
      <c r="H673" s="252">
        <f t="shared" si="35"/>
        <v>65550</v>
      </c>
      <c r="I673" s="252">
        <f t="shared" si="35"/>
        <v>72800</v>
      </c>
      <c r="J673" s="252">
        <f t="shared" si="35"/>
        <v>78650</v>
      </c>
      <c r="K673" s="252">
        <f t="shared" si="35"/>
        <v>84450</v>
      </c>
      <c r="L673" s="252">
        <f t="shared" si="35"/>
        <v>90300</v>
      </c>
      <c r="M673" s="252">
        <f t="shared" si="35"/>
        <v>96100</v>
      </c>
    </row>
    <row r="674" spans="1:13" ht="21.95" customHeight="1" x14ac:dyDescent="0.25">
      <c r="A674" s="36" t="s">
        <v>2904</v>
      </c>
      <c r="B674" s="36" t="str">
        <f t="shared" si="34"/>
        <v>IL_LAWRENCE COUNTY, IL</v>
      </c>
      <c r="D674" s="265" t="s">
        <v>92</v>
      </c>
      <c r="E674" s="266" t="s">
        <v>3540</v>
      </c>
      <c r="F674" s="252">
        <f t="shared" si="35"/>
        <v>48550</v>
      </c>
      <c r="G674" s="252">
        <f t="shared" si="35"/>
        <v>55450</v>
      </c>
      <c r="H674" s="252">
        <f t="shared" si="35"/>
        <v>62400</v>
      </c>
      <c r="I674" s="252">
        <f t="shared" si="35"/>
        <v>69300</v>
      </c>
      <c r="J674" s="252">
        <f t="shared" si="35"/>
        <v>74850</v>
      </c>
      <c r="K674" s="252">
        <f t="shared" si="35"/>
        <v>80400</v>
      </c>
      <c r="L674" s="252">
        <f t="shared" si="35"/>
        <v>85950</v>
      </c>
      <c r="M674" s="252">
        <f t="shared" si="35"/>
        <v>91500</v>
      </c>
    </row>
    <row r="675" spans="1:13" ht="21.95" customHeight="1" x14ac:dyDescent="0.25">
      <c r="A675" s="36" t="s">
        <v>2904</v>
      </c>
      <c r="B675" s="36" t="str">
        <f t="shared" si="34"/>
        <v>IL_LEE COUNTY, IL</v>
      </c>
      <c r="D675" s="265" t="s">
        <v>92</v>
      </c>
      <c r="E675" s="266" t="s">
        <v>3541</v>
      </c>
      <c r="F675" s="252">
        <f t="shared" si="35"/>
        <v>51550</v>
      </c>
      <c r="G675" s="252">
        <f t="shared" si="35"/>
        <v>58900</v>
      </c>
      <c r="H675" s="252">
        <f t="shared" si="35"/>
        <v>66250</v>
      </c>
      <c r="I675" s="252">
        <f t="shared" si="35"/>
        <v>73600</v>
      </c>
      <c r="J675" s="252">
        <f t="shared" si="35"/>
        <v>79500</v>
      </c>
      <c r="K675" s="252">
        <f t="shared" si="35"/>
        <v>85400</v>
      </c>
      <c r="L675" s="252">
        <f t="shared" si="35"/>
        <v>91300</v>
      </c>
      <c r="M675" s="252">
        <f t="shared" si="35"/>
        <v>97200</v>
      </c>
    </row>
    <row r="676" spans="1:13" ht="21.95" customHeight="1" x14ac:dyDescent="0.25">
      <c r="A676" s="36" t="s">
        <v>2904</v>
      </c>
      <c r="B676" s="36" t="str">
        <f t="shared" si="34"/>
        <v>IL_LIVINGSTON COUNTY, IL</v>
      </c>
      <c r="D676" s="265" t="s">
        <v>92</v>
      </c>
      <c r="E676" s="266" t="s">
        <v>3542</v>
      </c>
      <c r="F676" s="252">
        <f t="shared" si="35"/>
        <v>54250</v>
      </c>
      <c r="G676" s="252">
        <f t="shared" si="35"/>
        <v>62000</v>
      </c>
      <c r="H676" s="252">
        <f t="shared" si="35"/>
        <v>69750</v>
      </c>
      <c r="I676" s="252">
        <f t="shared" si="35"/>
        <v>77450</v>
      </c>
      <c r="J676" s="252">
        <f t="shared" si="35"/>
        <v>83650</v>
      </c>
      <c r="K676" s="252">
        <f t="shared" si="35"/>
        <v>89850</v>
      </c>
      <c r="L676" s="252">
        <f t="shared" si="35"/>
        <v>96050</v>
      </c>
      <c r="M676" s="252">
        <f t="shared" si="35"/>
        <v>102250</v>
      </c>
    </row>
    <row r="677" spans="1:13" ht="21.95" customHeight="1" x14ac:dyDescent="0.25">
      <c r="A677" s="36" t="s">
        <v>2904</v>
      </c>
      <c r="B677" s="36" t="str">
        <f t="shared" si="34"/>
        <v>IL_LOGAN COUNTY, IL</v>
      </c>
      <c r="D677" s="265" t="s">
        <v>92</v>
      </c>
      <c r="E677" s="266" t="s">
        <v>3543</v>
      </c>
      <c r="F677" s="252">
        <f t="shared" si="35"/>
        <v>49850</v>
      </c>
      <c r="G677" s="252">
        <f t="shared" si="35"/>
        <v>57000</v>
      </c>
      <c r="H677" s="252">
        <f t="shared" si="35"/>
        <v>64100</v>
      </c>
      <c r="I677" s="252">
        <f t="shared" si="35"/>
        <v>71200</v>
      </c>
      <c r="J677" s="252">
        <f t="shared" si="35"/>
        <v>76900</v>
      </c>
      <c r="K677" s="252">
        <f t="shared" si="35"/>
        <v>82600</v>
      </c>
      <c r="L677" s="252">
        <f t="shared" si="35"/>
        <v>88300</v>
      </c>
      <c r="M677" s="252">
        <f t="shared" si="35"/>
        <v>94000</v>
      </c>
    </row>
    <row r="678" spans="1:13" ht="21.95" customHeight="1" x14ac:dyDescent="0.25">
      <c r="A678" s="36" t="s">
        <v>2904</v>
      </c>
      <c r="B678" s="36" t="str">
        <f t="shared" si="34"/>
        <v>IL_MACOUPIN COUNTY, IL HUD METRO FMR AREA</v>
      </c>
      <c r="D678" s="265" t="s">
        <v>92</v>
      </c>
      <c r="E678" s="266" t="s">
        <v>3544</v>
      </c>
      <c r="F678" s="252">
        <f t="shared" si="35"/>
        <v>51050</v>
      </c>
      <c r="G678" s="252">
        <f t="shared" si="35"/>
        <v>58350</v>
      </c>
      <c r="H678" s="252">
        <f t="shared" si="35"/>
        <v>65650</v>
      </c>
      <c r="I678" s="252">
        <f t="shared" si="35"/>
        <v>72900</v>
      </c>
      <c r="J678" s="252">
        <f t="shared" si="35"/>
        <v>78750</v>
      </c>
      <c r="K678" s="252">
        <f t="shared" si="35"/>
        <v>84600</v>
      </c>
      <c r="L678" s="252">
        <f t="shared" si="35"/>
        <v>90400</v>
      </c>
      <c r="M678" s="252">
        <f t="shared" si="35"/>
        <v>96250</v>
      </c>
    </row>
    <row r="679" spans="1:13" ht="21.95" customHeight="1" x14ac:dyDescent="0.25">
      <c r="A679" s="36" t="s">
        <v>2904</v>
      </c>
      <c r="B679" s="36" t="str">
        <f t="shared" si="34"/>
        <v>IL_MARION COUNTY, IL</v>
      </c>
      <c r="D679" s="265" t="s">
        <v>92</v>
      </c>
      <c r="E679" s="266" t="s">
        <v>3545</v>
      </c>
      <c r="F679" s="252">
        <f t="shared" si="35"/>
        <v>48550</v>
      </c>
      <c r="G679" s="252">
        <f t="shared" si="35"/>
        <v>55450</v>
      </c>
      <c r="H679" s="252">
        <f t="shared" si="35"/>
        <v>62400</v>
      </c>
      <c r="I679" s="252">
        <f t="shared" si="35"/>
        <v>69300</v>
      </c>
      <c r="J679" s="252">
        <f t="shared" si="35"/>
        <v>74850</v>
      </c>
      <c r="K679" s="252">
        <f t="shared" ref="F679:M711" si="36">VLOOKUP($B679,LOOKUP_AMI_TABLE,5+((K$7-1)),FALSE)</f>
        <v>80400</v>
      </c>
      <c r="L679" s="252">
        <f t="shared" si="36"/>
        <v>85950</v>
      </c>
      <c r="M679" s="252">
        <f t="shared" si="36"/>
        <v>91500</v>
      </c>
    </row>
    <row r="680" spans="1:13" ht="21.95" customHeight="1" x14ac:dyDescent="0.25">
      <c r="A680" s="36" t="s">
        <v>2904</v>
      </c>
      <c r="B680" s="36" t="str">
        <f t="shared" si="34"/>
        <v>IL_MASON COUNTY, IL</v>
      </c>
      <c r="D680" s="265" t="s">
        <v>92</v>
      </c>
      <c r="E680" s="266" t="s">
        <v>3546</v>
      </c>
      <c r="F680" s="252">
        <f t="shared" si="36"/>
        <v>48650</v>
      </c>
      <c r="G680" s="252">
        <f t="shared" si="36"/>
        <v>55600</v>
      </c>
      <c r="H680" s="252">
        <f t="shared" si="36"/>
        <v>62550</v>
      </c>
      <c r="I680" s="252">
        <f t="shared" si="36"/>
        <v>69500</v>
      </c>
      <c r="J680" s="252">
        <f t="shared" si="36"/>
        <v>75100</v>
      </c>
      <c r="K680" s="252">
        <f t="shared" si="36"/>
        <v>80650</v>
      </c>
      <c r="L680" s="252">
        <f t="shared" si="36"/>
        <v>86200</v>
      </c>
      <c r="M680" s="252">
        <f t="shared" si="36"/>
        <v>91750</v>
      </c>
    </row>
    <row r="681" spans="1:13" ht="21.95" customHeight="1" x14ac:dyDescent="0.25">
      <c r="A681" s="36" t="s">
        <v>2904</v>
      </c>
      <c r="B681" s="36" t="str">
        <f t="shared" si="34"/>
        <v>IL_MASSAC COUNTY, IL HUD METRO FMR AREA</v>
      </c>
      <c r="D681" s="265" t="s">
        <v>92</v>
      </c>
      <c r="E681" s="266" t="s">
        <v>9164</v>
      </c>
      <c r="F681" s="252">
        <f t="shared" si="36"/>
        <v>48550</v>
      </c>
      <c r="G681" s="252">
        <f t="shared" si="36"/>
        <v>55450</v>
      </c>
      <c r="H681" s="252">
        <f t="shared" si="36"/>
        <v>62400</v>
      </c>
      <c r="I681" s="252">
        <f t="shared" si="36"/>
        <v>69300</v>
      </c>
      <c r="J681" s="252">
        <f t="shared" si="36"/>
        <v>74850</v>
      </c>
      <c r="K681" s="252">
        <f t="shared" si="36"/>
        <v>80400</v>
      </c>
      <c r="L681" s="252">
        <f t="shared" si="36"/>
        <v>85950</v>
      </c>
      <c r="M681" s="252">
        <f t="shared" si="36"/>
        <v>91500</v>
      </c>
    </row>
    <row r="682" spans="1:13" ht="21.95" customHeight="1" x14ac:dyDescent="0.25">
      <c r="A682" s="36" t="s">
        <v>2904</v>
      </c>
      <c r="B682" s="36" t="str">
        <f t="shared" si="34"/>
        <v>IL_MCDONOUGH COUNTY, IL</v>
      </c>
      <c r="D682" s="265" t="s">
        <v>92</v>
      </c>
      <c r="E682" s="266" t="s">
        <v>3547</v>
      </c>
      <c r="F682" s="252">
        <f t="shared" si="36"/>
        <v>48550</v>
      </c>
      <c r="G682" s="252">
        <f t="shared" si="36"/>
        <v>55450</v>
      </c>
      <c r="H682" s="252">
        <f t="shared" si="36"/>
        <v>62400</v>
      </c>
      <c r="I682" s="252">
        <f t="shared" si="36"/>
        <v>69300</v>
      </c>
      <c r="J682" s="252">
        <f t="shared" si="36"/>
        <v>74850</v>
      </c>
      <c r="K682" s="252">
        <f t="shared" si="36"/>
        <v>80400</v>
      </c>
      <c r="L682" s="252">
        <f t="shared" si="36"/>
        <v>85950</v>
      </c>
      <c r="M682" s="252">
        <f t="shared" si="36"/>
        <v>91500</v>
      </c>
    </row>
    <row r="683" spans="1:13" ht="21.95" customHeight="1" x14ac:dyDescent="0.25">
      <c r="A683" s="36" t="s">
        <v>2904</v>
      </c>
      <c r="B683" s="36" t="str">
        <f t="shared" si="34"/>
        <v>IL_MONTGOMERY COUNTY, IL</v>
      </c>
      <c r="D683" s="265" t="s">
        <v>92</v>
      </c>
      <c r="E683" s="266" t="s">
        <v>3548</v>
      </c>
      <c r="F683" s="252">
        <f t="shared" si="36"/>
        <v>52400</v>
      </c>
      <c r="G683" s="252">
        <f t="shared" si="36"/>
        <v>59850</v>
      </c>
      <c r="H683" s="252">
        <f t="shared" si="36"/>
        <v>67350</v>
      </c>
      <c r="I683" s="252">
        <f t="shared" si="36"/>
        <v>74800</v>
      </c>
      <c r="J683" s="252">
        <f t="shared" si="36"/>
        <v>80800</v>
      </c>
      <c r="K683" s="252">
        <f t="shared" si="36"/>
        <v>86800</v>
      </c>
      <c r="L683" s="252">
        <f t="shared" si="36"/>
        <v>92800</v>
      </c>
      <c r="M683" s="252">
        <f t="shared" si="36"/>
        <v>98750</v>
      </c>
    </row>
    <row r="684" spans="1:13" ht="21.95" customHeight="1" x14ac:dyDescent="0.25">
      <c r="A684" s="36" t="s">
        <v>2904</v>
      </c>
      <c r="B684" s="36" t="str">
        <f t="shared" si="34"/>
        <v>IL_MORGAN COUNTY, IL</v>
      </c>
      <c r="D684" s="265" t="s">
        <v>92</v>
      </c>
      <c r="E684" s="266" t="s">
        <v>3549</v>
      </c>
      <c r="F684" s="252">
        <f t="shared" si="36"/>
        <v>52850</v>
      </c>
      <c r="G684" s="252">
        <f t="shared" si="36"/>
        <v>60400</v>
      </c>
      <c r="H684" s="252">
        <f t="shared" si="36"/>
        <v>67950</v>
      </c>
      <c r="I684" s="252">
        <f t="shared" si="36"/>
        <v>75450</v>
      </c>
      <c r="J684" s="252">
        <f t="shared" si="36"/>
        <v>81500</v>
      </c>
      <c r="K684" s="252">
        <f t="shared" si="36"/>
        <v>87550</v>
      </c>
      <c r="L684" s="252">
        <f t="shared" si="36"/>
        <v>93600</v>
      </c>
      <c r="M684" s="252">
        <f t="shared" si="36"/>
        <v>99600</v>
      </c>
    </row>
    <row r="685" spans="1:13" ht="21.95" customHeight="1" x14ac:dyDescent="0.25">
      <c r="A685" s="36" t="s">
        <v>2904</v>
      </c>
      <c r="B685" s="36" t="str">
        <f t="shared" si="34"/>
        <v>IL_MOULTRIE COUNTY, IL</v>
      </c>
      <c r="D685" s="265" t="s">
        <v>92</v>
      </c>
      <c r="E685" s="266" t="s">
        <v>3550</v>
      </c>
      <c r="F685" s="252">
        <f t="shared" si="36"/>
        <v>55450</v>
      </c>
      <c r="G685" s="252">
        <f t="shared" si="36"/>
        <v>63400</v>
      </c>
      <c r="H685" s="252">
        <f t="shared" si="36"/>
        <v>71300</v>
      </c>
      <c r="I685" s="252">
        <f t="shared" si="36"/>
        <v>79200</v>
      </c>
      <c r="J685" s="252">
        <f t="shared" si="36"/>
        <v>85550</v>
      </c>
      <c r="K685" s="252">
        <f t="shared" si="36"/>
        <v>91900</v>
      </c>
      <c r="L685" s="252">
        <f t="shared" si="36"/>
        <v>98250</v>
      </c>
      <c r="M685" s="252">
        <f t="shared" si="36"/>
        <v>104550</v>
      </c>
    </row>
    <row r="686" spans="1:13" ht="21.95" customHeight="1" x14ac:dyDescent="0.25">
      <c r="A686" s="36" t="s">
        <v>2904</v>
      </c>
      <c r="B686" s="36" t="str">
        <f t="shared" si="34"/>
        <v>IL_OGLE COUNTY, IL</v>
      </c>
      <c r="D686" s="265" t="s">
        <v>92</v>
      </c>
      <c r="E686" s="266" t="s">
        <v>3551</v>
      </c>
      <c r="F686" s="252">
        <f t="shared" si="36"/>
        <v>56950</v>
      </c>
      <c r="G686" s="252">
        <f t="shared" si="36"/>
        <v>65100</v>
      </c>
      <c r="H686" s="252">
        <f t="shared" si="36"/>
        <v>73250</v>
      </c>
      <c r="I686" s="252">
        <f t="shared" si="36"/>
        <v>81350</v>
      </c>
      <c r="J686" s="252">
        <f t="shared" si="36"/>
        <v>87900</v>
      </c>
      <c r="K686" s="252">
        <f t="shared" si="36"/>
        <v>94400</v>
      </c>
      <c r="L686" s="252">
        <f t="shared" si="36"/>
        <v>100900</v>
      </c>
      <c r="M686" s="252">
        <f t="shared" si="36"/>
        <v>107400</v>
      </c>
    </row>
    <row r="687" spans="1:13" ht="21.95" customHeight="1" x14ac:dyDescent="0.25">
      <c r="A687" s="36" t="s">
        <v>2904</v>
      </c>
      <c r="B687" s="36" t="str">
        <f t="shared" si="34"/>
        <v>IL_PEORIA, IL MSA</v>
      </c>
      <c r="D687" s="265" t="s">
        <v>92</v>
      </c>
      <c r="E687" s="266" t="s">
        <v>9163</v>
      </c>
      <c r="F687" s="252">
        <f t="shared" si="36"/>
        <v>54700</v>
      </c>
      <c r="G687" s="252">
        <f t="shared" si="36"/>
        <v>62500</v>
      </c>
      <c r="H687" s="252">
        <f t="shared" si="36"/>
        <v>70300</v>
      </c>
      <c r="I687" s="252">
        <f t="shared" si="36"/>
        <v>78100</v>
      </c>
      <c r="J687" s="252">
        <f t="shared" si="36"/>
        <v>84350</v>
      </c>
      <c r="K687" s="252">
        <f t="shared" si="36"/>
        <v>90600</v>
      </c>
      <c r="L687" s="252">
        <f t="shared" si="36"/>
        <v>96850</v>
      </c>
      <c r="M687" s="252">
        <f t="shared" si="36"/>
        <v>103100</v>
      </c>
    </row>
    <row r="688" spans="1:13" ht="21.95" customHeight="1" x14ac:dyDescent="0.25">
      <c r="A688" s="36" t="s">
        <v>2904</v>
      </c>
      <c r="B688" s="36" t="str">
        <f t="shared" si="34"/>
        <v>IL_PERRY COUNTY, IL</v>
      </c>
      <c r="D688" s="265" t="s">
        <v>92</v>
      </c>
      <c r="E688" s="266" t="s">
        <v>3552</v>
      </c>
      <c r="F688" s="252">
        <f t="shared" si="36"/>
        <v>48550</v>
      </c>
      <c r="G688" s="252">
        <f t="shared" si="36"/>
        <v>55450</v>
      </c>
      <c r="H688" s="252">
        <f t="shared" si="36"/>
        <v>62400</v>
      </c>
      <c r="I688" s="252">
        <f t="shared" si="36"/>
        <v>69300</v>
      </c>
      <c r="J688" s="252">
        <f t="shared" si="36"/>
        <v>74850</v>
      </c>
      <c r="K688" s="252">
        <f t="shared" si="36"/>
        <v>80400</v>
      </c>
      <c r="L688" s="252">
        <f t="shared" si="36"/>
        <v>85950</v>
      </c>
      <c r="M688" s="252">
        <f t="shared" si="36"/>
        <v>91500</v>
      </c>
    </row>
    <row r="689" spans="1:13" ht="21.95" customHeight="1" x14ac:dyDescent="0.25">
      <c r="A689" s="36" t="s">
        <v>2904</v>
      </c>
      <c r="B689" s="36" t="str">
        <f t="shared" si="34"/>
        <v>IL_PIKE COUNTY, IL</v>
      </c>
      <c r="D689" s="265" t="s">
        <v>92</v>
      </c>
      <c r="E689" s="266" t="s">
        <v>3553</v>
      </c>
      <c r="F689" s="252">
        <f t="shared" si="36"/>
        <v>48550</v>
      </c>
      <c r="G689" s="252">
        <f t="shared" si="36"/>
        <v>55450</v>
      </c>
      <c r="H689" s="252">
        <f t="shared" si="36"/>
        <v>62400</v>
      </c>
      <c r="I689" s="252">
        <f t="shared" si="36"/>
        <v>69300</v>
      </c>
      <c r="J689" s="252">
        <f t="shared" si="36"/>
        <v>74850</v>
      </c>
      <c r="K689" s="252">
        <f t="shared" si="36"/>
        <v>80400</v>
      </c>
      <c r="L689" s="252">
        <f t="shared" si="36"/>
        <v>85950</v>
      </c>
      <c r="M689" s="252">
        <f t="shared" si="36"/>
        <v>91500</v>
      </c>
    </row>
    <row r="690" spans="1:13" ht="21.95" customHeight="1" x14ac:dyDescent="0.25">
      <c r="A690" s="36" t="s">
        <v>2904</v>
      </c>
      <c r="B690" s="36" t="str">
        <f t="shared" si="34"/>
        <v>IL_POPE COUNTY, IL</v>
      </c>
      <c r="D690" s="265" t="s">
        <v>92</v>
      </c>
      <c r="E690" s="266" t="s">
        <v>3554</v>
      </c>
      <c r="F690" s="252">
        <f t="shared" si="36"/>
        <v>49800</v>
      </c>
      <c r="G690" s="252">
        <f t="shared" si="36"/>
        <v>56900</v>
      </c>
      <c r="H690" s="252">
        <f t="shared" si="36"/>
        <v>64000</v>
      </c>
      <c r="I690" s="252">
        <f t="shared" si="36"/>
        <v>71100</v>
      </c>
      <c r="J690" s="252">
        <f t="shared" si="36"/>
        <v>76800</v>
      </c>
      <c r="K690" s="252">
        <f t="shared" si="36"/>
        <v>82500</v>
      </c>
      <c r="L690" s="252">
        <f t="shared" si="36"/>
        <v>88200</v>
      </c>
      <c r="M690" s="252">
        <f t="shared" si="36"/>
        <v>93900</v>
      </c>
    </row>
    <row r="691" spans="1:13" ht="21.95" customHeight="1" x14ac:dyDescent="0.25">
      <c r="A691" s="36" t="s">
        <v>2904</v>
      </c>
      <c r="B691" s="36" t="str">
        <f t="shared" si="34"/>
        <v>IL_PULASKI COUNTY, IL</v>
      </c>
      <c r="D691" s="265" t="s">
        <v>92</v>
      </c>
      <c r="E691" s="266" t="s">
        <v>3555</v>
      </c>
      <c r="F691" s="252">
        <f t="shared" si="36"/>
        <v>48550</v>
      </c>
      <c r="G691" s="252">
        <f t="shared" si="36"/>
        <v>55450</v>
      </c>
      <c r="H691" s="252">
        <f t="shared" si="36"/>
        <v>62400</v>
      </c>
      <c r="I691" s="252">
        <f t="shared" si="36"/>
        <v>69300</v>
      </c>
      <c r="J691" s="252">
        <f t="shared" si="36"/>
        <v>74850</v>
      </c>
      <c r="K691" s="252">
        <f t="shared" si="36"/>
        <v>80400</v>
      </c>
      <c r="L691" s="252">
        <f t="shared" si="36"/>
        <v>85950</v>
      </c>
      <c r="M691" s="252">
        <f t="shared" si="36"/>
        <v>91500</v>
      </c>
    </row>
    <row r="692" spans="1:13" ht="21.95" customHeight="1" x14ac:dyDescent="0.25">
      <c r="A692" s="36" t="s">
        <v>2904</v>
      </c>
      <c r="B692" s="36" t="str">
        <f t="shared" si="34"/>
        <v>IL_PUTNAM COUNTY, IL</v>
      </c>
      <c r="D692" s="265" t="s">
        <v>92</v>
      </c>
      <c r="E692" s="266" t="s">
        <v>3556</v>
      </c>
      <c r="F692" s="252">
        <f t="shared" si="36"/>
        <v>56500</v>
      </c>
      <c r="G692" s="252">
        <f t="shared" si="36"/>
        <v>64550</v>
      </c>
      <c r="H692" s="252">
        <f t="shared" si="36"/>
        <v>72600</v>
      </c>
      <c r="I692" s="252">
        <f t="shared" si="36"/>
        <v>80650</v>
      </c>
      <c r="J692" s="252">
        <f t="shared" si="36"/>
        <v>87150</v>
      </c>
      <c r="K692" s="252">
        <f t="shared" si="36"/>
        <v>93600</v>
      </c>
      <c r="L692" s="252">
        <f t="shared" si="36"/>
        <v>100050</v>
      </c>
      <c r="M692" s="252">
        <f t="shared" si="36"/>
        <v>106500</v>
      </c>
    </row>
    <row r="693" spans="1:13" ht="21.95" customHeight="1" x14ac:dyDescent="0.25">
      <c r="A693" s="36" t="s">
        <v>2904</v>
      </c>
      <c r="B693" s="36" t="str">
        <f t="shared" si="34"/>
        <v>IL_RANDOLPH COUNTY, IL</v>
      </c>
      <c r="D693" s="265" t="s">
        <v>92</v>
      </c>
      <c r="E693" s="266" t="s">
        <v>3557</v>
      </c>
      <c r="F693" s="252">
        <f t="shared" si="36"/>
        <v>52750</v>
      </c>
      <c r="G693" s="252">
        <f t="shared" si="36"/>
        <v>60250</v>
      </c>
      <c r="H693" s="252">
        <f t="shared" si="36"/>
        <v>67800</v>
      </c>
      <c r="I693" s="252">
        <f t="shared" si="36"/>
        <v>75300</v>
      </c>
      <c r="J693" s="252">
        <f t="shared" si="36"/>
        <v>81350</v>
      </c>
      <c r="K693" s="252">
        <f t="shared" si="36"/>
        <v>87350</v>
      </c>
      <c r="L693" s="252">
        <f t="shared" si="36"/>
        <v>93400</v>
      </c>
      <c r="M693" s="252">
        <f t="shared" si="36"/>
        <v>99400</v>
      </c>
    </row>
    <row r="694" spans="1:13" ht="21.95" customHeight="1" x14ac:dyDescent="0.25">
      <c r="A694" s="36" t="s">
        <v>2904</v>
      </c>
      <c r="B694" s="36" t="str">
        <f t="shared" si="34"/>
        <v>IL_RICHLAND COUNTY, IL</v>
      </c>
      <c r="D694" s="265" t="s">
        <v>92</v>
      </c>
      <c r="E694" s="266" t="s">
        <v>3558</v>
      </c>
      <c r="F694" s="252">
        <f t="shared" si="36"/>
        <v>48550</v>
      </c>
      <c r="G694" s="252">
        <f t="shared" si="36"/>
        <v>55450</v>
      </c>
      <c r="H694" s="252">
        <f t="shared" si="36"/>
        <v>62400</v>
      </c>
      <c r="I694" s="252">
        <f t="shared" si="36"/>
        <v>69300</v>
      </c>
      <c r="J694" s="252">
        <f t="shared" si="36"/>
        <v>74850</v>
      </c>
      <c r="K694" s="252">
        <f t="shared" si="36"/>
        <v>80400</v>
      </c>
      <c r="L694" s="252">
        <f t="shared" si="36"/>
        <v>85950</v>
      </c>
      <c r="M694" s="252">
        <f t="shared" si="36"/>
        <v>91500</v>
      </c>
    </row>
    <row r="695" spans="1:13" ht="21.95" customHeight="1" x14ac:dyDescent="0.25">
      <c r="A695" s="36" t="s">
        <v>2904</v>
      </c>
      <c r="B695" s="36" t="str">
        <f t="shared" si="34"/>
        <v>IL_ROCKFORD, IL MSA</v>
      </c>
      <c r="D695" s="265" t="s">
        <v>92</v>
      </c>
      <c r="E695" s="266" t="s">
        <v>3559</v>
      </c>
      <c r="F695" s="252">
        <f t="shared" si="36"/>
        <v>48550</v>
      </c>
      <c r="G695" s="252">
        <f t="shared" si="36"/>
        <v>55450</v>
      </c>
      <c r="H695" s="252">
        <f t="shared" si="36"/>
        <v>62400</v>
      </c>
      <c r="I695" s="252">
        <f t="shared" si="36"/>
        <v>69300</v>
      </c>
      <c r="J695" s="252">
        <f t="shared" si="36"/>
        <v>74850</v>
      </c>
      <c r="K695" s="252">
        <f t="shared" si="36"/>
        <v>80400</v>
      </c>
      <c r="L695" s="252">
        <f t="shared" si="36"/>
        <v>85950</v>
      </c>
      <c r="M695" s="252">
        <f t="shared" si="36"/>
        <v>91500</v>
      </c>
    </row>
    <row r="696" spans="1:13" ht="21.95" customHeight="1" x14ac:dyDescent="0.25">
      <c r="A696" s="36" t="s">
        <v>2904</v>
      </c>
      <c r="B696" s="36" t="str">
        <f t="shared" si="34"/>
        <v>IL_SALINE COUNTY, IL</v>
      </c>
      <c r="D696" s="265" t="s">
        <v>92</v>
      </c>
      <c r="E696" s="266" t="s">
        <v>3560</v>
      </c>
      <c r="F696" s="252">
        <f t="shared" si="36"/>
        <v>48550</v>
      </c>
      <c r="G696" s="252">
        <f t="shared" si="36"/>
        <v>55450</v>
      </c>
      <c r="H696" s="252">
        <f t="shared" si="36"/>
        <v>62400</v>
      </c>
      <c r="I696" s="252">
        <f t="shared" si="36"/>
        <v>69300</v>
      </c>
      <c r="J696" s="252">
        <f t="shared" si="36"/>
        <v>74850</v>
      </c>
      <c r="K696" s="252">
        <f t="shared" si="36"/>
        <v>80400</v>
      </c>
      <c r="L696" s="252">
        <f t="shared" si="36"/>
        <v>85950</v>
      </c>
      <c r="M696" s="252">
        <f t="shared" si="36"/>
        <v>91500</v>
      </c>
    </row>
    <row r="697" spans="1:13" ht="21.95" customHeight="1" x14ac:dyDescent="0.25">
      <c r="A697" s="36" t="s">
        <v>2904</v>
      </c>
      <c r="B697" s="36" t="str">
        <f t="shared" si="34"/>
        <v>IL_SCHUYLER COUNTY, IL</v>
      </c>
      <c r="D697" s="265" t="s">
        <v>92</v>
      </c>
      <c r="E697" s="266" t="s">
        <v>3561</v>
      </c>
      <c r="F697" s="252">
        <f t="shared" si="36"/>
        <v>51700</v>
      </c>
      <c r="G697" s="252">
        <f t="shared" si="36"/>
        <v>59100</v>
      </c>
      <c r="H697" s="252">
        <f t="shared" si="36"/>
        <v>66500</v>
      </c>
      <c r="I697" s="252">
        <f t="shared" si="36"/>
        <v>73850</v>
      </c>
      <c r="J697" s="252">
        <f t="shared" si="36"/>
        <v>79800</v>
      </c>
      <c r="K697" s="252">
        <f t="shared" si="36"/>
        <v>85700</v>
      </c>
      <c r="L697" s="252">
        <f t="shared" si="36"/>
        <v>91600</v>
      </c>
      <c r="M697" s="252">
        <f t="shared" si="36"/>
        <v>97500</v>
      </c>
    </row>
    <row r="698" spans="1:13" ht="21.95" customHeight="1" x14ac:dyDescent="0.25">
      <c r="A698" s="36" t="s">
        <v>2904</v>
      </c>
      <c r="B698" s="36" t="str">
        <f t="shared" si="34"/>
        <v>IL_SCOTT COUNTY, IL</v>
      </c>
      <c r="D698" s="265" t="s">
        <v>92</v>
      </c>
      <c r="E698" s="266" t="s">
        <v>3562</v>
      </c>
      <c r="F698" s="252">
        <f t="shared" si="36"/>
        <v>55350</v>
      </c>
      <c r="G698" s="252">
        <f t="shared" si="36"/>
        <v>63250</v>
      </c>
      <c r="H698" s="252">
        <f t="shared" si="36"/>
        <v>71150</v>
      </c>
      <c r="I698" s="252">
        <f t="shared" si="36"/>
        <v>79050</v>
      </c>
      <c r="J698" s="252">
        <f t="shared" si="36"/>
        <v>85400</v>
      </c>
      <c r="K698" s="252">
        <f t="shared" si="36"/>
        <v>91700</v>
      </c>
      <c r="L698" s="252">
        <f t="shared" si="36"/>
        <v>98050</v>
      </c>
      <c r="M698" s="252">
        <f t="shared" si="36"/>
        <v>104350</v>
      </c>
    </row>
    <row r="699" spans="1:13" ht="21.95" customHeight="1" x14ac:dyDescent="0.25">
      <c r="A699" s="36" t="s">
        <v>2904</v>
      </c>
      <c r="B699" s="36" t="str">
        <f t="shared" si="34"/>
        <v>IL_SHELBY COUNTY, IL</v>
      </c>
      <c r="D699" s="265" t="s">
        <v>92</v>
      </c>
      <c r="E699" s="266" t="s">
        <v>3563</v>
      </c>
      <c r="F699" s="252">
        <f t="shared" si="36"/>
        <v>50750</v>
      </c>
      <c r="G699" s="252">
        <f t="shared" si="36"/>
        <v>58000</v>
      </c>
      <c r="H699" s="252">
        <f t="shared" si="36"/>
        <v>65250</v>
      </c>
      <c r="I699" s="252">
        <f t="shared" si="36"/>
        <v>72500</v>
      </c>
      <c r="J699" s="252">
        <f t="shared" si="36"/>
        <v>78300</v>
      </c>
      <c r="K699" s="252">
        <f t="shared" si="36"/>
        <v>84100</v>
      </c>
      <c r="L699" s="252">
        <f t="shared" si="36"/>
        <v>89900</v>
      </c>
      <c r="M699" s="252">
        <f t="shared" si="36"/>
        <v>95700</v>
      </c>
    </row>
    <row r="700" spans="1:13" ht="21.95" customHeight="1" x14ac:dyDescent="0.25">
      <c r="A700" s="36" t="s">
        <v>2904</v>
      </c>
      <c r="B700" s="36" t="str">
        <f t="shared" ref="B700:B763" si="37">UPPER(TRIM(D700)&amp;"_"&amp;TRIM(E700))</f>
        <v>IL_SPRINGFIELD, IL MSA</v>
      </c>
      <c r="D700" s="265" t="s">
        <v>92</v>
      </c>
      <c r="E700" s="266" t="s">
        <v>3564</v>
      </c>
      <c r="F700" s="252">
        <f t="shared" si="36"/>
        <v>64250</v>
      </c>
      <c r="G700" s="252">
        <f t="shared" si="36"/>
        <v>73400</v>
      </c>
      <c r="H700" s="252">
        <f t="shared" si="36"/>
        <v>82600</v>
      </c>
      <c r="I700" s="252">
        <f t="shared" si="36"/>
        <v>91750</v>
      </c>
      <c r="J700" s="252">
        <f t="shared" si="36"/>
        <v>99100</v>
      </c>
      <c r="K700" s="252">
        <f t="shared" si="36"/>
        <v>106450</v>
      </c>
      <c r="L700" s="252">
        <f t="shared" si="36"/>
        <v>113800</v>
      </c>
      <c r="M700" s="252">
        <f t="shared" si="36"/>
        <v>121150</v>
      </c>
    </row>
    <row r="701" spans="1:13" ht="21.95" customHeight="1" x14ac:dyDescent="0.25">
      <c r="A701" s="36" t="s">
        <v>2904</v>
      </c>
      <c r="B701" s="36" t="str">
        <f t="shared" si="37"/>
        <v>IL_STEPHENSON COUNTY, IL</v>
      </c>
      <c r="D701" s="265" t="s">
        <v>92</v>
      </c>
      <c r="E701" s="266" t="s">
        <v>3566</v>
      </c>
      <c r="F701" s="252">
        <f t="shared" si="36"/>
        <v>48550</v>
      </c>
      <c r="G701" s="252">
        <f t="shared" si="36"/>
        <v>55450</v>
      </c>
      <c r="H701" s="252">
        <f t="shared" si="36"/>
        <v>62400</v>
      </c>
      <c r="I701" s="252">
        <f t="shared" si="36"/>
        <v>69300</v>
      </c>
      <c r="J701" s="252">
        <f t="shared" si="36"/>
        <v>74850</v>
      </c>
      <c r="K701" s="252">
        <f t="shared" si="36"/>
        <v>80400</v>
      </c>
      <c r="L701" s="252">
        <f t="shared" si="36"/>
        <v>85950</v>
      </c>
      <c r="M701" s="252">
        <f t="shared" si="36"/>
        <v>91500</v>
      </c>
    </row>
    <row r="702" spans="1:13" ht="21.95" customHeight="1" x14ac:dyDescent="0.25">
      <c r="A702" s="36" t="s">
        <v>2904</v>
      </c>
      <c r="B702" s="36" t="str">
        <f t="shared" si="37"/>
        <v>IL_ST. LOUIS, MO-IL HUD METRO FMR AREA</v>
      </c>
      <c r="D702" s="265" t="s">
        <v>92</v>
      </c>
      <c r="E702" s="266" t="s">
        <v>3565</v>
      </c>
      <c r="F702" s="252">
        <f t="shared" si="36"/>
        <v>62400</v>
      </c>
      <c r="G702" s="252">
        <f t="shared" si="36"/>
        <v>71300</v>
      </c>
      <c r="H702" s="252">
        <f t="shared" si="36"/>
        <v>80200</v>
      </c>
      <c r="I702" s="252">
        <f t="shared" si="36"/>
        <v>89100</v>
      </c>
      <c r="J702" s="252">
        <f t="shared" si="36"/>
        <v>96250</v>
      </c>
      <c r="K702" s="252">
        <f t="shared" si="36"/>
        <v>103400</v>
      </c>
      <c r="L702" s="252">
        <f t="shared" si="36"/>
        <v>110500</v>
      </c>
      <c r="M702" s="252">
        <f t="shared" si="36"/>
        <v>117650</v>
      </c>
    </row>
    <row r="703" spans="1:13" ht="21.95" customHeight="1" x14ac:dyDescent="0.25">
      <c r="A703" s="36" t="s">
        <v>2904</v>
      </c>
      <c r="B703" s="36" t="str">
        <f t="shared" si="37"/>
        <v>IL_UNION COUNTY, IL</v>
      </c>
      <c r="D703" s="265" t="s">
        <v>92</v>
      </c>
      <c r="E703" s="266" t="s">
        <v>3567</v>
      </c>
      <c r="F703" s="252">
        <f t="shared" si="36"/>
        <v>50250</v>
      </c>
      <c r="G703" s="252">
        <f t="shared" si="36"/>
        <v>57400</v>
      </c>
      <c r="H703" s="252">
        <f t="shared" si="36"/>
        <v>64600</v>
      </c>
      <c r="I703" s="252">
        <f t="shared" si="36"/>
        <v>71750</v>
      </c>
      <c r="J703" s="252">
        <f t="shared" si="36"/>
        <v>77500</v>
      </c>
      <c r="K703" s="252">
        <f t="shared" si="36"/>
        <v>83250</v>
      </c>
      <c r="L703" s="252">
        <f t="shared" si="36"/>
        <v>89000</v>
      </c>
      <c r="M703" s="252">
        <f t="shared" si="36"/>
        <v>94750</v>
      </c>
    </row>
    <row r="704" spans="1:13" ht="21.95" customHeight="1" x14ac:dyDescent="0.25">
      <c r="A704" s="36" t="s">
        <v>2904</v>
      </c>
      <c r="B704" s="36" t="str">
        <f t="shared" si="37"/>
        <v>IL_VERMILION COUNTY, IL</v>
      </c>
      <c r="D704" s="265" t="s">
        <v>92</v>
      </c>
      <c r="E704" s="266" t="s">
        <v>9165</v>
      </c>
      <c r="F704" s="252">
        <f t="shared" si="36"/>
        <v>48550</v>
      </c>
      <c r="G704" s="252">
        <f t="shared" si="36"/>
        <v>55450</v>
      </c>
      <c r="H704" s="252">
        <f t="shared" si="36"/>
        <v>62400</v>
      </c>
      <c r="I704" s="252">
        <f t="shared" si="36"/>
        <v>69300</v>
      </c>
      <c r="J704" s="252">
        <f t="shared" si="36"/>
        <v>74850</v>
      </c>
      <c r="K704" s="252">
        <f t="shared" si="36"/>
        <v>80400</v>
      </c>
      <c r="L704" s="252">
        <f t="shared" si="36"/>
        <v>85950</v>
      </c>
      <c r="M704" s="252">
        <f t="shared" si="36"/>
        <v>91500</v>
      </c>
    </row>
    <row r="705" spans="1:13" ht="21.95" customHeight="1" x14ac:dyDescent="0.25">
      <c r="A705" s="36" t="s">
        <v>2904</v>
      </c>
      <c r="B705" s="36" t="str">
        <f t="shared" si="37"/>
        <v>IL_WABASH COUNTY, IL</v>
      </c>
      <c r="D705" s="265" t="s">
        <v>92</v>
      </c>
      <c r="E705" s="266" t="s">
        <v>3568</v>
      </c>
      <c r="F705" s="252">
        <f t="shared" si="36"/>
        <v>50700</v>
      </c>
      <c r="G705" s="252">
        <f t="shared" si="36"/>
        <v>57950</v>
      </c>
      <c r="H705" s="252">
        <f t="shared" si="36"/>
        <v>65200</v>
      </c>
      <c r="I705" s="252">
        <f t="shared" si="36"/>
        <v>72400</v>
      </c>
      <c r="J705" s="252">
        <f t="shared" si="36"/>
        <v>78200</v>
      </c>
      <c r="K705" s="252">
        <f t="shared" si="36"/>
        <v>84000</v>
      </c>
      <c r="L705" s="252">
        <f t="shared" si="36"/>
        <v>89800</v>
      </c>
      <c r="M705" s="252">
        <f t="shared" si="36"/>
        <v>95600</v>
      </c>
    </row>
    <row r="706" spans="1:13" ht="21.95" customHeight="1" x14ac:dyDescent="0.25">
      <c r="A706" s="36" t="s">
        <v>2904</v>
      </c>
      <c r="B706" s="36" t="str">
        <f t="shared" si="37"/>
        <v>IL_WARREN COUNTY, IL</v>
      </c>
      <c r="D706" s="265" t="s">
        <v>92</v>
      </c>
      <c r="E706" s="266" t="s">
        <v>3569</v>
      </c>
      <c r="F706" s="252">
        <f t="shared" si="36"/>
        <v>50050</v>
      </c>
      <c r="G706" s="252">
        <f t="shared" si="36"/>
        <v>57200</v>
      </c>
      <c r="H706" s="252">
        <f t="shared" si="36"/>
        <v>64350</v>
      </c>
      <c r="I706" s="252">
        <f t="shared" si="36"/>
        <v>71450</v>
      </c>
      <c r="J706" s="252">
        <f t="shared" si="36"/>
        <v>77200</v>
      </c>
      <c r="K706" s="252">
        <f t="shared" si="36"/>
        <v>82900</v>
      </c>
      <c r="L706" s="252">
        <f t="shared" si="36"/>
        <v>88600</v>
      </c>
      <c r="M706" s="252">
        <f t="shared" si="36"/>
        <v>94350</v>
      </c>
    </row>
    <row r="707" spans="1:13" ht="21.95" customHeight="1" x14ac:dyDescent="0.25">
      <c r="A707" s="36" t="s">
        <v>2904</v>
      </c>
      <c r="B707" s="36" t="str">
        <f t="shared" si="37"/>
        <v>IL_WASHINGTON COUNTY, IL</v>
      </c>
      <c r="D707" s="265" t="s">
        <v>92</v>
      </c>
      <c r="E707" s="266" t="s">
        <v>3570</v>
      </c>
      <c r="F707" s="252">
        <f t="shared" si="36"/>
        <v>57200</v>
      </c>
      <c r="G707" s="252">
        <f t="shared" si="36"/>
        <v>65400</v>
      </c>
      <c r="H707" s="252">
        <f t="shared" si="36"/>
        <v>73550</v>
      </c>
      <c r="I707" s="252">
        <f t="shared" si="36"/>
        <v>81700</v>
      </c>
      <c r="J707" s="252">
        <f t="shared" si="36"/>
        <v>88250</v>
      </c>
      <c r="K707" s="252">
        <f t="shared" si="36"/>
        <v>94800</v>
      </c>
      <c r="L707" s="252">
        <f t="shared" si="36"/>
        <v>101350</v>
      </c>
      <c r="M707" s="252">
        <f t="shared" si="36"/>
        <v>107850</v>
      </c>
    </row>
    <row r="708" spans="1:13" ht="21.95" customHeight="1" x14ac:dyDescent="0.25">
      <c r="A708" s="36" t="s">
        <v>2904</v>
      </c>
      <c r="B708" s="36" t="str">
        <f t="shared" si="37"/>
        <v>IL_WAYNE COUNTY, IL</v>
      </c>
      <c r="D708" s="265" t="s">
        <v>92</v>
      </c>
      <c r="E708" s="266" t="s">
        <v>3571</v>
      </c>
      <c r="F708" s="252">
        <f t="shared" si="36"/>
        <v>48550</v>
      </c>
      <c r="G708" s="252">
        <f t="shared" si="36"/>
        <v>55450</v>
      </c>
      <c r="H708" s="252">
        <f t="shared" si="36"/>
        <v>62400</v>
      </c>
      <c r="I708" s="252">
        <f t="shared" si="36"/>
        <v>69300</v>
      </c>
      <c r="J708" s="252">
        <f t="shared" si="36"/>
        <v>74850</v>
      </c>
      <c r="K708" s="252">
        <f t="shared" si="36"/>
        <v>80400</v>
      </c>
      <c r="L708" s="252">
        <f t="shared" si="36"/>
        <v>85950</v>
      </c>
      <c r="M708" s="252">
        <f t="shared" si="36"/>
        <v>91500</v>
      </c>
    </row>
    <row r="709" spans="1:13" ht="21.95" customHeight="1" x14ac:dyDescent="0.25">
      <c r="A709" s="36" t="s">
        <v>2904</v>
      </c>
      <c r="B709" s="36" t="str">
        <f t="shared" si="37"/>
        <v>IL_WHITE COUNTY, IL</v>
      </c>
      <c r="D709" s="265" t="s">
        <v>92</v>
      </c>
      <c r="E709" s="266" t="s">
        <v>3572</v>
      </c>
      <c r="F709" s="252">
        <f t="shared" si="36"/>
        <v>48550</v>
      </c>
      <c r="G709" s="252">
        <f t="shared" si="36"/>
        <v>55450</v>
      </c>
      <c r="H709" s="252">
        <f t="shared" si="36"/>
        <v>62400</v>
      </c>
      <c r="I709" s="252">
        <f t="shared" si="36"/>
        <v>69300</v>
      </c>
      <c r="J709" s="252">
        <f t="shared" si="36"/>
        <v>74850</v>
      </c>
      <c r="K709" s="252">
        <f t="shared" si="36"/>
        <v>80400</v>
      </c>
      <c r="L709" s="252">
        <f t="shared" si="36"/>
        <v>85950</v>
      </c>
      <c r="M709" s="252">
        <f t="shared" si="36"/>
        <v>91500</v>
      </c>
    </row>
    <row r="710" spans="1:13" ht="21.95" customHeight="1" x14ac:dyDescent="0.25">
      <c r="A710" s="36" t="s">
        <v>2904</v>
      </c>
      <c r="B710" s="36" t="str">
        <f t="shared" si="37"/>
        <v>IL_WHITESIDE COUNTY, IL</v>
      </c>
      <c r="D710" s="265" t="s">
        <v>92</v>
      </c>
      <c r="E710" s="266" t="s">
        <v>3573</v>
      </c>
      <c r="F710" s="252">
        <f t="shared" si="36"/>
        <v>51650</v>
      </c>
      <c r="G710" s="252">
        <f t="shared" si="36"/>
        <v>59000</v>
      </c>
      <c r="H710" s="252">
        <f t="shared" si="36"/>
        <v>66400</v>
      </c>
      <c r="I710" s="252">
        <f t="shared" si="36"/>
        <v>73750</v>
      </c>
      <c r="J710" s="252">
        <f t="shared" si="36"/>
        <v>79650</v>
      </c>
      <c r="K710" s="252">
        <f t="shared" si="36"/>
        <v>85550</v>
      </c>
      <c r="L710" s="252">
        <f t="shared" si="36"/>
        <v>91450</v>
      </c>
      <c r="M710" s="252">
        <f t="shared" si="36"/>
        <v>97350</v>
      </c>
    </row>
    <row r="711" spans="1:13" ht="21.95" customHeight="1" x14ac:dyDescent="0.25">
      <c r="A711" s="36" t="s">
        <v>2904</v>
      </c>
      <c r="B711" s="36" t="str">
        <f t="shared" si="37"/>
        <v>IL_WILLIAMSON COUNTY, IL</v>
      </c>
      <c r="D711" s="265" t="s">
        <v>92</v>
      </c>
      <c r="E711" s="266" t="s">
        <v>9166</v>
      </c>
      <c r="F711" s="252">
        <f t="shared" si="36"/>
        <v>48550</v>
      </c>
      <c r="G711" s="252">
        <f t="shared" si="36"/>
        <v>55450</v>
      </c>
      <c r="H711" s="252">
        <f t="shared" si="36"/>
        <v>62400</v>
      </c>
      <c r="I711" s="252">
        <f t="shared" si="36"/>
        <v>69300</v>
      </c>
      <c r="J711" s="252">
        <f t="shared" ref="F711:M743" si="38">VLOOKUP($B711,LOOKUP_AMI_TABLE,5+((J$7-1)),FALSE)</f>
        <v>74850</v>
      </c>
      <c r="K711" s="252">
        <f t="shared" si="38"/>
        <v>80400</v>
      </c>
      <c r="L711" s="252">
        <f t="shared" si="38"/>
        <v>85950</v>
      </c>
      <c r="M711" s="252">
        <f t="shared" si="38"/>
        <v>91500</v>
      </c>
    </row>
    <row r="712" spans="1:13" ht="21.95" customHeight="1" x14ac:dyDescent="0.25">
      <c r="A712" s="36" t="s">
        <v>2904</v>
      </c>
      <c r="B712" s="36" t="str">
        <f t="shared" si="37"/>
        <v>IN_ADAMS COUNTY, IN</v>
      </c>
      <c r="D712" s="265" t="s">
        <v>91</v>
      </c>
      <c r="E712" s="266" t="s">
        <v>3574</v>
      </c>
      <c r="F712" s="252">
        <f t="shared" si="38"/>
        <v>47550</v>
      </c>
      <c r="G712" s="252">
        <f t="shared" si="38"/>
        <v>54350</v>
      </c>
      <c r="H712" s="252">
        <f t="shared" si="38"/>
        <v>61150</v>
      </c>
      <c r="I712" s="252">
        <f t="shared" si="38"/>
        <v>67900</v>
      </c>
      <c r="J712" s="252">
        <f t="shared" si="38"/>
        <v>73350</v>
      </c>
      <c r="K712" s="252">
        <f t="shared" si="38"/>
        <v>78800</v>
      </c>
      <c r="L712" s="252">
        <f t="shared" si="38"/>
        <v>84200</v>
      </c>
      <c r="M712" s="252">
        <f t="shared" si="38"/>
        <v>89650</v>
      </c>
    </row>
    <row r="713" spans="1:13" ht="21.95" customHeight="1" x14ac:dyDescent="0.25">
      <c r="A713" s="36" t="s">
        <v>2904</v>
      </c>
      <c r="B713" s="36" t="str">
        <f t="shared" si="37"/>
        <v>IN_ANDERSON, IN HUD METRO FMR AREA</v>
      </c>
      <c r="D713" s="265" t="s">
        <v>91</v>
      </c>
      <c r="E713" s="266" t="s">
        <v>3575</v>
      </c>
      <c r="F713" s="252">
        <f t="shared" si="38"/>
        <v>47550</v>
      </c>
      <c r="G713" s="252">
        <f t="shared" si="38"/>
        <v>54350</v>
      </c>
      <c r="H713" s="252">
        <f t="shared" si="38"/>
        <v>61150</v>
      </c>
      <c r="I713" s="252">
        <f t="shared" si="38"/>
        <v>67900</v>
      </c>
      <c r="J713" s="252">
        <f t="shared" si="38"/>
        <v>73350</v>
      </c>
      <c r="K713" s="252">
        <f t="shared" si="38"/>
        <v>78800</v>
      </c>
      <c r="L713" s="252">
        <f t="shared" si="38"/>
        <v>84200</v>
      </c>
      <c r="M713" s="252">
        <f t="shared" si="38"/>
        <v>89650</v>
      </c>
    </row>
    <row r="714" spans="1:13" ht="21.95" customHeight="1" x14ac:dyDescent="0.25">
      <c r="A714" s="36" t="s">
        <v>2904</v>
      </c>
      <c r="B714" s="36" t="str">
        <f t="shared" si="37"/>
        <v>IN_BLACKFORD COUNTY, IN</v>
      </c>
      <c r="D714" s="265" t="s">
        <v>91</v>
      </c>
      <c r="E714" s="266" t="s">
        <v>3576</v>
      </c>
      <c r="F714" s="252">
        <f t="shared" si="38"/>
        <v>47550</v>
      </c>
      <c r="G714" s="252">
        <f t="shared" si="38"/>
        <v>54350</v>
      </c>
      <c r="H714" s="252">
        <f t="shared" si="38"/>
        <v>61150</v>
      </c>
      <c r="I714" s="252">
        <f t="shared" si="38"/>
        <v>67900</v>
      </c>
      <c r="J714" s="252">
        <f t="shared" si="38"/>
        <v>73350</v>
      </c>
      <c r="K714" s="252">
        <f t="shared" si="38"/>
        <v>78800</v>
      </c>
      <c r="L714" s="252">
        <f t="shared" si="38"/>
        <v>84200</v>
      </c>
      <c r="M714" s="252">
        <f t="shared" si="38"/>
        <v>89650</v>
      </c>
    </row>
    <row r="715" spans="1:13" ht="21.95" customHeight="1" x14ac:dyDescent="0.25">
      <c r="A715" s="36" t="s">
        <v>2904</v>
      </c>
      <c r="B715" s="36" t="str">
        <f t="shared" si="37"/>
        <v>IN_BLOOMINGTON, IN HUD METRO FMR AREA</v>
      </c>
      <c r="D715" s="265" t="s">
        <v>91</v>
      </c>
      <c r="E715" s="266" t="s">
        <v>3577</v>
      </c>
      <c r="F715" s="252">
        <f t="shared" si="38"/>
        <v>60700</v>
      </c>
      <c r="G715" s="252">
        <f t="shared" si="38"/>
        <v>69400</v>
      </c>
      <c r="H715" s="252">
        <f t="shared" si="38"/>
        <v>78050</v>
      </c>
      <c r="I715" s="252">
        <f t="shared" si="38"/>
        <v>86700</v>
      </c>
      <c r="J715" s="252">
        <f t="shared" si="38"/>
        <v>93650</v>
      </c>
      <c r="K715" s="252">
        <f t="shared" si="38"/>
        <v>100600</v>
      </c>
      <c r="L715" s="252">
        <f t="shared" si="38"/>
        <v>107550</v>
      </c>
      <c r="M715" s="252">
        <f t="shared" si="38"/>
        <v>114450</v>
      </c>
    </row>
    <row r="716" spans="1:13" ht="21.95" customHeight="1" x14ac:dyDescent="0.25">
      <c r="A716" s="36" t="s">
        <v>2904</v>
      </c>
      <c r="B716" s="36" t="str">
        <f t="shared" si="37"/>
        <v>IN_CARROLL COUNTY, IN HUD METRO FMR AREA</v>
      </c>
      <c r="D716" s="265" t="s">
        <v>91</v>
      </c>
      <c r="E716" s="266" t="s">
        <v>3578</v>
      </c>
      <c r="F716" s="252">
        <f t="shared" si="38"/>
        <v>48750</v>
      </c>
      <c r="G716" s="252">
        <f t="shared" si="38"/>
        <v>55700</v>
      </c>
      <c r="H716" s="252">
        <f t="shared" si="38"/>
        <v>62650</v>
      </c>
      <c r="I716" s="252">
        <f t="shared" si="38"/>
        <v>69600</v>
      </c>
      <c r="J716" s="252">
        <f t="shared" si="38"/>
        <v>75200</v>
      </c>
      <c r="K716" s="252">
        <f t="shared" si="38"/>
        <v>80750</v>
      </c>
      <c r="L716" s="252">
        <f t="shared" si="38"/>
        <v>86350</v>
      </c>
      <c r="M716" s="252">
        <f t="shared" si="38"/>
        <v>91900</v>
      </c>
    </row>
    <row r="717" spans="1:13" ht="21.95" customHeight="1" x14ac:dyDescent="0.25">
      <c r="A717" s="36" t="s">
        <v>2904</v>
      </c>
      <c r="B717" s="36" t="str">
        <f t="shared" si="37"/>
        <v>IN_CASS COUNTY, IN</v>
      </c>
      <c r="D717" s="265" t="s">
        <v>91</v>
      </c>
      <c r="E717" s="266" t="s">
        <v>3579</v>
      </c>
      <c r="F717" s="252">
        <f t="shared" si="38"/>
        <v>47550</v>
      </c>
      <c r="G717" s="252">
        <f t="shared" si="38"/>
        <v>54350</v>
      </c>
      <c r="H717" s="252">
        <f t="shared" si="38"/>
        <v>61150</v>
      </c>
      <c r="I717" s="252">
        <f t="shared" si="38"/>
        <v>67900</v>
      </c>
      <c r="J717" s="252">
        <f t="shared" si="38"/>
        <v>73350</v>
      </c>
      <c r="K717" s="252">
        <f t="shared" si="38"/>
        <v>78800</v>
      </c>
      <c r="L717" s="252">
        <f t="shared" si="38"/>
        <v>84200</v>
      </c>
      <c r="M717" s="252">
        <f t="shared" si="38"/>
        <v>89650</v>
      </c>
    </row>
    <row r="718" spans="1:13" ht="21.95" customHeight="1" x14ac:dyDescent="0.25">
      <c r="A718" s="36" t="s">
        <v>2904</v>
      </c>
      <c r="B718" s="36" t="str">
        <f t="shared" si="37"/>
        <v>IN_CINCINNATI, OH-KY-IN HUD METRO FMR AREA</v>
      </c>
      <c r="D718" s="265" t="s">
        <v>91</v>
      </c>
      <c r="E718" s="266" t="s">
        <v>3580</v>
      </c>
      <c r="F718" s="252">
        <f t="shared" si="38"/>
        <v>62650</v>
      </c>
      <c r="G718" s="252">
        <f t="shared" si="38"/>
        <v>71600</v>
      </c>
      <c r="H718" s="252">
        <f t="shared" si="38"/>
        <v>80550</v>
      </c>
      <c r="I718" s="252">
        <f t="shared" si="38"/>
        <v>89450</v>
      </c>
      <c r="J718" s="252">
        <f t="shared" si="38"/>
        <v>96650</v>
      </c>
      <c r="K718" s="252">
        <f t="shared" si="38"/>
        <v>103800</v>
      </c>
      <c r="L718" s="252">
        <f t="shared" si="38"/>
        <v>110950</v>
      </c>
      <c r="M718" s="252">
        <f t="shared" si="38"/>
        <v>118100</v>
      </c>
    </row>
    <row r="719" spans="1:13" ht="21.95" customHeight="1" x14ac:dyDescent="0.25">
      <c r="A719" s="36" t="s">
        <v>2904</v>
      </c>
      <c r="B719" s="36" t="str">
        <f t="shared" si="37"/>
        <v>IN_CLINTON COUNTY, IN</v>
      </c>
      <c r="D719" s="265" t="s">
        <v>91</v>
      </c>
      <c r="E719" s="266" t="s">
        <v>3581</v>
      </c>
      <c r="F719" s="252">
        <f t="shared" si="38"/>
        <v>49950</v>
      </c>
      <c r="G719" s="252">
        <f t="shared" si="38"/>
        <v>57050</v>
      </c>
      <c r="H719" s="252">
        <f t="shared" si="38"/>
        <v>64200</v>
      </c>
      <c r="I719" s="252">
        <f t="shared" si="38"/>
        <v>71300</v>
      </c>
      <c r="J719" s="252">
        <f t="shared" si="38"/>
        <v>77050</v>
      </c>
      <c r="K719" s="252">
        <f t="shared" si="38"/>
        <v>82750</v>
      </c>
      <c r="L719" s="252">
        <f t="shared" si="38"/>
        <v>88450</v>
      </c>
      <c r="M719" s="252">
        <f t="shared" si="38"/>
        <v>94150</v>
      </c>
    </row>
    <row r="720" spans="1:13" ht="21.95" customHeight="1" x14ac:dyDescent="0.25">
      <c r="A720" s="36" t="s">
        <v>2904</v>
      </c>
      <c r="B720" s="36" t="str">
        <f t="shared" si="37"/>
        <v>IN_COLUMBUS, IN MSA</v>
      </c>
      <c r="D720" s="265" t="s">
        <v>91</v>
      </c>
      <c r="E720" s="266" t="s">
        <v>3582</v>
      </c>
      <c r="F720" s="252">
        <f t="shared" si="38"/>
        <v>57250</v>
      </c>
      <c r="G720" s="252">
        <f t="shared" si="38"/>
        <v>65400</v>
      </c>
      <c r="H720" s="252">
        <f t="shared" si="38"/>
        <v>73600</v>
      </c>
      <c r="I720" s="252">
        <f t="shared" si="38"/>
        <v>81750</v>
      </c>
      <c r="J720" s="252">
        <f t="shared" si="38"/>
        <v>88300</v>
      </c>
      <c r="K720" s="252">
        <f t="shared" si="38"/>
        <v>94850</v>
      </c>
      <c r="L720" s="252">
        <f t="shared" si="38"/>
        <v>101400</v>
      </c>
      <c r="M720" s="252">
        <f t="shared" si="38"/>
        <v>107950</v>
      </c>
    </row>
    <row r="721" spans="1:13" ht="21.95" customHeight="1" x14ac:dyDescent="0.25">
      <c r="A721" s="36" t="s">
        <v>2904</v>
      </c>
      <c r="B721" s="36" t="str">
        <f t="shared" si="37"/>
        <v>IN_CRAWFORD COUNTY, IN</v>
      </c>
      <c r="D721" s="265" t="s">
        <v>91</v>
      </c>
      <c r="E721" s="266" t="s">
        <v>3583</v>
      </c>
      <c r="F721" s="252">
        <f t="shared" si="38"/>
        <v>47550</v>
      </c>
      <c r="G721" s="252">
        <f t="shared" si="38"/>
        <v>54350</v>
      </c>
      <c r="H721" s="252">
        <f t="shared" si="38"/>
        <v>61150</v>
      </c>
      <c r="I721" s="252">
        <f t="shared" si="38"/>
        <v>67900</v>
      </c>
      <c r="J721" s="252">
        <f t="shared" si="38"/>
        <v>73350</v>
      </c>
      <c r="K721" s="252">
        <f t="shared" si="38"/>
        <v>78800</v>
      </c>
      <c r="L721" s="252">
        <f t="shared" si="38"/>
        <v>84200</v>
      </c>
      <c r="M721" s="252">
        <f t="shared" si="38"/>
        <v>89650</v>
      </c>
    </row>
    <row r="722" spans="1:13" ht="21.95" customHeight="1" x14ac:dyDescent="0.25">
      <c r="A722" s="36" t="s">
        <v>2904</v>
      </c>
      <c r="B722" s="36" t="str">
        <f t="shared" si="37"/>
        <v>IN_DAVIESS COUNTY, IN</v>
      </c>
      <c r="D722" s="265" t="s">
        <v>91</v>
      </c>
      <c r="E722" s="266" t="s">
        <v>3584</v>
      </c>
      <c r="F722" s="252">
        <f t="shared" si="38"/>
        <v>53050</v>
      </c>
      <c r="G722" s="252">
        <f t="shared" si="38"/>
        <v>60600</v>
      </c>
      <c r="H722" s="252">
        <f t="shared" si="38"/>
        <v>68200</v>
      </c>
      <c r="I722" s="252">
        <f t="shared" si="38"/>
        <v>75750</v>
      </c>
      <c r="J722" s="252">
        <f t="shared" si="38"/>
        <v>81850</v>
      </c>
      <c r="K722" s="252">
        <f t="shared" si="38"/>
        <v>87900</v>
      </c>
      <c r="L722" s="252">
        <f t="shared" si="38"/>
        <v>93950</v>
      </c>
      <c r="M722" s="252">
        <f t="shared" si="38"/>
        <v>100000</v>
      </c>
    </row>
    <row r="723" spans="1:13" ht="21.95" customHeight="1" x14ac:dyDescent="0.25">
      <c r="A723" s="36" t="s">
        <v>2904</v>
      </c>
      <c r="B723" s="36" t="str">
        <f t="shared" si="37"/>
        <v>IN_DECATUR COUNTY, IN</v>
      </c>
      <c r="D723" s="265" t="s">
        <v>91</v>
      </c>
      <c r="E723" s="266" t="s">
        <v>3585</v>
      </c>
      <c r="F723" s="252">
        <f t="shared" si="38"/>
        <v>52500</v>
      </c>
      <c r="G723" s="252">
        <f t="shared" si="38"/>
        <v>60000</v>
      </c>
      <c r="H723" s="252">
        <f t="shared" si="38"/>
        <v>67500</v>
      </c>
      <c r="I723" s="252">
        <f t="shared" si="38"/>
        <v>74950</v>
      </c>
      <c r="J723" s="252">
        <f t="shared" si="38"/>
        <v>80950</v>
      </c>
      <c r="K723" s="252">
        <f t="shared" si="38"/>
        <v>86950</v>
      </c>
      <c r="L723" s="252">
        <f t="shared" si="38"/>
        <v>92950</v>
      </c>
      <c r="M723" s="252">
        <f t="shared" si="38"/>
        <v>98950</v>
      </c>
    </row>
    <row r="724" spans="1:13" ht="21.95" customHeight="1" x14ac:dyDescent="0.25">
      <c r="A724" s="36" t="s">
        <v>2904</v>
      </c>
      <c r="B724" s="36" t="str">
        <f t="shared" si="37"/>
        <v>IN_DEKALB COUNTY, IN</v>
      </c>
      <c r="D724" s="265" t="s">
        <v>91</v>
      </c>
      <c r="E724" s="266" t="s">
        <v>3586</v>
      </c>
      <c r="F724" s="252">
        <f t="shared" si="38"/>
        <v>50750</v>
      </c>
      <c r="G724" s="252">
        <f t="shared" si="38"/>
        <v>58000</v>
      </c>
      <c r="H724" s="252">
        <f t="shared" si="38"/>
        <v>65250</v>
      </c>
      <c r="I724" s="252">
        <f t="shared" si="38"/>
        <v>72500</v>
      </c>
      <c r="J724" s="252">
        <f t="shared" si="38"/>
        <v>78300</v>
      </c>
      <c r="K724" s="252">
        <f t="shared" si="38"/>
        <v>84100</v>
      </c>
      <c r="L724" s="252">
        <f t="shared" si="38"/>
        <v>89900</v>
      </c>
      <c r="M724" s="252">
        <f t="shared" si="38"/>
        <v>95700</v>
      </c>
    </row>
    <row r="725" spans="1:13" ht="21.95" customHeight="1" x14ac:dyDescent="0.25">
      <c r="A725" s="36" t="s">
        <v>2904</v>
      </c>
      <c r="B725" s="36" t="str">
        <f t="shared" si="37"/>
        <v>IN_DUBOIS COUNTY, IN</v>
      </c>
      <c r="D725" s="265" t="s">
        <v>91</v>
      </c>
      <c r="E725" s="266" t="s">
        <v>3587</v>
      </c>
      <c r="F725" s="252">
        <f t="shared" si="38"/>
        <v>53350</v>
      </c>
      <c r="G725" s="252">
        <f t="shared" si="38"/>
        <v>60950</v>
      </c>
      <c r="H725" s="252">
        <f t="shared" si="38"/>
        <v>68550</v>
      </c>
      <c r="I725" s="252">
        <f t="shared" si="38"/>
        <v>76150</v>
      </c>
      <c r="J725" s="252">
        <f t="shared" si="38"/>
        <v>82250</v>
      </c>
      <c r="K725" s="252">
        <f t="shared" si="38"/>
        <v>88350</v>
      </c>
      <c r="L725" s="252">
        <f t="shared" si="38"/>
        <v>94450</v>
      </c>
      <c r="M725" s="252">
        <f t="shared" si="38"/>
        <v>100550</v>
      </c>
    </row>
    <row r="726" spans="1:13" ht="21.95" customHeight="1" x14ac:dyDescent="0.25">
      <c r="A726" s="36" t="s">
        <v>2904</v>
      </c>
      <c r="B726" s="36" t="str">
        <f t="shared" si="37"/>
        <v>IN_ELKHART-GOSHEN, IN MSA</v>
      </c>
      <c r="D726" s="265" t="s">
        <v>91</v>
      </c>
      <c r="E726" s="266" t="s">
        <v>3588</v>
      </c>
      <c r="F726" s="252">
        <f t="shared" si="38"/>
        <v>50150</v>
      </c>
      <c r="G726" s="252">
        <f t="shared" si="38"/>
        <v>57300</v>
      </c>
      <c r="H726" s="252">
        <f t="shared" si="38"/>
        <v>64450</v>
      </c>
      <c r="I726" s="252">
        <f t="shared" si="38"/>
        <v>71600</v>
      </c>
      <c r="J726" s="252">
        <f t="shared" si="38"/>
        <v>77350</v>
      </c>
      <c r="K726" s="252">
        <f t="shared" si="38"/>
        <v>83100</v>
      </c>
      <c r="L726" s="252">
        <f t="shared" si="38"/>
        <v>88800</v>
      </c>
      <c r="M726" s="252">
        <f t="shared" si="38"/>
        <v>94550</v>
      </c>
    </row>
    <row r="727" spans="1:13" ht="21.95" customHeight="1" x14ac:dyDescent="0.25">
      <c r="A727" s="36" t="s">
        <v>2904</v>
      </c>
      <c r="B727" s="36" t="str">
        <f t="shared" si="37"/>
        <v>IN_EVANSVILLE, IN MSA</v>
      </c>
      <c r="D727" s="265" t="s">
        <v>91</v>
      </c>
      <c r="E727" s="266" t="s">
        <v>9169</v>
      </c>
      <c r="F727" s="252">
        <f t="shared" si="38"/>
        <v>50750</v>
      </c>
      <c r="G727" s="252">
        <f t="shared" si="38"/>
        <v>58000</v>
      </c>
      <c r="H727" s="252">
        <f t="shared" si="38"/>
        <v>65250</v>
      </c>
      <c r="I727" s="252">
        <f t="shared" si="38"/>
        <v>72500</v>
      </c>
      <c r="J727" s="252">
        <f t="shared" si="38"/>
        <v>78300</v>
      </c>
      <c r="K727" s="252">
        <f t="shared" si="38"/>
        <v>84100</v>
      </c>
      <c r="L727" s="252">
        <f t="shared" si="38"/>
        <v>89900</v>
      </c>
      <c r="M727" s="252">
        <f t="shared" si="38"/>
        <v>95700</v>
      </c>
    </row>
    <row r="728" spans="1:13" ht="21.95" customHeight="1" x14ac:dyDescent="0.25">
      <c r="A728" s="36" t="s">
        <v>2904</v>
      </c>
      <c r="B728" s="36" t="str">
        <f t="shared" si="37"/>
        <v>IN_FAYETTE COUNTY, IN</v>
      </c>
      <c r="D728" s="265" t="s">
        <v>91</v>
      </c>
      <c r="E728" s="266" t="s">
        <v>3589</v>
      </c>
      <c r="F728" s="252">
        <f t="shared" si="38"/>
        <v>47550</v>
      </c>
      <c r="G728" s="252">
        <f t="shared" si="38"/>
        <v>54350</v>
      </c>
      <c r="H728" s="252">
        <f t="shared" si="38"/>
        <v>61150</v>
      </c>
      <c r="I728" s="252">
        <f t="shared" si="38"/>
        <v>67900</v>
      </c>
      <c r="J728" s="252">
        <f t="shared" si="38"/>
        <v>73350</v>
      </c>
      <c r="K728" s="252">
        <f t="shared" si="38"/>
        <v>78800</v>
      </c>
      <c r="L728" s="252">
        <f t="shared" si="38"/>
        <v>84200</v>
      </c>
      <c r="M728" s="252">
        <f t="shared" si="38"/>
        <v>89650</v>
      </c>
    </row>
    <row r="729" spans="1:13" ht="21.95" customHeight="1" x14ac:dyDescent="0.25">
      <c r="A729" s="36" t="s">
        <v>2904</v>
      </c>
      <c r="B729" s="36" t="str">
        <f t="shared" si="37"/>
        <v>IN_FORT WAYNE, IN HUD METRO FMR AREA</v>
      </c>
      <c r="D729" s="265" t="s">
        <v>91</v>
      </c>
      <c r="E729" s="266" t="s">
        <v>9167</v>
      </c>
      <c r="F729" s="252">
        <f t="shared" si="38"/>
        <v>50400</v>
      </c>
      <c r="G729" s="252">
        <f t="shared" si="38"/>
        <v>57600</v>
      </c>
      <c r="H729" s="252">
        <f t="shared" si="38"/>
        <v>64800</v>
      </c>
      <c r="I729" s="252">
        <f t="shared" si="38"/>
        <v>72000</v>
      </c>
      <c r="J729" s="252">
        <f t="shared" si="38"/>
        <v>77800</v>
      </c>
      <c r="K729" s="252">
        <f t="shared" si="38"/>
        <v>83550</v>
      </c>
      <c r="L729" s="252">
        <f t="shared" si="38"/>
        <v>89300</v>
      </c>
      <c r="M729" s="252">
        <f t="shared" si="38"/>
        <v>95050</v>
      </c>
    </row>
    <row r="730" spans="1:13" ht="21.95" customHeight="1" x14ac:dyDescent="0.25">
      <c r="A730" s="36" t="s">
        <v>2904</v>
      </c>
      <c r="B730" s="36" t="str">
        <f t="shared" si="37"/>
        <v>IN_FOUNTAIN COUNTY, IN</v>
      </c>
      <c r="D730" s="265" t="s">
        <v>91</v>
      </c>
      <c r="E730" s="266" t="s">
        <v>3590</v>
      </c>
      <c r="F730" s="252">
        <f t="shared" si="38"/>
        <v>47550</v>
      </c>
      <c r="G730" s="252">
        <f t="shared" si="38"/>
        <v>54350</v>
      </c>
      <c r="H730" s="252">
        <f t="shared" si="38"/>
        <v>61150</v>
      </c>
      <c r="I730" s="252">
        <f t="shared" si="38"/>
        <v>67900</v>
      </c>
      <c r="J730" s="252">
        <f t="shared" si="38"/>
        <v>73350</v>
      </c>
      <c r="K730" s="252">
        <f t="shared" si="38"/>
        <v>78800</v>
      </c>
      <c r="L730" s="252">
        <f t="shared" si="38"/>
        <v>84200</v>
      </c>
      <c r="M730" s="252">
        <f t="shared" si="38"/>
        <v>89650</v>
      </c>
    </row>
    <row r="731" spans="1:13" ht="21.95" customHeight="1" x14ac:dyDescent="0.25">
      <c r="A731" s="36" t="s">
        <v>2904</v>
      </c>
      <c r="B731" s="36" t="str">
        <f t="shared" si="37"/>
        <v>IN_FRANKLIN COUNTY, IN HUD METRO FMR AREA</v>
      </c>
      <c r="D731" s="265" t="s">
        <v>91</v>
      </c>
      <c r="E731" s="266" t="s">
        <v>3591</v>
      </c>
      <c r="F731" s="252">
        <f t="shared" si="38"/>
        <v>54700</v>
      </c>
      <c r="G731" s="252">
        <f t="shared" si="38"/>
        <v>62500</v>
      </c>
      <c r="H731" s="252">
        <f t="shared" si="38"/>
        <v>70300</v>
      </c>
      <c r="I731" s="252">
        <f t="shared" si="38"/>
        <v>78100</v>
      </c>
      <c r="J731" s="252">
        <f t="shared" si="38"/>
        <v>84350</v>
      </c>
      <c r="K731" s="252">
        <f t="shared" si="38"/>
        <v>90600</v>
      </c>
      <c r="L731" s="252">
        <f t="shared" si="38"/>
        <v>96850</v>
      </c>
      <c r="M731" s="252">
        <f t="shared" si="38"/>
        <v>103100</v>
      </c>
    </row>
    <row r="732" spans="1:13" ht="21.95" customHeight="1" x14ac:dyDescent="0.25">
      <c r="A732" s="36" t="s">
        <v>2904</v>
      </c>
      <c r="B732" s="36" t="str">
        <f t="shared" si="37"/>
        <v>IN_FULTON COUNTY, IN</v>
      </c>
      <c r="D732" s="265" t="s">
        <v>91</v>
      </c>
      <c r="E732" s="266" t="s">
        <v>3592</v>
      </c>
      <c r="F732" s="252">
        <f t="shared" si="38"/>
        <v>47550</v>
      </c>
      <c r="G732" s="252">
        <f t="shared" si="38"/>
        <v>54350</v>
      </c>
      <c r="H732" s="252">
        <f t="shared" si="38"/>
        <v>61150</v>
      </c>
      <c r="I732" s="252">
        <f t="shared" si="38"/>
        <v>67900</v>
      </c>
      <c r="J732" s="252">
        <f t="shared" si="38"/>
        <v>73350</v>
      </c>
      <c r="K732" s="252">
        <f t="shared" si="38"/>
        <v>78800</v>
      </c>
      <c r="L732" s="252">
        <f t="shared" si="38"/>
        <v>84200</v>
      </c>
      <c r="M732" s="252">
        <f t="shared" si="38"/>
        <v>89650</v>
      </c>
    </row>
    <row r="733" spans="1:13" ht="21.95" customHeight="1" x14ac:dyDescent="0.25">
      <c r="A733" s="36" t="s">
        <v>2904</v>
      </c>
      <c r="B733" s="36" t="str">
        <f t="shared" si="37"/>
        <v>IN_GARY, IN HUD METRO FMR AREA</v>
      </c>
      <c r="D733" s="265" t="s">
        <v>91</v>
      </c>
      <c r="E733" s="266" t="s">
        <v>3593</v>
      </c>
      <c r="F733" s="252">
        <f t="shared" si="38"/>
        <v>53550</v>
      </c>
      <c r="G733" s="252">
        <f t="shared" si="38"/>
        <v>61200</v>
      </c>
      <c r="H733" s="252">
        <f t="shared" si="38"/>
        <v>68850</v>
      </c>
      <c r="I733" s="252">
        <f t="shared" si="38"/>
        <v>76500</v>
      </c>
      <c r="J733" s="252">
        <f t="shared" si="38"/>
        <v>82650</v>
      </c>
      <c r="K733" s="252">
        <f t="shared" si="38"/>
        <v>88750</v>
      </c>
      <c r="L733" s="252">
        <f t="shared" si="38"/>
        <v>94900</v>
      </c>
      <c r="M733" s="252">
        <f t="shared" si="38"/>
        <v>101000</v>
      </c>
    </row>
    <row r="734" spans="1:13" ht="21.95" customHeight="1" x14ac:dyDescent="0.25">
      <c r="A734" s="36" t="s">
        <v>2904</v>
      </c>
      <c r="B734" s="36" t="str">
        <f t="shared" si="37"/>
        <v>IN_GIBSON COUNTY, IN</v>
      </c>
      <c r="D734" s="265" t="s">
        <v>91</v>
      </c>
      <c r="E734" s="266" t="s">
        <v>3594</v>
      </c>
      <c r="F734" s="252">
        <f t="shared" si="38"/>
        <v>52050</v>
      </c>
      <c r="G734" s="252">
        <f t="shared" si="38"/>
        <v>59450</v>
      </c>
      <c r="H734" s="252">
        <f t="shared" si="38"/>
        <v>66900</v>
      </c>
      <c r="I734" s="252">
        <f t="shared" si="38"/>
        <v>74300</v>
      </c>
      <c r="J734" s="252">
        <f t="shared" si="38"/>
        <v>80250</v>
      </c>
      <c r="K734" s="252">
        <f t="shared" si="38"/>
        <v>86200</v>
      </c>
      <c r="L734" s="252">
        <f t="shared" si="38"/>
        <v>92150</v>
      </c>
      <c r="M734" s="252">
        <f t="shared" si="38"/>
        <v>98100</v>
      </c>
    </row>
    <row r="735" spans="1:13" ht="21.95" customHeight="1" x14ac:dyDescent="0.25">
      <c r="A735" s="36" t="s">
        <v>2904</v>
      </c>
      <c r="B735" s="36" t="str">
        <f t="shared" si="37"/>
        <v>IN_GRANT COUNTY, IN</v>
      </c>
      <c r="D735" s="265" t="s">
        <v>91</v>
      </c>
      <c r="E735" s="266" t="s">
        <v>3595</v>
      </c>
      <c r="F735" s="252">
        <f t="shared" si="38"/>
        <v>47550</v>
      </c>
      <c r="G735" s="252">
        <f t="shared" si="38"/>
        <v>54350</v>
      </c>
      <c r="H735" s="252">
        <f t="shared" si="38"/>
        <v>61150</v>
      </c>
      <c r="I735" s="252">
        <f t="shared" si="38"/>
        <v>67900</v>
      </c>
      <c r="J735" s="252">
        <f t="shared" si="38"/>
        <v>73350</v>
      </c>
      <c r="K735" s="252">
        <f t="shared" si="38"/>
        <v>78800</v>
      </c>
      <c r="L735" s="252">
        <f t="shared" si="38"/>
        <v>84200</v>
      </c>
      <c r="M735" s="252">
        <f t="shared" si="38"/>
        <v>89650</v>
      </c>
    </row>
    <row r="736" spans="1:13" ht="21.95" customHeight="1" x14ac:dyDescent="0.25">
      <c r="A736" s="36" t="s">
        <v>2904</v>
      </c>
      <c r="B736" s="36" t="str">
        <f t="shared" si="37"/>
        <v>IN_GREENE COUNTY, IN</v>
      </c>
      <c r="D736" s="265" t="s">
        <v>91</v>
      </c>
      <c r="E736" s="266" t="s">
        <v>3596</v>
      </c>
      <c r="F736" s="252">
        <f t="shared" si="38"/>
        <v>47550</v>
      </c>
      <c r="G736" s="252">
        <f t="shared" si="38"/>
        <v>54350</v>
      </c>
      <c r="H736" s="252">
        <f t="shared" si="38"/>
        <v>61150</v>
      </c>
      <c r="I736" s="252">
        <f t="shared" si="38"/>
        <v>67900</v>
      </c>
      <c r="J736" s="252">
        <f t="shared" si="38"/>
        <v>73350</v>
      </c>
      <c r="K736" s="252">
        <f t="shared" si="38"/>
        <v>78800</v>
      </c>
      <c r="L736" s="252">
        <f t="shared" si="38"/>
        <v>84200</v>
      </c>
      <c r="M736" s="252">
        <f t="shared" si="38"/>
        <v>89650</v>
      </c>
    </row>
    <row r="737" spans="1:13" ht="21.95" customHeight="1" x14ac:dyDescent="0.25">
      <c r="A737" s="36" t="s">
        <v>2904</v>
      </c>
      <c r="B737" s="36" t="str">
        <f t="shared" si="37"/>
        <v>IN_HENRY COUNTY, IN</v>
      </c>
      <c r="D737" s="265" t="s">
        <v>91</v>
      </c>
      <c r="E737" s="266" t="s">
        <v>3597</v>
      </c>
      <c r="F737" s="252">
        <f t="shared" si="38"/>
        <v>47550</v>
      </c>
      <c r="G737" s="252">
        <f t="shared" si="38"/>
        <v>54350</v>
      </c>
      <c r="H737" s="252">
        <f t="shared" si="38"/>
        <v>61150</v>
      </c>
      <c r="I737" s="252">
        <f t="shared" si="38"/>
        <v>67900</v>
      </c>
      <c r="J737" s="252">
        <f t="shared" si="38"/>
        <v>73350</v>
      </c>
      <c r="K737" s="252">
        <f t="shared" si="38"/>
        <v>78800</v>
      </c>
      <c r="L737" s="252">
        <f t="shared" si="38"/>
        <v>84200</v>
      </c>
      <c r="M737" s="252">
        <f t="shared" si="38"/>
        <v>89650</v>
      </c>
    </row>
    <row r="738" spans="1:13" ht="21.95" customHeight="1" x14ac:dyDescent="0.25">
      <c r="A738" s="36" t="s">
        <v>2904</v>
      </c>
      <c r="B738" s="36" t="str">
        <f t="shared" si="37"/>
        <v>IN_HUNTINGTON COUNTY, IN</v>
      </c>
      <c r="D738" s="265" t="s">
        <v>91</v>
      </c>
      <c r="E738" s="266" t="s">
        <v>3598</v>
      </c>
      <c r="F738" s="252">
        <f t="shared" si="38"/>
        <v>48300</v>
      </c>
      <c r="G738" s="252">
        <f t="shared" si="38"/>
        <v>55200</v>
      </c>
      <c r="H738" s="252">
        <f t="shared" si="38"/>
        <v>62100</v>
      </c>
      <c r="I738" s="252">
        <f t="shared" si="38"/>
        <v>68950</v>
      </c>
      <c r="J738" s="252">
        <f t="shared" si="38"/>
        <v>74500</v>
      </c>
      <c r="K738" s="252">
        <f t="shared" si="38"/>
        <v>80000</v>
      </c>
      <c r="L738" s="252">
        <f t="shared" si="38"/>
        <v>85500</v>
      </c>
      <c r="M738" s="252">
        <f t="shared" si="38"/>
        <v>91050</v>
      </c>
    </row>
    <row r="739" spans="1:13" ht="21.95" customHeight="1" x14ac:dyDescent="0.25">
      <c r="A739" s="36" t="s">
        <v>2904</v>
      </c>
      <c r="B739" s="36" t="str">
        <f t="shared" si="37"/>
        <v>IN_INDIANAPOLIS-CARMEL, IN HUD METRO FMR AREA</v>
      </c>
      <c r="D739" s="265" t="s">
        <v>91</v>
      </c>
      <c r="E739" s="266" t="s">
        <v>3599</v>
      </c>
      <c r="F739" s="252">
        <f t="shared" si="38"/>
        <v>62000</v>
      </c>
      <c r="G739" s="252">
        <f t="shared" si="38"/>
        <v>70850</v>
      </c>
      <c r="H739" s="252">
        <f t="shared" si="38"/>
        <v>79700</v>
      </c>
      <c r="I739" s="252">
        <f t="shared" si="38"/>
        <v>88550</v>
      </c>
      <c r="J739" s="252">
        <f t="shared" si="38"/>
        <v>95650</v>
      </c>
      <c r="K739" s="252">
        <f t="shared" si="38"/>
        <v>102750</v>
      </c>
      <c r="L739" s="252">
        <f t="shared" si="38"/>
        <v>109850</v>
      </c>
      <c r="M739" s="252">
        <f t="shared" si="38"/>
        <v>116900</v>
      </c>
    </row>
    <row r="740" spans="1:13" ht="21.95" customHeight="1" x14ac:dyDescent="0.25">
      <c r="A740" s="36" t="s">
        <v>2904</v>
      </c>
      <c r="B740" s="36" t="str">
        <f t="shared" si="37"/>
        <v>IN_JACKSON COUNTY, IN</v>
      </c>
      <c r="D740" s="265" t="s">
        <v>91</v>
      </c>
      <c r="E740" s="266" t="s">
        <v>3600</v>
      </c>
      <c r="F740" s="252">
        <f t="shared" si="38"/>
        <v>50600</v>
      </c>
      <c r="G740" s="252">
        <f t="shared" si="38"/>
        <v>57800</v>
      </c>
      <c r="H740" s="252">
        <f t="shared" si="38"/>
        <v>65050</v>
      </c>
      <c r="I740" s="252">
        <f t="shared" si="38"/>
        <v>72250</v>
      </c>
      <c r="J740" s="252">
        <f t="shared" si="38"/>
        <v>78050</v>
      </c>
      <c r="K740" s="252">
        <f t="shared" si="38"/>
        <v>83850</v>
      </c>
      <c r="L740" s="252">
        <f t="shared" si="38"/>
        <v>89600</v>
      </c>
      <c r="M740" s="252">
        <f t="shared" si="38"/>
        <v>95400</v>
      </c>
    </row>
    <row r="741" spans="1:13" ht="21.95" customHeight="1" x14ac:dyDescent="0.25">
      <c r="A741" s="36" t="s">
        <v>2904</v>
      </c>
      <c r="B741" s="36" t="str">
        <f t="shared" si="37"/>
        <v>IN_JASPER COUNTY, IN HUD METRO FMR AREA</v>
      </c>
      <c r="D741" s="265" t="s">
        <v>91</v>
      </c>
      <c r="E741" s="266" t="s">
        <v>3601</v>
      </c>
      <c r="F741" s="252">
        <f t="shared" si="38"/>
        <v>57500</v>
      </c>
      <c r="G741" s="252">
        <f t="shared" si="38"/>
        <v>65700</v>
      </c>
      <c r="H741" s="252">
        <f t="shared" si="38"/>
        <v>73900</v>
      </c>
      <c r="I741" s="252">
        <f t="shared" si="38"/>
        <v>82100</v>
      </c>
      <c r="J741" s="252">
        <f t="shared" si="38"/>
        <v>88700</v>
      </c>
      <c r="K741" s="252">
        <f t="shared" si="38"/>
        <v>95250</v>
      </c>
      <c r="L741" s="252">
        <f t="shared" si="38"/>
        <v>101850</v>
      </c>
      <c r="M741" s="252">
        <f t="shared" si="38"/>
        <v>108400</v>
      </c>
    </row>
    <row r="742" spans="1:13" ht="21.95" customHeight="1" x14ac:dyDescent="0.25">
      <c r="A742" s="36" t="s">
        <v>2904</v>
      </c>
      <c r="B742" s="36" t="str">
        <f t="shared" si="37"/>
        <v>IN_JAY COUNTY, IN</v>
      </c>
      <c r="D742" s="265" t="s">
        <v>91</v>
      </c>
      <c r="E742" s="266" t="s">
        <v>3602</v>
      </c>
      <c r="F742" s="252">
        <f t="shared" si="38"/>
        <v>47550</v>
      </c>
      <c r="G742" s="252">
        <f t="shared" si="38"/>
        <v>54350</v>
      </c>
      <c r="H742" s="252">
        <f t="shared" si="38"/>
        <v>61150</v>
      </c>
      <c r="I742" s="252">
        <f t="shared" si="38"/>
        <v>67900</v>
      </c>
      <c r="J742" s="252">
        <f t="shared" si="38"/>
        <v>73350</v>
      </c>
      <c r="K742" s="252">
        <f t="shared" si="38"/>
        <v>78800</v>
      </c>
      <c r="L742" s="252">
        <f t="shared" si="38"/>
        <v>84200</v>
      </c>
      <c r="M742" s="252">
        <f t="shared" si="38"/>
        <v>89650</v>
      </c>
    </row>
    <row r="743" spans="1:13" ht="21.95" customHeight="1" x14ac:dyDescent="0.25">
      <c r="A743" s="36" t="s">
        <v>2904</v>
      </c>
      <c r="B743" s="36" t="str">
        <f t="shared" si="37"/>
        <v>IN_JEFFERSON COUNTY, IN</v>
      </c>
      <c r="D743" s="265" t="s">
        <v>91</v>
      </c>
      <c r="E743" s="266" t="s">
        <v>3603</v>
      </c>
      <c r="F743" s="252">
        <f t="shared" si="38"/>
        <v>47550</v>
      </c>
      <c r="G743" s="252">
        <f t="shared" si="38"/>
        <v>54350</v>
      </c>
      <c r="H743" s="252">
        <f t="shared" si="38"/>
        <v>61150</v>
      </c>
      <c r="I743" s="252">
        <f t="shared" ref="F743:M775" si="39">VLOOKUP($B743,LOOKUP_AMI_TABLE,5+((I$7-1)),FALSE)</f>
        <v>67900</v>
      </c>
      <c r="J743" s="252">
        <f t="shared" si="39"/>
        <v>73350</v>
      </c>
      <c r="K743" s="252">
        <f t="shared" si="39"/>
        <v>78800</v>
      </c>
      <c r="L743" s="252">
        <f t="shared" si="39"/>
        <v>84200</v>
      </c>
      <c r="M743" s="252">
        <f t="shared" si="39"/>
        <v>89650</v>
      </c>
    </row>
    <row r="744" spans="1:13" ht="21.95" customHeight="1" x14ac:dyDescent="0.25">
      <c r="A744" s="36" t="s">
        <v>2904</v>
      </c>
      <c r="B744" s="36" t="str">
        <f t="shared" si="37"/>
        <v>IN_JENNINGS COUNTY, IN</v>
      </c>
      <c r="D744" s="265" t="s">
        <v>91</v>
      </c>
      <c r="E744" s="266" t="s">
        <v>3604</v>
      </c>
      <c r="F744" s="252">
        <f t="shared" si="39"/>
        <v>47550</v>
      </c>
      <c r="G744" s="252">
        <f t="shared" si="39"/>
        <v>54350</v>
      </c>
      <c r="H744" s="252">
        <f t="shared" si="39"/>
        <v>61150</v>
      </c>
      <c r="I744" s="252">
        <f t="shared" si="39"/>
        <v>67900</v>
      </c>
      <c r="J744" s="252">
        <f t="shared" si="39"/>
        <v>73350</v>
      </c>
      <c r="K744" s="252">
        <f t="shared" si="39"/>
        <v>78800</v>
      </c>
      <c r="L744" s="252">
        <f t="shared" si="39"/>
        <v>84200</v>
      </c>
      <c r="M744" s="252">
        <f t="shared" si="39"/>
        <v>89650</v>
      </c>
    </row>
    <row r="745" spans="1:13" ht="21.95" customHeight="1" x14ac:dyDescent="0.25">
      <c r="A745" s="36" t="s">
        <v>2904</v>
      </c>
      <c r="B745" s="36" t="str">
        <f t="shared" si="37"/>
        <v>IN_KNOX COUNTY, IN</v>
      </c>
      <c r="D745" s="265" t="s">
        <v>91</v>
      </c>
      <c r="E745" s="266" t="s">
        <v>3605</v>
      </c>
      <c r="F745" s="252">
        <f t="shared" si="39"/>
        <v>47850</v>
      </c>
      <c r="G745" s="252">
        <f t="shared" si="39"/>
        <v>54650</v>
      </c>
      <c r="H745" s="252">
        <f t="shared" si="39"/>
        <v>61500</v>
      </c>
      <c r="I745" s="252">
        <f t="shared" si="39"/>
        <v>68300</v>
      </c>
      <c r="J745" s="252">
        <f t="shared" si="39"/>
        <v>73800</v>
      </c>
      <c r="K745" s="252">
        <f t="shared" si="39"/>
        <v>79250</v>
      </c>
      <c r="L745" s="252">
        <f t="shared" si="39"/>
        <v>84700</v>
      </c>
      <c r="M745" s="252">
        <f t="shared" si="39"/>
        <v>90200</v>
      </c>
    </row>
    <row r="746" spans="1:13" ht="21.95" customHeight="1" x14ac:dyDescent="0.25">
      <c r="A746" s="36" t="s">
        <v>2904</v>
      </c>
      <c r="B746" s="36" t="str">
        <f t="shared" si="37"/>
        <v>IN_KOKOMO, IN MSA</v>
      </c>
      <c r="D746" s="265" t="s">
        <v>91</v>
      </c>
      <c r="E746" s="266" t="s">
        <v>3606</v>
      </c>
      <c r="F746" s="252">
        <f t="shared" si="39"/>
        <v>48550</v>
      </c>
      <c r="G746" s="252">
        <f t="shared" si="39"/>
        <v>55450</v>
      </c>
      <c r="H746" s="252">
        <f t="shared" si="39"/>
        <v>62400</v>
      </c>
      <c r="I746" s="252">
        <f t="shared" si="39"/>
        <v>69300</v>
      </c>
      <c r="J746" s="252">
        <f t="shared" si="39"/>
        <v>74850</v>
      </c>
      <c r="K746" s="252">
        <f t="shared" si="39"/>
        <v>80400</v>
      </c>
      <c r="L746" s="252">
        <f t="shared" si="39"/>
        <v>85950</v>
      </c>
      <c r="M746" s="252">
        <f t="shared" si="39"/>
        <v>91500</v>
      </c>
    </row>
    <row r="747" spans="1:13" ht="21.95" customHeight="1" x14ac:dyDescent="0.25">
      <c r="A747" s="36" t="s">
        <v>2904</v>
      </c>
      <c r="B747" s="36" t="str">
        <f t="shared" si="37"/>
        <v>IN_KOSCIUSKO COUNTY, IN</v>
      </c>
      <c r="D747" s="265" t="s">
        <v>91</v>
      </c>
      <c r="E747" s="266" t="s">
        <v>3607</v>
      </c>
      <c r="F747" s="252">
        <f t="shared" si="39"/>
        <v>54800</v>
      </c>
      <c r="G747" s="252">
        <f t="shared" si="39"/>
        <v>62600</v>
      </c>
      <c r="H747" s="252">
        <f t="shared" si="39"/>
        <v>70450</v>
      </c>
      <c r="I747" s="252">
        <f t="shared" si="39"/>
        <v>78250</v>
      </c>
      <c r="J747" s="252">
        <f t="shared" si="39"/>
        <v>84550</v>
      </c>
      <c r="K747" s="252">
        <f t="shared" si="39"/>
        <v>90800</v>
      </c>
      <c r="L747" s="252">
        <f t="shared" si="39"/>
        <v>97050</v>
      </c>
      <c r="M747" s="252">
        <f t="shared" si="39"/>
        <v>103300</v>
      </c>
    </row>
    <row r="748" spans="1:13" ht="21.95" customHeight="1" x14ac:dyDescent="0.25">
      <c r="A748" s="36" t="s">
        <v>2904</v>
      </c>
      <c r="B748" s="36" t="str">
        <f t="shared" si="37"/>
        <v>IN_LAFAYETTE-WEST LAFAYETTE, IN HUD METRO FMR AREA</v>
      </c>
      <c r="D748" s="265" t="s">
        <v>91</v>
      </c>
      <c r="E748" s="266" t="s">
        <v>3608</v>
      </c>
      <c r="F748" s="252">
        <f t="shared" si="39"/>
        <v>50750</v>
      </c>
      <c r="G748" s="252">
        <f t="shared" si="39"/>
        <v>58000</v>
      </c>
      <c r="H748" s="252">
        <f t="shared" si="39"/>
        <v>65250</v>
      </c>
      <c r="I748" s="252">
        <f t="shared" si="39"/>
        <v>72500</v>
      </c>
      <c r="J748" s="252">
        <f t="shared" si="39"/>
        <v>78300</v>
      </c>
      <c r="K748" s="252">
        <f t="shared" si="39"/>
        <v>84100</v>
      </c>
      <c r="L748" s="252">
        <f t="shared" si="39"/>
        <v>89900</v>
      </c>
      <c r="M748" s="252">
        <f t="shared" si="39"/>
        <v>95700</v>
      </c>
    </row>
    <row r="749" spans="1:13" ht="21.95" customHeight="1" x14ac:dyDescent="0.25">
      <c r="A749" s="36" t="s">
        <v>2904</v>
      </c>
      <c r="B749" s="36" t="str">
        <f t="shared" si="37"/>
        <v>IN_LAGRANGE COUNTY, IN</v>
      </c>
      <c r="D749" s="265" t="s">
        <v>91</v>
      </c>
      <c r="E749" s="266" t="s">
        <v>3609</v>
      </c>
      <c r="F749" s="252">
        <f t="shared" si="39"/>
        <v>55650</v>
      </c>
      <c r="G749" s="252">
        <f t="shared" si="39"/>
        <v>63600</v>
      </c>
      <c r="H749" s="252">
        <f t="shared" si="39"/>
        <v>71550</v>
      </c>
      <c r="I749" s="252">
        <f t="shared" si="39"/>
        <v>79500</v>
      </c>
      <c r="J749" s="252">
        <f t="shared" si="39"/>
        <v>85900</v>
      </c>
      <c r="K749" s="252">
        <f t="shared" si="39"/>
        <v>92250</v>
      </c>
      <c r="L749" s="252">
        <f t="shared" si="39"/>
        <v>98600</v>
      </c>
      <c r="M749" s="252">
        <f t="shared" si="39"/>
        <v>104950</v>
      </c>
    </row>
    <row r="750" spans="1:13" ht="21.95" customHeight="1" x14ac:dyDescent="0.25">
      <c r="A750" s="36" t="s">
        <v>2904</v>
      </c>
      <c r="B750" s="36" t="str">
        <f t="shared" si="37"/>
        <v>IN_LAWRENCE COUNTY, IN</v>
      </c>
      <c r="D750" s="265" t="s">
        <v>91</v>
      </c>
      <c r="E750" s="266" t="s">
        <v>3610</v>
      </c>
      <c r="F750" s="252">
        <f t="shared" si="39"/>
        <v>50400</v>
      </c>
      <c r="G750" s="252">
        <f t="shared" si="39"/>
        <v>57600</v>
      </c>
      <c r="H750" s="252">
        <f t="shared" si="39"/>
        <v>64800</v>
      </c>
      <c r="I750" s="252">
        <f t="shared" si="39"/>
        <v>72000</v>
      </c>
      <c r="J750" s="252">
        <f t="shared" si="39"/>
        <v>77800</v>
      </c>
      <c r="K750" s="252">
        <f t="shared" si="39"/>
        <v>83550</v>
      </c>
      <c r="L750" s="252">
        <f t="shared" si="39"/>
        <v>89300</v>
      </c>
      <c r="M750" s="252">
        <f t="shared" si="39"/>
        <v>95050</v>
      </c>
    </row>
    <row r="751" spans="1:13" ht="21.95" customHeight="1" x14ac:dyDescent="0.25">
      <c r="A751" s="36" t="s">
        <v>2904</v>
      </c>
      <c r="B751" s="36" t="str">
        <f t="shared" si="37"/>
        <v>IN_LOUISVILLE, KY-IN HUD METRO FMR AREA</v>
      </c>
      <c r="D751" s="265" t="s">
        <v>91</v>
      </c>
      <c r="E751" s="266" t="s">
        <v>3611</v>
      </c>
      <c r="F751" s="252">
        <f t="shared" si="39"/>
        <v>54150</v>
      </c>
      <c r="G751" s="252">
        <f t="shared" si="39"/>
        <v>61850</v>
      </c>
      <c r="H751" s="252">
        <f t="shared" si="39"/>
        <v>69600</v>
      </c>
      <c r="I751" s="252">
        <f t="shared" si="39"/>
        <v>77300</v>
      </c>
      <c r="J751" s="252">
        <f t="shared" si="39"/>
        <v>83500</v>
      </c>
      <c r="K751" s="252">
        <f t="shared" si="39"/>
        <v>89700</v>
      </c>
      <c r="L751" s="252">
        <f t="shared" si="39"/>
        <v>95900</v>
      </c>
      <c r="M751" s="252">
        <f t="shared" si="39"/>
        <v>102050</v>
      </c>
    </row>
    <row r="752" spans="1:13" ht="21.95" customHeight="1" x14ac:dyDescent="0.25">
      <c r="A752" s="36" t="s">
        <v>2904</v>
      </c>
      <c r="B752" s="36" t="str">
        <f t="shared" si="37"/>
        <v>IN_MARSHALL COUNTY, IN</v>
      </c>
      <c r="D752" s="265" t="s">
        <v>91</v>
      </c>
      <c r="E752" s="266" t="s">
        <v>3612</v>
      </c>
      <c r="F752" s="252">
        <f t="shared" si="39"/>
        <v>51550</v>
      </c>
      <c r="G752" s="252">
        <f t="shared" si="39"/>
        <v>58900</v>
      </c>
      <c r="H752" s="252">
        <f t="shared" si="39"/>
        <v>66250</v>
      </c>
      <c r="I752" s="252">
        <f t="shared" si="39"/>
        <v>73600</v>
      </c>
      <c r="J752" s="252">
        <f t="shared" si="39"/>
        <v>79500</v>
      </c>
      <c r="K752" s="252">
        <f t="shared" si="39"/>
        <v>85400</v>
      </c>
      <c r="L752" s="252">
        <f t="shared" si="39"/>
        <v>91300</v>
      </c>
      <c r="M752" s="252">
        <f t="shared" si="39"/>
        <v>97200</v>
      </c>
    </row>
    <row r="753" spans="1:13" ht="21.95" customHeight="1" x14ac:dyDescent="0.25">
      <c r="A753" s="36" t="s">
        <v>2904</v>
      </c>
      <c r="B753" s="36" t="str">
        <f t="shared" si="37"/>
        <v>IN_MARTIN COUNTY, IN</v>
      </c>
      <c r="D753" s="265" t="s">
        <v>91</v>
      </c>
      <c r="E753" s="266" t="s">
        <v>3613</v>
      </c>
      <c r="F753" s="252">
        <f t="shared" si="39"/>
        <v>53050</v>
      </c>
      <c r="G753" s="252">
        <f t="shared" si="39"/>
        <v>60600</v>
      </c>
      <c r="H753" s="252">
        <f t="shared" si="39"/>
        <v>68200</v>
      </c>
      <c r="I753" s="252">
        <f t="shared" si="39"/>
        <v>75750</v>
      </c>
      <c r="J753" s="252">
        <f t="shared" si="39"/>
        <v>81850</v>
      </c>
      <c r="K753" s="252">
        <f t="shared" si="39"/>
        <v>87900</v>
      </c>
      <c r="L753" s="252">
        <f t="shared" si="39"/>
        <v>93950</v>
      </c>
      <c r="M753" s="252">
        <f t="shared" si="39"/>
        <v>100000</v>
      </c>
    </row>
    <row r="754" spans="1:13" ht="21.95" customHeight="1" x14ac:dyDescent="0.25">
      <c r="A754" s="36" t="s">
        <v>2904</v>
      </c>
      <c r="B754" s="36" t="str">
        <f t="shared" si="37"/>
        <v>IN_MIAMI COUNTY, IN</v>
      </c>
      <c r="D754" s="265" t="s">
        <v>91</v>
      </c>
      <c r="E754" s="266" t="s">
        <v>3614</v>
      </c>
      <c r="F754" s="252">
        <f t="shared" si="39"/>
        <v>47550</v>
      </c>
      <c r="G754" s="252">
        <f t="shared" si="39"/>
        <v>54350</v>
      </c>
      <c r="H754" s="252">
        <f t="shared" si="39"/>
        <v>61150</v>
      </c>
      <c r="I754" s="252">
        <f t="shared" si="39"/>
        <v>67900</v>
      </c>
      <c r="J754" s="252">
        <f t="shared" si="39"/>
        <v>73350</v>
      </c>
      <c r="K754" s="252">
        <f t="shared" si="39"/>
        <v>78800</v>
      </c>
      <c r="L754" s="252">
        <f t="shared" si="39"/>
        <v>84200</v>
      </c>
      <c r="M754" s="252">
        <f t="shared" si="39"/>
        <v>89650</v>
      </c>
    </row>
    <row r="755" spans="1:13" ht="21.95" customHeight="1" x14ac:dyDescent="0.25">
      <c r="A755" s="36" t="s">
        <v>2904</v>
      </c>
      <c r="B755" s="36" t="str">
        <f t="shared" si="37"/>
        <v>IN_MICHIGAN CITY-LA PORTE, IN MSA</v>
      </c>
      <c r="D755" s="265" t="s">
        <v>91</v>
      </c>
      <c r="E755" s="266" t="s">
        <v>3615</v>
      </c>
      <c r="F755" s="252">
        <f t="shared" si="39"/>
        <v>47550</v>
      </c>
      <c r="G755" s="252">
        <f t="shared" si="39"/>
        <v>54350</v>
      </c>
      <c r="H755" s="252">
        <f t="shared" si="39"/>
        <v>61150</v>
      </c>
      <c r="I755" s="252">
        <f t="shared" si="39"/>
        <v>67900</v>
      </c>
      <c r="J755" s="252">
        <f t="shared" si="39"/>
        <v>73350</v>
      </c>
      <c r="K755" s="252">
        <f t="shared" si="39"/>
        <v>78800</v>
      </c>
      <c r="L755" s="252">
        <f t="shared" si="39"/>
        <v>84200</v>
      </c>
      <c r="M755" s="252">
        <f t="shared" si="39"/>
        <v>89650</v>
      </c>
    </row>
    <row r="756" spans="1:13" ht="21.95" customHeight="1" x14ac:dyDescent="0.25">
      <c r="A756" s="36" t="s">
        <v>2904</v>
      </c>
      <c r="B756" s="36" t="str">
        <f t="shared" si="37"/>
        <v>IN_MONTGOMERY COUNTY, IN</v>
      </c>
      <c r="D756" s="265" t="s">
        <v>91</v>
      </c>
      <c r="E756" s="266" t="s">
        <v>3616</v>
      </c>
      <c r="F756" s="252">
        <f t="shared" si="39"/>
        <v>51100</v>
      </c>
      <c r="G756" s="252">
        <f t="shared" si="39"/>
        <v>58400</v>
      </c>
      <c r="H756" s="252">
        <f t="shared" si="39"/>
        <v>65700</v>
      </c>
      <c r="I756" s="252">
        <f t="shared" si="39"/>
        <v>72950</v>
      </c>
      <c r="J756" s="252">
        <f t="shared" si="39"/>
        <v>78800</v>
      </c>
      <c r="K756" s="252">
        <f t="shared" si="39"/>
        <v>84650</v>
      </c>
      <c r="L756" s="252">
        <f t="shared" si="39"/>
        <v>90500</v>
      </c>
      <c r="M756" s="252">
        <f t="shared" si="39"/>
        <v>96300</v>
      </c>
    </row>
    <row r="757" spans="1:13" ht="21.95" customHeight="1" x14ac:dyDescent="0.25">
      <c r="A757" s="36" t="s">
        <v>2904</v>
      </c>
      <c r="B757" s="36" t="str">
        <f t="shared" si="37"/>
        <v>IN_MUNCIE, IN MSA</v>
      </c>
      <c r="D757" s="265" t="s">
        <v>91</v>
      </c>
      <c r="E757" s="266" t="s">
        <v>3617</v>
      </c>
      <c r="F757" s="252">
        <f t="shared" si="39"/>
        <v>47550</v>
      </c>
      <c r="G757" s="252">
        <f t="shared" si="39"/>
        <v>54350</v>
      </c>
      <c r="H757" s="252">
        <f t="shared" si="39"/>
        <v>61150</v>
      </c>
      <c r="I757" s="252">
        <f t="shared" si="39"/>
        <v>67900</v>
      </c>
      <c r="J757" s="252">
        <f t="shared" si="39"/>
        <v>73350</v>
      </c>
      <c r="K757" s="252">
        <f t="shared" si="39"/>
        <v>78800</v>
      </c>
      <c r="L757" s="252">
        <f t="shared" si="39"/>
        <v>84200</v>
      </c>
      <c r="M757" s="252">
        <f t="shared" si="39"/>
        <v>89650</v>
      </c>
    </row>
    <row r="758" spans="1:13" ht="21.95" customHeight="1" x14ac:dyDescent="0.25">
      <c r="A758" s="36" t="s">
        <v>2904</v>
      </c>
      <c r="B758" s="36" t="str">
        <f t="shared" si="37"/>
        <v>IN_NOBLE COUNTY, IN</v>
      </c>
      <c r="D758" s="265" t="s">
        <v>91</v>
      </c>
      <c r="E758" s="266" t="s">
        <v>3618</v>
      </c>
      <c r="F758" s="252">
        <f t="shared" si="39"/>
        <v>50400</v>
      </c>
      <c r="G758" s="252">
        <f t="shared" si="39"/>
        <v>57600</v>
      </c>
      <c r="H758" s="252">
        <f t="shared" si="39"/>
        <v>64800</v>
      </c>
      <c r="I758" s="252">
        <f t="shared" si="39"/>
        <v>72000</v>
      </c>
      <c r="J758" s="252">
        <f t="shared" si="39"/>
        <v>77800</v>
      </c>
      <c r="K758" s="252">
        <f t="shared" si="39"/>
        <v>83550</v>
      </c>
      <c r="L758" s="252">
        <f t="shared" si="39"/>
        <v>89300</v>
      </c>
      <c r="M758" s="252">
        <f t="shared" si="39"/>
        <v>95050</v>
      </c>
    </row>
    <row r="759" spans="1:13" ht="21.95" customHeight="1" x14ac:dyDescent="0.25">
      <c r="A759" s="36" t="s">
        <v>2904</v>
      </c>
      <c r="B759" s="36" t="str">
        <f t="shared" si="37"/>
        <v>IN_ORANGE COUNTY, IN</v>
      </c>
      <c r="D759" s="265" t="s">
        <v>91</v>
      </c>
      <c r="E759" s="266" t="s">
        <v>3619</v>
      </c>
      <c r="F759" s="252">
        <f t="shared" si="39"/>
        <v>50300</v>
      </c>
      <c r="G759" s="252">
        <f t="shared" si="39"/>
        <v>57500</v>
      </c>
      <c r="H759" s="252">
        <f t="shared" si="39"/>
        <v>64700</v>
      </c>
      <c r="I759" s="252">
        <f t="shared" si="39"/>
        <v>71850</v>
      </c>
      <c r="J759" s="252">
        <f t="shared" si="39"/>
        <v>77600</v>
      </c>
      <c r="K759" s="252">
        <f t="shared" si="39"/>
        <v>83350</v>
      </c>
      <c r="L759" s="252">
        <f t="shared" si="39"/>
        <v>89100</v>
      </c>
      <c r="M759" s="252">
        <f t="shared" si="39"/>
        <v>94850</v>
      </c>
    </row>
    <row r="760" spans="1:13" ht="21.95" customHeight="1" x14ac:dyDescent="0.25">
      <c r="A760" s="36" t="s">
        <v>2904</v>
      </c>
      <c r="B760" s="36" t="str">
        <f t="shared" si="37"/>
        <v>IN_OWEN COUNTY, IN HUD METRO FMR AREA</v>
      </c>
      <c r="D760" s="265" t="s">
        <v>91</v>
      </c>
      <c r="E760" s="266" t="s">
        <v>3620</v>
      </c>
      <c r="F760" s="252">
        <f t="shared" si="39"/>
        <v>47550</v>
      </c>
      <c r="G760" s="252">
        <f t="shared" si="39"/>
        <v>54350</v>
      </c>
      <c r="H760" s="252">
        <f t="shared" si="39"/>
        <v>61150</v>
      </c>
      <c r="I760" s="252">
        <f t="shared" si="39"/>
        <v>67900</v>
      </c>
      <c r="J760" s="252">
        <f t="shared" si="39"/>
        <v>73350</v>
      </c>
      <c r="K760" s="252">
        <f t="shared" si="39"/>
        <v>78800</v>
      </c>
      <c r="L760" s="252">
        <f t="shared" si="39"/>
        <v>84200</v>
      </c>
      <c r="M760" s="252">
        <f t="shared" si="39"/>
        <v>89650</v>
      </c>
    </row>
    <row r="761" spans="1:13" ht="21.95" customHeight="1" x14ac:dyDescent="0.25">
      <c r="A761" s="36" t="s">
        <v>2904</v>
      </c>
      <c r="B761" s="36" t="str">
        <f t="shared" si="37"/>
        <v>IN_PARKE COUNTY, IN</v>
      </c>
      <c r="D761" s="265" t="s">
        <v>91</v>
      </c>
      <c r="E761" s="266" t="s">
        <v>9168</v>
      </c>
      <c r="F761" s="252">
        <f t="shared" si="39"/>
        <v>47550</v>
      </c>
      <c r="G761" s="252">
        <f t="shared" si="39"/>
        <v>54350</v>
      </c>
      <c r="H761" s="252">
        <f t="shared" si="39"/>
        <v>61150</v>
      </c>
      <c r="I761" s="252">
        <f t="shared" si="39"/>
        <v>67900</v>
      </c>
      <c r="J761" s="252">
        <f t="shared" si="39"/>
        <v>73350</v>
      </c>
      <c r="K761" s="252">
        <f t="shared" si="39"/>
        <v>78800</v>
      </c>
      <c r="L761" s="252">
        <f t="shared" si="39"/>
        <v>84200</v>
      </c>
      <c r="M761" s="252">
        <f t="shared" si="39"/>
        <v>89650</v>
      </c>
    </row>
    <row r="762" spans="1:13" ht="21.95" customHeight="1" x14ac:dyDescent="0.25">
      <c r="A762" s="36" t="s">
        <v>2904</v>
      </c>
      <c r="B762" s="36" t="str">
        <f t="shared" si="37"/>
        <v>IN_PERRY COUNTY, IN</v>
      </c>
      <c r="D762" s="265" t="s">
        <v>91</v>
      </c>
      <c r="E762" s="266" t="s">
        <v>3621</v>
      </c>
      <c r="F762" s="252">
        <f t="shared" si="39"/>
        <v>50700</v>
      </c>
      <c r="G762" s="252">
        <f t="shared" si="39"/>
        <v>57950</v>
      </c>
      <c r="H762" s="252">
        <f t="shared" si="39"/>
        <v>65200</v>
      </c>
      <c r="I762" s="252">
        <f t="shared" si="39"/>
        <v>72400</v>
      </c>
      <c r="J762" s="252">
        <f t="shared" si="39"/>
        <v>78200</v>
      </c>
      <c r="K762" s="252">
        <f t="shared" si="39"/>
        <v>84000</v>
      </c>
      <c r="L762" s="252">
        <f t="shared" si="39"/>
        <v>89800</v>
      </c>
      <c r="M762" s="252">
        <f t="shared" si="39"/>
        <v>95600</v>
      </c>
    </row>
    <row r="763" spans="1:13" ht="21.95" customHeight="1" x14ac:dyDescent="0.25">
      <c r="A763" s="36" t="s">
        <v>2904</v>
      </c>
      <c r="B763" s="36" t="str">
        <f t="shared" si="37"/>
        <v>IN_PIKE COUNTY, IN</v>
      </c>
      <c r="D763" s="265" t="s">
        <v>91</v>
      </c>
      <c r="E763" s="266" t="s">
        <v>3622</v>
      </c>
      <c r="F763" s="252">
        <f t="shared" si="39"/>
        <v>52450</v>
      </c>
      <c r="G763" s="252">
        <f t="shared" si="39"/>
        <v>59950</v>
      </c>
      <c r="H763" s="252">
        <f t="shared" si="39"/>
        <v>67450</v>
      </c>
      <c r="I763" s="252">
        <f t="shared" si="39"/>
        <v>74900</v>
      </c>
      <c r="J763" s="252">
        <f t="shared" si="39"/>
        <v>80900</v>
      </c>
      <c r="K763" s="252">
        <f t="shared" si="39"/>
        <v>86900</v>
      </c>
      <c r="L763" s="252">
        <f t="shared" si="39"/>
        <v>92900</v>
      </c>
      <c r="M763" s="252">
        <f t="shared" si="39"/>
        <v>98900</v>
      </c>
    </row>
    <row r="764" spans="1:13" ht="21.95" customHeight="1" x14ac:dyDescent="0.25">
      <c r="A764" s="36" t="s">
        <v>2904</v>
      </c>
      <c r="B764" s="36" t="str">
        <f t="shared" ref="B764:B827" si="40">UPPER(TRIM(D764)&amp;"_"&amp;TRIM(E764))</f>
        <v>IN_PULASKI COUNTY, IN</v>
      </c>
      <c r="D764" s="265" t="s">
        <v>91</v>
      </c>
      <c r="E764" s="266" t="s">
        <v>3623</v>
      </c>
      <c r="F764" s="252">
        <f t="shared" si="39"/>
        <v>47550</v>
      </c>
      <c r="G764" s="252">
        <f t="shared" si="39"/>
        <v>54350</v>
      </c>
      <c r="H764" s="252">
        <f t="shared" si="39"/>
        <v>61150</v>
      </c>
      <c r="I764" s="252">
        <f t="shared" si="39"/>
        <v>67900</v>
      </c>
      <c r="J764" s="252">
        <f t="shared" si="39"/>
        <v>73350</v>
      </c>
      <c r="K764" s="252">
        <f t="shared" si="39"/>
        <v>78800</v>
      </c>
      <c r="L764" s="252">
        <f t="shared" si="39"/>
        <v>84200</v>
      </c>
      <c r="M764" s="252">
        <f t="shared" si="39"/>
        <v>89650</v>
      </c>
    </row>
    <row r="765" spans="1:13" ht="21.95" customHeight="1" x14ac:dyDescent="0.25">
      <c r="A765" s="36" t="s">
        <v>2904</v>
      </c>
      <c r="B765" s="36" t="str">
        <f t="shared" si="40"/>
        <v>IN_PUTNAM COUNTY, IN</v>
      </c>
      <c r="D765" s="265" t="s">
        <v>91</v>
      </c>
      <c r="E765" s="266" t="s">
        <v>9170</v>
      </c>
      <c r="F765" s="252">
        <f t="shared" si="39"/>
        <v>52650</v>
      </c>
      <c r="G765" s="252">
        <f t="shared" si="39"/>
        <v>60200</v>
      </c>
      <c r="H765" s="252">
        <f t="shared" si="39"/>
        <v>67700</v>
      </c>
      <c r="I765" s="252">
        <f t="shared" si="39"/>
        <v>75200</v>
      </c>
      <c r="J765" s="252">
        <f t="shared" si="39"/>
        <v>81250</v>
      </c>
      <c r="K765" s="252">
        <f t="shared" si="39"/>
        <v>87250</v>
      </c>
      <c r="L765" s="252">
        <f t="shared" si="39"/>
        <v>93250</v>
      </c>
      <c r="M765" s="252">
        <f t="shared" si="39"/>
        <v>99300</v>
      </c>
    </row>
    <row r="766" spans="1:13" ht="21.95" customHeight="1" x14ac:dyDescent="0.25">
      <c r="A766" s="36" t="s">
        <v>2904</v>
      </c>
      <c r="B766" s="36" t="str">
        <f t="shared" si="40"/>
        <v>IN_RANDOLPH COUNTY, IN</v>
      </c>
      <c r="D766" s="265" t="s">
        <v>91</v>
      </c>
      <c r="E766" s="266" t="s">
        <v>3624</v>
      </c>
      <c r="F766" s="252">
        <f t="shared" si="39"/>
        <v>47550</v>
      </c>
      <c r="G766" s="252">
        <f t="shared" si="39"/>
        <v>54350</v>
      </c>
      <c r="H766" s="252">
        <f t="shared" si="39"/>
        <v>61150</v>
      </c>
      <c r="I766" s="252">
        <f t="shared" si="39"/>
        <v>67900</v>
      </c>
      <c r="J766" s="252">
        <f t="shared" si="39"/>
        <v>73350</v>
      </c>
      <c r="K766" s="252">
        <f t="shared" si="39"/>
        <v>78800</v>
      </c>
      <c r="L766" s="252">
        <f t="shared" si="39"/>
        <v>84200</v>
      </c>
      <c r="M766" s="252">
        <f t="shared" si="39"/>
        <v>89650</v>
      </c>
    </row>
    <row r="767" spans="1:13" ht="21.95" customHeight="1" x14ac:dyDescent="0.25">
      <c r="A767" s="36" t="s">
        <v>2904</v>
      </c>
      <c r="B767" s="36" t="str">
        <f t="shared" si="40"/>
        <v>IN_RIPLEY COUNTY, IN</v>
      </c>
      <c r="D767" s="265" t="s">
        <v>91</v>
      </c>
      <c r="E767" s="266" t="s">
        <v>3625</v>
      </c>
      <c r="F767" s="252">
        <f t="shared" si="39"/>
        <v>54050</v>
      </c>
      <c r="G767" s="252">
        <f t="shared" si="39"/>
        <v>61800</v>
      </c>
      <c r="H767" s="252">
        <f t="shared" si="39"/>
        <v>69500</v>
      </c>
      <c r="I767" s="252">
        <f t="shared" si="39"/>
        <v>77200</v>
      </c>
      <c r="J767" s="252">
        <f t="shared" si="39"/>
        <v>83400</v>
      </c>
      <c r="K767" s="252">
        <f t="shared" si="39"/>
        <v>89600</v>
      </c>
      <c r="L767" s="252">
        <f t="shared" si="39"/>
        <v>95750</v>
      </c>
      <c r="M767" s="252">
        <f t="shared" si="39"/>
        <v>101950</v>
      </c>
    </row>
    <row r="768" spans="1:13" ht="21.95" customHeight="1" x14ac:dyDescent="0.25">
      <c r="A768" s="36" t="s">
        <v>2904</v>
      </c>
      <c r="B768" s="36" t="str">
        <f t="shared" si="40"/>
        <v>IN_RUSH COUNTY, IN</v>
      </c>
      <c r="D768" s="265" t="s">
        <v>91</v>
      </c>
      <c r="E768" s="266" t="s">
        <v>3626</v>
      </c>
      <c r="F768" s="252">
        <f t="shared" si="39"/>
        <v>48100</v>
      </c>
      <c r="G768" s="252">
        <f t="shared" si="39"/>
        <v>55000</v>
      </c>
      <c r="H768" s="252">
        <f t="shared" si="39"/>
        <v>61850</v>
      </c>
      <c r="I768" s="252">
        <f t="shared" si="39"/>
        <v>68700</v>
      </c>
      <c r="J768" s="252">
        <f t="shared" si="39"/>
        <v>74200</v>
      </c>
      <c r="K768" s="252">
        <f t="shared" si="39"/>
        <v>79700</v>
      </c>
      <c r="L768" s="252">
        <f t="shared" si="39"/>
        <v>85200</v>
      </c>
      <c r="M768" s="252">
        <f t="shared" si="39"/>
        <v>90700</v>
      </c>
    </row>
    <row r="769" spans="1:13" ht="21.95" customHeight="1" x14ac:dyDescent="0.25">
      <c r="A769" s="36" t="s">
        <v>2904</v>
      </c>
      <c r="B769" s="36" t="str">
        <f t="shared" si="40"/>
        <v>IN_SCOTT COUNTY, IN</v>
      </c>
      <c r="D769" s="265" t="s">
        <v>91</v>
      </c>
      <c r="E769" s="266" t="s">
        <v>3627</v>
      </c>
      <c r="F769" s="252">
        <f t="shared" si="39"/>
        <v>47550</v>
      </c>
      <c r="G769" s="252">
        <f t="shared" si="39"/>
        <v>54350</v>
      </c>
      <c r="H769" s="252">
        <f t="shared" si="39"/>
        <v>61150</v>
      </c>
      <c r="I769" s="252">
        <f t="shared" si="39"/>
        <v>67900</v>
      </c>
      <c r="J769" s="252">
        <f t="shared" si="39"/>
        <v>73350</v>
      </c>
      <c r="K769" s="252">
        <f t="shared" si="39"/>
        <v>78800</v>
      </c>
      <c r="L769" s="252">
        <f t="shared" si="39"/>
        <v>84200</v>
      </c>
      <c r="M769" s="252">
        <f t="shared" si="39"/>
        <v>89650</v>
      </c>
    </row>
    <row r="770" spans="1:13" ht="21.95" customHeight="1" x14ac:dyDescent="0.25">
      <c r="A770" s="36" t="s">
        <v>2904</v>
      </c>
      <c r="B770" s="36" t="str">
        <f t="shared" si="40"/>
        <v>IN_SOUTH BEND-MISHAWAKA, IN HUD METRO FMR AREA</v>
      </c>
      <c r="D770" s="265" t="s">
        <v>91</v>
      </c>
      <c r="E770" s="266" t="s">
        <v>3628</v>
      </c>
      <c r="F770" s="252">
        <f t="shared" si="39"/>
        <v>49300</v>
      </c>
      <c r="G770" s="252">
        <f t="shared" si="39"/>
        <v>56350</v>
      </c>
      <c r="H770" s="252">
        <f t="shared" si="39"/>
        <v>63400</v>
      </c>
      <c r="I770" s="252">
        <f t="shared" si="39"/>
        <v>70400</v>
      </c>
      <c r="J770" s="252">
        <f t="shared" si="39"/>
        <v>76050</v>
      </c>
      <c r="K770" s="252">
        <f t="shared" si="39"/>
        <v>81700</v>
      </c>
      <c r="L770" s="252">
        <f t="shared" si="39"/>
        <v>87300</v>
      </c>
      <c r="M770" s="252">
        <f t="shared" si="39"/>
        <v>92950</v>
      </c>
    </row>
    <row r="771" spans="1:13" ht="21.95" customHeight="1" x14ac:dyDescent="0.25">
      <c r="A771" s="36" t="s">
        <v>2904</v>
      </c>
      <c r="B771" s="36" t="str">
        <f t="shared" si="40"/>
        <v>IN_SPENCER COUNTY, IN</v>
      </c>
      <c r="D771" s="265" t="s">
        <v>91</v>
      </c>
      <c r="E771" s="266" t="s">
        <v>3629</v>
      </c>
      <c r="F771" s="252">
        <f t="shared" si="39"/>
        <v>57650</v>
      </c>
      <c r="G771" s="252">
        <f t="shared" si="39"/>
        <v>65850</v>
      </c>
      <c r="H771" s="252">
        <f t="shared" si="39"/>
        <v>74100</v>
      </c>
      <c r="I771" s="252">
        <f t="shared" si="39"/>
        <v>82300</v>
      </c>
      <c r="J771" s="252">
        <f t="shared" si="39"/>
        <v>88900</v>
      </c>
      <c r="K771" s="252">
        <f t="shared" si="39"/>
        <v>95500</v>
      </c>
      <c r="L771" s="252">
        <f t="shared" si="39"/>
        <v>102100</v>
      </c>
      <c r="M771" s="252">
        <f t="shared" si="39"/>
        <v>108650</v>
      </c>
    </row>
    <row r="772" spans="1:13" ht="21.95" customHeight="1" x14ac:dyDescent="0.25">
      <c r="A772" s="36" t="s">
        <v>2904</v>
      </c>
      <c r="B772" s="36" t="str">
        <f t="shared" si="40"/>
        <v>IN_STARKE COUNTY, IN</v>
      </c>
      <c r="D772" s="265" t="s">
        <v>91</v>
      </c>
      <c r="E772" s="266" t="s">
        <v>3630</v>
      </c>
      <c r="F772" s="252">
        <f t="shared" si="39"/>
        <v>47550</v>
      </c>
      <c r="G772" s="252">
        <f t="shared" si="39"/>
        <v>54350</v>
      </c>
      <c r="H772" s="252">
        <f t="shared" si="39"/>
        <v>61150</v>
      </c>
      <c r="I772" s="252">
        <f t="shared" si="39"/>
        <v>67900</v>
      </c>
      <c r="J772" s="252">
        <f t="shared" si="39"/>
        <v>73350</v>
      </c>
      <c r="K772" s="252">
        <f t="shared" si="39"/>
        <v>78800</v>
      </c>
      <c r="L772" s="252">
        <f t="shared" si="39"/>
        <v>84200</v>
      </c>
      <c r="M772" s="252">
        <f t="shared" si="39"/>
        <v>89650</v>
      </c>
    </row>
    <row r="773" spans="1:13" ht="21.95" customHeight="1" x14ac:dyDescent="0.25">
      <c r="A773" s="36" t="s">
        <v>2904</v>
      </c>
      <c r="B773" s="36" t="str">
        <f t="shared" si="40"/>
        <v>IN_STEUBEN COUNTY, IN</v>
      </c>
      <c r="D773" s="265" t="s">
        <v>91</v>
      </c>
      <c r="E773" s="266" t="s">
        <v>3631</v>
      </c>
      <c r="F773" s="252">
        <f t="shared" si="39"/>
        <v>54750</v>
      </c>
      <c r="G773" s="252">
        <f t="shared" si="39"/>
        <v>62550</v>
      </c>
      <c r="H773" s="252">
        <f t="shared" si="39"/>
        <v>70350</v>
      </c>
      <c r="I773" s="252">
        <f t="shared" si="39"/>
        <v>78150</v>
      </c>
      <c r="J773" s="252">
        <f t="shared" si="39"/>
        <v>84450</v>
      </c>
      <c r="K773" s="252">
        <f t="shared" si="39"/>
        <v>90700</v>
      </c>
      <c r="L773" s="252">
        <f t="shared" si="39"/>
        <v>96950</v>
      </c>
      <c r="M773" s="252">
        <f t="shared" si="39"/>
        <v>103200</v>
      </c>
    </row>
    <row r="774" spans="1:13" ht="21.95" customHeight="1" x14ac:dyDescent="0.25">
      <c r="A774" s="36" t="s">
        <v>2904</v>
      </c>
      <c r="B774" s="36" t="str">
        <f t="shared" si="40"/>
        <v>IN_SULLIVAN COUNTY, IN HUD METRO FMR AREA</v>
      </c>
      <c r="D774" s="265" t="s">
        <v>91</v>
      </c>
      <c r="E774" s="266" t="s">
        <v>3632</v>
      </c>
      <c r="F774" s="252">
        <f t="shared" si="39"/>
        <v>47550</v>
      </c>
      <c r="G774" s="252">
        <f t="shared" si="39"/>
        <v>54350</v>
      </c>
      <c r="H774" s="252">
        <f t="shared" si="39"/>
        <v>61150</v>
      </c>
      <c r="I774" s="252">
        <f t="shared" si="39"/>
        <v>67900</v>
      </c>
      <c r="J774" s="252">
        <f t="shared" si="39"/>
        <v>73350</v>
      </c>
      <c r="K774" s="252">
        <f t="shared" si="39"/>
        <v>78800</v>
      </c>
      <c r="L774" s="252">
        <f t="shared" si="39"/>
        <v>84200</v>
      </c>
      <c r="M774" s="252">
        <f t="shared" si="39"/>
        <v>89650</v>
      </c>
    </row>
    <row r="775" spans="1:13" ht="21.95" customHeight="1" x14ac:dyDescent="0.25">
      <c r="A775" s="36" t="s">
        <v>2904</v>
      </c>
      <c r="B775" s="36" t="str">
        <f t="shared" si="40"/>
        <v>IN_SWITZERLAND COUNTY, IN</v>
      </c>
      <c r="D775" s="265" t="s">
        <v>91</v>
      </c>
      <c r="E775" s="266" t="s">
        <v>3633</v>
      </c>
      <c r="F775" s="252">
        <f t="shared" si="39"/>
        <v>47550</v>
      </c>
      <c r="G775" s="252">
        <f t="shared" si="39"/>
        <v>54350</v>
      </c>
      <c r="H775" s="252">
        <f t="shared" ref="F775:M807" si="41">VLOOKUP($B775,LOOKUP_AMI_TABLE,5+((H$7-1)),FALSE)</f>
        <v>61150</v>
      </c>
      <c r="I775" s="252">
        <f t="shared" si="41"/>
        <v>67900</v>
      </c>
      <c r="J775" s="252">
        <f t="shared" si="41"/>
        <v>73350</v>
      </c>
      <c r="K775" s="252">
        <f t="shared" si="41"/>
        <v>78800</v>
      </c>
      <c r="L775" s="252">
        <f t="shared" si="41"/>
        <v>84200</v>
      </c>
      <c r="M775" s="252">
        <f t="shared" si="41"/>
        <v>89650</v>
      </c>
    </row>
    <row r="776" spans="1:13" ht="21.95" customHeight="1" x14ac:dyDescent="0.25">
      <c r="A776" s="36" t="s">
        <v>2904</v>
      </c>
      <c r="B776" s="36" t="str">
        <f t="shared" si="40"/>
        <v>IN_TERRE HAUTE, IN HUD METRO FMR AREA</v>
      </c>
      <c r="D776" s="265" t="s">
        <v>91</v>
      </c>
      <c r="E776" s="266" t="s">
        <v>3634</v>
      </c>
      <c r="F776" s="252">
        <f t="shared" si="41"/>
        <v>47550</v>
      </c>
      <c r="G776" s="252">
        <f t="shared" si="41"/>
        <v>54350</v>
      </c>
      <c r="H776" s="252">
        <f t="shared" si="41"/>
        <v>61150</v>
      </c>
      <c r="I776" s="252">
        <f t="shared" si="41"/>
        <v>67900</v>
      </c>
      <c r="J776" s="252">
        <f t="shared" si="41"/>
        <v>73350</v>
      </c>
      <c r="K776" s="252">
        <f t="shared" si="41"/>
        <v>78800</v>
      </c>
      <c r="L776" s="252">
        <f t="shared" si="41"/>
        <v>84200</v>
      </c>
      <c r="M776" s="252">
        <f t="shared" si="41"/>
        <v>89650</v>
      </c>
    </row>
    <row r="777" spans="1:13" ht="21.95" customHeight="1" x14ac:dyDescent="0.25">
      <c r="A777" s="36" t="s">
        <v>2904</v>
      </c>
      <c r="B777" s="36" t="str">
        <f t="shared" si="40"/>
        <v>IN_TIPTON COUNTY, IN HUD METRO FMR AREA</v>
      </c>
      <c r="D777" s="265" t="s">
        <v>91</v>
      </c>
      <c r="E777" s="266" t="s">
        <v>9171</v>
      </c>
      <c r="F777" s="252">
        <f t="shared" si="41"/>
        <v>52750</v>
      </c>
      <c r="G777" s="252">
        <f t="shared" si="41"/>
        <v>60250</v>
      </c>
      <c r="H777" s="252">
        <f t="shared" si="41"/>
        <v>67800</v>
      </c>
      <c r="I777" s="252">
        <f t="shared" si="41"/>
        <v>75300</v>
      </c>
      <c r="J777" s="252">
        <f t="shared" si="41"/>
        <v>81350</v>
      </c>
      <c r="K777" s="252">
        <f t="shared" si="41"/>
        <v>87350</v>
      </c>
      <c r="L777" s="252">
        <f t="shared" si="41"/>
        <v>93400</v>
      </c>
      <c r="M777" s="252">
        <f t="shared" si="41"/>
        <v>99400</v>
      </c>
    </row>
    <row r="778" spans="1:13" ht="21.95" customHeight="1" x14ac:dyDescent="0.25">
      <c r="A778" s="36" t="s">
        <v>2904</v>
      </c>
      <c r="B778" s="36" t="str">
        <f t="shared" si="40"/>
        <v>IN_UNION COUNTY, IN</v>
      </c>
      <c r="D778" s="265" t="s">
        <v>91</v>
      </c>
      <c r="E778" s="266" t="s">
        <v>9172</v>
      </c>
      <c r="F778" s="252">
        <f t="shared" si="41"/>
        <v>53050</v>
      </c>
      <c r="G778" s="252">
        <f t="shared" si="41"/>
        <v>60600</v>
      </c>
      <c r="H778" s="252">
        <f t="shared" si="41"/>
        <v>68200</v>
      </c>
      <c r="I778" s="252">
        <f t="shared" si="41"/>
        <v>75750</v>
      </c>
      <c r="J778" s="252">
        <f t="shared" si="41"/>
        <v>81850</v>
      </c>
      <c r="K778" s="252">
        <f t="shared" si="41"/>
        <v>87900</v>
      </c>
      <c r="L778" s="252">
        <f t="shared" si="41"/>
        <v>93950</v>
      </c>
      <c r="M778" s="252">
        <f t="shared" si="41"/>
        <v>100000</v>
      </c>
    </row>
    <row r="779" spans="1:13" ht="21.95" customHeight="1" x14ac:dyDescent="0.25">
      <c r="A779" s="36" t="s">
        <v>2904</v>
      </c>
      <c r="B779" s="36" t="str">
        <f t="shared" si="40"/>
        <v>IN_WABASH COUNTY, IN</v>
      </c>
      <c r="D779" s="265" t="s">
        <v>91</v>
      </c>
      <c r="E779" s="266" t="s">
        <v>3635</v>
      </c>
      <c r="F779" s="252">
        <f t="shared" si="41"/>
        <v>49950</v>
      </c>
      <c r="G779" s="252">
        <f t="shared" si="41"/>
        <v>57100</v>
      </c>
      <c r="H779" s="252">
        <f t="shared" si="41"/>
        <v>64250</v>
      </c>
      <c r="I779" s="252">
        <f t="shared" si="41"/>
        <v>71350</v>
      </c>
      <c r="J779" s="252">
        <f t="shared" si="41"/>
        <v>77100</v>
      </c>
      <c r="K779" s="252">
        <f t="shared" si="41"/>
        <v>82800</v>
      </c>
      <c r="L779" s="252">
        <f t="shared" si="41"/>
        <v>88500</v>
      </c>
      <c r="M779" s="252">
        <f t="shared" si="41"/>
        <v>94200</v>
      </c>
    </row>
    <row r="780" spans="1:13" ht="21.95" customHeight="1" x14ac:dyDescent="0.25">
      <c r="A780" s="36" t="s">
        <v>2904</v>
      </c>
      <c r="B780" s="36" t="str">
        <f t="shared" si="40"/>
        <v>IN_WARREN COUNTY, IN HUD METRO FMR AREA</v>
      </c>
      <c r="D780" s="265" t="s">
        <v>91</v>
      </c>
      <c r="E780" s="266" t="s">
        <v>3636</v>
      </c>
      <c r="F780" s="252">
        <f t="shared" si="41"/>
        <v>54150</v>
      </c>
      <c r="G780" s="252">
        <f t="shared" si="41"/>
        <v>61850</v>
      </c>
      <c r="H780" s="252">
        <f t="shared" si="41"/>
        <v>69600</v>
      </c>
      <c r="I780" s="252">
        <f t="shared" si="41"/>
        <v>77300</v>
      </c>
      <c r="J780" s="252">
        <f t="shared" si="41"/>
        <v>83500</v>
      </c>
      <c r="K780" s="252">
        <f t="shared" si="41"/>
        <v>89700</v>
      </c>
      <c r="L780" s="252">
        <f t="shared" si="41"/>
        <v>95900</v>
      </c>
      <c r="M780" s="252">
        <f t="shared" si="41"/>
        <v>102050</v>
      </c>
    </row>
    <row r="781" spans="1:13" ht="21.95" customHeight="1" x14ac:dyDescent="0.25">
      <c r="A781" s="36" t="s">
        <v>2904</v>
      </c>
      <c r="B781" s="36" t="str">
        <f t="shared" si="40"/>
        <v>IN_WASHINGTON COUNTY, IN HUD METRO FMR AREA</v>
      </c>
      <c r="D781" s="265" t="s">
        <v>91</v>
      </c>
      <c r="E781" s="266" t="s">
        <v>3637</v>
      </c>
      <c r="F781" s="252">
        <f t="shared" si="41"/>
        <v>47550</v>
      </c>
      <c r="G781" s="252">
        <f t="shared" si="41"/>
        <v>54350</v>
      </c>
      <c r="H781" s="252">
        <f t="shared" si="41"/>
        <v>61150</v>
      </c>
      <c r="I781" s="252">
        <f t="shared" si="41"/>
        <v>67900</v>
      </c>
      <c r="J781" s="252">
        <f t="shared" si="41"/>
        <v>73350</v>
      </c>
      <c r="K781" s="252">
        <f t="shared" si="41"/>
        <v>78800</v>
      </c>
      <c r="L781" s="252">
        <f t="shared" si="41"/>
        <v>84200</v>
      </c>
      <c r="M781" s="252">
        <f t="shared" si="41"/>
        <v>89650</v>
      </c>
    </row>
    <row r="782" spans="1:13" ht="21.95" customHeight="1" x14ac:dyDescent="0.25">
      <c r="A782" s="36" t="s">
        <v>2904</v>
      </c>
      <c r="B782" s="36" t="str">
        <f t="shared" si="40"/>
        <v>IN_WAYNE COUNTY, IN</v>
      </c>
      <c r="D782" s="265" t="s">
        <v>91</v>
      </c>
      <c r="E782" s="266" t="s">
        <v>3638</v>
      </c>
      <c r="F782" s="252">
        <f t="shared" si="41"/>
        <v>47550</v>
      </c>
      <c r="G782" s="252">
        <f t="shared" si="41"/>
        <v>54350</v>
      </c>
      <c r="H782" s="252">
        <f t="shared" si="41"/>
        <v>61150</v>
      </c>
      <c r="I782" s="252">
        <f t="shared" si="41"/>
        <v>67900</v>
      </c>
      <c r="J782" s="252">
        <f t="shared" si="41"/>
        <v>73350</v>
      </c>
      <c r="K782" s="252">
        <f t="shared" si="41"/>
        <v>78800</v>
      </c>
      <c r="L782" s="252">
        <f t="shared" si="41"/>
        <v>84200</v>
      </c>
      <c r="M782" s="252">
        <f t="shared" si="41"/>
        <v>89650</v>
      </c>
    </row>
    <row r="783" spans="1:13" ht="21.95" customHeight="1" x14ac:dyDescent="0.25">
      <c r="A783" s="36" t="s">
        <v>2904</v>
      </c>
      <c r="B783" s="36" t="str">
        <f t="shared" si="40"/>
        <v>IN_WELLS COUNTY, IN HUD METRO FMR AREA</v>
      </c>
      <c r="D783" s="265" t="s">
        <v>91</v>
      </c>
      <c r="E783" s="266" t="s">
        <v>9173</v>
      </c>
      <c r="F783" s="252">
        <f t="shared" si="41"/>
        <v>51350</v>
      </c>
      <c r="G783" s="252">
        <f t="shared" si="41"/>
        <v>58650</v>
      </c>
      <c r="H783" s="252">
        <f t="shared" si="41"/>
        <v>66000</v>
      </c>
      <c r="I783" s="252">
        <f t="shared" si="41"/>
        <v>73300</v>
      </c>
      <c r="J783" s="252">
        <f t="shared" si="41"/>
        <v>79200</v>
      </c>
      <c r="K783" s="252">
        <f t="shared" si="41"/>
        <v>85050</v>
      </c>
      <c r="L783" s="252">
        <f t="shared" si="41"/>
        <v>90900</v>
      </c>
      <c r="M783" s="252">
        <f t="shared" si="41"/>
        <v>96800</v>
      </c>
    </row>
    <row r="784" spans="1:13" ht="21.95" customHeight="1" x14ac:dyDescent="0.25">
      <c r="A784" s="36" t="s">
        <v>2904</v>
      </c>
      <c r="B784" s="36" t="str">
        <f t="shared" si="40"/>
        <v>IN_WHITE COUNTY, IN</v>
      </c>
      <c r="D784" s="265" t="s">
        <v>91</v>
      </c>
      <c r="E784" s="266" t="s">
        <v>3639</v>
      </c>
      <c r="F784" s="252">
        <f t="shared" si="41"/>
        <v>48650</v>
      </c>
      <c r="G784" s="252">
        <f t="shared" si="41"/>
        <v>55600</v>
      </c>
      <c r="H784" s="252">
        <f t="shared" si="41"/>
        <v>62550</v>
      </c>
      <c r="I784" s="252">
        <f t="shared" si="41"/>
        <v>69450</v>
      </c>
      <c r="J784" s="252">
        <f t="shared" si="41"/>
        <v>75050</v>
      </c>
      <c r="K784" s="252">
        <f t="shared" si="41"/>
        <v>80600</v>
      </c>
      <c r="L784" s="252">
        <f t="shared" si="41"/>
        <v>86150</v>
      </c>
      <c r="M784" s="252">
        <f t="shared" si="41"/>
        <v>91700</v>
      </c>
    </row>
    <row r="785" spans="1:13" ht="21.95" customHeight="1" x14ac:dyDescent="0.25">
      <c r="A785" s="36" t="s">
        <v>2904</v>
      </c>
      <c r="B785" s="36" t="str">
        <f t="shared" si="40"/>
        <v>KS_ALLEN COUNTY, KS</v>
      </c>
      <c r="D785" s="265" t="s">
        <v>89</v>
      </c>
      <c r="E785" s="266" t="s">
        <v>3640</v>
      </c>
      <c r="F785" s="252">
        <f t="shared" si="41"/>
        <v>47150</v>
      </c>
      <c r="G785" s="252">
        <f t="shared" si="41"/>
        <v>53850</v>
      </c>
      <c r="H785" s="252">
        <f t="shared" si="41"/>
        <v>60600</v>
      </c>
      <c r="I785" s="252">
        <f t="shared" si="41"/>
        <v>67300</v>
      </c>
      <c r="J785" s="252">
        <f t="shared" si="41"/>
        <v>72700</v>
      </c>
      <c r="K785" s="252">
        <f t="shared" si="41"/>
        <v>78100</v>
      </c>
      <c r="L785" s="252">
        <f t="shared" si="41"/>
        <v>83500</v>
      </c>
      <c r="M785" s="252">
        <f t="shared" si="41"/>
        <v>88850</v>
      </c>
    </row>
    <row r="786" spans="1:13" ht="21.95" customHeight="1" x14ac:dyDescent="0.25">
      <c r="A786" s="36" t="s">
        <v>2904</v>
      </c>
      <c r="B786" s="36" t="str">
        <f t="shared" si="40"/>
        <v>KS_ANDERSON COUNTY, KS</v>
      </c>
      <c r="D786" s="265" t="s">
        <v>89</v>
      </c>
      <c r="E786" s="266" t="s">
        <v>3641</v>
      </c>
      <c r="F786" s="252">
        <f t="shared" si="41"/>
        <v>47700</v>
      </c>
      <c r="G786" s="252">
        <f t="shared" si="41"/>
        <v>54500</v>
      </c>
      <c r="H786" s="252">
        <f t="shared" si="41"/>
        <v>61300</v>
      </c>
      <c r="I786" s="252">
        <f t="shared" si="41"/>
        <v>68100</v>
      </c>
      <c r="J786" s="252">
        <f t="shared" si="41"/>
        <v>73550</v>
      </c>
      <c r="K786" s="252">
        <f t="shared" si="41"/>
        <v>79000</v>
      </c>
      <c r="L786" s="252">
        <f t="shared" si="41"/>
        <v>84450</v>
      </c>
      <c r="M786" s="252">
        <f t="shared" si="41"/>
        <v>89900</v>
      </c>
    </row>
    <row r="787" spans="1:13" ht="21.95" customHeight="1" x14ac:dyDescent="0.25">
      <c r="A787" s="36" t="s">
        <v>2904</v>
      </c>
      <c r="B787" s="36" t="str">
        <f t="shared" si="40"/>
        <v>KS_ATCHISON COUNTY, KS</v>
      </c>
      <c r="D787" s="265" t="s">
        <v>89</v>
      </c>
      <c r="E787" s="266" t="s">
        <v>3642</v>
      </c>
      <c r="F787" s="252">
        <f t="shared" si="41"/>
        <v>50600</v>
      </c>
      <c r="G787" s="252">
        <f t="shared" si="41"/>
        <v>57800</v>
      </c>
      <c r="H787" s="252">
        <f t="shared" si="41"/>
        <v>65050</v>
      </c>
      <c r="I787" s="252">
        <f t="shared" si="41"/>
        <v>72250</v>
      </c>
      <c r="J787" s="252">
        <f t="shared" si="41"/>
        <v>78050</v>
      </c>
      <c r="K787" s="252">
        <f t="shared" si="41"/>
        <v>83850</v>
      </c>
      <c r="L787" s="252">
        <f t="shared" si="41"/>
        <v>89600</v>
      </c>
      <c r="M787" s="252">
        <f t="shared" si="41"/>
        <v>95400</v>
      </c>
    </row>
    <row r="788" spans="1:13" ht="21.95" customHeight="1" x14ac:dyDescent="0.25">
      <c r="A788" s="36" t="s">
        <v>2904</v>
      </c>
      <c r="B788" s="36" t="str">
        <f t="shared" si="40"/>
        <v>KS_BARBER COUNTY, KS</v>
      </c>
      <c r="D788" s="265" t="s">
        <v>89</v>
      </c>
      <c r="E788" s="266" t="s">
        <v>3643</v>
      </c>
      <c r="F788" s="252">
        <f t="shared" si="41"/>
        <v>47150</v>
      </c>
      <c r="G788" s="252">
        <f t="shared" si="41"/>
        <v>53850</v>
      </c>
      <c r="H788" s="252">
        <f t="shared" si="41"/>
        <v>60600</v>
      </c>
      <c r="I788" s="252">
        <f t="shared" si="41"/>
        <v>67300</v>
      </c>
      <c r="J788" s="252">
        <f t="shared" si="41"/>
        <v>72700</v>
      </c>
      <c r="K788" s="252">
        <f t="shared" si="41"/>
        <v>78100</v>
      </c>
      <c r="L788" s="252">
        <f t="shared" si="41"/>
        <v>83500</v>
      </c>
      <c r="M788" s="252">
        <f t="shared" si="41"/>
        <v>88850</v>
      </c>
    </row>
    <row r="789" spans="1:13" ht="21.95" customHeight="1" x14ac:dyDescent="0.25">
      <c r="A789" s="36" t="s">
        <v>2904</v>
      </c>
      <c r="B789" s="36" t="str">
        <f t="shared" si="40"/>
        <v>KS_BARTON COUNTY, KS</v>
      </c>
      <c r="D789" s="265" t="s">
        <v>89</v>
      </c>
      <c r="E789" s="266" t="s">
        <v>3644</v>
      </c>
      <c r="F789" s="252">
        <f t="shared" si="41"/>
        <v>47150</v>
      </c>
      <c r="G789" s="252">
        <f t="shared" si="41"/>
        <v>53850</v>
      </c>
      <c r="H789" s="252">
        <f t="shared" si="41"/>
        <v>60600</v>
      </c>
      <c r="I789" s="252">
        <f t="shared" si="41"/>
        <v>67300</v>
      </c>
      <c r="J789" s="252">
        <f t="shared" si="41"/>
        <v>72700</v>
      </c>
      <c r="K789" s="252">
        <f t="shared" si="41"/>
        <v>78100</v>
      </c>
      <c r="L789" s="252">
        <f t="shared" si="41"/>
        <v>83500</v>
      </c>
      <c r="M789" s="252">
        <f t="shared" si="41"/>
        <v>88850</v>
      </c>
    </row>
    <row r="790" spans="1:13" ht="21.95" customHeight="1" x14ac:dyDescent="0.25">
      <c r="A790" s="36" t="s">
        <v>2904</v>
      </c>
      <c r="B790" s="36" t="str">
        <f t="shared" si="40"/>
        <v>KS_BOURBON COUNTY, KS</v>
      </c>
      <c r="D790" s="265" t="s">
        <v>89</v>
      </c>
      <c r="E790" s="266" t="s">
        <v>3645</v>
      </c>
      <c r="F790" s="252">
        <f t="shared" si="41"/>
        <v>50600</v>
      </c>
      <c r="G790" s="252">
        <f t="shared" si="41"/>
        <v>57800</v>
      </c>
      <c r="H790" s="252">
        <f t="shared" si="41"/>
        <v>65050</v>
      </c>
      <c r="I790" s="252">
        <f t="shared" si="41"/>
        <v>72250</v>
      </c>
      <c r="J790" s="252">
        <f t="shared" si="41"/>
        <v>78050</v>
      </c>
      <c r="K790" s="252">
        <f t="shared" si="41"/>
        <v>83850</v>
      </c>
      <c r="L790" s="252">
        <f t="shared" si="41"/>
        <v>89600</v>
      </c>
      <c r="M790" s="252">
        <f t="shared" si="41"/>
        <v>95400</v>
      </c>
    </row>
    <row r="791" spans="1:13" ht="21.95" customHeight="1" x14ac:dyDescent="0.25">
      <c r="A791" s="36" t="s">
        <v>2904</v>
      </c>
      <c r="B791" s="36" t="str">
        <f t="shared" si="40"/>
        <v>KS_BROWN COUNTY, KS</v>
      </c>
      <c r="D791" s="265" t="s">
        <v>89</v>
      </c>
      <c r="E791" s="266" t="s">
        <v>3646</v>
      </c>
      <c r="F791" s="252">
        <f t="shared" si="41"/>
        <v>47150</v>
      </c>
      <c r="G791" s="252">
        <f t="shared" si="41"/>
        <v>53850</v>
      </c>
      <c r="H791" s="252">
        <f t="shared" si="41"/>
        <v>60600</v>
      </c>
      <c r="I791" s="252">
        <f t="shared" si="41"/>
        <v>67300</v>
      </c>
      <c r="J791" s="252">
        <f t="shared" si="41"/>
        <v>72700</v>
      </c>
      <c r="K791" s="252">
        <f t="shared" si="41"/>
        <v>78100</v>
      </c>
      <c r="L791" s="252">
        <f t="shared" si="41"/>
        <v>83500</v>
      </c>
      <c r="M791" s="252">
        <f t="shared" si="41"/>
        <v>88850</v>
      </c>
    </row>
    <row r="792" spans="1:13" ht="21.95" customHeight="1" x14ac:dyDescent="0.25">
      <c r="A792" s="36" t="s">
        <v>2904</v>
      </c>
      <c r="B792" s="36" t="str">
        <f t="shared" si="40"/>
        <v>KS_CHASE COUNTY, KS</v>
      </c>
      <c r="D792" s="265" t="s">
        <v>89</v>
      </c>
      <c r="E792" s="266" t="s">
        <v>3647</v>
      </c>
      <c r="F792" s="252">
        <f t="shared" si="41"/>
        <v>47150</v>
      </c>
      <c r="G792" s="252">
        <f t="shared" si="41"/>
        <v>53850</v>
      </c>
      <c r="H792" s="252">
        <f t="shared" si="41"/>
        <v>60600</v>
      </c>
      <c r="I792" s="252">
        <f t="shared" si="41"/>
        <v>67300</v>
      </c>
      <c r="J792" s="252">
        <f t="shared" si="41"/>
        <v>72700</v>
      </c>
      <c r="K792" s="252">
        <f t="shared" si="41"/>
        <v>78100</v>
      </c>
      <c r="L792" s="252">
        <f t="shared" si="41"/>
        <v>83500</v>
      </c>
      <c r="M792" s="252">
        <f t="shared" si="41"/>
        <v>88850</v>
      </c>
    </row>
    <row r="793" spans="1:13" ht="21.95" customHeight="1" x14ac:dyDescent="0.25">
      <c r="A793" s="36" t="s">
        <v>2904</v>
      </c>
      <c r="B793" s="36" t="str">
        <f t="shared" si="40"/>
        <v>KS_CHAUTAUQUA COUNTY, KS</v>
      </c>
      <c r="D793" s="265" t="s">
        <v>89</v>
      </c>
      <c r="E793" s="266" t="s">
        <v>3648</v>
      </c>
      <c r="F793" s="252">
        <f t="shared" si="41"/>
        <v>47150</v>
      </c>
      <c r="G793" s="252">
        <f t="shared" si="41"/>
        <v>53850</v>
      </c>
      <c r="H793" s="252">
        <f t="shared" si="41"/>
        <v>60600</v>
      </c>
      <c r="I793" s="252">
        <f t="shared" si="41"/>
        <v>67300</v>
      </c>
      <c r="J793" s="252">
        <f t="shared" si="41"/>
        <v>72700</v>
      </c>
      <c r="K793" s="252">
        <f t="shared" si="41"/>
        <v>78100</v>
      </c>
      <c r="L793" s="252">
        <f t="shared" si="41"/>
        <v>83500</v>
      </c>
      <c r="M793" s="252">
        <f t="shared" si="41"/>
        <v>88850</v>
      </c>
    </row>
    <row r="794" spans="1:13" ht="21.95" customHeight="1" x14ac:dyDescent="0.25">
      <c r="A794" s="36" t="s">
        <v>2904</v>
      </c>
      <c r="B794" s="36" t="str">
        <f t="shared" si="40"/>
        <v>KS_CHEROKEE COUNTY, KS HUD METRO FMR AREA</v>
      </c>
      <c r="D794" s="265" t="s">
        <v>89</v>
      </c>
      <c r="E794" s="266" t="s">
        <v>9174</v>
      </c>
      <c r="F794" s="252">
        <f t="shared" si="41"/>
        <v>47150</v>
      </c>
      <c r="G794" s="252">
        <f t="shared" si="41"/>
        <v>53850</v>
      </c>
      <c r="H794" s="252">
        <f t="shared" si="41"/>
        <v>60600</v>
      </c>
      <c r="I794" s="252">
        <f t="shared" si="41"/>
        <v>67300</v>
      </c>
      <c r="J794" s="252">
        <f t="shared" si="41"/>
        <v>72700</v>
      </c>
      <c r="K794" s="252">
        <f t="shared" si="41"/>
        <v>78100</v>
      </c>
      <c r="L794" s="252">
        <f t="shared" si="41"/>
        <v>83500</v>
      </c>
      <c r="M794" s="252">
        <f t="shared" si="41"/>
        <v>88850</v>
      </c>
    </row>
    <row r="795" spans="1:13" ht="21.95" customHeight="1" x14ac:dyDescent="0.25">
      <c r="A795" s="36" t="s">
        <v>2904</v>
      </c>
      <c r="B795" s="36" t="str">
        <f t="shared" si="40"/>
        <v>KS_CHEYENNE COUNTY, KS</v>
      </c>
      <c r="D795" s="265" t="s">
        <v>89</v>
      </c>
      <c r="E795" s="266" t="s">
        <v>3649</v>
      </c>
      <c r="F795" s="252">
        <f t="shared" si="41"/>
        <v>47150</v>
      </c>
      <c r="G795" s="252">
        <f t="shared" si="41"/>
        <v>53850</v>
      </c>
      <c r="H795" s="252">
        <f t="shared" si="41"/>
        <v>60600</v>
      </c>
      <c r="I795" s="252">
        <f t="shared" si="41"/>
        <v>67300</v>
      </c>
      <c r="J795" s="252">
        <f t="shared" si="41"/>
        <v>72700</v>
      </c>
      <c r="K795" s="252">
        <f t="shared" si="41"/>
        <v>78100</v>
      </c>
      <c r="L795" s="252">
        <f t="shared" si="41"/>
        <v>83500</v>
      </c>
      <c r="M795" s="252">
        <f t="shared" si="41"/>
        <v>88850</v>
      </c>
    </row>
    <row r="796" spans="1:13" ht="21.95" customHeight="1" x14ac:dyDescent="0.25">
      <c r="A796" s="36" t="s">
        <v>2904</v>
      </c>
      <c r="B796" s="36" t="str">
        <f t="shared" si="40"/>
        <v>KS_CLARK COUNTY, KS</v>
      </c>
      <c r="D796" s="265" t="s">
        <v>89</v>
      </c>
      <c r="E796" s="266" t="s">
        <v>3650</v>
      </c>
      <c r="F796" s="252">
        <f t="shared" si="41"/>
        <v>47700</v>
      </c>
      <c r="G796" s="252">
        <f t="shared" si="41"/>
        <v>54500</v>
      </c>
      <c r="H796" s="252">
        <f t="shared" si="41"/>
        <v>61300</v>
      </c>
      <c r="I796" s="252">
        <f t="shared" si="41"/>
        <v>68100</v>
      </c>
      <c r="J796" s="252">
        <f t="shared" si="41"/>
        <v>73550</v>
      </c>
      <c r="K796" s="252">
        <f t="shared" si="41"/>
        <v>79000</v>
      </c>
      <c r="L796" s="252">
        <f t="shared" si="41"/>
        <v>84450</v>
      </c>
      <c r="M796" s="252">
        <f t="shared" si="41"/>
        <v>89900</v>
      </c>
    </row>
    <row r="797" spans="1:13" ht="21.95" customHeight="1" x14ac:dyDescent="0.25">
      <c r="A797" s="36" t="s">
        <v>2904</v>
      </c>
      <c r="B797" s="36" t="str">
        <f t="shared" si="40"/>
        <v>KS_CLAY COUNTY, KS</v>
      </c>
      <c r="D797" s="265" t="s">
        <v>89</v>
      </c>
      <c r="E797" s="266" t="s">
        <v>3651</v>
      </c>
      <c r="F797" s="252">
        <f t="shared" si="41"/>
        <v>47150</v>
      </c>
      <c r="G797" s="252">
        <f t="shared" si="41"/>
        <v>53850</v>
      </c>
      <c r="H797" s="252">
        <f t="shared" si="41"/>
        <v>60600</v>
      </c>
      <c r="I797" s="252">
        <f t="shared" si="41"/>
        <v>67300</v>
      </c>
      <c r="J797" s="252">
        <f t="shared" si="41"/>
        <v>72700</v>
      </c>
      <c r="K797" s="252">
        <f t="shared" si="41"/>
        <v>78100</v>
      </c>
      <c r="L797" s="252">
        <f t="shared" si="41"/>
        <v>83500</v>
      </c>
      <c r="M797" s="252">
        <f t="shared" si="41"/>
        <v>88850</v>
      </c>
    </row>
    <row r="798" spans="1:13" ht="21.95" customHeight="1" x14ac:dyDescent="0.25">
      <c r="A798" s="36" t="s">
        <v>2904</v>
      </c>
      <c r="B798" s="36" t="str">
        <f t="shared" si="40"/>
        <v>KS_CLOUD COUNTY, KS</v>
      </c>
      <c r="D798" s="265" t="s">
        <v>89</v>
      </c>
      <c r="E798" s="266" t="s">
        <v>3652</v>
      </c>
      <c r="F798" s="252">
        <f t="shared" si="41"/>
        <v>47150</v>
      </c>
      <c r="G798" s="252">
        <f t="shared" si="41"/>
        <v>53850</v>
      </c>
      <c r="H798" s="252">
        <f t="shared" si="41"/>
        <v>60600</v>
      </c>
      <c r="I798" s="252">
        <f t="shared" si="41"/>
        <v>67300</v>
      </c>
      <c r="J798" s="252">
        <f t="shared" si="41"/>
        <v>72700</v>
      </c>
      <c r="K798" s="252">
        <f t="shared" si="41"/>
        <v>78100</v>
      </c>
      <c r="L798" s="252">
        <f t="shared" si="41"/>
        <v>83500</v>
      </c>
      <c r="M798" s="252">
        <f t="shared" si="41"/>
        <v>88850</v>
      </c>
    </row>
    <row r="799" spans="1:13" ht="21.95" customHeight="1" x14ac:dyDescent="0.25">
      <c r="A799" s="36" t="s">
        <v>2904</v>
      </c>
      <c r="B799" s="36" t="str">
        <f t="shared" si="40"/>
        <v>KS_COFFEY COUNTY, KS</v>
      </c>
      <c r="D799" s="265" t="s">
        <v>89</v>
      </c>
      <c r="E799" s="266" t="s">
        <v>3653</v>
      </c>
      <c r="F799" s="252">
        <f t="shared" si="41"/>
        <v>51950</v>
      </c>
      <c r="G799" s="252">
        <f t="shared" si="41"/>
        <v>59350</v>
      </c>
      <c r="H799" s="252">
        <f t="shared" si="41"/>
        <v>66750</v>
      </c>
      <c r="I799" s="252">
        <f t="shared" si="41"/>
        <v>74150</v>
      </c>
      <c r="J799" s="252">
        <f t="shared" si="41"/>
        <v>80100</v>
      </c>
      <c r="K799" s="252">
        <f t="shared" si="41"/>
        <v>86050</v>
      </c>
      <c r="L799" s="252">
        <f t="shared" si="41"/>
        <v>91950</v>
      </c>
      <c r="M799" s="252">
        <f t="shared" si="41"/>
        <v>97900</v>
      </c>
    </row>
    <row r="800" spans="1:13" ht="21.95" customHeight="1" x14ac:dyDescent="0.25">
      <c r="A800" s="36" t="s">
        <v>2904</v>
      </c>
      <c r="B800" s="36" t="str">
        <f t="shared" si="40"/>
        <v>KS_COMANCHE COUNTY, KS</v>
      </c>
      <c r="D800" s="265" t="s">
        <v>89</v>
      </c>
      <c r="E800" s="266" t="s">
        <v>3654</v>
      </c>
      <c r="F800" s="252">
        <f t="shared" si="41"/>
        <v>47850</v>
      </c>
      <c r="G800" s="252">
        <f t="shared" si="41"/>
        <v>54650</v>
      </c>
      <c r="H800" s="252">
        <f t="shared" si="41"/>
        <v>61500</v>
      </c>
      <c r="I800" s="252">
        <f t="shared" si="41"/>
        <v>68300</v>
      </c>
      <c r="J800" s="252">
        <f t="shared" si="41"/>
        <v>73800</v>
      </c>
      <c r="K800" s="252">
        <f t="shared" si="41"/>
        <v>79250</v>
      </c>
      <c r="L800" s="252">
        <f t="shared" si="41"/>
        <v>84700</v>
      </c>
      <c r="M800" s="252">
        <f t="shared" si="41"/>
        <v>90200</v>
      </c>
    </row>
    <row r="801" spans="1:13" ht="21.95" customHeight="1" x14ac:dyDescent="0.25">
      <c r="A801" s="36" t="s">
        <v>2904</v>
      </c>
      <c r="B801" s="36" t="str">
        <f t="shared" si="40"/>
        <v>KS_COWLEY COUNTY, KS</v>
      </c>
      <c r="D801" s="265" t="s">
        <v>89</v>
      </c>
      <c r="E801" s="266" t="s">
        <v>3655</v>
      </c>
      <c r="F801" s="252">
        <f t="shared" si="41"/>
        <v>47150</v>
      </c>
      <c r="G801" s="252">
        <f t="shared" si="41"/>
        <v>53850</v>
      </c>
      <c r="H801" s="252">
        <f t="shared" si="41"/>
        <v>60600</v>
      </c>
      <c r="I801" s="252">
        <f t="shared" si="41"/>
        <v>67300</v>
      </c>
      <c r="J801" s="252">
        <f t="shared" si="41"/>
        <v>72700</v>
      </c>
      <c r="K801" s="252">
        <f t="shared" si="41"/>
        <v>78100</v>
      </c>
      <c r="L801" s="252">
        <f t="shared" si="41"/>
        <v>83500</v>
      </c>
      <c r="M801" s="252">
        <f t="shared" si="41"/>
        <v>88850</v>
      </c>
    </row>
    <row r="802" spans="1:13" ht="21.95" customHeight="1" x14ac:dyDescent="0.25">
      <c r="A802" s="36" t="s">
        <v>2904</v>
      </c>
      <c r="B802" s="36" t="str">
        <f t="shared" si="40"/>
        <v>KS_CRAWFORD COUNTY, KS</v>
      </c>
      <c r="D802" s="265" t="s">
        <v>89</v>
      </c>
      <c r="E802" s="266" t="s">
        <v>3656</v>
      </c>
      <c r="F802" s="252">
        <f t="shared" si="41"/>
        <v>47150</v>
      </c>
      <c r="G802" s="252">
        <f t="shared" si="41"/>
        <v>53850</v>
      </c>
      <c r="H802" s="252">
        <f t="shared" si="41"/>
        <v>60600</v>
      </c>
      <c r="I802" s="252">
        <f t="shared" si="41"/>
        <v>67300</v>
      </c>
      <c r="J802" s="252">
        <f t="shared" si="41"/>
        <v>72700</v>
      </c>
      <c r="K802" s="252">
        <f t="shared" si="41"/>
        <v>78100</v>
      </c>
      <c r="L802" s="252">
        <f t="shared" si="41"/>
        <v>83500</v>
      </c>
      <c r="M802" s="252">
        <f t="shared" si="41"/>
        <v>88850</v>
      </c>
    </row>
    <row r="803" spans="1:13" ht="21.95" customHeight="1" x14ac:dyDescent="0.25">
      <c r="A803" s="36" t="s">
        <v>2904</v>
      </c>
      <c r="B803" s="36" t="str">
        <f t="shared" si="40"/>
        <v>KS_DECATUR COUNTY, KS</v>
      </c>
      <c r="D803" s="265" t="s">
        <v>89</v>
      </c>
      <c r="E803" s="266" t="s">
        <v>3657</v>
      </c>
      <c r="F803" s="252">
        <f t="shared" si="41"/>
        <v>47150</v>
      </c>
      <c r="G803" s="252">
        <f t="shared" si="41"/>
        <v>53850</v>
      </c>
      <c r="H803" s="252">
        <f t="shared" si="41"/>
        <v>60600</v>
      </c>
      <c r="I803" s="252">
        <f t="shared" si="41"/>
        <v>67300</v>
      </c>
      <c r="J803" s="252">
        <f t="shared" si="41"/>
        <v>72700</v>
      </c>
      <c r="K803" s="252">
        <f t="shared" si="41"/>
        <v>78100</v>
      </c>
      <c r="L803" s="252">
        <f t="shared" si="41"/>
        <v>83500</v>
      </c>
      <c r="M803" s="252">
        <f t="shared" si="41"/>
        <v>88850</v>
      </c>
    </row>
    <row r="804" spans="1:13" ht="21.95" customHeight="1" x14ac:dyDescent="0.25">
      <c r="A804" s="36" t="s">
        <v>2904</v>
      </c>
      <c r="B804" s="36" t="str">
        <f t="shared" si="40"/>
        <v>KS_DICKINSON COUNTY, KS</v>
      </c>
      <c r="D804" s="265" t="s">
        <v>89</v>
      </c>
      <c r="E804" s="266" t="s">
        <v>3658</v>
      </c>
      <c r="F804" s="252">
        <f t="shared" si="41"/>
        <v>49600</v>
      </c>
      <c r="G804" s="252">
        <f t="shared" si="41"/>
        <v>56650</v>
      </c>
      <c r="H804" s="252">
        <f t="shared" si="41"/>
        <v>63750</v>
      </c>
      <c r="I804" s="252">
        <f t="shared" si="41"/>
        <v>70800</v>
      </c>
      <c r="J804" s="252">
        <f t="shared" si="41"/>
        <v>76500</v>
      </c>
      <c r="K804" s="252">
        <f t="shared" si="41"/>
        <v>82150</v>
      </c>
      <c r="L804" s="252">
        <f t="shared" si="41"/>
        <v>87800</v>
      </c>
      <c r="M804" s="252">
        <f t="shared" si="41"/>
        <v>93500</v>
      </c>
    </row>
    <row r="805" spans="1:13" ht="21.95" customHeight="1" x14ac:dyDescent="0.25">
      <c r="A805" s="36" t="s">
        <v>2904</v>
      </c>
      <c r="B805" s="36" t="str">
        <f t="shared" si="40"/>
        <v>KS_EDWARDS COUNTY, KS</v>
      </c>
      <c r="D805" s="265" t="s">
        <v>89</v>
      </c>
      <c r="E805" s="266" t="s">
        <v>3659</v>
      </c>
      <c r="F805" s="252">
        <f t="shared" si="41"/>
        <v>47450</v>
      </c>
      <c r="G805" s="252">
        <f t="shared" si="41"/>
        <v>54200</v>
      </c>
      <c r="H805" s="252">
        <f t="shared" si="41"/>
        <v>61000</v>
      </c>
      <c r="I805" s="252">
        <f t="shared" si="41"/>
        <v>67750</v>
      </c>
      <c r="J805" s="252">
        <f t="shared" si="41"/>
        <v>73200</v>
      </c>
      <c r="K805" s="252">
        <f t="shared" si="41"/>
        <v>78600</v>
      </c>
      <c r="L805" s="252">
        <f t="shared" si="41"/>
        <v>84050</v>
      </c>
      <c r="M805" s="252">
        <f t="shared" si="41"/>
        <v>89450</v>
      </c>
    </row>
    <row r="806" spans="1:13" ht="21.95" customHeight="1" x14ac:dyDescent="0.25">
      <c r="A806" s="36" t="s">
        <v>2904</v>
      </c>
      <c r="B806" s="36" t="str">
        <f t="shared" si="40"/>
        <v>KS_ELK COUNTY, KS</v>
      </c>
      <c r="D806" s="265" t="s">
        <v>89</v>
      </c>
      <c r="E806" s="266" t="s">
        <v>3660</v>
      </c>
      <c r="F806" s="252">
        <f t="shared" si="41"/>
        <v>47150</v>
      </c>
      <c r="G806" s="252">
        <f t="shared" si="41"/>
        <v>53850</v>
      </c>
      <c r="H806" s="252">
        <f t="shared" si="41"/>
        <v>60600</v>
      </c>
      <c r="I806" s="252">
        <f t="shared" si="41"/>
        <v>67300</v>
      </c>
      <c r="J806" s="252">
        <f t="shared" si="41"/>
        <v>72700</v>
      </c>
      <c r="K806" s="252">
        <f t="shared" si="41"/>
        <v>78100</v>
      </c>
      <c r="L806" s="252">
        <f t="shared" si="41"/>
        <v>83500</v>
      </c>
      <c r="M806" s="252">
        <f t="shared" si="41"/>
        <v>88850</v>
      </c>
    </row>
    <row r="807" spans="1:13" ht="21.95" customHeight="1" x14ac:dyDescent="0.25">
      <c r="A807" s="36" t="s">
        <v>2904</v>
      </c>
      <c r="B807" s="36" t="str">
        <f t="shared" si="40"/>
        <v>KS_ELLIS COUNTY, KS</v>
      </c>
      <c r="D807" s="265" t="s">
        <v>89</v>
      </c>
      <c r="E807" s="266" t="s">
        <v>3661</v>
      </c>
      <c r="F807" s="252">
        <f t="shared" si="41"/>
        <v>53400</v>
      </c>
      <c r="G807" s="252">
        <f t="shared" ref="F807:M838" si="42">VLOOKUP($B807,LOOKUP_AMI_TABLE,5+((G$7-1)),FALSE)</f>
        <v>61000</v>
      </c>
      <c r="H807" s="252">
        <f t="shared" si="42"/>
        <v>68650</v>
      </c>
      <c r="I807" s="252">
        <f t="shared" si="42"/>
        <v>76250</v>
      </c>
      <c r="J807" s="252">
        <f t="shared" si="42"/>
        <v>82350</v>
      </c>
      <c r="K807" s="252">
        <f t="shared" si="42"/>
        <v>88450</v>
      </c>
      <c r="L807" s="252">
        <f t="shared" si="42"/>
        <v>94550</v>
      </c>
      <c r="M807" s="252">
        <f t="shared" si="42"/>
        <v>100650</v>
      </c>
    </row>
    <row r="808" spans="1:13" ht="21.95" customHeight="1" x14ac:dyDescent="0.25">
      <c r="A808" s="36" t="s">
        <v>2904</v>
      </c>
      <c r="B808" s="36" t="str">
        <f t="shared" si="40"/>
        <v>KS_ELLSWORTH COUNTY, KS</v>
      </c>
      <c r="D808" s="265" t="s">
        <v>89</v>
      </c>
      <c r="E808" s="266" t="s">
        <v>3662</v>
      </c>
      <c r="F808" s="252">
        <f t="shared" si="42"/>
        <v>51200</v>
      </c>
      <c r="G808" s="252">
        <f t="shared" si="42"/>
        <v>58500</v>
      </c>
      <c r="H808" s="252">
        <f t="shared" si="42"/>
        <v>65800</v>
      </c>
      <c r="I808" s="252">
        <f t="shared" si="42"/>
        <v>73100</v>
      </c>
      <c r="J808" s="252">
        <f t="shared" si="42"/>
        <v>78950</v>
      </c>
      <c r="K808" s="252">
        <f t="shared" si="42"/>
        <v>84800</v>
      </c>
      <c r="L808" s="252">
        <f t="shared" si="42"/>
        <v>90650</v>
      </c>
      <c r="M808" s="252">
        <f t="shared" si="42"/>
        <v>96500</v>
      </c>
    </row>
    <row r="809" spans="1:13" ht="21.95" customHeight="1" x14ac:dyDescent="0.25">
      <c r="A809" s="36" t="s">
        <v>2904</v>
      </c>
      <c r="B809" s="36" t="str">
        <f t="shared" si="40"/>
        <v>KS_FINNEY COUNTY, KS</v>
      </c>
      <c r="D809" s="265" t="s">
        <v>89</v>
      </c>
      <c r="E809" s="266" t="s">
        <v>3663</v>
      </c>
      <c r="F809" s="252">
        <f t="shared" si="42"/>
        <v>52300</v>
      </c>
      <c r="G809" s="252">
        <f t="shared" si="42"/>
        <v>59800</v>
      </c>
      <c r="H809" s="252">
        <f t="shared" si="42"/>
        <v>67250</v>
      </c>
      <c r="I809" s="252">
        <f t="shared" si="42"/>
        <v>74700</v>
      </c>
      <c r="J809" s="252">
        <f t="shared" si="42"/>
        <v>80700</v>
      </c>
      <c r="K809" s="252">
        <f t="shared" si="42"/>
        <v>86700</v>
      </c>
      <c r="L809" s="252">
        <f t="shared" si="42"/>
        <v>92650</v>
      </c>
      <c r="M809" s="252">
        <f t="shared" si="42"/>
        <v>98650</v>
      </c>
    </row>
    <row r="810" spans="1:13" ht="21.95" customHeight="1" x14ac:dyDescent="0.25">
      <c r="A810" s="36" t="s">
        <v>2904</v>
      </c>
      <c r="B810" s="36" t="str">
        <f t="shared" si="40"/>
        <v>KS_FORD COUNTY, KS</v>
      </c>
      <c r="D810" s="265" t="s">
        <v>89</v>
      </c>
      <c r="E810" s="266" t="s">
        <v>3664</v>
      </c>
      <c r="F810" s="252">
        <f t="shared" si="42"/>
        <v>49250</v>
      </c>
      <c r="G810" s="252">
        <f t="shared" si="42"/>
        <v>56250</v>
      </c>
      <c r="H810" s="252">
        <f t="shared" si="42"/>
        <v>63300</v>
      </c>
      <c r="I810" s="252">
        <f t="shared" si="42"/>
        <v>70300</v>
      </c>
      <c r="J810" s="252">
        <f t="shared" si="42"/>
        <v>75950</v>
      </c>
      <c r="K810" s="252">
        <f t="shared" si="42"/>
        <v>81550</v>
      </c>
      <c r="L810" s="252">
        <f t="shared" si="42"/>
        <v>87200</v>
      </c>
      <c r="M810" s="252">
        <f t="shared" si="42"/>
        <v>92800</v>
      </c>
    </row>
    <row r="811" spans="1:13" ht="21.95" customHeight="1" x14ac:dyDescent="0.25">
      <c r="A811" s="36" t="s">
        <v>2904</v>
      </c>
      <c r="B811" s="36" t="str">
        <f t="shared" si="40"/>
        <v>KS_FRANKLIN COUNTY, KS</v>
      </c>
      <c r="D811" s="265" t="s">
        <v>89</v>
      </c>
      <c r="E811" s="266" t="s">
        <v>3665</v>
      </c>
      <c r="F811" s="252">
        <f t="shared" si="42"/>
        <v>53900</v>
      </c>
      <c r="G811" s="252">
        <f t="shared" si="42"/>
        <v>61600</v>
      </c>
      <c r="H811" s="252">
        <f t="shared" si="42"/>
        <v>69300</v>
      </c>
      <c r="I811" s="252">
        <f t="shared" si="42"/>
        <v>76950</v>
      </c>
      <c r="J811" s="252">
        <f t="shared" si="42"/>
        <v>83150</v>
      </c>
      <c r="K811" s="252">
        <f t="shared" si="42"/>
        <v>89300</v>
      </c>
      <c r="L811" s="252">
        <f t="shared" si="42"/>
        <v>95450</v>
      </c>
      <c r="M811" s="252">
        <f t="shared" si="42"/>
        <v>101600</v>
      </c>
    </row>
    <row r="812" spans="1:13" ht="21.95" customHeight="1" x14ac:dyDescent="0.25">
      <c r="A812" s="36" t="s">
        <v>2904</v>
      </c>
      <c r="B812" s="36" t="str">
        <f t="shared" si="40"/>
        <v>KS_GEARY COUNTY, KS HUD METRO FMR AREA</v>
      </c>
      <c r="D812" s="265" t="s">
        <v>89</v>
      </c>
      <c r="E812" s="266" t="s">
        <v>3666</v>
      </c>
      <c r="F812" s="252">
        <f t="shared" si="42"/>
        <v>47150</v>
      </c>
      <c r="G812" s="252">
        <f t="shared" si="42"/>
        <v>53850</v>
      </c>
      <c r="H812" s="252">
        <f t="shared" si="42"/>
        <v>60600</v>
      </c>
      <c r="I812" s="252">
        <f t="shared" si="42"/>
        <v>67300</v>
      </c>
      <c r="J812" s="252">
        <f t="shared" si="42"/>
        <v>72700</v>
      </c>
      <c r="K812" s="252">
        <f t="shared" si="42"/>
        <v>78100</v>
      </c>
      <c r="L812" s="252">
        <f t="shared" si="42"/>
        <v>83500</v>
      </c>
      <c r="M812" s="252">
        <f t="shared" si="42"/>
        <v>88850</v>
      </c>
    </row>
    <row r="813" spans="1:13" ht="21.95" customHeight="1" x14ac:dyDescent="0.25">
      <c r="A813" s="36" t="s">
        <v>2904</v>
      </c>
      <c r="B813" s="36" t="str">
        <f t="shared" si="40"/>
        <v>KS_GOVE COUNTY, KS</v>
      </c>
      <c r="D813" s="265" t="s">
        <v>89</v>
      </c>
      <c r="E813" s="266" t="s">
        <v>3667</v>
      </c>
      <c r="F813" s="252">
        <f t="shared" si="42"/>
        <v>50200</v>
      </c>
      <c r="G813" s="252">
        <f t="shared" si="42"/>
        <v>57400</v>
      </c>
      <c r="H813" s="252">
        <f t="shared" si="42"/>
        <v>64550</v>
      </c>
      <c r="I813" s="252">
        <f t="shared" si="42"/>
        <v>71700</v>
      </c>
      <c r="J813" s="252">
        <f t="shared" si="42"/>
        <v>77450</v>
      </c>
      <c r="K813" s="252">
        <f t="shared" si="42"/>
        <v>83200</v>
      </c>
      <c r="L813" s="252">
        <f t="shared" si="42"/>
        <v>88950</v>
      </c>
      <c r="M813" s="252">
        <f t="shared" si="42"/>
        <v>94650</v>
      </c>
    </row>
    <row r="814" spans="1:13" ht="21.95" customHeight="1" x14ac:dyDescent="0.25">
      <c r="A814" s="36" t="s">
        <v>2904</v>
      </c>
      <c r="B814" s="36" t="str">
        <f t="shared" si="40"/>
        <v>KS_GRAHAM COUNTY, KS</v>
      </c>
      <c r="D814" s="265" t="s">
        <v>89</v>
      </c>
      <c r="E814" s="266" t="s">
        <v>3668</v>
      </c>
      <c r="F814" s="252">
        <f t="shared" si="42"/>
        <v>47150</v>
      </c>
      <c r="G814" s="252">
        <f t="shared" si="42"/>
        <v>53850</v>
      </c>
      <c r="H814" s="252">
        <f t="shared" si="42"/>
        <v>60600</v>
      </c>
      <c r="I814" s="252">
        <f t="shared" si="42"/>
        <v>67300</v>
      </c>
      <c r="J814" s="252">
        <f t="shared" si="42"/>
        <v>72700</v>
      </c>
      <c r="K814" s="252">
        <f t="shared" si="42"/>
        <v>78100</v>
      </c>
      <c r="L814" s="252">
        <f t="shared" si="42"/>
        <v>83500</v>
      </c>
      <c r="M814" s="252">
        <f t="shared" si="42"/>
        <v>88850</v>
      </c>
    </row>
    <row r="815" spans="1:13" ht="21.95" customHeight="1" x14ac:dyDescent="0.25">
      <c r="A815" s="36" t="s">
        <v>2904</v>
      </c>
      <c r="B815" s="36" t="str">
        <f t="shared" si="40"/>
        <v>KS_GRANT COUNTY, KS</v>
      </c>
      <c r="D815" s="265" t="s">
        <v>89</v>
      </c>
      <c r="E815" s="266" t="s">
        <v>3669</v>
      </c>
      <c r="F815" s="252">
        <f t="shared" si="42"/>
        <v>51350</v>
      </c>
      <c r="G815" s="252">
        <f t="shared" si="42"/>
        <v>58700</v>
      </c>
      <c r="H815" s="252">
        <f t="shared" si="42"/>
        <v>66050</v>
      </c>
      <c r="I815" s="252">
        <f t="shared" si="42"/>
        <v>73350</v>
      </c>
      <c r="J815" s="252">
        <f t="shared" si="42"/>
        <v>79250</v>
      </c>
      <c r="K815" s="252">
        <f t="shared" si="42"/>
        <v>85100</v>
      </c>
      <c r="L815" s="252">
        <f t="shared" si="42"/>
        <v>91000</v>
      </c>
      <c r="M815" s="252">
        <f t="shared" si="42"/>
        <v>96850</v>
      </c>
    </row>
    <row r="816" spans="1:13" ht="21.95" customHeight="1" x14ac:dyDescent="0.25">
      <c r="A816" s="36" t="s">
        <v>2904</v>
      </c>
      <c r="B816" s="36" t="str">
        <f t="shared" si="40"/>
        <v>KS_GRAY COUNTY, KS</v>
      </c>
      <c r="D816" s="265" t="s">
        <v>89</v>
      </c>
      <c r="E816" s="266" t="s">
        <v>3670</v>
      </c>
      <c r="F816" s="252">
        <f t="shared" si="42"/>
        <v>56350</v>
      </c>
      <c r="G816" s="252">
        <f t="shared" si="42"/>
        <v>64400</v>
      </c>
      <c r="H816" s="252">
        <f t="shared" si="42"/>
        <v>72450</v>
      </c>
      <c r="I816" s="252">
        <f t="shared" si="42"/>
        <v>80500</v>
      </c>
      <c r="J816" s="252">
        <f t="shared" si="42"/>
        <v>86950</v>
      </c>
      <c r="K816" s="252">
        <f t="shared" si="42"/>
        <v>93400</v>
      </c>
      <c r="L816" s="252">
        <f t="shared" si="42"/>
        <v>99850</v>
      </c>
      <c r="M816" s="252">
        <f t="shared" si="42"/>
        <v>106300</v>
      </c>
    </row>
    <row r="817" spans="1:13" ht="21.95" customHeight="1" x14ac:dyDescent="0.25">
      <c r="A817" s="36" t="s">
        <v>2904</v>
      </c>
      <c r="B817" s="36" t="str">
        <f t="shared" si="40"/>
        <v>KS_GREELEY COUNTY, KS</v>
      </c>
      <c r="D817" s="265" t="s">
        <v>89</v>
      </c>
      <c r="E817" s="266" t="s">
        <v>3671</v>
      </c>
      <c r="F817" s="252">
        <f t="shared" si="42"/>
        <v>50400</v>
      </c>
      <c r="G817" s="252">
        <f t="shared" si="42"/>
        <v>57600</v>
      </c>
      <c r="H817" s="252">
        <f t="shared" si="42"/>
        <v>64800</v>
      </c>
      <c r="I817" s="252">
        <f t="shared" si="42"/>
        <v>72000</v>
      </c>
      <c r="J817" s="252">
        <f t="shared" si="42"/>
        <v>77800</v>
      </c>
      <c r="K817" s="252">
        <f t="shared" si="42"/>
        <v>83550</v>
      </c>
      <c r="L817" s="252">
        <f t="shared" si="42"/>
        <v>89300</v>
      </c>
      <c r="M817" s="252">
        <f t="shared" si="42"/>
        <v>95050</v>
      </c>
    </row>
    <row r="818" spans="1:13" ht="21.95" customHeight="1" x14ac:dyDescent="0.25">
      <c r="A818" s="36" t="s">
        <v>2904</v>
      </c>
      <c r="B818" s="36" t="str">
        <f t="shared" si="40"/>
        <v>KS_GREENWOOD COUNTY, KS</v>
      </c>
      <c r="D818" s="265" t="s">
        <v>89</v>
      </c>
      <c r="E818" s="266" t="s">
        <v>3672</v>
      </c>
      <c r="F818" s="252">
        <f t="shared" si="42"/>
        <v>47150</v>
      </c>
      <c r="G818" s="252">
        <f t="shared" si="42"/>
        <v>53850</v>
      </c>
      <c r="H818" s="252">
        <f t="shared" si="42"/>
        <v>60600</v>
      </c>
      <c r="I818" s="252">
        <f t="shared" si="42"/>
        <v>67300</v>
      </c>
      <c r="J818" s="252">
        <f t="shared" si="42"/>
        <v>72700</v>
      </c>
      <c r="K818" s="252">
        <f t="shared" si="42"/>
        <v>78100</v>
      </c>
      <c r="L818" s="252">
        <f t="shared" si="42"/>
        <v>83500</v>
      </c>
      <c r="M818" s="252">
        <f t="shared" si="42"/>
        <v>88850</v>
      </c>
    </row>
    <row r="819" spans="1:13" ht="21.95" customHeight="1" x14ac:dyDescent="0.25">
      <c r="A819" s="36" t="s">
        <v>2904</v>
      </c>
      <c r="B819" s="36" t="str">
        <f t="shared" si="40"/>
        <v>KS_HAMILTON COUNTY, KS</v>
      </c>
      <c r="D819" s="265" t="s">
        <v>89</v>
      </c>
      <c r="E819" s="266" t="s">
        <v>3673</v>
      </c>
      <c r="F819" s="252">
        <f t="shared" si="42"/>
        <v>47150</v>
      </c>
      <c r="G819" s="252">
        <f t="shared" si="42"/>
        <v>53850</v>
      </c>
      <c r="H819" s="252">
        <f t="shared" si="42"/>
        <v>60600</v>
      </c>
      <c r="I819" s="252">
        <f t="shared" si="42"/>
        <v>67300</v>
      </c>
      <c r="J819" s="252">
        <f t="shared" si="42"/>
        <v>72700</v>
      </c>
      <c r="K819" s="252">
        <f t="shared" si="42"/>
        <v>78100</v>
      </c>
      <c r="L819" s="252">
        <f t="shared" si="42"/>
        <v>83500</v>
      </c>
      <c r="M819" s="252">
        <f t="shared" si="42"/>
        <v>88850</v>
      </c>
    </row>
    <row r="820" spans="1:13" ht="21.95" customHeight="1" x14ac:dyDescent="0.25">
      <c r="A820" s="36" t="s">
        <v>2904</v>
      </c>
      <c r="B820" s="36" t="str">
        <f t="shared" si="40"/>
        <v>KS_HARPER COUNTY, KS</v>
      </c>
      <c r="D820" s="265" t="s">
        <v>89</v>
      </c>
      <c r="E820" s="266" t="s">
        <v>3674</v>
      </c>
      <c r="F820" s="252">
        <f t="shared" si="42"/>
        <v>47150</v>
      </c>
      <c r="G820" s="252">
        <f t="shared" si="42"/>
        <v>53850</v>
      </c>
      <c r="H820" s="252">
        <f t="shared" si="42"/>
        <v>60600</v>
      </c>
      <c r="I820" s="252">
        <f t="shared" si="42"/>
        <v>67300</v>
      </c>
      <c r="J820" s="252">
        <f t="shared" si="42"/>
        <v>72700</v>
      </c>
      <c r="K820" s="252">
        <f t="shared" si="42"/>
        <v>78100</v>
      </c>
      <c r="L820" s="252">
        <f t="shared" si="42"/>
        <v>83500</v>
      </c>
      <c r="M820" s="252">
        <f t="shared" si="42"/>
        <v>88850</v>
      </c>
    </row>
    <row r="821" spans="1:13" ht="21.95" customHeight="1" x14ac:dyDescent="0.25">
      <c r="A821" s="36" t="s">
        <v>2904</v>
      </c>
      <c r="B821" s="36" t="str">
        <f t="shared" si="40"/>
        <v>KS_HASKELL COUNTY, KS</v>
      </c>
      <c r="D821" s="265" t="s">
        <v>89</v>
      </c>
      <c r="E821" s="266" t="s">
        <v>3675</v>
      </c>
      <c r="F821" s="252">
        <f t="shared" si="42"/>
        <v>51850</v>
      </c>
      <c r="G821" s="252">
        <f t="shared" si="42"/>
        <v>59250</v>
      </c>
      <c r="H821" s="252">
        <f t="shared" si="42"/>
        <v>66650</v>
      </c>
      <c r="I821" s="252">
        <f t="shared" si="42"/>
        <v>74050</v>
      </c>
      <c r="J821" s="252">
        <f t="shared" si="42"/>
        <v>80000</v>
      </c>
      <c r="K821" s="252">
        <f t="shared" si="42"/>
        <v>85900</v>
      </c>
      <c r="L821" s="252">
        <f t="shared" si="42"/>
        <v>91850</v>
      </c>
      <c r="M821" s="252">
        <f t="shared" si="42"/>
        <v>97750</v>
      </c>
    </row>
    <row r="822" spans="1:13" ht="21.95" customHeight="1" x14ac:dyDescent="0.25">
      <c r="A822" s="36" t="s">
        <v>2904</v>
      </c>
      <c r="B822" s="36" t="str">
        <f t="shared" si="40"/>
        <v>KS_HODGEMAN COUNTY, KS</v>
      </c>
      <c r="D822" s="265" t="s">
        <v>89</v>
      </c>
      <c r="E822" s="266" t="s">
        <v>3676</v>
      </c>
      <c r="F822" s="252">
        <f t="shared" si="42"/>
        <v>50700</v>
      </c>
      <c r="G822" s="252">
        <f t="shared" si="42"/>
        <v>57950</v>
      </c>
      <c r="H822" s="252">
        <f t="shared" si="42"/>
        <v>65200</v>
      </c>
      <c r="I822" s="252">
        <f t="shared" si="42"/>
        <v>72400</v>
      </c>
      <c r="J822" s="252">
        <f t="shared" si="42"/>
        <v>78200</v>
      </c>
      <c r="K822" s="252">
        <f t="shared" si="42"/>
        <v>84000</v>
      </c>
      <c r="L822" s="252">
        <f t="shared" si="42"/>
        <v>89800</v>
      </c>
      <c r="M822" s="252">
        <f t="shared" si="42"/>
        <v>95600</v>
      </c>
    </row>
    <row r="823" spans="1:13" ht="21.95" customHeight="1" x14ac:dyDescent="0.25">
      <c r="A823" s="36" t="s">
        <v>2904</v>
      </c>
      <c r="B823" s="36" t="str">
        <f t="shared" si="40"/>
        <v>KS_JEWELL COUNTY, KS</v>
      </c>
      <c r="D823" s="265" t="s">
        <v>89</v>
      </c>
      <c r="E823" s="266" t="s">
        <v>3677</v>
      </c>
      <c r="F823" s="252">
        <f t="shared" si="42"/>
        <v>47150</v>
      </c>
      <c r="G823" s="252">
        <f t="shared" si="42"/>
        <v>53850</v>
      </c>
      <c r="H823" s="252">
        <f t="shared" si="42"/>
        <v>60600</v>
      </c>
      <c r="I823" s="252">
        <f t="shared" si="42"/>
        <v>67300</v>
      </c>
      <c r="J823" s="252">
        <f t="shared" si="42"/>
        <v>72700</v>
      </c>
      <c r="K823" s="252">
        <f t="shared" si="42"/>
        <v>78100</v>
      </c>
      <c r="L823" s="252">
        <f t="shared" si="42"/>
        <v>83500</v>
      </c>
      <c r="M823" s="252">
        <f t="shared" si="42"/>
        <v>88850</v>
      </c>
    </row>
    <row r="824" spans="1:13" ht="21.95" customHeight="1" x14ac:dyDescent="0.25">
      <c r="A824" s="36" t="s">
        <v>2904</v>
      </c>
      <c r="B824" s="36" t="str">
        <f t="shared" si="40"/>
        <v>KS_KANSAS CITY, MO-KS HUD METRO FMR AREA</v>
      </c>
      <c r="D824" s="265" t="s">
        <v>89</v>
      </c>
      <c r="E824" s="266" t="s">
        <v>3678</v>
      </c>
      <c r="F824" s="252">
        <f t="shared" si="42"/>
        <v>62400</v>
      </c>
      <c r="G824" s="252">
        <f t="shared" si="42"/>
        <v>71300</v>
      </c>
      <c r="H824" s="252">
        <f t="shared" si="42"/>
        <v>80200</v>
      </c>
      <c r="I824" s="252">
        <f t="shared" si="42"/>
        <v>89100</v>
      </c>
      <c r="J824" s="252">
        <f t="shared" si="42"/>
        <v>96250</v>
      </c>
      <c r="K824" s="252">
        <f t="shared" si="42"/>
        <v>103400</v>
      </c>
      <c r="L824" s="252">
        <f t="shared" si="42"/>
        <v>110500</v>
      </c>
      <c r="M824" s="252">
        <f t="shared" si="42"/>
        <v>117650</v>
      </c>
    </row>
    <row r="825" spans="1:13" ht="21.95" customHeight="1" x14ac:dyDescent="0.25">
      <c r="A825" s="36" t="s">
        <v>2904</v>
      </c>
      <c r="B825" s="36" t="str">
        <f t="shared" si="40"/>
        <v>KS_KEARNY COUNTY, KS</v>
      </c>
      <c r="D825" s="265" t="s">
        <v>89</v>
      </c>
      <c r="E825" s="266" t="s">
        <v>3679</v>
      </c>
      <c r="F825" s="252">
        <f t="shared" si="42"/>
        <v>47150</v>
      </c>
      <c r="G825" s="252">
        <f t="shared" si="42"/>
        <v>53850</v>
      </c>
      <c r="H825" s="252">
        <f t="shared" si="42"/>
        <v>60600</v>
      </c>
      <c r="I825" s="252">
        <f t="shared" si="42"/>
        <v>67300</v>
      </c>
      <c r="J825" s="252">
        <f t="shared" si="42"/>
        <v>72700</v>
      </c>
      <c r="K825" s="252">
        <f t="shared" si="42"/>
        <v>78100</v>
      </c>
      <c r="L825" s="252">
        <f t="shared" si="42"/>
        <v>83500</v>
      </c>
      <c r="M825" s="252">
        <f t="shared" si="42"/>
        <v>88850</v>
      </c>
    </row>
    <row r="826" spans="1:13" ht="21.95" customHeight="1" x14ac:dyDescent="0.25">
      <c r="A826" s="36" t="s">
        <v>2904</v>
      </c>
      <c r="B826" s="36" t="str">
        <f t="shared" si="40"/>
        <v>KS_KINGMAN COUNTY, KS</v>
      </c>
      <c r="D826" s="265" t="s">
        <v>89</v>
      </c>
      <c r="E826" s="266" t="s">
        <v>3680</v>
      </c>
      <c r="F826" s="252">
        <f t="shared" si="42"/>
        <v>47150</v>
      </c>
      <c r="G826" s="252">
        <f t="shared" si="42"/>
        <v>53850</v>
      </c>
      <c r="H826" s="252">
        <f t="shared" si="42"/>
        <v>60600</v>
      </c>
      <c r="I826" s="252">
        <f t="shared" si="42"/>
        <v>67300</v>
      </c>
      <c r="J826" s="252">
        <f t="shared" si="42"/>
        <v>72700</v>
      </c>
      <c r="K826" s="252">
        <f t="shared" si="42"/>
        <v>78100</v>
      </c>
      <c r="L826" s="252">
        <f t="shared" si="42"/>
        <v>83500</v>
      </c>
      <c r="M826" s="252">
        <f t="shared" si="42"/>
        <v>88850</v>
      </c>
    </row>
    <row r="827" spans="1:13" ht="21.95" customHeight="1" x14ac:dyDescent="0.25">
      <c r="A827" s="36" t="s">
        <v>2904</v>
      </c>
      <c r="B827" s="36" t="str">
        <f t="shared" si="40"/>
        <v>KS_KIOWA COUNTY, KS</v>
      </c>
      <c r="D827" s="265" t="s">
        <v>89</v>
      </c>
      <c r="E827" s="266" t="s">
        <v>3681</v>
      </c>
      <c r="F827" s="252">
        <f t="shared" si="42"/>
        <v>50600</v>
      </c>
      <c r="G827" s="252">
        <f t="shared" si="42"/>
        <v>57800</v>
      </c>
      <c r="H827" s="252">
        <f t="shared" si="42"/>
        <v>65050</v>
      </c>
      <c r="I827" s="252">
        <f t="shared" si="42"/>
        <v>72250</v>
      </c>
      <c r="J827" s="252">
        <f t="shared" si="42"/>
        <v>78050</v>
      </c>
      <c r="K827" s="252">
        <f t="shared" si="42"/>
        <v>83850</v>
      </c>
      <c r="L827" s="252">
        <f t="shared" si="42"/>
        <v>89600</v>
      </c>
      <c r="M827" s="252">
        <f t="shared" si="42"/>
        <v>95400</v>
      </c>
    </row>
    <row r="828" spans="1:13" ht="21.95" customHeight="1" x14ac:dyDescent="0.25">
      <c r="A828" s="36" t="s">
        <v>2904</v>
      </c>
      <c r="B828" s="36" t="str">
        <f t="shared" ref="B828:B891" si="43">UPPER(TRIM(D828)&amp;"_"&amp;TRIM(E828))</f>
        <v>KS_LABETTE COUNTY, KS</v>
      </c>
      <c r="D828" s="265" t="s">
        <v>89</v>
      </c>
      <c r="E828" s="266" t="s">
        <v>3682</v>
      </c>
      <c r="F828" s="252">
        <f t="shared" si="42"/>
        <v>47150</v>
      </c>
      <c r="G828" s="252">
        <f t="shared" si="42"/>
        <v>53850</v>
      </c>
      <c r="H828" s="252">
        <f t="shared" si="42"/>
        <v>60600</v>
      </c>
      <c r="I828" s="252">
        <f t="shared" si="42"/>
        <v>67300</v>
      </c>
      <c r="J828" s="252">
        <f t="shared" si="42"/>
        <v>72700</v>
      </c>
      <c r="K828" s="252">
        <f t="shared" si="42"/>
        <v>78100</v>
      </c>
      <c r="L828" s="252">
        <f t="shared" si="42"/>
        <v>83500</v>
      </c>
      <c r="M828" s="252">
        <f t="shared" si="42"/>
        <v>88850</v>
      </c>
    </row>
    <row r="829" spans="1:13" ht="21.95" customHeight="1" x14ac:dyDescent="0.25">
      <c r="A829" s="36" t="s">
        <v>2904</v>
      </c>
      <c r="B829" s="36" t="str">
        <f t="shared" si="43"/>
        <v>KS_LANE COUNTY, KS</v>
      </c>
      <c r="D829" s="265" t="s">
        <v>89</v>
      </c>
      <c r="E829" s="266" t="s">
        <v>3683</v>
      </c>
      <c r="F829" s="252">
        <f t="shared" si="42"/>
        <v>51450</v>
      </c>
      <c r="G829" s="252">
        <f t="shared" si="42"/>
        <v>58800</v>
      </c>
      <c r="H829" s="252">
        <f t="shared" si="42"/>
        <v>66150</v>
      </c>
      <c r="I829" s="252">
        <f t="shared" si="42"/>
        <v>73450</v>
      </c>
      <c r="J829" s="252">
        <f t="shared" si="42"/>
        <v>79350</v>
      </c>
      <c r="K829" s="252">
        <f t="shared" si="42"/>
        <v>85250</v>
      </c>
      <c r="L829" s="252">
        <f t="shared" si="42"/>
        <v>91100</v>
      </c>
      <c r="M829" s="252">
        <f t="shared" si="42"/>
        <v>97000</v>
      </c>
    </row>
    <row r="830" spans="1:13" ht="21.95" customHeight="1" x14ac:dyDescent="0.25">
      <c r="A830" s="36" t="s">
        <v>2904</v>
      </c>
      <c r="B830" s="36" t="str">
        <f t="shared" si="43"/>
        <v>KS_LAWRENCE, KS MSA</v>
      </c>
      <c r="D830" s="265" t="s">
        <v>89</v>
      </c>
      <c r="E830" s="266" t="s">
        <v>3684</v>
      </c>
      <c r="F830" s="252">
        <f t="shared" si="42"/>
        <v>58000</v>
      </c>
      <c r="G830" s="252">
        <f t="shared" si="42"/>
        <v>66250</v>
      </c>
      <c r="H830" s="252">
        <f t="shared" si="42"/>
        <v>74550</v>
      </c>
      <c r="I830" s="252">
        <f t="shared" si="42"/>
        <v>82800</v>
      </c>
      <c r="J830" s="252">
        <f t="shared" si="42"/>
        <v>89450</v>
      </c>
      <c r="K830" s="252">
        <f t="shared" si="42"/>
        <v>96050</v>
      </c>
      <c r="L830" s="252">
        <f t="shared" si="42"/>
        <v>102700</v>
      </c>
      <c r="M830" s="252">
        <f t="shared" si="42"/>
        <v>109300</v>
      </c>
    </row>
    <row r="831" spans="1:13" ht="21.95" customHeight="1" x14ac:dyDescent="0.25">
      <c r="A831" s="36" t="s">
        <v>2904</v>
      </c>
      <c r="B831" s="36" t="str">
        <f t="shared" si="43"/>
        <v>KS_LINCOLN COUNTY, KS</v>
      </c>
      <c r="D831" s="265" t="s">
        <v>89</v>
      </c>
      <c r="E831" s="266" t="s">
        <v>3685</v>
      </c>
      <c r="F831" s="252">
        <f t="shared" si="42"/>
        <v>47150</v>
      </c>
      <c r="G831" s="252">
        <f t="shared" si="42"/>
        <v>53850</v>
      </c>
      <c r="H831" s="252">
        <f t="shared" si="42"/>
        <v>60600</v>
      </c>
      <c r="I831" s="252">
        <f t="shared" si="42"/>
        <v>67300</v>
      </c>
      <c r="J831" s="252">
        <f t="shared" si="42"/>
        <v>72700</v>
      </c>
      <c r="K831" s="252">
        <f t="shared" si="42"/>
        <v>78100</v>
      </c>
      <c r="L831" s="252">
        <f t="shared" si="42"/>
        <v>83500</v>
      </c>
      <c r="M831" s="252">
        <f t="shared" si="42"/>
        <v>88850</v>
      </c>
    </row>
    <row r="832" spans="1:13" ht="21.95" customHeight="1" x14ac:dyDescent="0.25">
      <c r="A832" s="36" t="s">
        <v>2904</v>
      </c>
      <c r="B832" s="36" t="str">
        <f t="shared" si="43"/>
        <v>KS_LOGAN COUNTY, KS</v>
      </c>
      <c r="D832" s="265" t="s">
        <v>89</v>
      </c>
      <c r="E832" s="266" t="s">
        <v>3686</v>
      </c>
      <c r="F832" s="252">
        <f t="shared" si="42"/>
        <v>51450</v>
      </c>
      <c r="G832" s="252">
        <f t="shared" si="42"/>
        <v>58800</v>
      </c>
      <c r="H832" s="252">
        <f t="shared" si="42"/>
        <v>66150</v>
      </c>
      <c r="I832" s="252">
        <f t="shared" si="42"/>
        <v>73500</v>
      </c>
      <c r="J832" s="252">
        <f t="shared" si="42"/>
        <v>79400</v>
      </c>
      <c r="K832" s="252">
        <f t="shared" si="42"/>
        <v>85300</v>
      </c>
      <c r="L832" s="252">
        <f t="shared" si="42"/>
        <v>91150</v>
      </c>
      <c r="M832" s="252">
        <f t="shared" si="42"/>
        <v>97050</v>
      </c>
    </row>
    <row r="833" spans="1:13" ht="21.95" customHeight="1" x14ac:dyDescent="0.25">
      <c r="A833" s="36" t="s">
        <v>2904</v>
      </c>
      <c r="B833" s="36" t="str">
        <f t="shared" si="43"/>
        <v>KS_LYON COUNTY, KS</v>
      </c>
      <c r="D833" s="265" t="s">
        <v>89</v>
      </c>
      <c r="E833" s="266" t="s">
        <v>3687</v>
      </c>
      <c r="F833" s="252">
        <f t="shared" si="42"/>
        <v>47150</v>
      </c>
      <c r="G833" s="252">
        <f t="shared" si="42"/>
        <v>53850</v>
      </c>
      <c r="H833" s="252">
        <f t="shared" si="42"/>
        <v>60600</v>
      </c>
      <c r="I833" s="252">
        <f t="shared" si="42"/>
        <v>67300</v>
      </c>
      <c r="J833" s="252">
        <f t="shared" si="42"/>
        <v>72700</v>
      </c>
      <c r="K833" s="252">
        <f t="shared" si="42"/>
        <v>78100</v>
      </c>
      <c r="L833" s="252">
        <f t="shared" si="42"/>
        <v>83500</v>
      </c>
      <c r="M833" s="252">
        <f t="shared" si="42"/>
        <v>88850</v>
      </c>
    </row>
    <row r="834" spans="1:13" ht="21.95" customHeight="1" x14ac:dyDescent="0.25">
      <c r="A834" s="36" t="s">
        <v>2904</v>
      </c>
      <c r="B834" s="36" t="str">
        <f t="shared" si="43"/>
        <v>KS_MANHATTAN, KS HUD METRO FMR AREA</v>
      </c>
      <c r="D834" s="265" t="s">
        <v>89</v>
      </c>
      <c r="E834" s="266" t="s">
        <v>3688</v>
      </c>
      <c r="F834" s="252">
        <f t="shared" si="42"/>
        <v>50400</v>
      </c>
      <c r="G834" s="252">
        <f t="shared" si="42"/>
        <v>57600</v>
      </c>
      <c r="H834" s="252">
        <f t="shared" si="42"/>
        <v>64800</v>
      </c>
      <c r="I834" s="252">
        <f t="shared" si="42"/>
        <v>72000</v>
      </c>
      <c r="J834" s="252">
        <f t="shared" si="42"/>
        <v>77800</v>
      </c>
      <c r="K834" s="252">
        <f t="shared" si="42"/>
        <v>83550</v>
      </c>
      <c r="L834" s="252">
        <f t="shared" si="42"/>
        <v>89300</v>
      </c>
      <c r="M834" s="252">
        <f t="shared" si="42"/>
        <v>95050</v>
      </c>
    </row>
    <row r="835" spans="1:13" ht="21.95" customHeight="1" x14ac:dyDescent="0.25">
      <c r="A835" s="36" t="s">
        <v>2904</v>
      </c>
      <c r="B835" s="36" t="str">
        <f t="shared" si="43"/>
        <v>KS_MARION COUNTY, KS</v>
      </c>
      <c r="D835" s="265" t="s">
        <v>89</v>
      </c>
      <c r="E835" s="266" t="s">
        <v>3689</v>
      </c>
      <c r="F835" s="252">
        <f t="shared" si="42"/>
        <v>48300</v>
      </c>
      <c r="G835" s="252">
        <f t="shared" si="42"/>
        <v>55200</v>
      </c>
      <c r="H835" s="252">
        <f t="shared" si="42"/>
        <v>62100</v>
      </c>
      <c r="I835" s="252">
        <f t="shared" si="42"/>
        <v>68950</v>
      </c>
      <c r="J835" s="252">
        <f t="shared" si="42"/>
        <v>74500</v>
      </c>
      <c r="K835" s="252">
        <f t="shared" si="42"/>
        <v>80000</v>
      </c>
      <c r="L835" s="252">
        <f t="shared" si="42"/>
        <v>85500</v>
      </c>
      <c r="M835" s="252">
        <f t="shared" si="42"/>
        <v>91050</v>
      </c>
    </row>
    <row r="836" spans="1:13" ht="21.95" customHeight="1" x14ac:dyDescent="0.25">
      <c r="A836" s="36" t="s">
        <v>2904</v>
      </c>
      <c r="B836" s="36" t="str">
        <f t="shared" si="43"/>
        <v>KS_MARSHALL COUNTY, KS</v>
      </c>
      <c r="D836" s="265" t="s">
        <v>89</v>
      </c>
      <c r="E836" s="266" t="s">
        <v>3690</v>
      </c>
      <c r="F836" s="252">
        <f t="shared" si="42"/>
        <v>50750</v>
      </c>
      <c r="G836" s="252">
        <f t="shared" si="42"/>
        <v>58000</v>
      </c>
      <c r="H836" s="252">
        <f t="shared" si="42"/>
        <v>65250</v>
      </c>
      <c r="I836" s="252">
        <f t="shared" si="42"/>
        <v>72500</v>
      </c>
      <c r="J836" s="252">
        <f t="shared" si="42"/>
        <v>78300</v>
      </c>
      <c r="K836" s="252">
        <f t="shared" si="42"/>
        <v>84100</v>
      </c>
      <c r="L836" s="252">
        <f t="shared" si="42"/>
        <v>89900</v>
      </c>
      <c r="M836" s="252">
        <f t="shared" si="42"/>
        <v>95700</v>
      </c>
    </row>
    <row r="837" spans="1:13" ht="21.95" customHeight="1" x14ac:dyDescent="0.25">
      <c r="A837" s="36" t="s">
        <v>2904</v>
      </c>
      <c r="B837" s="36" t="str">
        <f t="shared" si="43"/>
        <v>KS_MCPHERSON COUNTY, KS</v>
      </c>
      <c r="D837" s="265" t="s">
        <v>89</v>
      </c>
      <c r="E837" s="266" t="s">
        <v>3691</v>
      </c>
      <c r="F837" s="252">
        <f t="shared" si="42"/>
        <v>56300</v>
      </c>
      <c r="G837" s="252">
        <f t="shared" si="42"/>
        <v>64350</v>
      </c>
      <c r="H837" s="252">
        <f t="shared" si="42"/>
        <v>72400</v>
      </c>
      <c r="I837" s="252">
        <f t="shared" si="42"/>
        <v>80400</v>
      </c>
      <c r="J837" s="252">
        <f t="shared" si="42"/>
        <v>86850</v>
      </c>
      <c r="K837" s="252">
        <f t="shared" si="42"/>
        <v>93300</v>
      </c>
      <c r="L837" s="252">
        <f t="shared" si="42"/>
        <v>99700</v>
      </c>
      <c r="M837" s="252">
        <f t="shared" si="42"/>
        <v>106150</v>
      </c>
    </row>
    <row r="838" spans="1:13" ht="21.95" customHeight="1" x14ac:dyDescent="0.25">
      <c r="A838" s="36" t="s">
        <v>2904</v>
      </c>
      <c r="B838" s="36" t="str">
        <f t="shared" si="43"/>
        <v>KS_MEADE COUNTY, KS</v>
      </c>
      <c r="D838" s="265" t="s">
        <v>89</v>
      </c>
      <c r="E838" s="266" t="s">
        <v>3692</v>
      </c>
      <c r="F838" s="252">
        <f t="shared" si="42"/>
        <v>54850</v>
      </c>
      <c r="G838" s="252">
        <f t="shared" si="42"/>
        <v>62650</v>
      </c>
      <c r="H838" s="252">
        <f t="shared" si="42"/>
        <v>70500</v>
      </c>
      <c r="I838" s="252">
        <f t="shared" si="42"/>
        <v>78300</v>
      </c>
      <c r="J838" s="252">
        <f t="shared" si="42"/>
        <v>84600</v>
      </c>
      <c r="K838" s="252">
        <f t="shared" si="42"/>
        <v>90850</v>
      </c>
      <c r="L838" s="252">
        <f t="shared" si="42"/>
        <v>97100</v>
      </c>
      <c r="M838" s="252">
        <f t="shared" si="42"/>
        <v>103400</v>
      </c>
    </row>
    <row r="839" spans="1:13" ht="21.95" customHeight="1" x14ac:dyDescent="0.25">
      <c r="A839" s="36" t="s">
        <v>2904</v>
      </c>
      <c r="B839" s="36" t="str">
        <f t="shared" si="43"/>
        <v>KS_MITCHELL COUNTY, KS</v>
      </c>
      <c r="D839" s="265" t="s">
        <v>89</v>
      </c>
      <c r="E839" s="266" t="s">
        <v>3693</v>
      </c>
      <c r="F839" s="252">
        <f t="shared" ref="F839:M870" si="44">VLOOKUP($B839,LOOKUP_AMI_TABLE,5+((F$7-1)),FALSE)</f>
        <v>47150</v>
      </c>
      <c r="G839" s="252">
        <f t="shared" si="44"/>
        <v>53850</v>
      </c>
      <c r="H839" s="252">
        <f t="shared" si="44"/>
        <v>60600</v>
      </c>
      <c r="I839" s="252">
        <f t="shared" si="44"/>
        <v>67300</v>
      </c>
      <c r="J839" s="252">
        <f t="shared" si="44"/>
        <v>72700</v>
      </c>
      <c r="K839" s="252">
        <f t="shared" si="44"/>
        <v>78100</v>
      </c>
      <c r="L839" s="252">
        <f t="shared" si="44"/>
        <v>83500</v>
      </c>
      <c r="M839" s="252">
        <f t="shared" si="44"/>
        <v>88850</v>
      </c>
    </row>
    <row r="840" spans="1:13" ht="21.95" customHeight="1" x14ac:dyDescent="0.25">
      <c r="A840" s="36" t="s">
        <v>2904</v>
      </c>
      <c r="B840" s="36" t="str">
        <f t="shared" si="43"/>
        <v>KS_MONTGOMERY COUNTY, KS</v>
      </c>
      <c r="D840" s="265" t="s">
        <v>89</v>
      </c>
      <c r="E840" s="266" t="s">
        <v>3694</v>
      </c>
      <c r="F840" s="252">
        <f t="shared" si="44"/>
        <v>47150</v>
      </c>
      <c r="G840" s="252">
        <f t="shared" si="44"/>
        <v>53850</v>
      </c>
      <c r="H840" s="252">
        <f t="shared" si="44"/>
        <v>60600</v>
      </c>
      <c r="I840" s="252">
        <f t="shared" si="44"/>
        <v>67300</v>
      </c>
      <c r="J840" s="252">
        <f t="shared" si="44"/>
        <v>72700</v>
      </c>
      <c r="K840" s="252">
        <f t="shared" si="44"/>
        <v>78100</v>
      </c>
      <c r="L840" s="252">
        <f t="shared" si="44"/>
        <v>83500</v>
      </c>
      <c r="M840" s="252">
        <f t="shared" si="44"/>
        <v>88850</v>
      </c>
    </row>
    <row r="841" spans="1:13" ht="21.95" customHeight="1" x14ac:dyDescent="0.25">
      <c r="A841" s="36" t="s">
        <v>2904</v>
      </c>
      <c r="B841" s="36" t="str">
        <f t="shared" si="43"/>
        <v>KS_MORRIS COUNTY, KS</v>
      </c>
      <c r="D841" s="265" t="s">
        <v>89</v>
      </c>
      <c r="E841" s="266" t="s">
        <v>3695</v>
      </c>
      <c r="F841" s="252">
        <f t="shared" si="44"/>
        <v>47150</v>
      </c>
      <c r="G841" s="252">
        <f t="shared" si="44"/>
        <v>53850</v>
      </c>
      <c r="H841" s="252">
        <f t="shared" si="44"/>
        <v>60600</v>
      </c>
      <c r="I841" s="252">
        <f t="shared" si="44"/>
        <v>67300</v>
      </c>
      <c r="J841" s="252">
        <f t="shared" si="44"/>
        <v>72700</v>
      </c>
      <c r="K841" s="252">
        <f t="shared" si="44"/>
        <v>78100</v>
      </c>
      <c r="L841" s="252">
        <f t="shared" si="44"/>
        <v>83500</v>
      </c>
      <c r="M841" s="252">
        <f t="shared" si="44"/>
        <v>88850</v>
      </c>
    </row>
    <row r="842" spans="1:13" ht="21.95" customHeight="1" x14ac:dyDescent="0.25">
      <c r="A842" s="36" t="s">
        <v>2904</v>
      </c>
      <c r="B842" s="36" t="str">
        <f t="shared" si="43"/>
        <v>KS_MORTON COUNTY, KS</v>
      </c>
      <c r="D842" s="265" t="s">
        <v>89</v>
      </c>
      <c r="E842" s="266" t="s">
        <v>3696</v>
      </c>
      <c r="F842" s="252">
        <f t="shared" si="44"/>
        <v>50350</v>
      </c>
      <c r="G842" s="252">
        <f t="shared" si="44"/>
        <v>57550</v>
      </c>
      <c r="H842" s="252">
        <f t="shared" si="44"/>
        <v>64750</v>
      </c>
      <c r="I842" s="252">
        <f t="shared" si="44"/>
        <v>71900</v>
      </c>
      <c r="J842" s="252">
        <f t="shared" si="44"/>
        <v>77700</v>
      </c>
      <c r="K842" s="252">
        <f t="shared" si="44"/>
        <v>83450</v>
      </c>
      <c r="L842" s="252">
        <f t="shared" si="44"/>
        <v>89200</v>
      </c>
      <c r="M842" s="252">
        <f t="shared" si="44"/>
        <v>94950</v>
      </c>
    </row>
    <row r="843" spans="1:13" ht="21.95" customHeight="1" x14ac:dyDescent="0.25">
      <c r="A843" s="36" t="s">
        <v>2904</v>
      </c>
      <c r="B843" s="36" t="str">
        <f t="shared" si="43"/>
        <v>KS_NEMAHA COUNTY, KS</v>
      </c>
      <c r="D843" s="265" t="s">
        <v>89</v>
      </c>
      <c r="E843" s="266" t="s">
        <v>3697</v>
      </c>
      <c r="F843" s="252">
        <f t="shared" si="44"/>
        <v>59750</v>
      </c>
      <c r="G843" s="252">
        <f t="shared" si="44"/>
        <v>68250</v>
      </c>
      <c r="H843" s="252">
        <f t="shared" si="44"/>
        <v>76800</v>
      </c>
      <c r="I843" s="252">
        <f t="shared" si="44"/>
        <v>85300</v>
      </c>
      <c r="J843" s="252">
        <f t="shared" si="44"/>
        <v>92150</v>
      </c>
      <c r="K843" s="252">
        <f t="shared" si="44"/>
        <v>98950</v>
      </c>
      <c r="L843" s="252">
        <f t="shared" si="44"/>
        <v>105800</v>
      </c>
      <c r="M843" s="252">
        <f t="shared" si="44"/>
        <v>112600</v>
      </c>
    </row>
    <row r="844" spans="1:13" ht="21.95" customHeight="1" x14ac:dyDescent="0.25">
      <c r="A844" s="36" t="s">
        <v>2904</v>
      </c>
      <c r="B844" s="36" t="str">
        <f t="shared" si="43"/>
        <v>KS_NEOSHO COUNTY, KS</v>
      </c>
      <c r="D844" s="265" t="s">
        <v>89</v>
      </c>
      <c r="E844" s="266" t="s">
        <v>3698</v>
      </c>
      <c r="F844" s="252">
        <f t="shared" si="44"/>
        <v>47450</v>
      </c>
      <c r="G844" s="252">
        <f t="shared" si="44"/>
        <v>54200</v>
      </c>
      <c r="H844" s="252">
        <f t="shared" si="44"/>
        <v>61000</v>
      </c>
      <c r="I844" s="252">
        <f t="shared" si="44"/>
        <v>67750</v>
      </c>
      <c r="J844" s="252">
        <f t="shared" si="44"/>
        <v>73200</v>
      </c>
      <c r="K844" s="252">
        <f t="shared" si="44"/>
        <v>78600</v>
      </c>
      <c r="L844" s="252">
        <f t="shared" si="44"/>
        <v>84050</v>
      </c>
      <c r="M844" s="252">
        <f t="shared" si="44"/>
        <v>89450</v>
      </c>
    </row>
    <row r="845" spans="1:13" ht="21.95" customHeight="1" x14ac:dyDescent="0.25">
      <c r="A845" s="36" t="s">
        <v>2904</v>
      </c>
      <c r="B845" s="36" t="str">
        <f t="shared" si="43"/>
        <v>KS_NESS COUNTY, KS</v>
      </c>
      <c r="D845" s="265" t="s">
        <v>89</v>
      </c>
      <c r="E845" s="266" t="s">
        <v>3699</v>
      </c>
      <c r="F845" s="252">
        <f t="shared" si="44"/>
        <v>51850</v>
      </c>
      <c r="G845" s="252">
        <f t="shared" si="44"/>
        <v>59250</v>
      </c>
      <c r="H845" s="252">
        <f t="shared" si="44"/>
        <v>66650</v>
      </c>
      <c r="I845" s="252">
        <f t="shared" si="44"/>
        <v>74050</v>
      </c>
      <c r="J845" s="252">
        <f t="shared" si="44"/>
        <v>80000</v>
      </c>
      <c r="K845" s="252">
        <f t="shared" si="44"/>
        <v>85900</v>
      </c>
      <c r="L845" s="252">
        <f t="shared" si="44"/>
        <v>91850</v>
      </c>
      <c r="M845" s="252">
        <f t="shared" si="44"/>
        <v>97750</v>
      </c>
    </row>
    <row r="846" spans="1:13" ht="21.95" customHeight="1" x14ac:dyDescent="0.25">
      <c r="A846" s="36" t="s">
        <v>2904</v>
      </c>
      <c r="B846" s="36" t="str">
        <f t="shared" si="43"/>
        <v>KS_NORTON COUNTY, KS</v>
      </c>
      <c r="D846" s="265" t="s">
        <v>89</v>
      </c>
      <c r="E846" s="266" t="s">
        <v>3700</v>
      </c>
      <c r="F846" s="252">
        <f t="shared" si="44"/>
        <v>47150</v>
      </c>
      <c r="G846" s="252">
        <f t="shared" si="44"/>
        <v>53850</v>
      </c>
      <c r="H846" s="252">
        <f t="shared" si="44"/>
        <v>60600</v>
      </c>
      <c r="I846" s="252">
        <f t="shared" si="44"/>
        <v>67300</v>
      </c>
      <c r="J846" s="252">
        <f t="shared" si="44"/>
        <v>72700</v>
      </c>
      <c r="K846" s="252">
        <f t="shared" si="44"/>
        <v>78100</v>
      </c>
      <c r="L846" s="252">
        <f t="shared" si="44"/>
        <v>83500</v>
      </c>
      <c r="M846" s="252">
        <f t="shared" si="44"/>
        <v>88850</v>
      </c>
    </row>
    <row r="847" spans="1:13" ht="21.95" customHeight="1" x14ac:dyDescent="0.25">
      <c r="A847" s="36" t="s">
        <v>2904</v>
      </c>
      <c r="B847" s="36" t="str">
        <f t="shared" si="43"/>
        <v>KS_OSBORNE COUNTY, KS</v>
      </c>
      <c r="D847" s="265" t="s">
        <v>89</v>
      </c>
      <c r="E847" s="266" t="s">
        <v>3701</v>
      </c>
      <c r="F847" s="252">
        <f t="shared" si="44"/>
        <v>48750</v>
      </c>
      <c r="G847" s="252">
        <f t="shared" si="44"/>
        <v>55700</v>
      </c>
      <c r="H847" s="252">
        <f t="shared" si="44"/>
        <v>62650</v>
      </c>
      <c r="I847" s="252">
        <f t="shared" si="44"/>
        <v>69600</v>
      </c>
      <c r="J847" s="252">
        <f t="shared" si="44"/>
        <v>75200</v>
      </c>
      <c r="K847" s="252">
        <f t="shared" si="44"/>
        <v>80750</v>
      </c>
      <c r="L847" s="252">
        <f t="shared" si="44"/>
        <v>86350</v>
      </c>
      <c r="M847" s="252">
        <f t="shared" si="44"/>
        <v>91900</v>
      </c>
    </row>
    <row r="848" spans="1:13" ht="21.95" customHeight="1" x14ac:dyDescent="0.25">
      <c r="A848" s="36" t="s">
        <v>2904</v>
      </c>
      <c r="B848" s="36" t="str">
        <f t="shared" si="43"/>
        <v>KS_OTTAWA COUNTY, KS</v>
      </c>
      <c r="D848" s="265" t="s">
        <v>89</v>
      </c>
      <c r="E848" s="266" t="s">
        <v>3702</v>
      </c>
      <c r="F848" s="252">
        <f t="shared" si="44"/>
        <v>53800</v>
      </c>
      <c r="G848" s="252">
        <f t="shared" si="44"/>
        <v>61450</v>
      </c>
      <c r="H848" s="252">
        <f t="shared" si="44"/>
        <v>69150</v>
      </c>
      <c r="I848" s="252">
        <f t="shared" si="44"/>
        <v>76800</v>
      </c>
      <c r="J848" s="252">
        <f t="shared" si="44"/>
        <v>82950</v>
      </c>
      <c r="K848" s="252">
        <f t="shared" si="44"/>
        <v>89100</v>
      </c>
      <c r="L848" s="252">
        <f t="shared" si="44"/>
        <v>95250</v>
      </c>
      <c r="M848" s="252">
        <f t="shared" si="44"/>
        <v>101400</v>
      </c>
    </row>
    <row r="849" spans="1:13" ht="21.95" customHeight="1" x14ac:dyDescent="0.25">
      <c r="A849" s="36" t="s">
        <v>2904</v>
      </c>
      <c r="B849" s="36" t="str">
        <f t="shared" si="43"/>
        <v>KS_PAWNEE COUNTY, KS</v>
      </c>
      <c r="D849" s="265" t="s">
        <v>89</v>
      </c>
      <c r="E849" s="266" t="s">
        <v>3703</v>
      </c>
      <c r="F849" s="252">
        <f t="shared" si="44"/>
        <v>51850</v>
      </c>
      <c r="G849" s="252">
        <f t="shared" si="44"/>
        <v>59250</v>
      </c>
      <c r="H849" s="252">
        <f t="shared" si="44"/>
        <v>66650</v>
      </c>
      <c r="I849" s="252">
        <f t="shared" si="44"/>
        <v>74050</v>
      </c>
      <c r="J849" s="252">
        <f t="shared" si="44"/>
        <v>80000</v>
      </c>
      <c r="K849" s="252">
        <f t="shared" si="44"/>
        <v>85900</v>
      </c>
      <c r="L849" s="252">
        <f t="shared" si="44"/>
        <v>91850</v>
      </c>
      <c r="M849" s="252">
        <f t="shared" si="44"/>
        <v>97750</v>
      </c>
    </row>
    <row r="850" spans="1:13" ht="21.95" customHeight="1" x14ac:dyDescent="0.25">
      <c r="A850" s="36" t="s">
        <v>2904</v>
      </c>
      <c r="B850" s="36" t="str">
        <f t="shared" si="43"/>
        <v>KS_PHILLIPS COUNTY, KS</v>
      </c>
      <c r="D850" s="265" t="s">
        <v>89</v>
      </c>
      <c r="E850" s="266" t="s">
        <v>3704</v>
      </c>
      <c r="F850" s="252">
        <f t="shared" si="44"/>
        <v>47850</v>
      </c>
      <c r="G850" s="252">
        <f t="shared" si="44"/>
        <v>54650</v>
      </c>
      <c r="H850" s="252">
        <f t="shared" si="44"/>
        <v>61500</v>
      </c>
      <c r="I850" s="252">
        <f t="shared" si="44"/>
        <v>68300</v>
      </c>
      <c r="J850" s="252">
        <f t="shared" si="44"/>
        <v>73800</v>
      </c>
      <c r="K850" s="252">
        <f t="shared" si="44"/>
        <v>79250</v>
      </c>
      <c r="L850" s="252">
        <f t="shared" si="44"/>
        <v>84700</v>
      </c>
      <c r="M850" s="252">
        <f t="shared" si="44"/>
        <v>90200</v>
      </c>
    </row>
    <row r="851" spans="1:13" ht="21.95" customHeight="1" x14ac:dyDescent="0.25">
      <c r="A851" s="36" t="s">
        <v>2904</v>
      </c>
      <c r="B851" s="36" t="str">
        <f t="shared" si="43"/>
        <v>KS_PRATT COUNTY, KS</v>
      </c>
      <c r="D851" s="265" t="s">
        <v>89</v>
      </c>
      <c r="E851" s="266" t="s">
        <v>3705</v>
      </c>
      <c r="F851" s="252">
        <f t="shared" si="44"/>
        <v>49000</v>
      </c>
      <c r="G851" s="252">
        <f t="shared" si="44"/>
        <v>56000</v>
      </c>
      <c r="H851" s="252">
        <f t="shared" si="44"/>
        <v>63000</v>
      </c>
      <c r="I851" s="252">
        <f t="shared" si="44"/>
        <v>70000</v>
      </c>
      <c r="J851" s="252">
        <f t="shared" si="44"/>
        <v>75600</v>
      </c>
      <c r="K851" s="252">
        <f t="shared" si="44"/>
        <v>81200</v>
      </c>
      <c r="L851" s="252">
        <f t="shared" si="44"/>
        <v>86800</v>
      </c>
      <c r="M851" s="252">
        <f t="shared" si="44"/>
        <v>92400</v>
      </c>
    </row>
    <row r="852" spans="1:13" ht="21.95" customHeight="1" x14ac:dyDescent="0.25">
      <c r="A852" s="36" t="s">
        <v>2904</v>
      </c>
      <c r="B852" s="36" t="str">
        <f t="shared" si="43"/>
        <v>KS_RAWLINS COUNTY, KS</v>
      </c>
      <c r="D852" s="265" t="s">
        <v>89</v>
      </c>
      <c r="E852" s="266" t="s">
        <v>3706</v>
      </c>
      <c r="F852" s="252">
        <f t="shared" si="44"/>
        <v>47150</v>
      </c>
      <c r="G852" s="252">
        <f t="shared" si="44"/>
        <v>53850</v>
      </c>
      <c r="H852" s="252">
        <f t="shared" si="44"/>
        <v>60600</v>
      </c>
      <c r="I852" s="252">
        <f t="shared" si="44"/>
        <v>67300</v>
      </c>
      <c r="J852" s="252">
        <f t="shared" si="44"/>
        <v>72700</v>
      </c>
      <c r="K852" s="252">
        <f t="shared" si="44"/>
        <v>78100</v>
      </c>
      <c r="L852" s="252">
        <f t="shared" si="44"/>
        <v>83500</v>
      </c>
      <c r="M852" s="252">
        <f t="shared" si="44"/>
        <v>88850</v>
      </c>
    </row>
    <row r="853" spans="1:13" ht="21.95" customHeight="1" x14ac:dyDescent="0.25">
      <c r="A853" s="36" t="s">
        <v>2904</v>
      </c>
      <c r="B853" s="36" t="str">
        <f t="shared" si="43"/>
        <v>KS_RENO COUNTY, KS</v>
      </c>
      <c r="D853" s="265" t="s">
        <v>89</v>
      </c>
      <c r="E853" s="266" t="s">
        <v>3707</v>
      </c>
      <c r="F853" s="252">
        <f t="shared" si="44"/>
        <v>47450</v>
      </c>
      <c r="G853" s="252">
        <f t="shared" si="44"/>
        <v>54200</v>
      </c>
      <c r="H853" s="252">
        <f t="shared" si="44"/>
        <v>61000</v>
      </c>
      <c r="I853" s="252">
        <f t="shared" si="44"/>
        <v>67750</v>
      </c>
      <c r="J853" s="252">
        <f t="shared" si="44"/>
        <v>73200</v>
      </c>
      <c r="K853" s="252">
        <f t="shared" si="44"/>
        <v>78600</v>
      </c>
      <c r="L853" s="252">
        <f t="shared" si="44"/>
        <v>84050</v>
      </c>
      <c r="M853" s="252">
        <f t="shared" si="44"/>
        <v>89450</v>
      </c>
    </row>
    <row r="854" spans="1:13" ht="21.95" customHeight="1" x14ac:dyDescent="0.25">
      <c r="A854" s="36" t="s">
        <v>2904</v>
      </c>
      <c r="B854" s="36" t="str">
        <f t="shared" si="43"/>
        <v>KS_REPUBLIC COUNTY, KS</v>
      </c>
      <c r="D854" s="265" t="s">
        <v>89</v>
      </c>
      <c r="E854" s="266" t="s">
        <v>3708</v>
      </c>
      <c r="F854" s="252">
        <f t="shared" si="44"/>
        <v>47150</v>
      </c>
      <c r="G854" s="252">
        <f t="shared" si="44"/>
        <v>53850</v>
      </c>
      <c r="H854" s="252">
        <f t="shared" si="44"/>
        <v>60600</v>
      </c>
      <c r="I854" s="252">
        <f t="shared" si="44"/>
        <v>67300</v>
      </c>
      <c r="J854" s="252">
        <f t="shared" si="44"/>
        <v>72700</v>
      </c>
      <c r="K854" s="252">
        <f t="shared" si="44"/>
        <v>78100</v>
      </c>
      <c r="L854" s="252">
        <f t="shared" si="44"/>
        <v>83500</v>
      </c>
      <c r="M854" s="252">
        <f t="shared" si="44"/>
        <v>88850</v>
      </c>
    </row>
    <row r="855" spans="1:13" ht="21.95" customHeight="1" x14ac:dyDescent="0.25">
      <c r="A855" s="36" t="s">
        <v>2904</v>
      </c>
      <c r="B855" s="36" t="str">
        <f t="shared" si="43"/>
        <v>KS_RICE COUNTY, KS</v>
      </c>
      <c r="D855" s="265" t="s">
        <v>89</v>
      </c>
      <c r="E855" s="266" t="s">
        <v>3709</v>
      </c>
      <c r="F855" s="252">
        <f t="shared" si="44"/>
        <v>47150</v>
      </c>
      <c r="G855" s="252">
        <f t="shared" si="44"/>
        <v>53850</v>
      </c>
      <c r="H855" s="252">
        <f t="shared" si="44"/>
        <v>60600</v>
      </c>
      <c r="I855" s="252">
        <f t="shared" si="44"/>
        <v>67300</v>
      </c>
      <c r="J855" s="252">
        <f t="shared" si="44"/>
        <v>72700</v>
      </c>
      <c r="K855" s="252">
        <f t="shared" si="44"/>
        <v>78100</v>
      </c>
      <c r="L855" s="252">
        <f t="shared" si="44"/>
        <v>83500</v>
      </c>
      <c r="M855" s="252">
        <f t="shared" si="44"/>
        <v>88850</v>
      </c>
    </row>
    <row r="856" spans="1:13" ht="21.95" customHeight="1" x14ac:dyDescent="0.25">
      <c r="A856" s="36" t="s">
        <v>2904</v>
      </c>
      <c r="B856" s="36" t="str">
        <f t="shared" si="43"/>
        <v>KS_ROOKS COUNTY, KS</v>
      </c>
      <c r="D856" s="265" t="s">
        <v>89</v>
      </c>
      <c r="E856" s="266" t="s">
        <v>3710</v>
      </c>
      <c r="F856" s="252">
        <f t="shared" si="44"/>
        <v>49600</v>
      </c>
      <c r="G856" s="252">
        <f t="shared" si="44"/>
        <v>56650</v>
      </c>
      <c r="H856" s="252">
        <f t="shared" si="44"/>
        <v>63750</v>
      </c>
      <c r="I856" s="252">
        <f t="shared" si="44"/>
        <v>70800</v>
      </c>
      <c r="J856" s="252">
        <f t="shared" si="44"/>
        <v>76500</v>
      </c>
      <c r="K856" s="252">
        <f t="shared" si="44"/>
        <v>82150</v>
      </c>
      <c r="L856" s="252">
        <f t="shared" si="44"/>
        <v>87800</v>
      </c>
      <c r="M856" s="252">
        <f t="shared" si="44"/>
        <v>93500</v>
      </c>
    </row>
    <row r="857" spans="1:13" ht="21.95" customHeight="1" x14ac:dyDescent="0.25">
      <c r="A857" s="36" t="s">
        <v>2904</v>
      </c>
      <c r="B857" s="36" t="str">
        <f t="shared" si="43"/>
        <v>KS_RUSH COUNTY, KS</v>
      </c>
      <c r="D857" s="265" t="s">
        <v>89</v>
      </c>
      <c r="E857" s="266" t="s">
        <v>3711</v>
      </c>
      <c r="F857" s="252">
        <f t="shared" si="44"/>
        <v>47150</v>
      </c>
      <c r="G857" s="252">
        <f t="shared" si="44"/>
        <v>53850</v>
      </c>
      <c r="H857" s="252">
        <f t="shared" si="44"/>
        <v>60600</v>
      </c>
      <c r="I857" s="252">
        <f t="shared" si="44"/>
        <v>67300</v>
      </c>
      <c r="J857" s="252">
        <f t="shared" si="44"/>
        <v>72700</v>
      </c>
      <c r="K857" s="252">
        <f t="shared" si="44"/>
        <v>78100</v>
      </c>
      <c r="L857" s="252">
        <f t="shared" si="44"/>
        <v>83500</v>
      </c>
      <c r="M857" s="252">
        <f t="shared" si="44"/>
        <v>88850</v>
      </c>
    </row>
    <row r="858" spans="1:13" ht="21.95" customHeight="1" x14ac:dyDescent="0.25">
      <c r="A858" s="36" t="s">
        <v>2904</v>
      </c>
      <c r="B858" s="36" t="str">
        <f t="shared" si="43"/>
        <v>KS_RUSSELL COUNTY, KS</v>
      </c>
      <c r="D858" s="265" t="s">
        <v>89</v>
      </c>
      <c r="E858" s="266" t="s">
        <v>3712</v>
      </c>
      <c r="F858" s="252">
        <f t="shared" si="44"/>
        <v>47150</v>
      </c>
      <c r="G858" s="252">
        <f t="shared" si="44"/>
        <v>53850</v>
      </c>
      <c r="H858" s="252">
        <f t="shared" si="44"/>
        <v>60600</v>
      </c>
      <c r="I858" s="252">
        <f t="shared" si="44"/>
        <v>67300</v>
      </c>
      <c r="J858" s="252">
        <f t="shared" si="44"/>
        <v>72700</v>
      </c>
      <c r="K858" s="252">
        <f t="shared" si="44"/>
        <v>78100</v>
      </c>
      <c r="L858" s="252">
        <f t="shared" si="44"/>
        <v>83500</v>
      </c>
      <c r="M858" s="252">
        <f t="shared" si="44"/>
        <v>88850</v>
      </c>
    </row>
    <row r="859" spans="1:13" ht="21.95" customHeight="1" x14ac:dyDescent="0.25">
      <c r="A859" s="36" t="s">
        <v>2904</v>
      </c>
      <c r="B859" s="36" t="str">
        <f t="shared" si="43"/>
        <v>KS_SALINE COUNTY, KS</v>
      </c>
      <c r="D859" s="265" t="s">
        <v>89</v>
      </c>
      <c r="E859" s="266" t="s">
        <v>3713</v>
      </c>
      <c r="F859" s="252">
        <f t="shared" si="44"/>
        <v>51450</v>
      </c>
      <c r="G859" s="252">
        <f t="shared" si="44"/>
        <v>58800</v>
      </c>
      <c r="H859" s="252">
        <f t="shared" si="44"/>
        <v>66150</v>
      </c>
      <c r="I859" s="252">
        <f t="shared" si="44"/>
        <v>73500</v>
      </c>
      <c r="J859" s="252">
        <f t="shared" si="44"/>
        <v>79400</v>
      </c>
      <c r="K859" s="252">
        <f t="shared" si="44"/>
        <v>85300</v>
      </c>
      <c r="L859" s="252">
        <f t="shared" si="44"/>
        <v>91150</v>
      </c>
      <c r="M859" s="252">
        <f t="shared" si="44"/>
        <v>97050</v>
      </c>
    </row>
    <row r="860" spans="1:13" ht="21.95" customHeight="1" x14ac:dyDescent="0.25">
      <c r="A860" s="36" t="s">
        <v>2904</v>
      </c>
      <c r="B860" s="36" t="str">
        <f t="shared" si="43"/>
        <v>KS_SCOTT COUNTY, KS</v>
      </c>
      <c r="D860" s="265" t="s">
        <v>89</v>
      </c>
      <c r="E860" s="266" t="s">
        <v>3714</v>
      </c>
      <c r="F860" s="252">
        <f t="shared" si="44"/>
        <v>47150</v>
      </c>
      <c r="G860" s="252">
        <f t="shared" si="44"/>
        <v>53850</v>
      </c>
      <c r="H860" s="252">
        <f t="shared" si="44"/>
        <v>60600</v>
      </c>
      <c r="I860" s="252">
        <f t="shared" si="44"/>
        <v>67300</v>
      </c>
      <c r="J860" s="252">
        <f t="shared" si="44"/>
        <v>72700</v>
      </c>
      <c r="K860" s="252">
        <f t="shared" si="44"/>
        <v>78100</v>
      </c>
      <c r="L860" s="252">
        <f t="shared" si="44"/>
        <v>83500</v>
      </c>
      <c r="M860" s="252">
        <f t="shared" si="44"/>
        <v>88850</v>
      </c>
    </row>
    <row r="861" spans="1:13" ht="21.95" customHeight="1" x14ac:dyDescent="0.25">
      <c r="A861" s="36" t="s">
        <v>2904</v>
      </c>
      <c r="B861" s="36" t="str">
        <f t="shared" si="43"/>
        <v>KS_SEWARD COUNTY, KS</v>
      </c>
      <c r="D861" s="265" t="s">
        <v>89</v>
      </c>
      <c r="E861" s="266" t="s">
        <v>3715</v>
      </c>
      <c r="F861" s="252">
        <f t="shared" si="44"/>
        <v>47150</v>
      </c>
      <c r="G861" s="252">
        <f t="shared" si="44"/>
        <v>53850</v>
      </c>
      <c r="H861" s="252">
        <f t="shared" si="44"/>
        <v>60600</v>
      </c>
      <c r="I861" s="252">
        <f t="shared" si="44"/>
        <v>67300</v>
      </c>
      <c r="J861" s="252">
        <f t="shared" si="44"/>
        <v>72700</v>
      </c>
      <c r="K861" s="252">
        <f t="shared" si="44"/>
        <v>78100</v>
      </c>
      <c r="L861" s="252">
        <f t="shared" si="44"/>
        <v>83500</v>
      </c>
      <c r="M861" s="252">
        <f t="shared" si="44"/>
        <v>88850</v>
      </c>
    </row>
    <row r="862" spans="1:13" ht="21.95" customHeight="1" x14ac:dyDescent="0.25">
      <c r="A862" s="36" t="s">
        <v>2904</v>
      </c>
      <c r="B862" s="36" t="str">
        <f t="shared" si="43"/>
        <v>KS_SHERIDAN COUNTY, KS</v>
      </c>
      <c r="D862" s="265" t="s">
        <v>89</v>
      </c>
      <c r="E862" s="266" t="s">
        <v>3716</v>
      </c>
      <c r="F862" s="252">
        <f t="shared" si="44"/>
        <v>57950</v>
      </c>
      <c r="G862" s="252">
        <f t="shared" si="44"/>
        <v>66200</v>
      </c>
      <c r="H862" s="252">
        <f t="shared" si="44"/>
        <v>74500</v>
      </c>
      <c r="I862" s="252">
        <f t="shared" si="44"/>
        <v>82750</v>
      </c>
      <c r="J862" s="252">
        <f t="shared" si="44"/>
        <v>89400</v>
      </c>
      <c r="K862" s="252">
        <f t="shared" si="44"/>
        <v>96000</v>
      </c>
      <c r="L862" s="252">
        <f t="shared" si="44"/>
        <v>102650</v>
      </c>
      <c r="M862" s="252">
        <f t="shared" si="44"/>
        <v>109250</v>
      </c>
    </row>
    <row r="863" spans="1:13" ht="21.95" customHeight="1" x14ac:dyDescent="0.25">
      <c r="A863" s="36" t="s">
        <v>2904</v>
      </c>
      <c r="B863" s="36" t="str">
        <f t="shared" si="43"/>
        <v>KS_SHERMAN COUNTY, KS</v>
      </c>
      <c r="D863" s="265" t="s">
        <v>89</v>
      </c>
      <c r="E863" s="266" t="s">
        <v>3717</v>
      </c>
      <c r="F863" s="252">
        <f t="shared" si="44"/>
        <v>47150</v>
      </c>
      <c r="G863" s="252">
        <f t="shared" si="44"/>
        <v>53850</v>
      </c>
      <c r="H863" s="252">
        <f t="shared" si="44"/>
        <v>60600</v>
      </c>
      <c r="I863" s="252">
        <f t="shared" si="44"/>
        <v>67300</v>
      </c>
      <c r="J863" s="252">
        <f t="shared" si="44"/>
        <v>72700</v>
      </c>
      <c r="K863" s="252">
        <f t="shared" si="44"/>
        <v>78100</v>
      </c>
      <c r="L863" s="252">
        <f t="shared" si="44"/>
        <v>83500</v>
      </c>
      <c r="M863" s="252">
        <f t="shared" si="44"/>
        <v>88850</v>
      </c>
    </row>
    <row r="864" spans="1:13" ht="21.95" customHeight="1" x14ac:dyDescent="0.25">
      <c r="A864" s="36" t="s">
        <v>2904</v>
      </c>
      <c r="B864" s="36" t="str">
        <f t="shared" si="43"/>
        <v>KS_SMITH COUNTY, KS</v>
      </c>
      <c r="D864" s="265" t="s">
        <v>89</v>
      </c>
      <c r="E864" s="266" t="s">
        <v>3718</v>
      </c>
      <c r="F864" s="252">
        <f t="shared" si="44"/>
        <v>50600</v>
      </c>
      <c r="G864" s="252">
        <f t="shared" si="44"/>
        <v>57800</v>
      </c>
      <c r="H864" s="252">
        <f t="shared" si="44"/>
        <v>65050</v>
      </c>
      <c r="I864" s="252">
        <f t="shared" si="44"/>
        <v>72250</v>
      </c>
      <c r="J864" s="252">
        <f t="shared" si="44"/>
        <v>78050</v>
      </c>
      <c r="K864" s="252">
        <f t="shared" si="44"/>
        <v>83850</v>
      </c>
      <c r="L864" s="252">
        <f t="shared" si="44"/>
        <v>89600</v>
      </c>
      <c r="M864" s="252">
        <f t="shared" si="44"/>
        <v>95400</v>
      </c>
    </row>
    <row r="865" spans="1:13" ht="21.95" customHeight="1" x14ac:dyDescent="0.25">
      <c r="A865" s="36" t="s">
        <v>2904</v>
      </c>
      <c r="B865" s="36" t="str">
        <f t="shared" si="43"/>
        <v>KS_STAFFORD COUNTY, KS</v>
      </c>
      <c r="D865" s="265" t="s">
        <v>89</v>
      </c>
      <c r="E865" s="266" t="s">
        <v>3720</v>
      </c>
      <c r="F865" s="252">
        <f t="shared" si="44"/>
        <v>50400</v>
      </c>
      <c r="G865" s="252">
        <f t="shared" si="44"/>
        <v>57600</v>
      </c>
      <c r="H865" s="252">
        <f t="shared" si="44"/>
        <v>64800</v>
      </c>
      <c r="I865" s="252">
        <f t="shared" si="44"/>
        <v>72000</v>
      </c>
      <c r="J865" s="252">
        <f t="shared" si="44"/>
        <v>77800</v>
      </c>
      <c r="K865" s="252">
        <f t="shared" si="44"/>
        <v>83550</v>
      </c>
      <c r="L865" s="252">
        <f t="shared" si="44"/>
        <v>89300</v>
      </c>
      <c r="M865" s="252">
        <f t="shared" si="44"/>
        <v>95050</v>
      </c>
    </row>
    <row r="866" spans="1:13" ht="21.95" customHeight="1" x14ac:dyDescent="0.25">
      <c r="A866" s="36" t="s">
        <v>2904</v>
      </c>
      <c r="B866" s="36" t="str">
        <f t="shared" si="43"/>
        <v>KS_STANTON COUNTY, KS</v>
      </c>
      <c r="D866" s="265" t="s">
        <v>89</v>
      </c>
      <c r="E866" s="266" t="s">
        <v>3721</v>
      </c>
      <c r="F866" s="252">
        <f t="shared" si="44"/>
        <v>47150</v>
      </c>
      <c r="G866" s="252">
        <f t="shared" si="44"/>
        <v>53850</v>
      </c>
      <c r="H866" s="252">
        <f t="shared" si="44"/>
        <v>60600</v>
      </c>
      <c r="I866" s="252">
        <f t="shared" si="44"/>
        <v>67300</v>
      </c>
      <c r="J866" s="252">
        <f t="shared" si="44"/>
        <v>72700</v>
      </c>
      <c r="K866" s="252">
        <f t="shared" si="44"/>
        <v>78100</v>
      </c>
      <c r="L866" s="252">
        <f t="shared" si="44"/>
        <v>83500</v>
      </c>
      <c r="M866" s="252">
        <f t="shared" si="44"/>
        <v>88850</v>
      </c>
    </row>
    <row r="867" spans="1:13" ht="21.95" customHeight="1" x14ac:dyDescent="0.25">
      <c r="A867" s="36" t="s">
        <v>2904</v>
      </c>
      <c r="B867" s="36" t="str">
        <f t="shared" si="43"/>
        <v>KS_STEVENS COUNTY, KS</v>
      </c>
      <c r="D867" s="265" t="s">
        <v>89</v>
      </c>
      <c r="E867" s="266" t="s">
        <v>3722</v>
      </c>
      <c r="F867" s="252">
        <f t="shared" si="44"/>
        <v>47150</v>
      </c>
      <c r="G867" s="252">
        <f t="shared" si="44"/>
        <v>53850</v>
      </c>
      <c r="H867" s="252">
        <f t="shared" si="44"/>
        <v>60600</v>
      </c>
      <c r="I867" s="252">
        <f t="shared" si="44"/>
        <v>67300</v>
      </c>
      <c r="J867" s="252">
        <f t="shared" si="44"/>
        <v>72700</v>
      </c>
      <c r="K867" s="252">
        <f t="shared" si="44"/>
        <v>78100</v>
      </c>
      <c r="L867" s="252">
        <f t="shared" si="44"/>
        <v>83500</v>
      </c>
      <c r="M867" s="252">
        <f t="shared" si="44"/>
        <v>88850</v>
      </c>
    </row>
    <row r="868" spans="1:13" ht="21.95" customHeight="1" x14ac:dyDescent="0.25">
      <c r="A868" s="36" t="s">
        <v>2904</v>
      </c>
      <c r="B868" s="36" t="str">
        <f t="shared" si="43"/>
        <v>KS_ST. JOSEPH, MO-KS MSA</v>
      </c>
      <c r="D868" s="265" t="s">
        <v>89</v>
      </c>
      <c r="E868" s="266" t="s">
        <v>3719</v>
      </c>
      <c r="F868" s="252">
        <f t="shared" si="44"/>
        <v>46700</v>
      </c>
      <c r="G868" s="252">
        <f t="shared" si="44"/>
        <v>53400</v>
      </c>
      <c r="H868" s="252">
        <f t="shared" si="44"/>
        <v>60050</v>
      </c>
      <c r="I868" s="252">
        <f t="shared" si="44"/>
        <v>66700</v>
      </c>
      <c r="J868" s="252">
        <f t="shared" si="44"/>
        <v>72050</v>
      </c>
      <c r="K868" s="252">
        <f t="shared" si="44"/>
        <v>77400</v>
      </c>
      <c r="L868" s="252">
        <f t="shared" si="44"/>
        <v>82750</v>
      </c>
      <c r="M868" s="252">
        <f t="shared" si="44"/>
        <v>88050</v>
      </c>
    </row>
    <row r="869" spans="1:13" ht="21.95" customHeight="1" x14ac:dyDescent="0.25">
      <c r="A869" s="36" t="s">
        <v>2904</v>
      </c>
      <c r="B869" s="36" t="str">
        <f t="shared" si="43"/>
        <v>KS_SUMNER COUNTY, KS HUD METRO FMR AREA</v>
      </c>
      <c r="D869" s="265" t="s">
        <v>89</v>
      </c>
      <c r="E869" s="266" t="s">
        <v>3723</v>
      </c>
      <c r="F869" s="252">
        <f t="shared" si="44"/>
        <v>49850</v>
      </c>
      <c r="G869" s="252">
        <f t="shared" si="44"/>
        <v>57000</v>
      </c>
      <c r="H869" s="252">
        <f t="shared" si="44"/>
        <v>64100</v>
      </c>
      <c r="I869" s="252">
        <f t="shared" si="44"/>
        <v>71200</v>
      </c>
      <c r="J869" s="252">
        <f t="shared" si="44"/>
        <v>76900</v>
      </c>
      <c r="K869" s="252">
        <f t="shared" si="44"/>
        <v>82600</v>
      </c>
      <c r="L869" s="252">
        <f t="shared" si="44"/>
        <v>88300</v>
      </c>
      <c r="M869" s="252">
        <f t="shared" si="44"/>
        <v>94000</v>
      </c>
    </row>
    <row r="870" spans="1:13" ht="21.95" customHeight="1" x14ac:dyDescent="0.25">
      <c r="A870" s="36" t="s">
        <v>2904</v>
      </c>
      <c r="B870" s="36" t="str">
        <f t="shared" si="43"/>
        <v>KS_THOMAS COUNTY, KS</v>
      </c>
      <c r="D870" s="265" t="s">
        <v>89</v>
      </c>
      <c r="E870" s="266" t="s">
        <v>3724</v>
      </c>
      <c r="F870" s="252">
        <f t="shared" si="44"/>
        <v>56800</v>
      </c>
      <c r="G870" s="252">
        <f t="shared" si="44"/>
        <v>64900</v>
      </c>
      <c r="H870" s="252">
        <f t="shared" si="44"/>
        <v>73000</v>
      </c>
      <c r="I870" s="252">
        <f t="shared" si="44"/>
        <v>81100</v>
      </c>
      <c r="J870" s="252">
        <f t="shared" si="44"/>
        <v>87600</v>
      </c>
      <c r="K870" s="252">
        <f t="shared" si="44"/>
        <v>94100</v>
      </c>
      <c r="L870" s="252">
        <f t="shared" si="44"/>
        <v>100600</v>
      </c>
      <c r="M870" s="252">
        <f t="shared" ref="F870:M902" si="45">VLOOKUP($B870,LOOKUP_AMI_TABLE,5+((M$7-1)),FALSE)</f>
        <v>107100</v>
      </c>
    </row>
    <row r="871" spans="1:13" ht="21.95" customHeight="1" x14ac:dyDescent="0.25">
      <c r="A871" s="36" t="s">
        <v>2904</v>
      </c>
      <c r="B871" s="36" t="str">
        <f t="shared" si="43"/>
        <v>KS_TOPEKA, KS MSA</v>
      </c>
      <c r="D871" s="265" t="s">
        <v>89</v>
      </c>
      <c r="E871" s="266" t="s">
        <v>3725</v>
      </c>
      <c r="F871" s="252">
        <f t="shared" si="45"/>
        <v>53400</v>
      </c>
      <c r="G871" s="252">
        <f t="shared" si="45"/>
        <v>61000</v>
      </c>
      <c r="H871" s="252">
        <f t="shared" si="45"/>
        <v>68650</v>
      </c>
      <c r="I871" s="252">
        <f t="shared" si="45"/>
        <v>76250</v>
      </c>
      <c r="J871" s="252">
        <f t="shared" si="45"/>
        <v>82350</v>
      </c>
      <c r="K871" s="252">
        <f t="shared" si="45"/>
        <v>88450</v>
      </c>
      <c r="L871" s="252">
        <f t="shared" si="45"/>
        <v>94550</v>
      </c>
      <c r="M871" s="252">
        <f t="shared" si="45"/>
        <v>100650</v>
      </c>
    </row>
    <row r="872" spans="1:13" ht="21.95" customHeight="1" x14ac:dyDescent="0.25">
      <c r="A872" s="36" t="s">
        <v>2904</v>
      </c>
      <c r="B872" s="36" t="str">
        <f t="shared" si="43"/>
        <v>KS_TREGO COUNTY, KS</v>
      </c>
      <c r="D872" s="265" t="s">
        <v>89</v>
      </c>
      <c r="E872" s="266" t="s">
        <v>3726</v>
      </c>
      <c r="F872" s="252">
        <f t="shared" si="45"/>
        <v>55750</v>
      </c>
      <c r="G872" s="252">
        <f t="shared" si="45"/>
        <v>63700</v>
      </c>
      <c r="H872" s="252">
        <f t="shared" si="45"/>
        <v>71650</v>
      </c>
      <c r="I872" s="252">
        <f t="shared" si="45"/>
        <v>79600</v>
      </c>
      <c r="J872" s="252">
        <f t="shared" si="45"/>
        <v>86000</v>
      </c>
      <c r="K872" s="252">
        <f t="shared" si="45"/>
        <v>92350</v>
      </c>
      <c r="L872" s="252">
        <f t="shared" si="45"/>
        <v>98750</v>
      </c>
      <c r="M872" s="252">
        <f t="shared" si="45"/>
        <v>105100</v>
      </c>
    </row>
    <row r="873" spans="1:13" ht="21.95" customHeight="1" x14ac:dyDescent="0.25">
      <c r="A873" s="36" t="s">
        <v>2904</v>
      </c>
      <c r="B873" s="36" t="str">
        <f t="shared" si="43"/>
        <v>KS_WALLACE COUNTY, KS</v>
      </c>
      <c r="D873" s="265" t="s">
        <v>89</v>
      </c>
      <c r="E873" s="266" t="s">
        <v>3727</v>
      </c>
      <c r="F873" s="252">
        <f t="shared" si="45"/>
        <v>47850</v>
      </c>
      <c r="G873" s="252">
        <f t="shared" si="45"/>
        <v>54650</v>
      </c>
      <c r="H873" s="252">
        <f t="shared" si="45"/>
        <v>61500</v>
      </c>
      <c r="I873" s="252">
        <f t="shared" si="45"/>
        <v>68300</v>
      </c>
      <c r="J873" s="252">
        <f t="shared" si="45"/>
        <v>73800</v>
      </c>
      <c r="K873" s="252">
        <f t="shared" si="45"/>
        <v>79250</v>
      </c>
      <c r="L873" s="252">
        <f t="shared" si="45"/>
        <v>84700</v>
      </c>
      <c r="M873" s="252">
        <f t="shared" si="45"/>
        <v>90200</v>
      </c>
    </row>
    <row r="874" spans="1:13" ht="21.95" customHeight="1" x14ac:dyDescent="0.25">
      <c r="A874" s="36" t="s">
        <v>2904</v>
      </c>
      <c r="B874" s="36" t="str">
        <f t="shared" si="43"/>
        <v>KS_WASHINGTON COUNTY, KS</v>
      </c>
      <c r="D874" s="265" t="s">
        <v>89</v>
      </c>
      <c r="E874" s="266" t="s">
        <v>3728</v>
      </c>
      <c r="F874" s="252">
        <f t="shared" si="45"/>
        <v>47950</v>
      </c>
      <c r="G874" s="252">
        <f t="shared" si="45"/>
        <v>54800</v>
      </c>
      <c r="H874" s="252">
        <f t="shared" si="45"/>
        <v>61650</v>
      </c>
      <c r="I874" s="252">
        <f t="shared" si="45"/>
        <v>68500</v>
      </c>
      <c r="J874" s="252">
        <f t="shared" si="45"/>
        <v>74000</v>
      </c>
      <c r="K874" s="252">
        <f t="shared" si="45"/>
        <v>79500</v>
      </c>
      <c r="L874" s="252">
        <f t="shared" si="45"/>
        <v>84950</v>
      </c>
      <c r="M874" s="252">
        <f t="shared" si="45"/>
        <v>90450</v>
      </c>
    </row>
    <row r="875" spans="1:13" ht="21.95" customHeight="1" x14ac:dyDescent="0.25">
      <c r="A875" s="36" t="s">
        <v>2904</v>
      </c>
      <c r="B875" s="36" t="str">
        <f t="shared" si="43"/>
        <v>KS_WICHITA COUNTY, KS</v>
      </c>
      <c r="D875" s="265" t="s">
        <v>89</v>
      </c>
      <c r="E875" s="266" t="s">
        <v>3729</v>
      </c>
      <c r="F875" s="252">
        <f t="shared" si="45"/>
        <v>52200</v>
      </c>
      <c r="G875" s="252">
        <f t="shared" si="45"/>
        <v>59650</v>
      </c>
      <c r="H875" s="252">
        <f t="shared" si="45"/>
        <v>67100</v>
      </c>
      <c r="I875" s="252">
        <f t="shared" si="45"/>
        <v>74550</v>
      </c>
      <c r="J875" s="252">
        <f t="shared" si="45"/>
        <v>80550</v>
      </c>
      <c r="K875" s="252">
        <f t="shared" si="45"/>
        <v>86500</v>
      </c>
      <c r="L875" s="252">
        <f t="shared" si="45"/>
        <v>92450</v>
      </c>
      <c r="M875" s="252">
        <f t="shared" si="45"/>
        <v>98450</v>
      </c>
    </row>
    <row r="876" spans="1:13" ht="21.95" customHeight="1" x14ac:dyDescent="0.25">
      <c r="A876" s="36" t="s">
        <v>2904</v>
      </c>
      <c r="B876" s="36" t="str">
        <f t="shared" si="43"/>
        <v>KS_WICHITA, KS HUD METRO FMR AREA</v>
      </c>
      <c r="D876" s="265" t="s">
        <v>89</v>
      </c>
      <c r="E876" s="266" t="s">
        <v>3730</v>
      </c>
      <c r="F876" s="252">
        <f t="shared" si="45"/>
        <v>52550</v>
      </c>
      <c r="G876" s="252">
        <f t="shared" si="45"/>
        <v>60050</v>
      </c>
      <c r="H876" s="252">
        <f t="shared" si="45"/>
        <v>67550</v>
      </c>
      <c r="I876" s="252">
        <f t="shared" si="45"/>
        <v>75050</v>
      </c>
      <c r="J876" s="252">
        <f t="shared" si="45"/>
        <v>81100</v>
      </c>
      <c r="K876" s="252">
        <f t="shared" si="45"/>
        <v>87100</v>
      </c>
      <c r="L876" s="252">
        <f t="shared" si="45"/>
        <v>93100</v>
      </c>
      <c r="M876" s="252">
        <f t="shared" si="45"/>
        <v>99100</v>
      </c>
    </row>
    <row r="877" spans="1:13" ht="21.95" customHeight="1" x14ac:dyDescent="0.25">
      <c r="A877" s="36" t="s">
        <v>2904</v>
      </c>
      <c r="B877" s="36" t="str">
        <f t="shared" si="43"/>
        <v>KS_WILSON COUNTY, KS</v>
      </c>
      <c r="D877" s="265" t="s">
        <v>89</v>
      </c>
      <c r="E877" s="266" t="s">
        <v>3731</v>
      </c>
      <c r="F877" s="252">
        <f t="shared" si="45"/>
        <v>47150</v>
      </c>
      <c r="G877" s="252">
        <f t="shared" si="45"/>
        <v>53850</v>
      </c>
      <c r="H877" s="252">
        <f t="shared" si="45"/>
        <v>60600</v>
      </c>
      <c r="I877" s="252">
        <f t="shared" si="45"/>
        <v>67300</v>
      </c>
      <c r="J877" s="252">
        <f t="shared" si="45"/>
        <v>72700</v>
      </c>
      <c r="K877" s="252">
        <f t="shared" si="45"/>
        <v>78100</v>
      </c>
      <c r="L877" s="252">
        <f t="shared" si="45"/>
        <v>83500</v>
      </c>
      <c r="M877" s="252">
        <f t="shared" si="45"/>
        <v>88850</v>
      </c>
    </row>
    <row r="878" spans="1:13" ht="21.95" customHeight="1" x14ac:dyDescent="0.25">
      <c r="A878" s="36" t="s">
        <v>2904</v>
      </c>
      <c r="B878" s="36" t="str">
        <f t="shared" si="43"/>
        <v>KS_WOODSON COUNTY, KS</v>
      </c>
      <c r="D878" s="265" t="s">
        <v>89</v>
      </c>
      <c r="E878" s="266" t="s">
        <v>3732</v>
      </c>
      <c r="F878" s="252">
        <f t="shared" si="45"/>
        <v>47150</v>
      </c>
      <c r="G878" s="252">
        <f t="shared" si="45"/>
        <v>53850</v>
      </c>
      <c r="H878" s="252">
        <f t="shared" si="45"/>
        <v>60600</v>
      </c>
      <c r="I878" s="252">
        <f t="shared" si="45"/>
        <v>67300</v>
      </c>
      <c r="J878" s="252">
        <f t="shared" si="45"/>
        <v>72700</v>
      </c>
      <c r="K878" s="252">
        <f t="shared" si="45"/>
        <v>78100</v>
      </c>
      <c r="L878" s="252">
        <f t="shared" si="45"/>
        <v>83500</v>
      </c>
      <c r="M878" s="252">
        <f t="shared" si="45"/>
        <v>88850</v>
      </c>
    </row>
    <row r="879" spans="1:13" ht="21.95" customHeight="1" x14ac:dyDescent="0.25">
      <c r="A879" s="36" t="s">
        <v>2904</v>
      </c>
      <c r="B879" s="36" t="str">
        <f t="shared" si="43"/>
        <v>KY_ADAIR COUNTY, KY</v>
      </c>
      <c r="D879" s="265" t="s">
        <v>88</v>
      </c>
      <c r="E879" s="266" t="s">
        <v>3733</v>
      </c>
      <c r="F879" s="252">
        <f t="shared" si="45"/>
        <v>39700</v>
      </c>
      <c r="G879" s="252">
        <f t="shared" si="45"/>
        <v>45400</v>
      </c>
      <c r="H879" s="252">
        <f t="shared" si="45"/>
        <v>51050</v>
      </c>
      <c r="I879" s="252">
        <f t="shared" si="45"/>
        <v>56700</v>
      </c>
      <c r="J879" s="252">
        <f t="shared" si="45"/>
        <v>61250</v>
      </c>
      <c r="K879" s="252">
        <f t="shared" si="45"/>
        <v>65800</v>
      </c>
      <c r="L879" s="252">
        <f t="shared" si="45"/>
        <v>70350</v>
      </c>
      <c r="M879" s="252">
        <f t="shared" si="45"/>
        <v>74850</v>
      </c>
    </row>
    <row r="880" spans="1:13" ht="21.95" customHeight="1" x14ac:dyDescent="0.25">
      <c r="A880" s="36" t="s">
        <v>2904</v>
      </c>
      <c r="B880" s="36" t="str">
        <f t="shared" si="43"/>
        <v>KY_ALLEN COUNTY, KY HUD METRO FMR AREA</v>
      </c>
      <c r="D880" s="265" t="s">
        <v>88</v>
      </c>
      <c r="E880" s="266" t="s">
        <v>3734</v>
      </c>
      <c r="F880" s="252">
        <f t="shared" si="45"/>
        <v>43900</v>
      </c>
      <c r="G880" s="252">
        <f t="shared" si="45"/>
        <v>50200</v>
      </c>
      <c r="H880" s="252">
        <f t="shared" si="45"/>
        <v>56450</v>
      </c>
      <c r="I880" s="252">
        <f t="shared" si="45"/>
        <v>62700</v>
      </c>
      <c r="J880" s="252">
        <f t="shared" si="45"/>
        <v>67750</v>
      </c>
      <c r="K880" s="252">
        <f t="shared" si="45"/>
        <v>72750</v>
      </c>
      <c r="L880" s="252">
        <f t="shared" si="45"/>
        <v>77750</v>
      </c>
      <c r="M880" s="252">
        <f t="shared" si="45"/>
        <v>82800</v>
      </c>
    </row>
    <row r="881" spans="1:13" ht="21.95" customHeight="1" x14ac:dyDescent="0.25">
      <c r="A881" s="36" t="s">
        <v>2904</v>
      </c>
      <c r="B881" s="36" t="str">
        <f t="shared" si="43"/>
        <v>KY_ANDERSON COUNTY, KY</v>
      </c>
      <c r="D881" s="265" t="s">
        <v>88</v>
      </c>
      <c r="E881" s="266" t="s">
        <v>3735</v>
      </c>
      <c r="F881" s="252">
        <f t="shared" si="45"/>
        <v>52000</v>
      </c>
      <c r="G881" s="252">
        <f t="shared" si="45"/>
        <v>59400</v>
      </c>
      <c r="H881" s="252">
        <f t="shared" si="45"/>
        <v>66850</v>
      </c>
      <c r="I881" s="252">
        <f t="shared" si="45"/>
        <v>74250</v>
      </c>
      <c r="J881" s="252">
        <f t="shared" si="45"/>
        <v>80200</v>
      </c>
      <c r="K881" s="252">
        <f t="shared" si="45"/>
        <v>86150</v>
      </c>
      <c r="L881" s="252">
        <f t="shared" si="45"/>
        <v>92100</v>
      </c>
      <c r="M881" s="252">
        <f t="shared" si="45"/>
        <v>98050</v>
      </c>
    </row>
    <row r="882" spans="1:13" ht="21.95" customHeight="1" x14ac:dyDescent="0.25">
      <c r="A882" s="36" t="s">
        <v>2904</v>
      </c>
      <c r="B882" s="36" t="str">
        <f t="shared" si="43"/>
        <v>KY_BALLARD COUNTY, KY HUD METRO FMR AREA</v>
      </c>
      <c r="D882" s="265" t="s">
        <v>88</v>
      </c>
      <c r="E882" s="266" t="s">
        <v>9175</v>
      </c>
      <c r="F882" s="252">
        <f t="shared" si="45"/>
        <v>45050</v>
      </c>
      <c r="G882" s="252">
        <f t="shared" si="45"/>
        <v>51500</v>
      </c>
      <c r="H882" s="252">
        <f t="shared" si="45"/>
        <v>57950</v>
      </c>
      <c r="I882" s="252">
        <f t="shared" si="45"/>
        <v>64350</v>
      </c>
      <c r="J882" s="252">
        <f t="shared" si="45"/>
        <v>69500</v>
      </c>
      <c r="K882" s="252">
        <f t="shared" si="45"/>
        <v>74650</v>
      </c>
      <c r="L882" s="252">
        <f t="shared" si="45"/>
        <v>79800</v>
      </c>
      <c r="M882" s="252">
        <f t="shared" si="45"/>
        <v>84950</v>
      </c>
    </row>
    <row r="883" spans="1:13" ht="21.95" customHeight="1" x14ac:dyDescent="0.25">
      <c r="A883" s="36" t="s">
        <v>2904</v>
      </c>
      <c r="B883" s="36" t="str">
        <f t="shared" si="43"/>
        <v>KY_BARREN COUNTY, KY</v>
      </c>
      <c r="D883" s="265" t="s">
        <v>88</v>
      </c>
      <c r="E883" s="266" t="s">
        <v>3736</v>
      </c>
      <c r="F883" s="252">
        <f t="shared" si="45"/>
        <v>39700</v>
      </c>
      <c r="G883" s="252">
        <f t="shared" si="45"/>
        <v>45400</v>
      </c>
      <c r="H883" s="252">
        <f t="shared" si="45"/>
        <v>51050</v>
      </c>
      <c r="I883" s="252">
        <f t="shared" si="45"/>
        <v>56700</v>
      </c>
      <c r="J883" s="252">
        <f t="shared" si="45"/>
        <v>61250</v>
      </c>
      <c r="K883" s="252">
        <f t="shared" si="45"/>
        <v>65800</v>
      </c>
      <c r="L883" s="252">
        <f t="shared" si="45"/>
        <v>70350</v>
      </c>
      <c r="M883" s="252">
        <f t="shared" si="45"/>
        <v>74850</v>
      </c>
    </row>
    <row r="884" spans="1:13" ht="21.95" customHeight="1" x14ac:dyDescent="0.25">
      <c r="A884" s="36" t="s">
        <v>2904</v>
      </c>
      <c r="B884" s="36" t="str">
        <f t="shared" si="43"/>
        <v>KY_BATH COUNTY, KY</v>
      </c>
      <c r="D884" s="265" t="s">
        <v>88</v>
      </c>
      <c r="E884" s="266" t="s">
        <v>3737</v>
      </c>
      <c r="F884" s="252">
        <f t="shared" si="45"/>
        <v>40150</v>
      </c>
      <c r="G884" s="252">
        <f t="shared" si="45"/>
        <v>45850</v>
      </c>
      <c r="H884" s="252">
        <f t="shared" si="45"/>
        <v>51600</v>
      </c>
      <c r="I884" s="252">
        <f t="shared" si="45"/>
        <v>57300</v>
      </c>
      <c r="J884" s="252">
        <f t="shared" si="45"/>
        <v>61900</v>
      </c>
      <c r="K884" s="252">
        <f t="shared" si="45"/>
        <v>66500</v>
      </c>
      <c r="L884" s="252">
        <f t="shared" si="45"/>
        <v>71100</v>
      </c>
      <c r="M884" s="252">
        <f t="shared" si="45"/>
        <v>75650</v>
      </c>
    </row>
    <row r="885" spans="1:13" ht="21.95" customHeight="1" x14ac:dyDescent="0.25">
      <c r="A885" s="36" t="s">
        <v>2904</v>
      </c>
      <c r="B885" s="36" t="str">
        <f t="shared" si="43"/>
        <v>KY_BELL COUNTY, KY</v>
      </c>
      <c r="D885" s="265" t="s">
        <v>88</v>
      </c>
      <c r="E885" s="266" t="s">
        <v>3738</v>
      </c>
      <c r="F885" s="252">
        <f t="shared" si="45"/>
        <v>39700</v>
      </c>
      <c r="G885" s="252">
        <f t="shared" si="45"/>
        <v>45400</v>
      </c>
      <c r="H885" s="252">
        <f t="shared" si="45"/>
        <v>51050</v>
      </c>
      <c r="I885" s="252">
        <f t="shared" si="45"/>
        <v>56700</v>
      </c>
      <c r="J885" s="252">
        <f t="shared" si="45"/>
        <v>61250</v>
      </c>
      <c r="K885" s="252">
        <f t="shared" si="45"/>
        <v>65800</v>
      </c>
      <c r="L885" s="252">
        <f t="shared" si="45"/>
        <v>70350</v>
      </c>
      <c r="M885" s="252">
        <f t="shared" si="45"/>
        <v>74850</v>
      </c>
    </row>
    <row r="886" spans="1:13" ht="21.95" customHeight="1" x14ac:dyDescent="0.25">
      <c r="A886" s="36" t="s">
        <v>2904</v>
      </c>
      <c r="B886" s="36" t="str">
        <f t="shared" si="43"/>
        <v>KY_BOWLING GREEN, KY HUD METRO FMR AREA</v>
      </c>
      <c r="D886" s="265" t="s">
        <v>88</v>
      </c>
      <c r="E886" s="266" t="s">
        <v>3739</v>
      </c>
      <c r="F886" s="252">
        <f t="shared" si="45"/>
        <v>46450</v>
      </c>
      <c r="G886" s="252">
        <f t="shared" si="45"/>
        <v>53050</v>
      </c>
      <c r="H886" s="252">
        <f t="shared" si="45"/>
        <v>59700</v>
      </c>
      <c r="I886" s="252">
        <f t="shared" si="45"/>
        <v>66300</v>
      </c>
      <c r="J886" s="252">
        <f t="shared" si="45"/>
        <v>71650</v>
      </c>
      <c r="K886" s="252">
        <f t="shared" si="45"/>
        <v>76950</v>
      </c>
      <c r="L886" s="252">
        <f t="shared" si="45"/>
        <v>82250</v>
      </c>
      <c r="M886" s="252">
        <f t="shared" si="45"/>
        <v>87550</v>
      </c>
    </row>
    <row r="887" spans="1:13" ht="21.95" customHeight="1" x14ac:dyDescent="0.25">
      <c r="A887" s="36" t="s">
        <v>2904</v>
      </c>
      <c r="B887" s="36" t="str">
        <f t="shared" si="43"/>
        <v>KY_BOYLE COUNTY, KY</v>
      </c>
      <c r="D887" s="265" t="s">
        <v>88</v>
      </c>
      <c r="E887" s="266" t="s">
        <v>3740</v>
      </c>
      <c r="F887" s="252">
        <f t="shared" si="45"/>
        <v>45300</v>
      </c>
      <c r="G887" s="252">
        <f t="shared" si="45"/>
        <v>51750</v>
      </c>
      <c r="H887" s="252">
        <f t="shared" si="45"/>
        <v>58200</v>
      </c>
      <c r="I887" s="252">
        <f t="shared" si="45"/>
        <v>64650</v>
      </c>
      <c r="J887" s="252">
        <f t="shared" si="45"/>
        <v>69850</v>
      </c>
      <c r="K887" s="252">
        <f t="shared" si="45"/>
        <v>75000</v>
      </c>
      <c r="L887" s="252">
        <f t="shared" si="45"/>
        <v>80200</v>
      </c>
      <c r="M887" s="252">
        <f t="shared" si="45"/>
        <v>85350</v>
      </c>
    </row>
    <row r="888" spans="1:13" ht="21.95" customHeight="1" x14ac:dyDescent="0.25">
      <c r="A888" s="36" t="s">
        <v>2904</v>
      </c>
      <c r="B888" s="36" t="str">
        <f t="shared" si="43"/>
        <v>KY_BREATHITT COUNTY, KY</v>
      </c>
      <c r="D888" s="265" t="s">
        <v>88</v>
      </c>
      <c r="E888" s="266" t="s">
        <v>3741</v>
      </c>
      <c r="F888" s="252">
        <f t="shared" si="45"/>
        <v>39700</v>
      </c>
      <c r="G888" s="252">
        <f t="shared" si="45"/>
        <v>45400</v>
      </c>
      <c r="H888" s="252">
        <f t="shared" si="45"/>
        <v>51050</v>
      </c>
      <c r="I888" s="252">
        <f t="shared" si="45"/>
        <v>56700</v>
      </c>
      <c r="J888" s="252">
        <f t="shared" si="45"/>
        <v>61250</v>
      </c>
      <c r="K888" s="252">
        <f t="shared" si="45"/>
        <v>65800</v>
      </c>
      <c r="L888" s="252">
        <f t="shared" si="45"/>
        <v>70350</v>
      </c>
      <c r="M888" s="252">
        <f t="shared" si="45"/>
        <v>74850</v>
      </c>
    </row>
    <row r="889" spans="1:13" ht="21.95" customHeight="1" x14ac:dyDescent="0.25">
      <c r="A889" s="36" t="s">
        <v>2904</v>
      </c>
      <c r="B889" s="36" t="str">
        <f t="shared" si="43"/>
        <v>KY_BRECKINRIDGE COUNTY, KY</v>
      </c>
      <c r="D889" s="265" t="s">
        <v>88</v>
      </c>
      <c r="E889" s="266" t="s">
        <v>3742</v>
      </c>
      <c r="F889" s="252">
        <f t="shared" si="45"/>
        <v>42850</v>
      </c>
      <c r="G889" s="252">
        <f t="shared" si="45"/>
        <v>49000</v>
      </c>
      <c r="H889" s="252">
        <f t="shared" si="45"/>
        <v>55100</v>
      </c>
      <c r="I889" s="252">
        <f t="shared" si="45"/>
        <v>61200</v>
      </c>
      <c r="J889" s="252">
        <f t="shared" si="45"/>
        <v>66100</v>
      </c>
      <c r="K889" s="252">
        <f t="shared" si="45"/>
        <v>71000</v>
      </c>
      <c r="L889" s="252">
        <f t="shared" si="45"/>
        <v>75900</v>
      </c>
      <c r="M889" s="252">
        <f t="shared" si="45"/>
        <v>80800</v>
      </c>
    </row>
    <row r="890" spans="1:13" ht="21.95" customHeight="1" x14ac:dyDescent="0.25">
      <c r="A890" s="36" t="s">
        <v>2904</v>
      </c>
      <c r="B890" s="36" t="str">
        <f t="shared" si="43"/>
        <v>KY_BUTLER COUNTY, KY HUD METRO FMR AREA</v>
      </c>
      <c r="D890" s="265" t="s">
        <v>88</v>
      </c>
      <c r="E890" s="266" t="s">
        <v>3743</v>
      </c>
      <c r="F890" s="252">
        <f t="shared" si="45"/>
        <v>40600</v>
      </c>
      <c r="G890" s="252">
        <f t="shared" si="45"/>
        <v>46400</v>
      </c>
      <c r="H890" s="252">
        <f t="shared" si="45"/>
        <v>52200</v>
      </c>
      <c r="I890" s="252">
        <f t="shared" si="45"/>
        <v>58000</v>
      </c>
      <c r="J890" s="252">
        <f t="shared" si="45"/>
        <v>62650</v>
      </c>
      <c r="K890" s="252">
        <f t="shared" si="45"/>
        <v>67300</v>
      </c>
      <c r="L890" s="252">
        <f t="shared" si="45"/>
        <v>71950</v>
      </c>
      <c r="M890" s="252">
        <f t="shared" si="45"/>
        <v>76600</v>
      </c>
    </row>
    <row r="891" spans="1:13" ht="21.95" customHeight="1" x14ac:dyDescent="0.25">
      <c r="A891" s="36" t="s">
        <v>2904</v>
      </c>
      <c r="B891" s="36" t="str">
        <f t="shared" si="43"/>
        <v>KY_CALDWELL COUNTY, KY</v>
      </c>
      <c r="D891" s="265" t="s">
        <v>88</v>
      </c>
      <c r="E891" s="266" t="s">
        <v>3744</v>
      </c>
      <c r="F891" s="252">
        <f t="shared" si="45"/>
        <v>40900</v>
      </c>
      <c r="G891" s="252">
        <f t="shared" si="45"/>
        <v>46750</v>
      </c>
      <c r="H891" s="252">
        <f t="shared" si="45"/>
        <v>52600</v>
      </c>
      <c r="I891" s="252">
        <f t="shared" si="45"/>
        <v>58400</v>
      </c>
      <c r="J891" s="252">
        <f t="shared" si="45"/>
        <v>63100</v>
      </c>
      <c r="K891" s="252">
        <f t="shared" si="45"/>
        <v>67750</v>
      </c>
      <c r="L891" s="252">
        <f t="shared" si="45"/>
        <v>72450</v>
      </c>
      <c r="M891" s="252">
        <f t="shared" si="45"/>
        <v>77100</v>
      </c>
    </row>
    <row r="892" spans="1:13" ht="21.95" customHeight="1" x14ac:dyDescent="0.25">
      <c r="A892" s="36" t="s">
        <v>2904</v>
      </c>
      <c r="B892" s="36" t="str">
        <f t="shared" ref="B892:B955" si="46">UPPER(TRIM(D892)&amp;"_"&amp;TRIM(E892))</f>
        <v>KY_CALLOWAY COUNTY, KY</v>
      </c>
      <c r="D892" s="265" t="s">
        <v>88</v>
      </c>
      <c r="E892" s="266" t="s">
        <v>3745</v>
      </c>
      <c r="F892" s="252">
        <f t="shared" si="45"/>
        <v>46200</v>
      </c>
      <c r="G892" s="252">
        <f t="shared" si="45"/>
        <v>52800</v>
      </c>
      <c r="H892" s="252">
        <f t="shared" si="45"/>
        <v>59400</v>
      </c>
      <c r="I892" s="252">
        <f t="shared" si="45"/>
        <v>66000</v>
      </c>
      <c r="J892" s="252">
        <f t="shared" si="45"/>
        <v>71300</v>
      </c>
      <c r="K892" s="252">
        <f t="shared" si="45"/>
        <v>76600</v>
      </c>
      <c r="L892" s="252">
        <f t="shared" si="45"/>
        <v>81850</v>
      </c>
      <c r="M892" s="252">
        <f t="shared" si="45"/>
        <v>87150</v>
      </c>
    </row>
    <row r="893" spans="1:13" ht="21.95" customHeight="1" x14ac:dyDescent="0.25">
      <c r="A893" s="36" t="s">
        <v>2904</v>
      </c>
      <c r="B893" s="36" t="str">
        <f t="shared" si="46"/>
        <v>KY_CARLISLE COUNTY, KY HUD METRO FMR AREA</v>
      </c>
      <c r="D893" s="265" t="s">
        <v>88</v>
      </c>
      <c r="E893" s="266" t="s">
        <v>9176</v>
      </c>
      <c r="F893" s="252">
        <f t="shared" si="45"/>
        <v>42950</v>
      </c>
      <c r="G893" s="252">
        <f t="shared" si="45"/>
        <v>49100</v>
      </c>
      <c r="H893" s="252">
        <f t="shared" si="45"/>
        <v>55250</v>
      </c>
      <c r="I893" s="252">
        <f t="shared" si="45"/>
        <v>61350</v>
      </c>
      <c r="J893" s="252">
        <f t="shared" si="45"/>
        <v>66300</v>
      </c>
      <c r="K893" s="252">
        <f t="shared" si="45"/>
        <v>71200</v>
      </c>
      <c r="L893" s="252">
        <f t="shared" si="45"/>
        <v>76100</v>
      </c>
      <c r="M893" s="252">
        <f t="shared" si="45"/>
        <v>81000</v>
      </c>
    </row>
    <row r="894" spans="1:13" ht="21.95" customHeight="1" x14ac:dyDescent="0.25">
      <c r="A894" s="36" t="s">
        <v>2904</v>
      </c>
      <c r="B894" s="36" t="str">
        <f t="shared" si="46"/>
        <v>KY_CARROLL COUNTY, KY</v>
      </c>
      <c r="D894" s="265" t="s">
        <v>88</v>
      </c>
      <c r="E894" s="266" t="s">
        <v>3746</v>
      </c>
      <c r="F894" s="252">
        <f t="shared" si="45"/>
        <v>40150</v>
      </c>
      <c r="G894" s="252">
        <f t="shared" si="45"/>
        <v>45850</v>
      </c>
      <c r="H894" s="252">
        <f t="shared" si="45"/>
        <v>51600</v>
      </c>
      <c r="I894" s="252">
        <f t="shared" si="45"/>
        <v>57300</v>
      </c>
      <c r="J894" s="252">
        <f t="shared" si="45"/>
        <v>61900</v>
      </c>
      <c r="K894" s="252">
        <f t="shared" si="45"/>
        <v>66500</v>
      </c>
      <c r="L894" s="252">
        <f t="shared" si="45"/>
        <v>71100</v>
      </c>
      <c r="M894" s="252">
        <f t="shared" si="45"/>
        <v>75650</v>
      </c>
    </row>
    <row r="895" spans="1:13" ht="21.95" customHeight="1" x14ac:dyDescent="0.25">
      <c r="A895" s="36" t="s">
        <v>2904</v>
      </c>
      <c r="B895" s="36" t="str">
        <f t="shared" si="46"/>
        <v>KY_CARTER COUNTY, KY HUD METRO FMR AREA</v>
      </c>
      <c r="D895" s="265" t="s">
        <v>88</v>
      </c>
      <c r="E895" s="266" t="s">
        <v>3747</v>
      </c>
      <c r="F895" s="252">
        <f t="shared" si="45"/>
        <v>39700</v>
      </c>
      <c r="G895" s="252">
        <f t="shared" si="45"/>
        <v>45400</v>
      </c>
      <c r="H895" s="252">
        <f t="shared" si="45"/>
        <v>51050</v>
      </c>
      <c r="I895" s="252">
        <f t="shared" si="45"/>
        <v>56700</v>
      </c>
      <c r="J895" s="252">
        <f t="shared" si="45"/>
        <v>61250</v>
      </c>
      <c r="K895" s="252">
        <f t="shared" si="45"/>
        <v>65800</v>
      </c>
      <c r="L895" s="252">
        <f t="shared" si="45"/>
        <v>70350</v>
      </c>
      <c r="M895" s="252">
        <f t="shared" si="45"/>
        <v>74850</v>
      </c>
    </row>
    <row r="896" spans="1:13" ht="21.95" customHeight="1" x14ac:dyDescent="0.25">
      <c r="A896" s="36" t="s">
        <v>2904</v>
      </c>
      <c r="B896" s="36" t="str">
        <f t="shared" si="46"/>
        <v>KY_CASEY COUNTY, KY</v>
      </c>
      <c r="D896" s="265" t="s">
        <v>88</v>
      </c>
      <c r="E896" s="266" t="s">
        <v>3748</v>
      </c>
      <c r="F896" s="252">
        <f t="shared" si="45"/>
        <v>39700</v>
      </c>
      <c r="G896" s="252">
        <f t="shared" si="45"/>
        <v>45400</v>
      </c>
      <c r="H896" s="252">
        <f t="shared" si="45"/>
        <v>51050</v>
      </c>
      <c r="I896" s="252">
        <f t="shared" si="45"/>
        <v>56700</v>
      </c>
      <c r="J896" s="252">
        <f t="shared" si="45"/>
        <v>61250</v>
      </c>
      <c r="K896" s="252">
        <f t="shared" si="45"/>
        <v>65800</v>
      </c>
      <c r="L896" s="252">
        <f t="shared" si="45"/>
        <v>70350</v>
      </c>
      <c r="M896" s="252">
        <f t="shared" si="45"/>
        <v>74850</v>
      </c>
    </row>
    <row r="897" spans="1:13" ht="21.95" customHeight="1" x14ac:dyDescent="0.25">
      <c r="A897" s="36" t="s">
        <v>2904</v>
      </c>
      <c r="B897" s="36" t="str">
        <f t="shared" si="46"/>
        <v>KY_CINCINNATI, OH-KY-IN HUD METRO FMR AREA</v>
      </c>
      <c r="D897" s="265" t="s">
        <v>88</v>
      </c>
      <c r="E897" s="266" t="s">
        <v>3580</v>
      </c>
      <c r="F897" s="252">
        <f t="shared" si="45"/>
        <v>62650</v>
      </c>
      <c r="G897" s="252">
        <f t="shared" si="45"/>
        <v>71600</v>
      </c>
      <c r="H897" s="252">
        <f t="shared" si="45"/>
        <v>80550</v>
      </c>
      <c r="I897" s="252">
        <f t="shared" si="45"/>
        <v>89450</v>
      </c>
      <c r="J897" s="252">
        <f t="shared" si="45"/>
        <v>96650</v>
      </c>
      <c r="K897" s="252">
        <f t="shared" si="45"/>
        <v>103800</v>
      </c>
      <c r="L897" s="252">
        <f t="shared" si="45"/>
        <v>110950</v>
      </c>
      <c r="M897" s="252">
        <f t="shared" si="45"/>
        <v>118100</v>
      </c>
    </row>
    <row r="898" spans="1:13" ht="21.95" customHeight="1" x14ac:dyDescent="0.25">
      <c r="A898" s="36" t="s">
        <v>2904</v>
      </c>
      <c r="B898" s="36" t="str">
        <f t="shared" si="46"/>
        <v>KY_CLARKSVILLE, TN-KY HUD METRO FMR AREA</v>
      </c>
      <c r="D898" s="265" t="s">
        <v>88</v>
      </c>
      <c r="E898" s="266" t="s">
        <v>3749</v>
      </c>
      <c r="F898" s="252">
        <f t="shared" si="45"/>
        <v>49100</v>
      </c>
      <c r="G898" s="252">
        <f t="shared" si="45"/>
        <v>56100</v>
      </c>
      <c r="H898" s="252">
        <f t="shared" si="45"/>
        <v>63100</v>
      </c>
      <c r="I898" s="252">
        <f t="shared" si="45"/>
        <v>70100</v>
      </c>
      <c r="J898" s="252">
        <f t="shared" si="45"/>
        <v>75750</v>
      </c>
      <c r="K898" s="252">
        <f t="shared" si="45"/>
        <v>81350</v>
      </c>
      <c r="L898" s="252">
        <f t="shared" si="45"/>
        <v>86950</v>
      </c>
      <c r="M898" s="252">
        <f t="shared" si="45"/>
        <v>92550</v>
      </c>
    </row>
    <row r="899" spans="1:13" ht="21.95" customHeight="1" x14ac:dyDescent="0.25">
      <c r="A899" s="36" t="s">
        <v>2904</v>
      </c>
      <c r="B899" s="36" t="str">
        <f t="shared" si="46"/>
        <v>KY_CLAY COUNTY, KY</v>
      </c>
      <c r="D899" s="265" t="s">
        <v>88</v>
      </c>
      <c r="E899" s="266" t="s">
        <v>3750</v>
      </c>
      <c r="F899" s="252">
        <f t="shared" si="45"/>
        <v>39700</v>
      </c>
      <c r="G899" s="252">
        <f t="shared" si="45"/>
        <v>45400</v>
      </c>
      <c r="H899" s="252">
        <f t="shared" si="45"/>
        <v>51050</v>
      </c>
      <c r="I899" s="252">
        <f t="shared" si="45"/>
        <v>56700</v>
      </c>
      <c r="J899" s="252">
        <f t="shared" si="45"/>
        <v>61250</v>
      </c>
      <c r="K899" s="252">
        <f t="shared" si="45"/>
        <v>65800</v>
      </c>
      <c r="L899" s="252">
        <f t="shared" si="45"/>
        <v>70350</v>
      </c>
      <c r="M899" s="252">
        <f t="shared" si="45"/>
        <v>74850</v>
      </c>
    </row>
    <row r="900" spans="1:13" ht="21.95" customHeight="1" x14ac:dyDescent="0.25">
      <c r="A900" s="36" t="s">
        <v>2904</v>
      </c>
      <c r="B900" s="36" t="str">
        <f t="shared" si="46"/>
        <v>KY_CLINTON COUNTY, KY</v>
      </c>
      <c r="D900" s="265" t="s">
        <v>88</v>
      </c>
      <c r="E900" s="266" t="s">
        <v>3751</v>
      </c>
      <c r="F900" s="252">
        <f t="shared" si="45"/>
        <v>39700</v>
      </c>
      <c r="G900" s="252">
        <f t="shared" si="45"/>
        <v>45400</v>
      </c>
      <c r="H900" s="252">
        <f t="shared" si="45"/>
        <v>51050</v>
      </c>
      <c r="I900" s="252">
        <f t="shared" si="45"/>
        <v>56700</v>
      </c>
      <c r="J900" s="252">
        <f t="shared" si="45"/>
        <v>61250</v>
      </c>
      <c r="K900" s="252">
        <f t="shared" si="45"/>
        <v>65800</v>
      </c>
      <c r="L900" s="252">
        <f t="shared" si="45"/>
        <v>70350</v>
      </c>
      <c r="M900" s="252">
        <f t="shared" si="45"/>
        <v>74850</v>
      </c>
    </row>
    <row r="901" spans="1:13" ht="21.95" customHeight="1" x14ac:dyDescent="0.25">
      <c r="A901" s="36" t="s">
        <v>2904</v>
      </c>
      <c r="B901" s="36" t="str">
        <f t="shared" si="46"/>
        <v>KY_CRITTENDEN COUNTY, KY</v>
      </c>
      <c r="D901" s="265" t="s">
        <v>88</v>
      </c>
      <c r="E901" s="266" t="s">
        <v>3752</v>
      </c>
      <c r="F901" s="252">
        <f t="shared" si="45"/>
        <v>46100</v>
      </c>
      <c r="G901" s="252">
        <f t="shared" si="45"/>
        <v>52700</v>
      </c>
      <c r="H901" s="252">
        <f t="shared" si="45"/>
        <v>59300</v>
      </c>
      <c r="I901" s="252">
        <f t="shared" si="45"/>
        <v>65850</v>
      </c>
      <c r="J901" s="252">
        <f t="shared" si="45"/>
        <v>71150</v>
      </c>
      <c r="K901" s="252">
        <f t="shared" si="45"/>
        <v>76400</v>
      </c>
      <c r="L901" s="252">
        <f t="shared" si="45"/>
        <v>81700</v>
      </c>
      <c r="M901" s="252">
        <f t="shared" si="45"/>
        <v>86950</v>
      </c>
    </row>
    <row r="902" spans="1:13" ht="21.95" customHeight="1" x14ac:dyDescent="0.25">
      <c r="A902" s="36" t="s">
        <v>2904</v>
      </c>
      <c r="B902" s="36" t="str">
        <f t="shared" si="46"/>
        <v>KY_CUMBERLAND COUNTY, KY</v>
      </c>
      <c r="D902" s="265" t="s">
        <v>88</v>
      </c>
      <c r="E902" s="266" t="s">
        <v>3753</v>
      </c>
      <c r="F902" s="252">
        <f t="shared" si="45"/>
        <v>39700</v>
      </c>
      <c r="G902" s="252">
        <f t="shared" si="45"/>
        <v>45400</v>
      </c>
      <c r="H902" s="252">
        <f t="shared" si="45"/>
        <v>51050</v>
      </c>
      <c r="I902" s="252">
        <f t="shared" si="45"/>
        <v>56700</v>
      </c>
      <c r="J902" s="252">
        <f t="shared" si="45"/>
        <v>61250</v>
      </c>
      <c r="K902" s="252">
        <f t="shared" si="45"/>
        <v>65800</v>
      </c>
      <c r="L902" s="252">
        <f t="shared" ref="F902:M934" si="47">VLOOKUP($B902,LOOKUP_AMI_TABLE,5+((L$7-1)),FALSE)</f>
        <v>70350</v>
      </c>
      <c r="M902" s="252">
        <f t="shared" si="47"/>
        <v>74850</v>
      </c>
    </row>
    <row r="903" spans="1:13" ht="21.95" customHeight="1" x14ac:dyDescent="0.25">
      <c r="A903" s="36" t="s">
        <v>2904</v>
      </c>
      <c r="B903" s="36" t="str">
        <f t="shared" si="46"/>
        <v>KY_ELIZABETHTOWN, KY HUD METRO FMR AREA</v>
      </c>
      <c r="D903" s="265" t="s">
        <v>88</v>
      </c>
      <c r="E903" s="266" t="s">
        <v>3754</v>
      </c>
      <c r="F903" s="252">
        <f t="shared" si="47"/>
        <v>44950</v>
      </c>
      <c r="G903" s="252">
        <f t="shared" si="47"/>
        <v>51350</v>
      </c>
      <c r="H903" s="252">
        <f t="shared" si="47"/>
        <v>57750</v>
      </c>
      <c r="I903" s="252">
        <f t="shared" si="47"/>
        <v>64150</v>
      </c>
      <c r="J903" s="252">
        <f t="shared" si="47"/>
        <v>69300</v>
      </c>
      <c r="K903" s="252">
        <f t="shared" si="47"/>
        <v>74450</v>
      </c>
      <c r="L903" s="252">
        <f t="shared" si="47"/>
        <v>79550</v>
      </c>
      <c r="M903" s="252">
        <f t="shared" si="47"/>
        <v>84700</v>
      </c>
    </row>
    <row r="904" spans="1:13" ht="21.95" customHeight="1" x14ac:dyDescent="0.25">
      <c r="A904" s="36" t="s">
        <v>2904</v>
      </c>
      <c r="B904" s="36" t="str">
        <f t="shared" si="46"/>
        <v>KY_ELLIOTT COUNTY, KY</v>
      </c>
      <c r="D904" s="265" t="s">
        <v>88</v>
      </c>
      <c r="E904" s="266" t="s">
        <v>3755</v>
      </c>
      <c r="F904" s="252">
        <f t="shared" si="47"/>
        <v>39700</v>
      </c>
      <c r="G904" s="252">
        <f t="shared" si="47"/>
        <v>45400</v>
      </c>
      <c r="H904" s="252">
        <f t="shared" si="47"/>
        <v>51050</v>
      </c>
      <c r="I904" s="252">
        <f t="shared" si="47"/>
        <v>56700</v>
      </c>
      <c r="J904" s="252">
        <f t="shared" si="47"/>
        <v>61250</v>
      </c>
      <c r="K904" s="252">
        <f t="shared" si="47"/>
        <v>65800</v>
      </c>
      <c r="L904" s="252">
        <f t="shared" si="47"/>
        <v>70350</v>
      </c>
      <c r="M904" s="252">
        <f t="shared" si="47"/>
        <v>74850</v>
      </c>
    </row>
    <row r="905" spans="1:13" ht="21.95" customHeight="1" x14ac:dyDescent="0.25">
      <c r="A905" s="36" t="s">
        <v>2904</v>
      </c>
      <c r="B905" s="36" t="str">
        <f t="shared" si="46"/>
        <v>KY_ESTILL COUNTY, KY</v>
      </c>
      <c r="D905" s="265" t="s">
        <v>88</v>
      </c>
      <c r="E905" s="266" t="s">
        <v>3756</v>
      </c>
      <c r="F905" s="252">
        <f t="shared" si="47"/>
        <v>39700</v>
      </c>
      <c r="G905" s="252">
        <f t="shared" si="47"/>
        <v>45400</v>
      </c>
      <c r="H905" s="252">
        <f t="shared" si="47"/>
        <v>51050</v>
      </c>
      <c r="I905" s="252">
        <f t="shared" si="47"/>
        <v>56700</v>
      </c>
      <c r="J905" s="252">
        <f t="shared" si="47"/>
        <v>61250</v>
      </c>
      <c r="K905" s="252">
        <f t="shared" si="47"/>
        <v>65800</v>
      </c>
      <c r="L905" s="252">
        <f t="shared" si="47"/>
        <v>70350</v>
      </c>
      <c r="M905" s="252">
        <f t="shared" si="47"/>
        <v>74850</v>
      </c>
    </row>
    <row r="906" spans="1:13" ht="21.95" customHeight="1" x14ac:dyDescent="0.25">
      <c r="A906" s="36" t="s">
        <v>2904</v>
      </c>
      <c r="B906" s="36" t="str">
        <f t="shared" si="46"/>
        <v>KY_FLEMING COUNTY, KY</v>
      </c>
      <c r="D906" s="265" t="s">
        <v>88</v>
      </c>
      <c r="E906" s="266" t="s">
        <v>3757</v>
      </c>
      <c r="F906" s="252">
        <f t="shared" si="47"/>
        <v>39700</v>
      </c>
      <c r="G906" s="252">
        <f t="shared" si="47"/>
        <v>45400</v>
      </c>
      <c r="H906" s="252">
        <f t="shared" si="47"/>
        <v>51050</v>
      </c>
      <c r="I906" s="252">
        <f t="shared" si="47"/>
        <v>56700</v>
      </c>
      <c r="J906" s="252">
        <f t="shared" si="47"/>
        <v>61250</v>
      </c>
      <c r="K906" s="252">
        <f t="shared" si="47"/>
        <v>65800</v>
      </c>
      <c r="L906" s="252">
        <f t="shared" si="47"/>
        <v>70350</v>
      </c>
      <c r="M906" s="252">
        <f t="shared" si="47"/>
        <v>74850</v>
      </c>
    </row>
    <row r="907" spans="1:13" ht="21.95" customHeight="1" x14ac:dyDescent="0.25">
      <c r="A907" s="36" t="s">
        <v>2904</v>
      </c>
      <c r="B907" s="36" t="str">
        <f t="shared" si="46"/>
        <v>KY_FLOYD COUNTY, KY</v>
      </c>
      <c r="D907" s="265" t="s">
        <v>88</v>
      </c>
      <c r="E907" s="266" t="s">
        <v>3758</v>
      </c>
      <c r="F907" s="252">
        <f t="shared" si="47"/>
        <v>39700</v>
      </c>
      <c r="G907" s="252">
        <f t="shared" si="47"/>
        <v>45400</v>
      </c>
      <c r="H907" s="252">
        <f t="shared" si="47"/>
        <v>51050</v>
      </c>
      <c r="I907" s="252">
        <f t="shared" si="47"/>
        <v>56700</v>
      </c>
      <c r="J907" s="252">
        <f t="shared" si="47"/>
        <v>61250</v>
      </c>
      <c r="K907" s="252">
        <f t="shared" si="47"/>
        <v>65800</v>
      </c>
      <c r="L907" s="252">
        <f t="shared" si="47"/>
        <v>70350</v>
      </c>
      <c r="M907" s="252">
        <f t="shared" si="47"/>
        <v>74850</v>
      </c>
    </row>
    <row r="908" spans="1:13" ht="21.95" customHeight="1" x14ac:dyDescent="0.25">
      <c r="A908" s="36" t="s">
        <v>2904</v>
      </c>
      <c r="B908" s="36" t="str">
        <f t="shared" si="46"/>
        <v>KY_FRANKLIN COUNTY, KY</v>
      </c>
      <c r="D908" s="265" t="s">
        <v>88</v>
      </c>
      <c r="E908" s="266" t="s">
        <v>3759</v>
      </c>
      <c r="F908" s="252">
        <f t="shared" si="47"/>
        <v>51550</v>
      </c>
      <c r="G908" s="252">
        <f t="shared" si="47"/>
        <v>58900</v>
      </c>
      <c r="H908" s="252">
        <f t="shared" si="47"/>
        <v>66250</v>
      </c>
      <c r="I908" s="252">
        <f t="shared" si="47"/>
        <v>73600</v>
      </c>
      <c r="J908" s="252">
        <f t="shared" si="47"/>
        <v>79500</v>
      </c>
      <c r="K908" s="252">
        <f t="shared" si="47"/>
        <v>85400</v>
      </c>
      <c r="L908" s="252">
        <f t="shared" si="47"/>
        <v>91300</v>
      </c>
      <c r="M908" s="252">
        <f t="shared" si="47"/>
        <v>97200</v>
      </c>
    </row>
    <row r="909" spans="1:13" ht="21.95" customHeight="1" x14ac:dyDescent="0.25">
      <c r="A909" s="36" t="s">
        <v>2904</v>
      </c>
      <c r="B909" s="36" t="str">
        <f t="shared" si="46"/>
        <v>KY_FULTON COUNTY, KY</v>
      </c>
      <c r="D909" s="265" t="s">
        <v>88</v>
      </c>
      <c r="E909" s="266" t="s">
        <v>3760</v>
      </c>
      <c r="F909" s="252">
        <f t="shared" si="47"/>
        <v>39700</v>
      </c>
      <c r="G909" s="252">
        <f t="shared" si="47"/>
        <v>45400</v>
      </c>
      <c r="H909" s="252">
        <f t="shared" si="47"/>
        <v>51050</v>
      </c>
      <c r="I909" s="252">
        <f t="shared" si="47"/>
        <v>56700</v>
      </c>
      <c r="J909" s="252">
        <f t="shared" si="47"/>
        <v>61250</v>
      </c>
      <c r="K909" s="252">
        <f t="shared" si="47"/>
        <v>65800</v>
      </c>
      <c r="L909" s="252">
        <f t="shared" si="47"/>
        <v>70350</v>
      </c>
      <c r="M909" s="252">
        <f t="shared" si="47"/>
        <v>74850</v>
      </c>
    </row>
    <row r="910" spans="1:13" ht="21.95" customHeight="1" x14ac:dyDescent="0.25">
      <c r="A910" s="36" t="s">
        <v>2904</v>
      </c>
      <c r="B910" s="36" t="str">
        <f t="shared" si="46"/>
        <v>KY_GARRARD COUNTY, KY</v>
      </c>
      <c r="D910" s="265" t="s">
        <v>88</v>
      </c>
      <c r="E910" s="266" t="s">
        <v>3761</v>
      </c>
      <c r="F910" s="252">
        <f t="shared" si="47"/>
        <v>42700</v>
      </c>
      <c r="G910" s="252">
        <f t="shared" si="47"/>
        <v>48800</v>
      </c>
      <c r="H910" s="252">
        <f t="shared" si="47"/>
        <v>54900</v>
      </c>
      <c r="I910" s="252">
        <f t="shared" si="47"/>
        <v>60950</v>
      </c>
      <c r="J910" s="252">
        <f t="shared" si="47"/>
        <v>65850</v>
      </c>
      <c r="K910" s="252">
        <f t="shared" si="47"/>
        <v>70750</v>
      </c>
      <c r="L910" s="252">
        <f t="shared" si="47"/>
        <v>75600</v>
      </c>
      <c r="M910" s="252">
        <f t="shared" si="47"/>
        <v>80500</v>
      </c>
    </row>
    <row r="911" spans="1:13" ht="21.95" customHeight="1" x14ac:dyDescent="0.25">
      <c r="A911" s="36" t="s">
        <v>2904</v>
      </c>
      <c r="B911" s="36" t="str">
        <f t="shared" si="46"/>
        <v>KY_GRANT COUNTY, KY HUD METRO FMR AREA</v>
      </c>
      <c r="D911" s="265" t="s">
        <v>88</v>
      </c>
      <c r="E911" s="266" t="s">
        <v>3762</v>
      </c>
      <c r="F911" s="252">
        <f t="shared" si="47"/>
        <v>44600</v>
      </c>
      <c r="G911" s="252">
        <f t="shared" si="47"/>
        <v>50950</v>
      </c>
      <c r="H911" s="252">
        <f t="shared" si="47"/>
        <v>57300</v>
      </c>
      <c r="I911" s="252">
        <f t="shared" si="47"/>
        <v>63650</v>
      </c>
      <c r="J911" s="252">
        <f t="shared" si="47"/>
        <v>68750</v>
      </c>
      <c r="K911" s="252">
        <f t="shared" si="47"/>
        <v>73850</v>
      </c>
      <c r="L911" s="252">
        <f t="shared" si="47"/>
        <v>78950</v>
      </c>
      <c r="M911" s="252">
        <f t="shared" si="47"/>
        <v>84050</v>
      </c>
    </row>
    <row r="912" spans="1:13" ht="21.95" customHeight="1" x14ac:dyDescent="0.25">
      <c r="A912" s="36" t="s">
        <v>2904</v>
      </c>
      <c r="B912" s="36" t="str">
        <f t="shared" si="46"/>
        <v>KY_GRAVES COUNTY, KY</v>
      </c>
      <c r="D912" s="265" t="s">
        <v>88</v>
      </c>
      <c r="E912" s="266" t="s">
        <v>3763</v>
      </c>
      <c r="F912" s="252">
        <f t="shared" si="47"/>
        <v>39700</v>
      </c>
      <c r="G912" s="252">
        <f t="shared" si="47"/>
        <v>45400</v>
      </c>
      <c r="H912" s="252">
        <f t="shared" si="47"/>
        <v>51050</v>
      </c>
      <c r="I912" s="252">
        <f t="shared" si="47"/>
        <v>56700</v>
      </c>
      <c r="J912" s="252">
        <f t="shared" si="47"/>
        <v>61250</v>
      </c>
      <c r="K912" s="252">
        <f t="shared" si="47"/>
        <v>65800</v>
      </c>
      <c r="L912" s="252">
        <f t="shared" si="47"/>
        <v>70350</v>
      </c>
      <c r="M912" s="252">
        <f t="shared" si="47"/>
        <v>74850</v>
      </c>
    </row>
    <row r="913" spans="1:13" ht="21.95" customHeight="1" x14ac:dyDescent="0.25">
      <c r="A913" s="36" t="s">
        <v>2904</v>
      </c>
      <c r="B913" s="36" t="str">
        <f t="shared" si="46"/>
        <v>KY_GRAYSON COUNTY, KY</v>
      </c>
      <c r="D913" s="265" t="s">
        <v>88</v>
      </c>
      <c r="E913" s="266" t="s">
        <v>3764</v>
      </c>
      <c r="F913" s="252">
        <f t="shared" si="47"/>
        <v>39700</v>
      </c>
      <c r="G913" s="252">
        <f t="shared" si="47"/>
        <v>45400</v>
      </c>
      <c r="H913" s="252">
        <f t="shared" si="47"/>
        <v>51050</v>
      </c>
      <c r="I913" s="252">
        <f t="shared" si="47"/>
        <v>56700</v>
      </c>
      <c r="J913" s="252">
        <f t="shared" si="47"/>
        <v>61250</v>
      </c>
      <c r="K913" s="252">
        <f t="shared" si="47"/>
        <v>65800</v>
      </c>
      <c r="L913" s="252">
        <f t="shared" si="47"/>
        <v>70350</v>
      </c>
      <c r="M913" s="252">
        <f t="shared" si="47"/>
        <v>74850</v>
      </c>
    </row>
    <row r="914" spans="1:13" ht="21.95" customHeight="1" x14ac:dyDescent="0.25">
      <c r="A914" s="36" t="s">
        <v>2904</v>
      </c>
      <c r="B914" s="36" t="str">
        <f t="shared" si="46"/>
        <v>KY_GREEN COUNTY, KY</v>
      </c>
      <c r="D914" s="265" t="s">
        <v>88</v>
      </c>
      <c r="E914" s="266" t="s">
        <v>3765</v>
      </c>
      <c r="F914" s="252">
        <f t="shared" si="47"/>
        <v>39700</v>
      </c>
      <c r="G914" s="252">
        <f t="shared" si="47"/>
        <v>45400</v>
      </c>
      <c r="H914" s="252">
        <f t="shared" si="47"/>
        <v>51050</v>
      </c>
      <c r="I914" s="252">
        <f t="shared" si="47"/>
        <v>56700</v>
      </c>
      <c r="J914" s="252">
        <f t="shared" si="47"/>
        <v>61250</v>
      </c>
      <c r="K914" s="252">
        <f t="shared" si="47"/>
        <v>65800</v>
      </c>
      <c r="L914" s="252">
        <f t="shared" si="47"/>
        <v>70350</v>
      </c>
      <c r="M914" s="252">
        <f t="shared" si="47"/>
        <v>74850</v>
      </c>
    </row>
    <row r="915" spans="1:13" ht="21.95" customHeight="1" x14ac:dyDescent="0.25">
      <c r="A915" s="36" t="s">
        <v>2904</v>
      </c>
      <c r="B915" s="36" t="str">
        <f t="shared" si="46"/>
        <v>KY_HANCOCK COUNTY, KY</v>
      </c>
      <c r="D915" s="265" t="s">
        <v>88</v>
      </c>
      <c r="E915" s="266" t="s">
        <v>9177</v>
      </c>
      <c r="F915" s="252">
        <f t="shared" si="47"/>
        <v>47700</v>
      </c>
      <c r="G915" s="252">
        <f t="shared" si="47"/>
        <v>54500</v>
      </c>
      <c r="H915" s="252">
        <f t="shared" si="47"/>
        <v>61300</v>
      </c>
      <c r="I915" s="252">
        <f t="shared" si="47"/>
        <v>68100</v>
      </c>
      <c r="J915" s="252">
        <f t="shared" si="47"/>
        <v>73550</v>
      </c>
      <c r="K915" s="252">
        <f t="shared" si="47"/>
        <v>79000</v>
      </c>
      <c r="L915" s="252">
        <f t="shared" si="47"/>
        <v>84450</v>
      </c>
      <c r="M915" s="252">
        <f t="shared" si="47"/>
        <v>89900</v>
      </c>
    </row>
    <row r="916" spans="1:13" ht="21.95" customHeight="1" x14ac:dyDescent="0.25">
      <c r="A916" s="36" t="s">
        <v>2904</v>
      </c>
      <c r="B916" s="36" t="str">
        <f t="shared" si="46"/>
        <v>KY_HARLAN COUNTY, KY</v>
      </c>
      <c r="D916" s="265" t="s">
        <v>88</v>
      </c>
      <c r="E916" s="266" t="s">
        <v>3766</v>
      </c>
      <c r="F916" s="252">
        <f t="shared" si="47"/>
        <v>39700</v>
      </c>
      <c r="G916" s="252">
        <f t="shared" si="47"/>
        <v>45400</v>
      </c>
      <c r="H916" s="252">
        <f t="shared" si="47"/>
        <v>51050</v>
      </c>
      <c r="I916" s="252">
        <f t="shared" si="47"/>
        <v>56700</v>
      </c>
      <c r="J916" s="252">
        <f t="shared" si="47"/>
        <v>61250</v>
      </c>
      <c r="K916" s="252">
        <f t="shared" si="47"/>
        <v>65800</v>
      </c>
      <c r="L916" s="252">
        <f t="shared" si="47"/>
        <v>70350</v>
      </c>
      <c r="M916" s="252">
        <f t="shared" si="47"/>
        <v>74850</v>
      </c>
    </row>
    <row r="917" spans="1:13" ht="21.95" customHeight="1" x14ac:dyDescent="0.25">
      <c r="A917" s="36" t="s">
        <v>2904</v>
      </c>
      <c r="B917" s="36" t="str">
        <f t="shared" si="46"/>
        <v>KY_HARRISON COUNTY, KY</v>
      </c>
      <c r="D917" s="265" t="s">
        <v>88</v>
      </c>
      <c r="E917" s="266" t="s">
        <v>3767</v>
      </c>
      <c r="F917" s="252">
        <f t="shared" si="47"/>
        <v>47450</v>
      </c>
      <c r="G917" s="252">
        <f t="shared" si="47"/>
        <v>54200</v>
      </c>
      <c r="H917" s="252">
        <f t="shared" si="47"/>
        <v>61000</v>
      </c>
      <c r="I917" s="252">
        <f t="shared" si="47"/>
        <v>67750</v>
      </c>
      <c r="J917" s="252">
        <f t="shared" si="47"/>
        <v>73200</v>
      </c>
      <c r="K917" s="252">
        <f t="shared" si="47"/>
        <v>78600</v>
      </c>
      <c r="L917" s="252">
        <f t="shared" si="47"/>
        <v>84050</v>
      </c>
      <c r="M917" s="252">
        <f t="shared" si="47"/>
        <v>89450</v>
      </c>
    </row>
    <row r="918" spans="1:13" ht="21.95" customHeight="1" x14ac:dyDescent="0.25">
      <c r="A918" s="36" t="s">
        <v>2904</v>
      </c>
      <c r="B918" s="36" t="str">
        <f t="shared" si="46"/>
        <v>KY_HART COUNTY, KY</v>
      </c>
      <c r="D918" s="265" t="s">
        <v>88</v>
      </c>
      <c r="E918" s="266" t="s">
        <v>3768</v>
      </c>
      <c r="F918" s="252">
        <f t="shared" si="47"/>
        <v>39700</v>
      </c>
      <c r="G918" s="252">
        <f t="shared" si="47"/>
        <v>45400</v>
      </c>
      <c r="H918" s="252">
        <f t="shared" si="47"/>
        <v>51050</v>
      </c>
      <c r="I918" s="252">
        <f t="shared" si="47"/>
        <v>56700</v>
      </c>
      <c r="J918" s="252">
        <f t="shared" si="47"/>
        <v>61250</v>
      </c>
      <c r="K918" s="252">
        <f t="shared" si="47"/>
        <v>65800</v>
      </c>
      <c r="L918" s="252">
        <f t="shared" si="47"/>
        <v>70350</v>
      </c>
      <c r="M918" s="252">
        <f t="shared" si="47"/>
        <v>74850</v>
      </c>
    </row>
    <row r="919" spans="1:13" ht="21.95" customHeight="1" x14ac:dyDescent="0.25">
      <c r="A919" s="36" t="s">
        <v>2904</v>
      </c>
      <c r="B919" s="36" t="str">
        <f t="shared" si="46"/>
        <v>KY_HENDERSON COUNTY, KY</v>
      </c>
      <c r="D919" s="265" t="s">
        <v>88</v>
      </c>
      <c r="E919" s="266" t="s">
        <v>9178</v>
      </c>
      <c r="F919" s="252">
        <f t="shared" si="47"/>
        <v>45300</v>
      </c>
      <c r="G919" s="252">
        <f t="shared" si="47"/>
        <v>51800</v>
      </c>
      <c r="H919" s="252">
        <f t="shared" si="47"/>
        <v>58250</v>
      </c>
      <c r="I919" s="252">
        <f t="shared" si="47"/>
        <v>64700</v>
      </c>
      <c r="J919" s="252">
        <f t="shared" si="47"/>
        <v>69900</v>
      </c>
      <c r="K919" s="252">
        <f t="shared" si="47"/>
        <v>75100</v>
      </c>
      <c r="L919" s="252">
        <f t="shared" si="47"/>
        <v>80250</v>
      </c>
      <c r="M919" s="252">
        <f t="shared" si="47"/>
        <v>85450</v>
      </c>
    </row>
    <row r="920" spans="1:13" ht="21.95" customHeight="1" x14ac:dyDescent="0.25">
      <c r="A920" s="36" t="s">
        <v>2904</v>
      </c>
      <c r="B920" s="36" t="str">
        <f t="shared" si="46"/>
        <v>KY_HICKMAN COUNTY, KY</v>
      </c>
      <c r="D920" s="265" t="s">
        <v>88</v>
      </c>
      <c r="E920" s="266" t="s">
        <v>3769</v>
      </c>
      <c r="F920" s="252">
        <f t="shared" si="47"/>
        <v>44600</v>
      </c>
      <c r="G920" s="252">
        <f t="shared" si="47"/>
        <v>50950</v>
      </c>
      <c r="H920" s="252">
        <f t="shared" si="47"/>
        <v>57300</v>
      </c>
      <c r="I920" s="252">
        <f t="shared" si="47"/>
        <v>63650</v>
      </c>
      <c r="J920" s="252">
        <f t="shared" si="47"/>
        <v>68750</v>
      </c>
      <c r="K920" s="252">
        <f t="shared" si="47"/>
        <v>73850</v>
      </c>
      <c r="L920" s="252">
        <f t="shared" si="47"/>
        <v>78950</v>
      </c>
      <c r="M920" s="252">
        <f t="shared" si="47"/>
        <v>84050</v>
      </c>
    </row>
    <row r="921" spans="1:13" ht="21.95" customHeight="1" x14ac:dyDescent="0.25">
      <c r="A921" s="36" t="s">
        <v>2904</v>
      </c>
      <c r="B921" s="36" t="str">
        <f t="shared" si="46"/>
        <v>KY_HOPKINS COUNTY, KY</v>
      </c>
      <c r="D921" s="265" t="s">
        <v>88</v>
      </c>
      <c r="E921" s="266" t="s">
        <v>3770</v>
      </c>
      <c r="F921" s="252">
        <f t="shared" si="47"/>
        <v>42100</v>
      </c>
      <c r="G921" s="252">
        <f t="shared" si="47"/>
        <v>48100</v>
      </c>
      <c r="H921" s="252">
        <f t="shared" si="47"/>
        <v>54100</v>
      </c>
      <c r="I921" s="252">
        <f t="shared" si="47"/>
        <v>60100</v>
      </c>
      <c r="J921" s="252">
        <f t="shared" si="47"/>
        <v>64950</v>
      </c>
      <c r="K921" s="252">
        <f t="shared" si="47"/>
        <v>69750</v>
      </c>
      <c r="L921" s="252">
        <f t="shared" si="47"/>
        <v>74550</v>
      </c>
      <c r="M921" s="252">
        <f t="shared" si="47"/>
        <v>79350</v>
      </c>
    </row>
    <row r="922" spans="1:13" ht="21.95" customHeight="1" x14ac:dyDescent="0.25">
      <c r="A922" s="36" t="s">
        <v>2904</v>
      </c>
      <c r="B922" s="36" t="str">
        <f t="shared" si="46"/>
        <v>KY_HUNTINGTON-ASHLAND, WV-KY-OH HUD METRO FMR AREA</v>
      </c>
      <c r="D922" s="265" t="s">
        <v>88</v>
      </c>
      <c r="E922" s="266" t="s">
        <v>3771</v>
      </c>
      <c r="F922" s="252">
        <f t="shared" si="47"/>
        <v>43600</v>
      </c>
      <c r="G922" s="252">
        <f t="shared" si="47"/>
        <v>49800</v>
      </c>
      <c r="H922" s="252">
        <f t="shared" si="47"/>
        <v>56050</v>
      </c>
      <c r="I922" s="252">
        <f t="shared" si="47"/>
        <v>62250</v>
      </c>
      <c r="J922" s="252">
        <f t="shared" si="47"/>
        <v>67250</v>
      </c>
      <c r="K922" s="252">
        <f t="shared" si="47"/>
        <v>72250</v>
      </c>
      <c r="L922" s="252">
        <f t="shared" si="47"/>
        <v>77200</v>
      </c>
      <c r="M922" s="252">
        <f t="shared" si="47"/>
        <v>82200</v>
      </c>
    </row>
    <row r="923" spans="1:13" ht="21.95" customHeight="1" x14ac:dyDescent="0.25">
      <c r="A923" s="36" t="s">
        <v>2904</v>
      </c>
      <c r="B923" s="36" t="str">
        <f t="shared" si="46"/>
        <v>KY_JACKSON COUNTY, KY</v>
      </c>
      <c r="D923" s="265" t="s">
        <v>88</v>
      </c>
      <c r="E923" s="266" t="s">
        <v>3772</v>
      </c>
      <c r="F923" s="252">
        <f t="shared" si="47"/>
        <v>39700</v>
      </c>
      <c r="G923" s="252">
        <f t="shared" si="47"/>
        <v>45400</v>
      </c>
      <c r="H923" s="252">
        <f t="shared" si="47"/>
        <v>51050</v>
      </c>
      <c r="I923" s="252">
        <f t="shared" si="47"/>
        <v>56700</v>
      </c>
      <c r="J923" s="252">
        <f t="shared" si="47"/>
        <v>61250</v>
      </c>
      <c r="K923" s="252">
        <f t="shared" si="47"/>
        <v>65800</v>
      </c>
      <c r="L923" s="252">
        <f t="shared" si="47"/>
        <v>70350</v>
      </c>
      <c r="M923" s="252">
        <f t="shared" si="47"/>
        <v>74850</v>
      </c>
    </row>
    <row r="924" spans="1:13" ht="21.95" customHeight="1" x14ac:dyDescent="0.25">
      <c r="A924" s="36" t="s">
        <v>2904</v>
      </c>
      <c r="B924" s="36" t="str">
        <f t="shared" si="46"/>
        <v>KY_JOHNSON COUNTY, KY</v>
      </c>
      <c r="D924" s="265" t="s">
        <v>88</v>
      </c>
      <c r="E924" s="266" t="s">
        <v>3773</v>
      </c>
      <c r="F924" s="252">
        <f t="shared" si="47"/>
        <v>39700</v>
      </c>
      <c r="G924" s="252">
        <f t="shared" si="47"/>
        <v>45400</v>
      </c>
      <c r="H924" s="252">
        <f t="shared" si="47"/>
        <v>51050</v>
      </c>
      <c r="I924" s="252">
        <f t="shared" si="47"/>
        <v>56700</v>
      </c>
      <c r="J924" s="252">
        <f t="shared" si="47"/>
        <v>61250</v>
      </c>
      <c r="K924" s="252">
        <f t="shared" si="47"/>
        <v>65800</v>
      </c>
      <c r="L924" s="252">
        <f t="shared" si="47"/>
        <v>70350</v>
      </c>
      <c r="M924" s="252">
        <f t="shared" si="47"/>
        <v>74850</v>
      </c>
    </row>
    <row r="925" spans="1:13" ht="21.95" customHeight="1" x14ac:dyDescent="0.25">
      <c r="A925" s="36" t="s">
        <v>2904</v>
      </c>
      <c r="B925" s="36" t="str">
        <f t="shared" si="46"/>
        <v>KY_KNOTT COUNTY, KY</v>
      </c>
      <c r="D925" s="265" t="s">
        <v>88</v>
      </c>
      <c r="E925" s="266" t="s">
        <v>3774</v>
      </c>
      <c r="F925" s="252">
        <f t="shared" si="47"/>
        <v>39700</v>
      </c>
      <c r="G925" s="252">
        <f t="shared" si="47"/>
        <v>45400</v>
      </c>
      <c r="H925" s="252">
        <f t="shared" si="47"/>
        <v>51050</v>
      </c>
      <c r="I925" s="252">
        <f t="shared" si="47"/>
        <v>56700</v>
      </c>
      <c r="J925" s="252">
        <f t="shared" si="47"/>
        <v>61250</v>
      </c>
      <c r="K925" s="252">
        <f t="shared" si="47"/>
        <v>65800</v>
      </c>
      <c r="L925" s="252">
        <f t="shared" si="47"/>
        <v>70350</v>
      </c>
      <c r="M925" s="252">
        <f t="shared" si="47"/>
        <v>74850</v>
      </c>
    </row>
    <row r="926" spans="1:13" ht="21.95" customHeight="1" x14ac:dyDescent="0.25">
      <c r="A926" s="36" t="s">
        <v>2904</v>
      </c>
      <c r="B926" s="36" t="str">
        <f t="shared" si="46"/>
        <v>KY_KNOX COUNTY, KY</v>
      </c>
      <c r="D926" s="265" t="s">
        <v>88</v>
      </c>
      <c r="E926" s="266" t="s">
        <v>3775</v>
      </c>
      <c r="F926" s="252">
        <f t="shared" si="47"/>
        <v>39700</v>
      </c>
      <c r="G926" s="252">
        <f t="shared" si="47"/>
        <v>45400</v>
      </c>
      <c r="H926" s="252">
        <f t="shared" si="47"/>
        <v>51050</v>
      </c>
      <c r="I926" s="252">
        <f t="shared" si="47"/>
        <v>56700</v>
      </c>
      <c r="J926" s="252">
        <f t="shared" si="47"/>
        <v>61250</v>
      </c>
      <c r="K926" s="252">
        <f t="shared" si="47"/>
        <v>65800</v>
      </c>
      <c r="L926" s="252">
        <f t="shared" si="47"/>
        <v>70350</v>
      </c>
      <c r="M926" s="252">
        <f t="shared" si="47"/>
        <v>74850</v>
      </c>
    </row>
    <row r="927" spans="1:13" ht="21.95" customHeight="1" x14ac:dyDescent="0.25">
      <c r="A927" s="36" t="s">
        <v>2904</v>
      </c>
      <c r="B927" s="36" t="str">
        <f t="shared" si="46"/>
        <v>KY_LAUREL COUNTY, KY</v>
      </c>
      <c r="D927" s="265" t="s">
        <v>88</v>
      </c>
      <c r="E927" s="266" t="s">
        <v>3776</v>
      </c>
      <c r="F927" s="252">
        <f t="shared" si="47"/>
        <v>40450</v>
      </c>
      <c r="G927" s="252">
        <f t="shared" si="47"/>
        <v>46200</v>
      </c>
      <c r="H927" s="252">
        <f t="shared" si="47"/>
        <v>52000</v>
      </c>
      <c r="I927" s="252">
        <f t="shared" si="47"/>
        <v>57750</v>
      </c>
      <c r="J927" s="252">
        <f t="shared" si="47"/>
        <v>62400</v>
      </c>
      <c r="K927" s="252">
        <f t="shared" si="47"/>
        <v>67000</v>
      </c>
      <c r="L927" s="252">
        <f t="shared" si="47"/>
        <v>71650</v>
      </c>
      <c r="M927" s="252">
        <f t="shared" si="47"/>
        <v>76250</v>
      </c>
    </row>
    <row r="928" spans="1:13" ht="21.95" customHeight="1" x14ac:dyDescent="0.25">
      <c r="A928" s="36" t="s">
        <v>2904</v>
      </c>
      <c r="B928" s="36" t="str">
        <f t="shared" si="46"/>
        <v>KY_LAWRENCE COUNTY, KY HUD METRO FMR AREA</v>
      </c>
      <c r="D928" s="265" t="s">
        <v>88</v>
      </c>
      <c r="E928" s="266" t="s">
        <v>9179</v>
      </c>
      <c r="F928" s="252">
        <f t="shared" si="47"/>
        <v>39700</v>
      </c>
      <c r="G928" s="252">
        <f t="shared" si="47"/>
        <v>45400</v>
      </c>
      <c r="H928" s="252">
        <f t="shared" si="47"/>
        <v>51050</v>
      </c>
      <c r="I928" s="252">
        <f t="shared" si="47"/>
        <v>56700</v>
      </c>
      <c r="J928" s="252">
        <f t="shared" si="47"/>
        <v>61250</v>
      </c>
      <c r="K928" s="252">
        <f t="shared" si="47"/>
        <v>65800</v>
      </c>
      <c r="L928" s="252">
        <f t="shared" si="47"/>
        <v>70350</v>
      </c>
      <c r="M928" s="252">
        <f t="shared" si="47"/>
        <v>74850</v>
      </c>
    </row>
    <row r="929" spans="1:13" ht="21.95" customHeight="1" x14ac:dyDescent="0.25">
      <c r="A929" s="36" t="s">
        <v>2904</v>
      </c>
      <c r="B929" s="36" t="str">
        <f t="shared" si="46"/>
        <v>KY_LEE COUNTY, KY</v>
      </c>
      <c r="D929" s="265" t="s">
        <v>88</v>
      </c>
      <c r="E929" s="266" t="s">
        <v>3777</v>
      </c>
      <c r="F929" s="252">
        <f t="shared" si="47"/>
        <v>39700</v>
      </c>
      <c r="G929" s="252">
        <f t="shared" si="47"/>
        <v>45400</v>
      </c>
      <c r="H929" s="252">
        <f t="shared" si="47"/>
        <v>51050</v>
      </c>
      <c r="I929" s="252">
        <f t="shared" si="47"/>
        <v>56700</v>
      </c>
      <c r="J929" s="252">
        <f t="shared" si="47"/>
        <v>61250</v>
      </c>
      <c r="K929" s="252">
        <f t="shared" si="47"/>
        <v>65800</v>
      </c>
      <c r="L929" s="252">
        <f t="shared" si="47"/>
        <v>70350</v>
      </c>
      <c r="M929" s="252">
        <f t="shared" si="47"/>
        <v>74850</v>
      </c>
    </row>
    <row r="930" spans="1:13" ht="21.95" customHeight="1" x14ac:dyDescent="0.25">
      <c r="A930" s="36" t="s">
        <v>2904</v>
      </c>
      <c r="B930" s="36" t="str">
        <f t="shared" si="46"/>
        <v>KY_LESLIE COUNTY, KY</v>
      </c>
      <c r="D930" s="265" t="s">
        <v>88</v>
      </c>
      <c r="E930" s="266" t="s">
        <v>3778</v>
      </c>
      <c r="F930" s="252">
        <f t="shared" si="47"/>
        <v>39700</v>
      </c>
      <c r="G930" s="252">
        <f t="shared" si="47"/>
        <v>45400</v>
      </c>
      <c r="H930" s="252">
        <f t="shared" si="47"/>
        <v>51050</v>
      </c>
      <c r="I930" s="252">
        <f t="shared" si="47"/>
        <v>56700</v>
      </c>
      <c r="J930" s="252">
        <f t="shared" si="47"/>
        <v>61250</v>
      </c>
      <c r="K930" s="252">
        <f t="shared" si="47"/>
        <v>65800</v>
      </c>
      <c r="L930" s="252">
        <f t="shared" si="47"/>
        <v>70350</v>
      </c>
      <c r="M930" s="252">
        <f t="shared" si="47"/>
        <v>74850</v>
      </c>
    </row>
    <row r="931" spans="1:13" ht="21.95" customHeight="1" x14ac:dyDescent="0.25">
      <c r="A931" s="36" t="s">
        <v>2904</v>
      </c>
      <c r="B931" s="36" t="str">
        <f t="shared" si="46"/>
        <v>KY_LETCHER COUNTY, KY</v>
      </c>
      <c r="D931" s="265" t="s">
        <v>88</v>
      </c>
      <c r="E931" s="266" t="s">
        <v>3779</v>
      </c>
      <c r="F931" s="252">
        <f t="shared" si="47"/>
        <v>39700</v>
      </c>
      <c r="G931" s="252">
        <f t="shared" si="47"/>
        <v>45400</v>
      </c>
      <c r="H931" s="252">
        <f t="shared" si="47"/>
        <v>51050</v>
      </c>
      <c r="I931" s="252">
        <f t="shared" si="47"/>
        <v>56700</v>
      </c>
      <c r="J931" s="252">
        <f t="shared" si="47"/>
        <v>61250</v>
      </c>
      <c r="K931" s="252">
        <f t="shared" si="47"/>
        <v>65800</v>
      </c>
      <c r="L931" s="252">
        <f t="shared" si="47"/>
        <v>70350</v>
      </c>
      <c r="M931" s="252">
        <f t="shared" si="47"/>
        <v>74850</v>
      </c>
    </row>
    <row r="932" spans="1:13" ht="21.95" customHeight="1" x14ac:dyDescent="0.25">
      <c r="A932" s="36" t="s">
        <v>2904</v>
      </c>
      <c r="B932" s="36" t="str">
        <f t="shared" si="46"/>
        <v>KY_LEWIS COUNTY, KY</v>
      </c>
      <c r="D932" s="265" t="s">
        <v>88</v>
      </c>
      <c r="E932" s="266" t="s">
        <v>3780</v>
      </c>
      <c r="F932" s="252">
        <f t="shared" si="47"/>
        <v>39700</v>
      </c>
      <c r="G932" s="252">
        <f t="shared" si="47"/>
        <v>45400</v>
      </c>
      <c r="H932" s="252">
        <f t="shared" si="47"/>
        <v>51050</v>
      </c>
      <c r="I932" s="252">
        <f t="shared" si="47"/>
        <v>56700</v>
      </c>
      <c r="J932" s="252">
        <f t="shared" si="47"/>
        <v>61250</v>
      </c>
      <c r="K932" s="252">
        <f t="shared" si="47"/>
        <v>65800</v>
      </c>
      <c r="L932" s="252">
        <f t="shared" si="47"/>
        <v>70350</v>
      </c>
      <c r="M932" s="252">
        <f t="shared" si="47"/>
        <v>74850</v>
      </c>
    </row>
    <row r="933" spans="1:13" ht="21.95" customHeight="1" x14ac:dyDescent="0.25">
      <c r="A933" s="36" t="s">
        <v>2904</v>
      </c>
      <c r="B933" s="36" t="str">
        <f t="shared" si="46"/>
        <v>KY_LEXINGTON-FAYETTE, KY MSA</v>
      </c>
      <c r="D933" s="265" t="s">
        <v>88</v>
      </c>
      <c r="E933" s="266" t="s">
        <v>3781</v>
      </c>
      <c r="F933" s="252">
        <f t="shared" si="47"/>
        <v>57350</v>
      </c>
      <c r="G933" s="252">
        <f t="shared" si="47"/>
        <v>65550</v>
      </c>
      <c r="H933" s="252">
        <f t="shared" si="47"/>
        <v>73750</v>
      </c>
      <c r="I933" s="252">
        <f t="shared" si="47"/>
        <v>81900</v>
      </c>
      <c r="J933" s="252">
        <f t="shared" si="47"/>
        <v>88500</v>
      </c>
      <c r="K933" s="252">
        <f t="shared" si="47"/>
        <v>95050</v>
      </c>
      <c r="L933" s="252">
        <f t="shared" si="47"/>
        <v>101600</v>
      </c>
      <c r="M933" s="252">
        <f t="shared" si="47"/>
        <v>108150</v>
      </c>
    </row>
    <row r="934" spans="1:13" ht="21.95" customHeight="1" x14ac:dyDescent="0.25">
      <c r="A934" s="36" t="s">
        <v>2904</v>
      </c>
      <c r="B934" s="36" t="str">
        <f t="shared" si="46"/>
        <v>KY_LINCOLN COUNTY, KY</v>
      </c>
      <c r="D934" s="265" t="s">
        <v>88</v>
      </c>
      <c r="E934" s="266" t="s">
        <v>3782</v>
      </c>
      <c r="F934" s="252">
        <f t="shared" si="47"/>
        <v>39700</v>
      </c>
      <c r="G934" s="252">
        <f t="shared" si="47"/>
        <v>45400</v>
      </c>
      <c r="H934" s="252">
        <f t="shared" si="47"/>
        <v>51050</v>
      </c>
      <c r="I934" s="252">
        <f t="shared" si="47"/>
        <v>56700</v>
      </c>
      <c r="J934" s="252">
        <f t="shared" si="47"/>
        <v>61250</v>
      </c>
      <c r="K934" s="252">
        <f t="shared" ref="F934:M966" si="48">VLOOKUP($B934,LOOKUP_AMI_TABLE,5+((K$7-1)),FALSE)</f>
        <v>65800</v>
      </c>
      <c r="L934" s="252">
        <f t="shared" si="48"/>
        <v>70350</v>
      </c>
      <c r="M934" s="252">
        <f t="shared" si="48"/>
        <v>74850</v>
      </c>
    </row>
    <row r="935" spans="1:13" ht="21.95" customHeight="1" x14ac:dyDescent="0.25">
      <c r="A935" s="36" t="s">
        <v>2904</v>
      </c>
      <c r="B935" s="36" t="str">
        <f t="shared" si="46"/>
        <v>KY_LIVINGSTON COUNTY, KY HUD METRO FMR AREA</v>
      </c>
      <c r="D935" s="265" t="s">
        <v>88</v>
      </c>
      <c r="E935" s="266" t="s">
        <v>9180</v>
      </c>
      <c r="F935" s="252">
        <f t="shared" si="48"/>
        <v>43850</v>
      </c>
      <c r="G935" s="252">
        <f t="shared" si="48"/>
        <v>50100</v>
      </c>
      <c r="H935" s="252">
        <f t="shared" si="48"/>
        <v>56350</v>
      </c>
      <c r="I935" s="252">
        <f t="shared" si="48"/>
        <v>62600</v>
      </c>
      <c r="J935" s="252">
        <f t="shared" si="48"/>
        <v>67650</v>
      </c>
      <c r="K935" s="252">
        <f t="shared" si="48"/>
        <v>72650</v>
      </c>
      <c r="L935" s="252">
        <f t="shared" si="48"/>
        <v>77650</v>
      </c>
      <c r="M935" s="252">
        <f t="shared" si="48"/>
        <v>82650</v>
      </c>
    </row>
    <row r="936" spans="1:13" ht="21.95" customHeight="1" x14ac:dyDescent="0.25">
      <c r="A936" s="36" t="s">
        <v>2904</v>
      </c>
      <c r="B936" s="36" t="str">
        <f t="shared" si="46"/>
        <v>KY_LOGAN COUNTY, KY</v>
      </c>
      <c r="D936" s="265" t="s">
        <v>88</v>
      </c>
      <c r="E936" s="266" t="s">
        <v>3783</v>
      </c>
      <c r="F936" s="252">
        <f t="shared" si="48"/>
        <v>45300</v>
      </c>
      <c r="G936" s="252">
        <f t="shared" si="48"/>
        <v>51750</v>
      </c>
      <c r="H936" s="252">
        <f t="shared" si="48"/>
        <v>58200</v>
      </c>
      <c r="I936" s="252">
        <f t="shared" si="48"/>
        <v>64650</v>
      </c>
      <c r="J936" s="252">
        <f t="shared" si="48"/>
        <v>69850</v>
      </c>
      <c r="K936" s="252">
        <f t="shared" si="48"/>
        <v>75000</v>
      </c>
      <c r="L936" s="252">
        <f t="shared" si="48"/>
        <v>80200</v>
      </c>
      <c r="M936" s="252">
        <f t="shared" si="48"/>
        <v>85350</v>
      </c>
    </row>
    <row r="937" spans="1:13" ht="21.95" customHeight="1" x14ac:dyDescent="0.25">
      <c r="A937" s="36" t="s">
        <v>2904</v>
      </c>
      <c r="B937" s="36" t="str">
        <f t="shared" si="46"/>
        <v>KY_LOUISVILLE, KY-IN HUD METRO FMR AREA</v>
      </c>
      <c r="D937" s="265" t="s">
        <v>88</v>
      </c>
      <c r="E937" s="266" t="s">
        <v>3611</v>
      </c>
      <c r="F937" s="252">
        <f t="shared" si="48"/>
        <v>54150</v>
      </c>
      <c r="G937" s="252">
        <f t="shared" si="48"/>
        <v>61850</v>
      </c>
      <c r="H937" s="252">
        <f t="shared" si="48"/>
        <v>69600</v>
      </c>
      <c r="I937" s="252">
        <f t="shared" si="48"/>
        <v>77300</v>
      </c>
      <c r="J937" s="252">
        <f t="shared" si="48"/>
        <v>83500</v>
      </c>
      <c r="K937" s="252">
        <f t="shared" si="48"/>
        <v>89700</v>
      </c>
      <c r="L937" s="252">
        <f t="shared" si="48"/>
        <v>95900</v>
      </c>
      <c r="M937" s="252">
        <f t="shared" si="48"/>
        <v>102050</v>
      </c>
    </row>
    <row r="938" spans="1:13" ht="21.95" customHeight="1" x14ac:dyDescent="0.25">
      <c r="A938" s="36" t="s">
        <v>2904</v>
      </c>
      <c r="B938" s="36" t="str">
        <f t="shared" si="46"/>
        <v>KY_LYON COUNTY, KY</v>
      </c>
      <c r="D938" s="265" t="s">
        <v>88</v>
      </c>
      <c r="E938" s="266" t="s">
        <v>3784</v>
      </c>
      <c r="F938" s="252">
        <f t="shared" si="48"/>
        <v>50050</v>
      </c>
      <c r="G938" s="252">
        <f t="shared" si="48"/>
        <v>57200</v>
      </c>
      <c r="H938" s="252">
        <f t="shared" si="48"/>
        <v>64350</v>
      </c>
      <c r="I938" s="252">
        <f t="shared" si="48"/>
        <v>71450</v>
      </c>
      <c r="J938" s="252">
        <f t="shared" si="48"/>
        <v>77200</v>
      </c>
      <c r="K938" s="252">
        <f t="shared" si="48"/>
        <v>82900</v>
      </c>
      <c r="L938" s="252">
        <f t="shared" si="48"/>
        <v>88600</v>
      </c>
      <c r="M938" s="252">
        <f t="shared" si="48"/>
        <v>94350</v>
      </c>
    </row>
    <row r="939" spans="1:13" ht="21.95" customHeight="1" x14ac:dyDescent="0.25">
      <c r="A939" s="36" t="s">
        <v>2904</v>
      </c>
      <c r="B939" s="36" t="str">
        <f t="shared" si="46"/>
        <v>KY_MADISON COUNTY, KY</v>
      </c>
      <c r="D939" s="265" t="s">
        <v>88</v>
      </c>
      <c r="E939" s="266" t="s">
        <v>3785</v>
      </c>
      <c r="F939" s="252">
        <f t="shared" si="48"/>
        <v>49500</v>
      </c>
      <c r="G939" s="252">
        <f t="shared" si="48"/>
        <v>56600</v>
      </c>
      <c r="H939" s="252">
        <f t="shared" si="48"/>
        <v>63650</v>
      </c>
      <c r="I939" s="252">
        <f t="shared" si="48"/>
        <v>70700</v>
      </c>
      <c r="J939" s="252">
        <f t="shared" si="48"/>
        <v>76400</v>
      </c>
      <c r="K939" s="252">
        <f t="shared" si="48"/>
        <v>82050</v>
      </c>
      <c r="L939" s="252">
        <f t="shared" si="48"/>
        <v>87700</v>
      </c>
      <c r="M939" s="252">
        <f t="shared" si="48"/>
        <v>93350</v>
      </c>
    </row>
    <row r="940" spans="1:13" ht="21.95" customHeight="1" x14ac:dyDescent="0.25">
      <c r="A940" s="36" t="s">
        <v>2904</v>
      </c>
      <c r="B940" s="36" t="str">
        <f t="shared" si="46"/>
        <v>KY_MAGOFFIN COUNTY, KY</v>
      </c>
      <c r="D940" s="265" t="s">
        <v>88</v>
      </c>
      <c r="E940" s="266" t="s">
        <v>3786</v>
      </c>
      <c r="F940" s="252">
        <f t="shared" si="48"/>
        <v>39700</v>
      </c>
      <c r="G940" s="252">
        <f t="shared" si="48"/>
        <v>45400</v>
      </c>
      <c r="H940" s="252">
        <f t="shared" si="48"/>
        <v>51050</v>
      </c>
      <c r="I940" s="252">
        <f t="shared" si="48"/>
        <v>56700</v>
      </c>
      <c r="J940" s="252">
        <f t="shared" si="48"/>
        <v>61250</v>
      </c>
      <c r="K940" s="252">
        <f t="shared" si="48"/>
        <v>65800</v>
      </c>
      <c r="L940" s="252">
        <f t="shared" si="48"/>
        <v>70350</v>
      </c>
      <c r="M940" s="252">
        <f t="shared" si="48"/>
        <v>74850</v>
      </c>
    </row>
    <row r="941" spans="1:13" ht="21.95" customHeight="1" x14ac:dyDescent="0.25">
      <c r="A941" s="36" t="s">
        <v>2904</v>
      </c>
      <c r="B941" s="36" t="str">
        <f t="shared" si="46"/>
        <v>KY_MARION COUNTY, KY</v>
      </c>
      <c r="D941" s="265" t="s">
        <v>88</v>
      </c>
      <c r="E941" s="266" t="s">
        <v>3787</v>
      </c>
      <c r="F941" s="252">
        <f t="shared" si="48"/>
        <v>41400</v>
      </c>
      <c r="G941" s="252">
        <f t="shared" si="48"/>
        <v>47300</v>
      </c>
      <c r="H941" s="252">
        <f t="shared" si="48"/>
        <v>53200</v>
      </c>
      <c r="I941" s="252">
        <f t="shared" si="48"/>
        <v>59100</v>
      </c>
      <c r="J941" s="252">
        <f t="shared" si="48"/>
        <v>63850</v>
      </c>
      <c r="K941" s="252">
        <f t="shared" si="48"/>
        <v>68600</v>
      </c>
      <c r="L941" s="252">
        <f t="shared" si="48"/>
        <v>73300</v>
      </c>
      <c r="M941" s="252">
        <f t="shared" si="48"/>
        <v>78050</v>
      </c>
    </row>
    <row r="942" spans="1:13" ht="21.95" customHeight="1" x14ac:dyDescent="0.25">
      <c r="A942" s="36" t="s">
        <v>2904</v>
      </c>
      <c r="B942" s="36" t="str">
        <f t="shared" si="46"/>
        <v>KY_MARSHALL COUNTY, KY</v>
      </c>
      <c r="D942" s="265" t="s">
        <v>88</v>
      </c>
      <c r="E942" s="266" t="s">
        <v>3788</v>
      </c>
      <c r="F942" s="252">
        <f t="shared" si="48"/>
        <v>47150</v>
      </c>
      <c r="G942" s="252">
        <f t="shared" si="48"/>
        <v>53900</v>
      </c>
      <c r="H942" s="252">
        <f t="shared" si="48"/>
        <v>60650</v>
      </c>
      <c r="I942" s="252">
        <f t="shared" si="48"/>
        <v>67350</v>
      </c>
      <c r="J942" s="252">
        <f t="shared" si="48"/>
        <v>72750</v>
      </c>
      <c r="K942" s="252">
        <f t="shared" si="48"/>
        <v>78150</v>
      </c>
      <c r="L942" s="252">
        <f t="shared" si="48"/>
        <v>83550</v>
      </c>
      <c r="M942" s="252">
        <f t="shared" si="48"/>
        <v>88950</v>
      </c>
    </row>
    <row r="943" spans="1:13" ht="21.95" customHeight="1" x14ac:dyDescent="0.25">
      <c r="A943" s="36" t="s">
        <v>2904</v>
      </c>
      <c r="B943" s="36" t="str">
        <f t="shared" si="46"/>
        <v>KY_MARTIN COUNTY, KY</v>
      </c>
      <c r="D943" s="265" t="s">
        <v>88</v>
      </c>
      <c r="E943" s="266" t="s">
        <v>3789</v>
      </c>
      <c r="F943" s="252">
        <f t="shared" si="48"/>
        <v>39700</v>
      </c>
      <c r="G943" s="252">
        <f t="shared" si="48"/>
        <v>45400</v>
      </c>
      <c r="H943" s="252">
        <f t="shared" si="48"/>
        <v>51050</v>
      </c>
      <c r="I943" s="252">
        <f t="shared" si="48"/>
        <v>56700</v>
      </c>
      <c r="J943" s="252">
        <f t="shared" si="48"/>
        <v>61250</v>
      </c>
      <c r="K943" s="252">
        <f t="shared" si="48"/>
        <v>65800</v>
      </c>
      <c r="L943" s="252">
        <f t="shared" si="48"/>
        <v>70350</v>
      </c>
      <c r="M943" s="252">
        <f t="shared" si="48"/>
        <v>74850</v>
      </c>
    </row>
    <row r="944" spans="1:13" ht="21.95" customHeight="1" x14ac:dyDescent="0.25">
      <c r="A944" s="36" t="s">
        <v>2904</v>
      </c>
      <c r="B944" s="36" t="str">
        <f t="shared" si="46"/>
        <v>KY_MASON COUNTY, KY</v>
      </c>
      <c r="D944" s="265" t="s">
        <v>88</v>
      </c>
      <c r="E944" s="266" t="s">
        <v>3790</v>
      </c>
      <c r="F944" s="252">
        <f t="shared" si="48"/>
        <v>40150</v>
      </c>
      <c r="G944" s="252">
        <f t="shared" si="48"/>
        <v>45850</v>
      </c>
      <c r="H944" s="252">
        <f t="shared" si="48"/>
        <v>51600</v>
      </c>
      <c r="I944" s="252">
        <f t="shared" si="48"/>
        <v>57300</v>
      </c>
      <c r="J944" s="252">
        <f t="shared" si="48"/>
        <v>61900</v>
      </c>
      <c r="K944" s="252">
        <f t="shared" si="48"/>
        <v>66500</v>
      </c>
      <c r="L944" s="252">
        <f t="shared" si="48"/>
        <v>71100</v>
      </c>
      <c r="M944" s="252">
        <f t="shared" si="48"/>
        <v>75650</v>
      </c>
    </row>
    <row r="945" spans="1:13" ht="21.95" customHeight="1" x14ac:dyDescent="0.25">
      <c r="A945" s="36" t="s">
        <v>2904</v>
      </c>
      <c r="B945" s="36" t="str">
        <f t="shared" si="46"/>
        <v>KY_MCCRACKEN COUNTY, KY HUD METRO FMR AREA</v>
      </c>
      <c r="D945" s="265" t="s">
        <v>88</v>
      </c>
      <c r="E945" s="266" t="s">
        <v>9181</v>
      </c>
      <c r="F945" s="252">
        <f t="shared" si="48"/>
        <v>50550</v>
      </c>
      <c r="G945" s="252">
        <f t="shared" si="48"/>
        <v>57750</v>
      </c>
      <c r="H945" s="252">
        <f t="shared" si="48"/>
        <v>64950</v>
      </c>
      <c r="I945" s="252">
        <f t="shared" si="48"/>
        <v>72150</v>
      </c>
      <c r="J945" s="252">
        <f t="shared" si="48"/>
        <v>77950</v>
      </c>
      <c r="K945" s="252">
        <f t="shared" si="48"/>
        <v>83700</v>
      </c>
      <c r="L945" s="252">
        <f t="shared" si="48"/>
        <v>89500</v>
      </c>
      <c r="M945" s="252">
        <f t="shared" si="48"/>
        <v>95250</v>
      </c>
    </row>
    <row r="946" spans="1:13" ht="21.95" customHeight="1" x14ac:dyDescent="0.25">
      <c r="A946" s="36" t="s">
        <v>2904</v>
      </c>
      <c r="B946" s="36" t="str">
        <f t="shared" si="46"/>
        <v>KY_MCCREARY COUNTY, KY</v>
      </c>
      <c r="D946" s="265" t="s">
        <v>88</v>
      </c>
      <c r="E946" s="266" t="s">
        <v>3791</v>
      </c>
      <c r="F946" s="252">
        <f t="shared" si="48"/>
        <v>39700</v>
      </c>
      <c r="G946" s="252">
        <f t="shared" si="48"/>
        <v>45400</v>
      </c>
      <c r="H946" s="252">
        <f t="shared" si="48"/>
        <v>51050</v>
      </c>
      <c r="I946" s="252">
        <f t="shared" si="48"/>
        <v>56700</v>
      </c>
      <c r="J946" s="252">
        <f t="shared" si="48"/>
        <v>61250</v>
      </c>
      <c r="K946" s="252">
        <f t="shared" si="48"/>
        <v>65800</v>
      </c>
      <c r="L946" s="252">
        <f t="shared" si="48"/>
        <v>70350</v>
      </c>
      <c r="M946" s="252">
        <f t="shared" si="48"/>
        <v>74850</v>
      </c>
    </row>
    <row r="947" spans="1:13" ht="21.95" customHeight="1" x14ac:dyDescent="0.25">
      <c r="A947" s="36" t="s">
        <v>2904</v>
      </c>
      <c r="B947" s="36" t="str">
        <f t="shared" si="46"/>
        <v>KY_MEADE COUNTY, KY HUD METRO FMR AREA</v>
      </c>
      <c r="D947" s="265" t="s">
        <v>88</v>
      </c>
      <c r="E947" s="266" t="s">
        <v>3792</v>
      </c>
      <c r="F947" s="252">
        <f t="shared" si="48"/>
        <v>48650</v>
      </c>
      <c r="G947" s="252">
        <f t="shared" si="48"/>
        <v>55600</v>
      </c>
      <c r="H947" s="252">
        <f t="shared" si="48"/>
        <v>62550</v>
      </c>
      <c r="I947" s="252">
        <f t="shared" si="48"/>
        <v>69450</v>
      </c>
      <c r="J947" s="252">
        <f t="shared" si="48"/>
        <v>75050</v>
      </c>
      <c r="K947" s="252">
        <f t="shared" si="48"/>
        <v>80600</v>
      </c>
      <c r="L947" s="252">
        <f t="shared" si="48"/>
        <v>86150</v>
      </c>
      <c r="M947" s="252">
        <f t="shared" si="48"/>
        <v>91700</v>
      </c>
    </row>
    <row r="948" spans="1:13" ht="21.95" customHeight="1" x14ac:dyDescent="0.25">
      <c r="A948" s="36" t="s">
        <v>2904</v>
      </c>
      <c r="B948" s="36" t="str">
        <f t="shared" si="46"/>
        <v>KY_MENIFEE COUNTY, KY</v>
      </c>
      <c r="D948" s="265" t="s">
        <v>88</v>
      </c>
      <c r="E948" s="266" t="s">
        <v>3793</v>
      </c>
      <c r="F948" s="252">
        <f t="shared" si="48"/>
        <v>39700</v>
      </c>
      <c r="G948" s="252">
        <f t="shared" si="48"/>
        <v>45400</v>
      </c>
      <c r="H948" s="252">
        <f t="shared" si="48"/>
        <v>51050</v>
      </c>
      <c r="I948" s="252">
        <f t="shared" si="48"/>
        <v>56700</v>
      </c>
      <c r="J948" s="252">
        <f t="shared" si="48"/>
        <v>61250</v>
      </c>
      <c r="K948" s="252">
        <f t="shared" si="48"/>
        <v>65800</v>
      </c>
      <c r="L948" s="252">
        <f t="shared" si="48"/>
        <v>70350</v>
      </c>
      <c r="M948" s="252">
        <f t="shared" si="48"/>
        <v>74850</v>
      </c>
    </row>
    <row r="949" spans="1:13" ht="21.95" customHeight="1" x14ac:dyDescent="0.25">
      <c r="A949" s="36" t="s">
        <v>2904</v>
      </c>
      <c r="B949" s="36" t="str">
        <f t="shared" si="46"/>
        <v>KY_MERCER COUNTY, KY</v>
      </c>
      <c r="D949" s="265" t="s">
        <v>88</v>
      </c>
      <c r="E949" s="266" t="s">
        <v>3794</v>
      </c>
      <c r="F949" s="252">
        <f t="shared" si="48"/>
        <v>50900</v>
      </c>
      <c r="G949" s="252">
        <f t="shared" si="48"/>
        <v>58200</v>
      </c>
      <c r="H949" s="252">
        <f t="shared" si="48"/>
        <v>65450</v>
      </c>
      <c r="I949" s="252">
        <f t="shared" si="48"/>
        <v>72700</v>
      </c>
      <c r="J949" s="252">
        <f t="shared" si="48"/>
        <v>78550</v>
      </c>
      <c r="K949" s="252">
        <f t="shared" si="48"/>
        <v>84350</v>
      </c>
      <c r="L949" s="252">
        <f t="shared" si="48"/>
        <v>90150</v>
      </c>
      <c r="M949" s="252">
        <f t="shared" si="48"/>
        <v>96000</v>
      </c>
    </row>
    <row r="950" spans="1:13" ht="21.95" customHeight="1" x14ac:dyDescent="0.25">
      <c r="A950" s="36" t="s">
        <v>2904</v>
      </c>
      <c r="B950" s="36" t="str">
        <f t="shared" si="46"/>
        <v>KY_METCALFE COUNTY, KY</v>
      </c>
      <c r="D950" s="265" t="s">
        <v>88</v>
      </c>
      <c r="E950" s="266" t="s">
        <v>3795</v>
      </c>
      <c r="F950" s="252">
        <f t="shared" si="48"/>
        <v>39700</v>
      </c>
      <c r="G950" s="252">
        <f t="shared" si="48"/>
        <v>45400</v>
      </c>
      <c r="H950" s="252">
        <f t="shared" si="48"/>
        <v>51050</v>
      </c>
      <c r="I950" s="252">
        <f t="shared" si="48"/>
        <v>56700</v>
      </c>
      <c r="J950" s="252">
        <f t="shared" si="48"/>
        <v>61250</v>
      </c>
      <c r="K950" s="252">
        <f t="shared" si="48"/>
        <v>65800</v>
      </c>
      <c r="L950" s="252">
        <f t="shared" si="48"/>
        <v>70350</v>
      </c>
      <c r="M950" s="252">
        <f t="shared" si="48"/>
        <v>74850</v>
      </c>
    </row>
    <row r="951" spans="1:13" ht="21.95" customHeight="1" x14ac:dyDescent="0.25">
      <c r="A951" s="36" t="s">
        <v>2904</v>
      </c>
      <c r="B951" s="36" t="str">
        <f t="shared" si="46"/>
        <v>KY_MONROE COUNTY, KY</v>
      </c>
      <c r="D951" s="265" t="s">
        <v>88</v>
      </c>
      <c r="E951" s="266" t="s">
        <v>3796</v>
      </c>
      <c r="F951" s="252">
        <f t="shared" si="48"/>
        <v>39700</v>
      </c>
      <c r="G951" s="252">
        <f t="shared" si="48"/>
        <v>45400</v>
      </c>
      <c r="H951" s="252">
        <f t="shared" si="48"/>
        <v>51050</v>
      </c>
      <c r="I951" s="252">
        <f t="shared" si="48"/>
        <v>56700</v>
      </c>
      <c r="J951" s="252">
        <f t="shared" si="48"/>
        <v>61250</v>
      </c>
      <c r="K951" s="252">
        <f t="shared" si="48"/>
        <v>65800</v>
      </c>
      <c r="L951" s="252">
        <f t="shared" si="48"/>
        <v>70350</v>
      </c>
      <c r="M951" s="252">
        <f t="shared" si="48"/>
        <v>74850</v>
      </c>
    </row>
    <row r="952" spans="1:13" ht="21.95" customHeight="1" x14ac:dyDescent="0.25">
      <c r="A952" s="36" t="s">
        <v>2904</v>
      </c>
      <c r="B952" s="36" t="str">
        <f t="shared" si="46"/>
        <v>KY_MONTGOMERY COUNTY, KY</v>
      </c>
      <c r="D952" s="265" t="s">
        <v>88</v>
      </c>
      <c r="E952" s="266" t="s">
        <v>3797</v>
      </c>
      <c r="F952" s="252">
        <f t="shared" si="48"/>
        <v>43800</v>
      </c>
      <c r="G952" s="252">
        <f t="shared" si="48"/>
        <v>50050</v>
      </c>
      <c r="H952" s="252">
        <f t="shared" si="48"/>
        <v>56300</v>
      </c>
      <c r="I952" s="252">
        <f t="shared" si="48"/>
        <v>62550</v>
      </c>
      <c r="J952" s="252">
        <f t="shared" si="48"/>
        <v>67600</v>
      </c>
      <c r="K952" s="252">
        <f t="shared" si="48"/>
        <v>72600</v>
      </c>
      <c r="L952" s="252">
        <f t="shared" si="48"/>
        <v>77600</v>
      </c>
      <c r="M952" s="252">
        <f t="shared" si="48"/>
        <v>82600</v>
      </c>
    </row>
    <row r="953" spans="1:13" ht="21.95" customHeight="1" x14ac:dyDescent="0.25">
      <c r="A953" s="36" t="s">
        <v>2904</v>
      </c>
      <c r="B953" s="36" t="str">
        <f t="shared" si="46"/>
        <v>KY_MORGAN COUNTY, KY</v>
      </c>
      <c r="D953" s="265" t="s">
        <v>88</v>
      </c>
      <c r="E953" s="266" t="s">
        <v>3798</v>
      </c>
      <c r="F953" s="252">
        <f t="shared" si="48"/>
        <v>39700</v>
      </c>
      <c r="G953" s="252">
        <f t="shared" si="48"/>
        <v>45400</v>
      </c>
      <c r="H953" s="252">
        <f t="shared" si="48"/>
        <v>51050</v>
      </c>
      <c r="I953" s="252">
        <f t="shared" si="48"/>
        <v>56700</v>
      </c>
      <c r="J953" s="252">
        <f t="shared" si="48"/>
        <v>61250</v>
      </c>
      <c r="K953" s="252">
        <f t="shared" si="48"/>
        <v>65800</v>
      </c>
      <c r="L953" s="252">
        <f t="shared" si="48"/>
        <v>70350</v>
      </c>
      <c r="M953" s="252">
        <f t="shared" si="48"/>
        <v>74850</v>
      </c>
    </row>
    <row r="954" spans="1:13" ht="21.95" customHeight="1" x14ac:dyDescent="0.25">
      <c r="A954" s="36" t="s">
        <v>2904</v>
      </c>
      <c r="B954" s="36" t="str">
        <f t="shared" si="46"/>
        <v>KY_MUHLENBERG COUNTY, KY</v>
      </c>
      <c r="D954" s="265" t="s">
        <v>88</v>
      </c>
      <c r="E954" s="266" t="s">
        <v>3799</v>
      </c>
      <c r="F954" s="252">
        <f t="shared" si="48"/>
        <v>42500</v>
      </c>
      <c r="G954" s="252">
        <f t="shared" si="48"/>
        <v>48550</v>
      </c>
      <c r="H954" s="252">
        <f t="shared" si="48"/>
        <v>54600</v>
      </c>
      <c r="I954" s="252">
        <f t="shared" si="48"/>
        <v>60650</v>
      </c>
      <c r="J954" s="252">
        <f t="shared" si="48"/>
        <v>65550</v>
      </c>
      <c r="K954" s="252">
        <f t="shared" si="48"/>
        <v>70400</v>
      </c>
      <c r="L954" s="252">
        <f t="shared" si="48"/>
        <v>75250</v>
      </c>
      <c r="M954" s="252">
        <f t="shared" si="48"/>
        <v>80100</v>
      </c>
    </row>
    <row r="955" spans="1:13" ht="21.95" customHeight="1" x14ac:dyDescent="0.25">
      <c r="A955" s="36" t="s">
        <v>2904</v>
      </c>
      <c r="B955" s="36" t="str">
        <f t="shared" si="46"/>
        <v>KY_NELSON COUNTY, KY HUD METRO FMR AREA</v>
      </c>
      <c r="D955" s="265" t="s">
        <v>88</v>
      </c>
      <c r="E955" s="266" t="s">
        <v>9182</v>
      </c>
      <c r="F955" s="252">
        <f t="shared" si="48"/>
        <v>49000</v>
      </c>
      <c r="G955" s="252">
        <f t="shared" si="48"/>
        <v>56000</v>
      </c>
      <c r="H955" s="252">
        <f t="shared" si="48"/>
        <v>63000</v>
      </c>
      <c r="I955" s="252">
        <f t="shared" si="48"/>
        <v>70000</v>
      </c>
      <c r="J955" s="252">
        <f t="shared" si="48"/>
        <v>75600</v>
      </c>
      <c r="K955" s="252">
        <f t="shared" si="48"/>
        <v>81200</v>
      </c>
      <c r="L955" s="252">
        <f t="shared" si="48"/>
        <v>86800</v>
      </c>
      <c r="M955" s="252">
        <f t="shared" si="48"/>
        <v>92400</v>
      </c>
    </row>
    <row r="956" spans="1:13" ht="21.95" customHeight="1" x14ac:dyDescent="0.25">
      <c r="A956" s="36" t="s">
        <v>2904</v>
      </c>
      <c r="B956" s="36" t="str">
        <f t="shared" ref="B956:B1019" si="49">UPPER(TRIM(D956)&amp;"_"&amp;TRIM(E956))</f>
        <v>KY_NICHOLAS COUNTY, KY</v>
      </c>
      <c r="D956" s="265" t="s">
        <v>88</v>
      </c>
      <c r="E956" s="266" t="s">
        <v>3800</v>
      </c>
      <c r="F956" s="252">
        <f t="shared" si="48"/>
        <v>41250</v>
      </c>
      <c r="G956" s="252">
        <f t="shared" si="48"/>
        <v>47150</v>
      </c>
      <c r="H956" s="252">
        <f t="shared" si="48"/>
        <v>53050</v>
      </c>
      <c r="I956" s="252">
        <f t="shared" si="48"/>
        <v>58900</v>
      </c>
      <c r="J956" s="252">
        <f t="shared" si="48"/>
        <v>63650</v>
      </c>
      <c r="K956" s="252">
        <f t="shared" si="48"/>
        <v>68350</v>
      </c>
      <c r="L956" s="252">
        <f t="shared" si="48"/>
        <v>73050</v>
      </c>
      <c r="M956" s="252">
        <f t="shared" si="48"/>
        <v>77750</v>
      </c>
    </row>
    <row r="957" spans="1:13" ht="21.95" customHeight="1" x14ac:dyDescent="0.25">
      <c r="A957" s="36" t="s">
        <v>2904</v>
      </c>
      <c r="B957" s="36" t="str">
        <f t="shared" si="49"/>
        <v>KY_OHIO COUNTY, KY</v>
      </c>
      <c r="D957" s="265" t="s">
        <v>88</v>
      </c>
      <c r="E957" s="266" t="s">
        <v>3801</v>
      </c>
      <c r="F957" s="252">
        <f t="shared" si="48"/>
        <v>39700</v>
      </c>
      <c r="G957" s="252">
        <f t="shared" si="48"/>
        <v>45400</v>
      </c>
      <c r="H957" s="252">
        <f t="shared" si="48"/>
        <v>51050</v>
      </c>
      <c r="I957" s="252">
        <f t="shared" si="48"/>
        <v>56700</v>
      </c>
      <c r="J957" s="252">
        <f t="shared" si="48"/>
        <v>61250</v>
      </c>
      <c r="K957" s="252">
        <f t="shared" si="48"/>
        <v>65800</v>
      </c>
      <c r="L957" s="252">
        <f t="shared" si="48"/>
        <v>70350</v>
      </c>
      <c r="M957" s="252">
        <f t="shared" si="48"/>
        <v>74850</v>
      </c>
    </row>
    <row r="958" spans="1:13" ht="21.95" customHeight="1" x14ac:dyDescent="0.25">
      <c r="A958" s="36" t="s">
        <v>2904</v>
      </c>
      <c r="B958" s="36" t="str">
        <f t="shared" si="49"/>
        <v>KY_OWEN COUNTY, KY</v>
      </c>
      <c r="D958" s="265" t="s">
        <v>88</v>
      </c>
      <c r="E958" s="266" t="s">
        <v>3802</v>
      </c>
      <c r="F958" s="252">
        <f t="shared" si="48"/>
        <v>44050</v>
      </c>
      <c r="G958" s="252">
        <f t="shared" si="48"/>
        <v>50350</v>
      </c>
      <c r="H958" s="252">
        <f t="shared" si="48"/>
        <v>56650</v>
      </c>
      <c r="I958" s="252">
        <f t="shared" si="48"/>
        <v>62900</v>
      </c>
      <c r="J958" s="252">
        <f t="shared" si="48"/>
        <v>67950</v>
      </c>
      <c r="K958" s="252">
        <f t="shared" si="48"/>
        <v>73000</v>
      </c>
      <c r="L958" s="252">
        <f t="shared" si="48"/>
        <v>78000</v>
      </c>
      <c r="M958" s="252">
        <f t="shared" si="48"/>
        <v>83050</v>
      </c>
    </row>
    <row r="959" spans="1:13" ht="21.95" customHeight="1" x14ac:dyDescent="0.25">
      <c r="A959" s="36" t="s">
        <v>2904</v>
      </c>
      <c r="B959" s="36" t="str">
        <f t="shared" si="49"/>
        <v>KY_OWENSBORO, KY MSA</v>
      </c>
      <c r="D959" s="265" t="s">
        <v>88</v>
      </c>
      <c r="E959" s="266" t="s">
        <v>3803</v>
      </c>
      <c r="F959" s="252">
        <f t="shared" si="48"/>
        <v>48300</v>
      </c>
      <c r="G959" s="252">
        <f t="shared" si="48"/>
        <v>55200</v>
      </c>
      <c r="H959" s="252">
        <f t="shared" si="48"/>
        <v>62100</v>
      </c>
      <c r="I959" s="252">
        <f t="shared" si="48"/>
        <v>68950</v>
      </c>
      <c r="J959" s="252">
        <f t="shared" si="48"/>
        <v>74500</v>
      </c>
      <c r="K959" s="252">
        <f t="shared" si="48"/>
        <v>80000</v>
      </c>
      <c r="L959" s="252">
        <f t="shared" si="48"/>
        <v>85500</v>
      </c>
      <c r="M959" s="252">
        <f t="shared" si="48"/>
        <v>91050</v>
      </c>
    </row>
    <row r="960" spans="1:13" ht="21.95" customHeight="1" x14ac:dyDescent="0.25">
      <c r="A960" s="36" t="s">
        <v>2904</v>
      </c>
      <c r="B960" s="36" t="str">
        <f t="shared" si="49"/>
        <v>KY_OWSLEY COUNTY, KY</v>
      </c>
      <c r="D960" s="265" t="s">
        <v>88</v>
      </c>
      <c r="E960" s="266" t="s">
        <v>3804</v>
      </c>
      <c r="F960" s="252">
        <f t="shared" si="48"/>
        <v>39700</v>
      </c>
      <c r="G960" s="252">
        <f t="shared" si="48"/>
        <v>45400</v>
      </c>
      <c r="H960" s="252">
        <f t="shared" si="48"/>
        <v>51050</v>
      </c>
      <c r="I960" s="252">
        <f t="shared" si="48"/>
        <v>56700</v>
      </c>
      <c r="J960" s="252">
        <f t="shared" si="48"/>
        <v>61250</v>
      </c>
      <c r="K960" s="252">
        <f t="shared" si="48"/>
        <v>65800</v>
      </c>
      <c r="L960" s="252">
        <f t="shared" si="48"/>
        <v>70350</v>
      </c>
      <c r="M960" s="252">
        <f t="shared" si="48"/>
        <v>74850</v>
      </c>
    </row>
    <row r="961" spans="1:13" ht="21.95" customHeight="1" x14ac:dyDescent="0.25">
      <c r="A961" s="36" t="s">
        <v>2904</v>
      </c>
      <c r="B961" s="36" t="str">
        <f t="shared" si="49"/>
        <v>KY_PERRY COUNTY, KY</v>
      </c>
      <c r="D961" s="265" t="s">
        <v>88</v>
      </c>
      <c r="E961" s="266" t="s">
        <v>3805</v>
      </c>
      <c r="F961" s="252">
        <f t="shared" si="48"/>
        <v>39700</v>
      </c>
      <c r="G961" s="252">
        <f t="shared" si="48"/>
        <v>45400</v>
      </c>
      <c r="H961" s="252">
        <f t="shared" si="48"/>
        <v>51050</v>
      </c>
      <c r="I961" s="252">
        <f t="shared" si="48"/>
        <v>56700</v>
      </c>
      <c r="J961" s="252">
        <f t="shared" si="48"/>
        <v>61250</v>
      </c>
      <c r="K961" s="252">
        <f t="shared" si="48"/>
        <v>65800</v>
      </c>
      <c r="L961" s="252">
        <f t="shared" si="48"/>
        <v>70350</v>
      </c>
      <c r="M961" s="252">
        <f t="shared" si="48"/>
        <v>74850</v>
      </c>
    </row>
    <row r="962" spans="1:13" ht="21.95" customHeight="1" x14ac:dyDescent="0.25">
      <c r="A962" s="36" t="s">
        <v>2904</v>
      </c>
      <c r="B962" s="36" t="str">
        <f t="shared" si="49"/>
        <v>KY_PIKE COUNTY, KY</v>
      </c>
      <c r="D962" s="265" t="s">
        <v>88</v>
      </c>
      <c r="E962" s="266" t="s">
        <v>3806</v>
      </c>
      <c r="F962" s="252">
        <f t="shared" si="48"/>
        <v>39700</v>
      </c>
      <c r="G962" s="252">
        <f t="shared" si="48"/>
        <v>45400</v>
      </c>
      <c r="H962" s="252">
        <f t="shared" si="48"/>
        <v>51050</v>
      </c>
      <c r="I962" s="252">
        <f t="shared" si="48"/>
        <v>56700</v>
      </c>
      <c r="J962" s="252">
        <f t="shared" si="48"/>
        <v>61250</v>
      </c>
      <c r="K962" s="252">
        <f t="shared" si="48"/>
        <v>65800</v>
      </c>
      <c r="L962" s="252">
        <f t="shared" si="48"/>
        <v>70350</v>
      </c>
      <c r="M962" s="252">
        <f t="shared" si="48"/>
        <v>74850</v>
      </c>
    </row>
    <row r="963" spans="1:13" ht="21.95" customHeight="1" x14ac:dyDescent="0.25">
      <c r="A963" s="36" t="s">
        <v>2904</v>
      </c>
      <c r="B963" s="36" t="str">
        <f t="shared" si="49"/>
        <v>KY_POWELL COUNTY, KY</v>
      </c>
      <c r="D963" s="265" t="s">
        <v>88</v>
      </c>
      <c r="E963" s="266" t="s">
        <v>3807</v>
      </c>
      <c r="F963" s="252">
        <f t="shared" si="48"/>
        <v>43050</v>
      </c>
      <c r="G963" s="252">
        <f t="shared" si="48"/>
        <v>49200</v>
      </c>
      <c r="H963" s="252">
        <f t="shared" si="48"/>
        <v>55350</v>
      </c>
      <c r="I963" s="252">
        <f t="shared" si="48"/>
        <v>61450</v>
      </c>
      <c r="J963" s="252">
        <f t="shared" si="48"/>
        <v>66400</v>
      </c>
      <c r="K963" s="252">
        <f t="shared" si="48"/>
        <v>71300</v>
      </c>
      <c r="L963" s="252">
        <f t="shared" si="48"/>
        <v>76200</v>
      </c>
      <c r="M963" s="252">
        <f t="shared" si="48"/>
        <v>81150</v>
      </c>
    </row>
    <row r="964" spans="1:13" ht="21.95" customHeight="1" x14ac:dyDescent="0.25">
      <c r="A964" s="36" t="s">
        <v>2904</v>
      </c>
      <c r="B964" s="36" t="str">
        <f t="shared" si="49"/>
        <v>KY_PULASKI COUNTY, KY</v>
      </c>
      <c r="D964" s="265" t="s">
        <v>88</v>
      </c>
      <c r="E964" s="266" t="s">
        <v>3808</v>
      </c>
      <c r="F964" s="252">
        <f t="shared" si="48"/>
        <v>40150</v>
      </c>
      <c r="G964" s="252">
        <f t="shared" si="48"/>
        <v>45850</v>
      </c>
      <c r="H964" s="252">
        <f t="shared" si="48"/>
        <v>51600</v>
      </c>
      <c r="I964" s="252">
        <f t="shared" si="48"/>
        <v>57300</v>
      </c>
      <c r="J964" s="252">
        <f t="shared" si="48"/>
        <v>61900</v>
      </c>
      <c r="K964" s="252">
        <f t="shared" si="48"/>
        <v>66500</v>
      </c>
      <c r="L964" s="252">
        <f t="shared" si="48"/>
        <v>71100</v>
      </c>
      <c r="M964" s="252">
        <f t="shared" si="48"/>
        <v>75650</v>
      </c>
    </row>
    <row r="965" spans="1:13" ht="21.95" customHeight="1" x14ac:dyDescent="0.25">
      <c r="A965" s="36" t="s">
        <v>2904</v>
      </c>
      <c r="B965" s="36" t="str">
        <f t="shared" si="49"/>
        <v>KY_ROBERTSON COUNTY, KY</v>
      </c>
      <c r="D965" s="265" t="s">
        <v>88</v>
      </c>
      <c r="E965" s="266" t="s">
        <v>3809</v>
      </c>
      <c r="F965" s="252">
        <f t="shared" si="48"/>
        <v>39700</v>
      </c>
      <c r="G965" s="252">
        <f t="shared" si="48"/>
        <v>45400</v>
      </c>
      <c r="H965" s="252">
        <f t="shared" si="48"/>
        <v>51050</v>
      </c>
      <c r="I965" s="252">
        <f t="shared" si="48"/>
        <v>56700</v>
      </c>
      <c r="J965" s="252">
        <f t="shared" si="48"/>
        <v>61250</v>
      </c>
      <c r="K965" s="252">
        <f t="shared" si="48"/>
        <v>65800</v>
      </c>
      <c r="L965" s="252">
        <f t="shared" si="48"/>
        <v>70350</v>
      </c>
      <c r="M965" s="252">
        <f t="shared" si="48"/>
        <v>74850</v>
      </c>
    </row>
    <row r="966" spans="1:13" ht="21.95" customHeight="1" x14ac:dyDescent="0.25">
      <c r="A966" s="36" t="s">
        <v>2904</v>
      </c>
      <c r="B966" s="36" t="str">
        <f t="shared" si="49"/>
        <v>KY_ROCKCASTLE COUNTY, KY</v>
      </c>
      <c r="D966" s="265" t="s">
        <v>88</v>
      </c>
      <c r="E966" s="266" t="s">
        <v>3810</v>
      </c>
      <c r="F966" s="252">
        <f t="shared" si="48"/>
        <v>39700</v>
      </c>
      <c r="G966" s="252">
        <f t="shared" si="48"/>
        <v>45400</v>
      </c>
      <c r="H966" s="252">
        <f t="shared" si="48"/>
        <v>51050</v>
      </c>
      <c r="I966" s="252">
        <f t="shared" si="48"/>
        <v>56700</v>
      </c>
      <c r="J966" s="252">
        <f t="shared" ref="F966:M998" si="50">VLOOKUP($B966,LOOKUP_AMI_TABLE,5+((J$7-1)),FALSE)</f>
        <v>61250</v>
      </c>
      <c r="K966" s="252">
        <f t="shared" si="50"/>
        <v>65800</v>
      </c>
      <c r="L966" s="252">
        <f t="shared" si="50"/>
        <v>70350</v>
      </c>
      <c r="M966" s="252">
        <f t="shared" si="50"/>
        <v>74850</v>
      </c>
    </row>
    <row r="967" spans="1:13" ht="21.95" customHeight="1" x14ac:dyDescent="0.25">
      <c r="A967" s="36" t="s">
        <v>2904</v>
      </c>
      <c r="B967" s="36" t="str">
        <f t="shared" si="49"/>
        <v>KY_ROWAN COUNTY, KY</v>
      </c>
      <c r="D967" s="265" t="s">
        <v>88</v>
      </c>
      <c r="E967" s="266" t="s">
        <v>3811</v>
      </c>
      <c r="F967" s="252">
        <f t="shared" si="50"/>
        <v>42950</v>
      </c>
      <c r="G967" s="252">
        <f t="shared" si="50"/>
        <v>49050</v>
      </c>
      <c r="H967" s="252">
        <f t="shared" si="50"/>
        <v>55200</v>
      </c>
      <c r="I967" s="252">
        <f t="shared" si="50"/>
        <v>61300</v>
      </c>
      <c r="J967" s="252">
        <f t="shared" si="50"/>
        <v>66250</v>
      </c>
      <c r="K967" s="252">
        <f t="shared" si="50"/>
        <v>71150</v>
      </c>
      <c r="L967" s="252">
        <f t="shared" si="50"/>
        <v>76050</v>
      </c>
      <c r="M967" s="252">
        <f t="shared" si="50"/>
        <v>80950</v>
      </c>
    </row>
    <row r="968" spans="1:13" ht="21.95" customHeight="1" x14ac:dyDescent="0.25">
      <c r="A968" s="36" t="s">
        <v>2904</v>
      </c>
      <c r="B968" s="36" t="str">
        <f t="shared" si="49"/>
        <v>KY_RUSSELL COUNTY, KY</v>
      </c>
      <c r="D968" s="265" t="s">
        <v>88</v>
      </c>
      <c r="E968" s="266" t="s">
        <v>3812</v>
      </c>
      <c r="F968" s="252">
        <f t="shared" si="50"/>
        <v>40500</v>
      </c>
      <c r="G968" s="252">
        <f t="shared" si="50"/>
        <v>46300</v>
      </c>
      <c r="H968" s="252">
        <f t="shared" si="50"/>
        <v>52100</v>
      </c>
      <c r="I968" s="252">
        <f t="shared" si="50"/>
        <v>57850</v>
      </c>
      <c r="J968" s="252">
        <f t="shared" si="50"/>
        <v>62500</v>
      </c>
      <c r="K968" s="252">
        <f t="shared" si="50"/>
        <v>67150</v>
      </c>
      <c r="L968" s="252">
        <f t="shared" si="50"/>
        <v>71750</v>
      </c>
      <c r="M968" s="252">
        <f t="shared" si="50"/>
        <v>76400</v>
      </c>
    </row>
    <row r="969" spans="1:13" ht="21.95" customHeight="1" x14ac:dyDescent="0.25">
      <c r="A969" s="36" t="s">
        <v>2904</v>
      </c>
      <c r="B969" s="36" t="str">
        <f t="shared" si="49"/>
        <v>KY_SHELBY COUNTY, KY HUD METRO FMR AREA</v>
      </c>
      <c r="D969" s="265" t="s">
        <v>88</v>
      </c>
      <c r="E969" s="266" t="s">
        <v>3813</v>
      </c>
      <c r="F969" s="252">
        <f t="shared" si="50"/>
        <v>59300</v>
      </c>
      <c r="G969" s="252">
        <f t="shared" si="50"/>
        <v>67750</v>
      </c>
      <c r="H969" s="252">
        <f t="shared" si="50"/>
        <v>76200</v>
      </c>
      <c r="I969" s="252">
        <f t="shared" si="50"/>
        <v>84650</v>
      </c>
      <c r="J969" s="252">
        <f t="shared" si="50"/>
        <v>91450</v>
      </c>
      <c r="K969" s="252">
        <f t="shared" si="50"/>
        <v>98200</v>
      </c>
      <c r="L969" s="252">
        <f t="shared" si="50"/>
        <v>105000</v>
      </c>
      <c r="M969" s="252">
        <f t="shared" si="50"/>
        <v>111750</v>
      </c>
    </row>
    <row r="970" spans="1:13" ht="21.95" customHeight="1" x14ac:dyDescent="0.25">
      <c r="A970" s="36" t="s">
        <v>2904</v>
      </c>
      <c r="B970" s="36" t="str">
        <f t="shared" si="49"/>
        <v>KY_SIMPSON COUNTY, KY</v>
      </c>
      <c r="D970" s="265" t="s">
        <v>88</v>
      </c>
      <c r="E970" s="266" t="s">
        <v>3814</v>
      </c>
      <c r="F970" s="252">
        <f t="shared" si="50"/>
        <v>43500</v>
      </c>
      <c r="G970" s="252">
        <f t="shared" si="50"/>
        <v>49700</v>
      </c>
      <c r="H970" s="252">
        <f t="shared" si="50"/>
        <v>55900</v>
      </c>
      <c r="I970" s="252">
        <f t="shared" si="50"/>
        <v>62100</v>
      </c>
      <c r="J970" s="252">
        <f t="shared" si="50"/>
        <v>67100</v>
      </c>
      <c r="K970" s="252">
        <f t="shared" si="50"/>
        <v>72050</v>
      </c>
      <c r="L970" s="252">
        <f t="shared" si="50"/>
        <v>77050</v>
      </c>
      <c r="M970" s="252">
        <f t="shared" si="50"/>
        <v>82000</v>
      </c>
    </row>
    <row r="971" spans="1:13" ht="21.95" customHeight="1" x14ac:dyDescent="0.25">
      <c r="A971" s="36" t="s">
        <v>2904</v>
      </c>
      <c r="B971" s="36" t="str">
        <f t="shared" si="49"/>
        <v>KY_TAYLOR COUNTY, KY</v>
      </c>
      <c r="D971" s="265" t="s">
        <v>88</v>
      </c>
      <c r="E971" s="266" t="s">
        <v>3815</v>
      </c>
      <c r="F971" s="252">
        <f t="shared" si="50"/>
        <v>43200</v>
      </c>
      <c r="G971" s="252">
        <f t="shared" si="50"/>
        <v>49350</v>
      </c>
      <c r="H971" s="252">
        <f t="shared" si="50"/>
        <v>55500</v>
      </c>
      <c r="I971" s="252">
        <f t="shared" si="50"/>
        <v>61650</v>
      </c>
      <c r="J971" s="252">
        <f t="shared" si="50"/>
        <v>66600</v>
      </c>
      <c r="K971" s="252">
        <f t="shared" si="50"/>
        <v>71550</v>
      </c>
      <c r="L971" s="252">
        <f t="shared" si="50"/>
        <v>76450</v>
      </c>
      <c r="M971" s="252">
        <f t="shared" si="50"/>
        <v>81400</v>
      </c>
    </row>
    <row r="972" spans="1:13" ht="21.95" customHeight="1" x14ac:dyDescent="0.25">
      <c r="A972" s="36" t="s">
        <v>2904</v>
      </c>
      <c r="B972" s="36" t="str">
        <f t="shared" si="49"/>
        <v>KY_TODD COUNTY, KY</v>
      </c>
      <c r="D972" s="265" t="s">
        <v>88</v>
      </c>
      <c r="E972" s="266" t="s">
        <v>3816</v>
      </c>
      <c r="F972" s="252">
        <f t="shared" si="50"/>
        <v>43050</v>
      </c>
      <c r="G972" s="252">
        <f t="shared" si="50"/>
        <v>49200</v>
      </c>
      <c r="H972" s="252">
        <f t="shared" si="50"/>
        <v>55350</v>
      </c>
      <c r="I972" s="252">
        <f t="shared" si="50"/>
        <v>61500</v>
      </c>
      <c r="J972" s="252">
        <f t="shared" si="50"/>
        <v>66450</v>
      </c>
      <c r="K972" s="252">
        <f t="shared" si="50"/>
        <v>71350</v>
      </c>
      <c r="L972" s="252">
        <f t="shared" si="50"/>
        <v>76300</v>
      </c>
      <c r="M972" s="252">
        <f t="shared" si="50"/>
        <v>81200</v>
      </c>
    </row>
    <row r="973" spans="1:13" ht="21.95" customHeight="1" x14ac:dyDescent="0.25">
      <c r="A973" s="36" t="s">
        <v>2904</v>
      </c>
      <c r="B973" s="36" t="str">
        <f t="shared" si="49"/>
        <v>KY_TRIMBLE COUNTY, KY</v>
      </c>
      <c r="D973" s="265" t="s">
        <v>88</v>
      </c>
      <c r="E973" s="266" t="s">
        <v>3817</v>
      </c>
      <c r="F973" s="252">
        <f t="shared" si="50"/>
        <v>46300</v>
      </c>
      <c r="G973" s="252">
        <f t="shared" si="50"/>
        <v>52900</v>
      </c>
      <c r="H973" s="252">
        <f t="shared" si="50"/>
        <v>59500</v>
      </c>
      <c r="I973" s="252">
        <f t="shared" si="50"/>
        <v>66100</v>
      </c>
      <c r="J973" s="252">
        <f t="shared" si="50"/>
        <v>71400</v>
      </c>
      <c r="K973" s="252">
        <f t="shared" si="50"/>
        <v>76700</v>
      </c>
      <c r="L973" s="252">
        <f t="shared" si="50"/>
        <v>82000</v>
      </c>
      <c r="M973" s="252">
        <f t="shared" si="50"/>
        <v>87300</v>
      </c>
    </row>
    <row r="974" spans="1:13" ht="21.95" customHeight="1" x14ac:dyDescent="0.25">
      <c r="A974" s="36" t="s">
        <v>2904</v>
      </c>
      <c r="B974" s="36" t="str">
        <f t="shared" si="49"/>
        <v>KY_UNION COUNTY, KY</v>
      </c>
      <c r="D974" s="265" t="s">
        <v>88</v>
      </c>
      <c r="E974" s="266" t="s">
        <v>3818</v>
      </c>
      <c r="F974" s="252">
        <f t="shared" si="50"/>
        <v>42850</v>
      </c>
      <c r="G974" s="252">
        <f t="shared" si="50"/>
        <v>49000</v>
      </c>
      <c r="H974" s="252">
        <f t="shared" si="50"/>
        <v>55100</v>
      </c>
      <c r="I974" s="252">
        <f t="shared" si="50"/>
        <v>61200</v>
      </c>
      <c r="J974" s="252">
        <f t="shared" si="50"/>
        <v>66100</v>
      </c>
      <c r="K974" s="252">
        <f t="shared" si="50"/>
        <v>71000</v>
      </c>
      <c r="L974" s="252">
        <f t="shared" si="50"/>
        <v>75900</v>
      </c>
      <c r="M974" s="252">
        <f t="shared" si="50"/>
        <v>80800</v>
      </c>
    </row>
    <row r="975" spans="1:13" ht="21.95" customHeight="1" x14ac:dyDescent="0.25">
      <c r="A975" s="36" t="s">
        <v>2904</v>
      </c>
      <c r="B975" s="36" t="str">
        <f t="shared" si="49"/>
        <v>KY_WASHINGTON COUNTY, KY</v>
      </c>
      <c r="D975" s="265" t="s">
        <v>88</v>
      </c>
      <c r="E975" s="266" t="s">
        <v>3819</v>
      </c>
      <c r="F975" s="252">
        <f t="shared" si="50"/>
        <v>49850</v>
      </c>
      <c r="G975" s="252">
        <f t="shared" si="50"/>
        <v>57000</v>
      </c>
      <c r="H975" s="252">
        <f t="shared" si="50"/>
        <v>64100</v>
      </c>
      <c r="I975" s="252">
        <f t="shared" si="50"/>
        <v>71200</v>
      </c>
      <c r="J975" s="252">
        <f t="shared" si="50"/>
        <v>76900</v>
      </c>
      <c r="K975" s="252">
        <f t="shared" si="50"/>
        <v>82600</v>
      </c>
      <c r="L975" s="252">
        <f t="shared" si="50"/>
        <v>88300</v>
      </c>
      <c r="M975" s="252">
        <f t="shared" si="50"/>
        <v>94000</v>
      </c>
    </row>
    <row r="976" spans="1:13" ht="21.95" customHeight="1" x14ac:dyDescent="0.25">
      <c r="A976" s="36" t="s">
        <v>2904</v>
      </c>
      <c r="B976" s="36" t="str">
        <f t="shared" si="49"/>
        <v>KY_WAYNE COUNTY, KY</v>
      </c>
      <c r="D976" s="265" t="s">
        <v>88</v>
      </c>
      <c r="E976" s="266" t="s">
        <v>3820</v>
      </c>
      <c r="F976" s="252">
        <f t="shared" si="50"/>
        <v>39700</v>
      </c>
      <c r="G976" s="252">
        <f t="shared" si="50"/>
        <v>45400</v>
      </c>
      <c r="H976" s="252">
        <f t="shared" si="50"/>
        <v>51050</v>
      </c>
      <c r="I976" s="252">
        <f t="shared" si="50"/>
        <v>56700</v>
      </c>
      <c r="J976" s="252">
        <f t="shared" si="50"/>
        <v>61250</v>
      </c>
      <c r="K976" s="252">
        <f t="shared" si="50"/>
        <v>65800</v>
      </c>
      <c r="L976" s="252">
        <f t="shared" si="50"/>
        <v>70350</v>
      </c>
      <c r="M976" s="252">
        <f t="shared" si="50"/>
        <v>74850</v>
      </c>
    </row>
    <row r="977" spans="1:13" ht="21.95" customHeight="1" x14ac:dyDescent="0.25">
      <c r="A977" s="36" t="s">
        <v>2904</v>
      </c>
      <c r="B977" s="36" t="str">
        <f t="shared" si="49"/>
        <v>KY_WEBSTER COUNTY, KY</v>
      </c>
      <c r="D977" s="265" t="s">
        <v>88</v>
      </c>
      <c r="E977" s="266" t="s">
        <v>3821</v>
      </c>
      <c r="F977" s="252">
        <f t="shared" si="50"/>
        <v>40250</v>
      </c>
      <c r="G977" s="252">
        <f t="shared" si="50"/>
        <v>46000</v>
      </c>
      <c r="H977" s="252">
        <f t="shared" si="50"/>
        <v>51750</v>
      </c>
      <c r="I977" s="252">
        <f t="shared" si="50"/>
        <v>57450</v>
      </c>
      <c r="J977" s="252">
        <f t="shared" si="50"/>
        <v>62050</v>
      </c>
      <c r="K977" s="252">
        <f t="shared" si="50"/>
        <v>66650</v>
      </c>
      <c r="L977" s="252">
        <f t="shared" si="50"/>
        <v>71250</v>
      </c>
      <c r="M977" s="252">
        <f t="shared" si="50"/>
        <v>75850</v>
      </c>
    </row>
    <row r="978" spans="1:13" ht="21.95" customHeight="1" x14ac:dyDescent="0.25">
      <c r="A978" s="36" t="s">
        <v>2904</v>
      </c>
      <c r="B978" s="36" t="str">
        <f t="shared" si="49"/>
        <v>KY_WHITLEY COUNTY, KY</v>
      </c>
      <c r="D978" s="265" t="s">
        <v>88</v>
      </c>
      <c r="E978" s="266" t="s">
        <v>3822</v>
      </c>
      <c r="F978" s="252">
        <f t="shared" si="50"/>
        <v>39700</v>
      </c>
      <c r="G978" s="252">
        <f t="shared" si="50"/>
        <v>45400</v>
      </c>
      <c r="H978" s="252">
        <f t="shared" si="50"/>
        <v>51050</v>
      </c>
      <c r="I978" s="252">
        <f t="shared" si="50"/>
        <v>56700</v>
      </c>
      <c r="J978" s="252">
        <f t="shared" si="50"/>
        <v>61250</v>
      </c>
      <c r="K978" s="252">
        <f t="shared" si="50"/>
        <v>65800</v>
      </c>
      <c r="L978" s="252">
        <f t="shared" si="50"/>
        <v>70350</v>
      </c>
      <c r="M978" s="252">
        <f t="shared" si="50"/>
        <v>74850</v>
      </c>
    </row>
    <row r="979" spans="1:13" ht="21.95" customHeight="1" x14ac:dyDescent="0.25">
      <c r="A979" s="36" t="s">
        <v>2904</v>
      </c>
      <c r="B979" s="36" t="str">
        <f t="shared" si="49"/>
        <v>KY_WOLFE COUNTY, KY</v>
      </c>
      <c r="D979" s="265" t="s">
        <v>88</v>
      </c>
      <c r="E979" s="266" t="s">
        <v>3823</v>
      </c>
      <c r="F979" s="252">
        <f t="shared" si="50"/>
        <v>39700</v>
      </c>
      <c r="G979" s="252">
        <f t="shared" si="50"/>
        <v>45400</v>
      </c>
      <c r="H979" s="252">
        <f t="shared" si="50"/>
        <v>51050</v>
      </c>
      <c r="I979" s="252">
        <f t="shared" si="50"/>
        <v>56700</v>
      </c>
      <c r="J979" s="252">
        <f t="shared" si="50"/>
        <v>61250</v>
      </c>
      <c r="K979" s="252">
        <f t="shared" si="50"/>
        <v>65800</v>
      </c>
      <c r="L979" s="252">
        <f t="shared" si="50"/>
        <v>70350</v>
      </c>
      <c r="M979" s="252">
        <f t="shared" si="50"/>
        <v>74850</v>
      </c>
    </row>
    <row r="980" spans="1:13" ht="21.95" customHeight="1" x14ac:dyDescent="0.25">
      <c r="A980" s="36" t="s">
        <v>2904</v>
      </c>
      <c r="B980" s="36" t="str">
        <f t="shared" si="49"/>
        <v>LA_ACADIA PARISH, LA HUD METRO FMR AREA</v>
      </c>
      <c r="D980" s="265" t="s">
        <v>87</v>
      </c>
      <c r="E980" s="266" t="s">
        <v>3824</v>
      </c>
      <c r="F980" s="252">
        <f t="shared" si="50"/>
        <v>38750</v>
      </c>
      <c r="G980" s="252">
        <f t="shared" si="50"/>
        <v>44300</v>
      </c>
      <c r="H980" s="252">
        <f t="shared" si="50"/>
        <v>49850</v>
      </c>
      <c r="I980" s="252">
        <f t="shared" si="50"/>
        <v>55350</v>
      </c>
      <c r="J980" s="252">
        <f t="shared" si="50"/>
        <v>59800</v>
      </c>
      <c r="K980" s="252">
        <f t="shared" si="50"/>
        <v>64250</v>
      </c>
      <c r="L980" s="252">
        <f t="shared" si="50"/>
        <v>68650</v>
      </c>
      <c r="M980" s="252">
        <f t="shared" si="50"/>
        <v>73100</v>
      </c>
    </row>
    <row r="981" spans="1:13" ht="21.95" customHeight="1" x14ac:dyDescent="0.25">
      <c r="A981" s="36" t="s">
        <v>2904</v>
      </c>
      <c r="B981" s="36" t="str">
        <f t="shared" si="49"/>
        <v>LA_ALEXANDRIA, LA MSA</v>
      </c>
      <c r="D981" s="265" t="s">
        <v>87</v>
      </c>
      <c r="E981" s="266" t="s">
        <v>3825</v>
      </c>
      <c r="F981" s="252">
        <f t="shared" si="50"/>
        <v>42200</v>
      </c>
      <c r="G981" s="252">
        <f t="shared" si="50"/>
        <v>48200</v>
      </c>
      <c r="H981" s="252">
        <f t="shared" si="50"/>
        <v>54250</v>
      </c>
      <c r="I981" s="252">
        <f t="shared" si="50"/>
        <v>60250</v>
      </c>
      <c r="J981" s="252">
        <f t="shared" si="50"/>
        <v>65100</v>
      </c>
      <c r="K981" s="252">
        <f t="shared" si="50"/>
        <v>69900</v>
      </c>
      <c r="L981" s="252">
        <f t="shared" si="50"/>
        <v>74750</v>
      </c>
      <c r="M981" s="252">
        <f t="shared" si="50"/>
        <v>79550</v>
      </c>
    </row>
    <row r="982" spans="1:13" ht="21.95" customHeight="1" x14ac:dyDescent="0.25">
      <c r="A982" s="36" t="s">
        <v>2904</v>
      </c>
      <c r="B982" s="36" t="str">
        <f t="shared" si="49"/>
        <v>LA_ALLEN PARISH, LA</v>
      </c>
      <c r="D982" s="265" t="s">
        <v>87</v>
      </c>
      <c r="E982" s="266" t="s">
        <v>3826</v>
      </c>
      <c r="F982" s="252">
        <f t="shared" si="50"/>
        <v>37000</v>
      </c>
      <c r="G982" s="252">
        <f t="shared" si="50"/>
        <v>42250</v>
      </c>
      <c r="H982" s="252">
        <f t="shared" si="50"/>
        <v>47550</v>
      </c>
      <c r="I982" s="252">
        <f t="shared" si="50"/>
        <v>52800</v>
      </c>
      <c r="J982" s="252">
        <f t="shared" si="50"/>
        <v>57050</v>
      </c>
      <c r="K982" s="252">
        <f t="shared" si="50"/>
        <v>61250</v>
      </c>
      <c r="L982" s="252">
        <f t="shared" si="50"/>
        <v>65500</v>
      </c>
      <c r="M982" s="252">
        <f t="shared" si="50"/>
        <v>69700</v>
      </c>
    </row>
    <row r="983" spans="1:13" ht="21.95" customHeight="1" x14ac:dyDescent="0.25">
      <c r="A983" s="36" t="s">
        <v>2904</v>
      </c>
      <c r="B983" s="36" t="str">
        <f t="shared" si="49"/>
        <v>LA_ASSUMPTION PARISH, LA HUD METRO FMR AREA</v>
      </c>
      <c r="D983" s="265" t="s">
        <v>87</v>
      </c>
      <c r="E983" s="266" t="s">
        <v>3827</v>
      </c>
      <c r="F983" s="252">
        <f t="shared" si="50"/>
        <v>43250</v>
      </c>
      <c r="G983" s="252">
        <f t="shared" si="50"/>
        <v>49400</v>
      </c>
      <c r="H983" s="252">
        <f t="shared" si="50"/>
        <v>55600</v>
      </c>
      <c r="I983" s="252">
        <f t="shared" si="50"/>
        <v>61750</v>
      </c>
      <c r="J983" s="252">
        <f t="shared" si="50"/>
        <v>66700</v>
      </c>
      <c r="K983" s="252">
        <f t="shared" si="50"/>
        <v>71650</v>
      </c>
      <c r="L983" s="252">
        <f t="shared" si="50"/>
        <v>76600</v>
      </c>
      <c r="M983" s="252">
        <f t="shared" si="50"/>
        <v>81550</v>
      </c>
    </row>
    <row r="984" spans="1:13" ht="21.95" customHeight="1" x14ac:dyDescent="0.25">
      <c r="A984" s="36" t="s">
        <v>2904</v>
      </c>
      <c r="B984" s="36" t="str">
        <f t="shared" si="49"/>
        <v>LA_AVOYELLES PARISH, LA</v>
      </c>
      <c r="D984" s="265" t="s">
        <v>87</v>
      </c>
      <c r="E984" s="266" t="s">
        <v>3828</v>
      </c>
      <c r="F984" s="252">
        <f t="shared" si="50"/>
        <v>36300</v>
      </c>
      <c r="G984" s="252">
        <f t="shared" si="50"/>
        <v>41500</v>
      </c>
      <c r="H984" s="252">
        <f t="shared" si="50"/>
        <v>46700</v>
      </c>
      <c r="I984" s="252">
        <f t="shared" si="50"/>
        <v>51850</v>
      </c>
      <c r="J984" s="252">
        <f t="shared" si="50"/>
        <v>56000</v>
      </c>
      <c r="K984" s="252">
        <f t="shared" si="50"/>
        <v>60150</v>
      </c>
      <c r="L984" s="252">
        <f t="shared" si="50"/>
        <v>64300</v>
      </c>
      <c r="M984" s="252">
        <f t="shared" si="50"/>
        <v>68450</v>
      </c>
    </row>
    <row r="985" spans="1:13" ht="21.95" customHeight="1" x14ac:dyDescent="0.25">
      <c r="A985" s="36" t="s">
        <v>2904</v>
      </c>
      <c r="B985" s="36" t="str">
        <f t="shared" si="49"/>
        <v>LA_BATON ROUGE, LA HUD METRO FMR AREA</v>
      </c>
      <c r="D985" s="265" t="s">
        <v>87</v>
      </c>
      <c r="E985" s="266" t="s">
        <v>3829</v>
      </c>
      <c r="F985" s="252">
        <f t="shared" si="50"/>
        <v>51350</v>
      </c>
      <c r="G985" s="252">
        <f t="shared" si="50"/>
        <v>58700</v>
      </c>
      <c r="H985" s="252">
        <f t="shared" si="50"/>
        <v>66050</v>
      </c>
      <c r="I985" s="252">
        <f t="shared" si="50"/>
        <v>73350</v>
      </c>
      <c r="J985" s="252">
        <f t="shared" si="50"/>
        <v>79250</v>
      </c>
      <c r="K985" s="252">
        <f t="shared" si="50"/>
        <v>85100</v>
      </c>
      <c r="L985" s="252">
        <f t="shared" si="50"/>
        <v>91000</v>
      </c>
      <c r="M985" s="252">
        <f t="shared" si="50"/>
        <v>96850</v>
      </c>
    </row>
    <row r="986" spans="1:13" ht="21.95" customHeight="1" x14ac:dyDescent="0.25">
      <c r="A986" s="36" t="s">
        <v>2904</v>
      </c>
      <c r="B986" s="36" t="str">
        <f t="shared" si="49"/>
        <v>LA_BEAUREGARD PARISH, LA</v>
      </c>
      <c r="D986" s="265" t="s">
        <v>87</v>
      </c>
      <c r="E986" s="266" t="s">
        <v>3830</v>
      </c>
      <c r="F986" s="252">
        <f t="shared" si="50"/>
        <v>47600</v>
      </c>
      <c r="G986" s="252">
        <f t="shared" si="50"/>
        <v>54400</v>
      </c>
      <c r="H986" s="252">
        <f t="shared" si="50"/>
        <v>61200</v>
      </c>
      <c r="I986" s="252">
        <f t="shared" si="50"/>
        <v>68000</v>
      </c>
      <c r="J986" s="252">
        <f t="shared" si="50"/>
        <v>73450</v>
      </c>
      <c r="K986" s="252">
        <f t="shared" si="50"/>
        <v>78900</v>
      </c>
      <c r="L986" s="252">
        <f t="shared" si="50"/>
        <v>84350</v>
      </c>
      <c r="M986" s="252">
        <f t="shared" si="50"/>
        <v>89800</v>
      </c>
    </row>
    <row r="987" spans="1:13" ht="21.95" customHeight="1" x14ac:dyDescent="0.25">
      <c r="A987" s="36" t="s">
        <v>2904</v>
      </c>
      <c r="B987" s="36" t="str">
        <f t="shared" si="49"/>
        <v>LA_BIENVILLE PARISH, LA</v>
      </c>
      <c r="D987" s="265" t="s">
        <v>87</v>
      </c>
      <c r="E987" s="266" t="s">
        <v>3831</v>
      </c>
      <c r="F987" s="252">
        <f t="shared" si="50"/>
        <v>36300</v>
      </c>
      <c r="G987" s="252">
        <f t="shared" si="50"/>
        <v>41500</v>
      </c>
      <c r="H987" s="252">
        <f t="shared" si="50"/>
        <v>46700</v>
      </c>
      <c r="I987" s="252">
        <f t="shared" si="50"/>
        <v>51850</v>
      </c>
      <c r="J987" s="252">
        <f t="shared" si="50"/>
        <v>56000</v>
      </c>
      <c r="K987" s="252">
        <f t="shared" si="50"/>
        <v>60150</v>
      </c>
      <c r="L987" s="252">
        <f t="shared" si="50"/>
        <v>64300</v>
      </c>
      <c r="M987" s="252">
        <f t="shared" si="50"/>
        <v>68450</v>
      </c>
    </row>
    <row r="988" spans="1:13" ht="21.95" customHeight="1" x14ac:dyDescent="0.25">
      <c r="A988" s="36" t="s">
        <v>2904</v>
      </c>
      <c r="B988" s="36" t="str">
        <f t="shared" si="49"/>
        <v>LA_CALDWELL PARISH, LA</v>
      </c>
      <c r="D988" s="265" t="s">
        <v>87</v>
      </c>
      <c r="E988" s="266" t="s">
        <v>3832</v>
      </c>
      <c r="F988" s="252">
        <f t="shared" si="50"/>
        <v>38550</v>
      </c>
      <c r="G988" s="252">
        <f t="shared" si="50"/>
        <v>44050</v>
      </c>
      <c r="H988" s="252">
        <f t="shared" si="50"/>
        <v>49550</v>
      </c>
      <c r="I988" s="252">
        <f t="shared" si="50"/>
        <v>55050</v>
      </c>
      <c r="J988" s="252">
        <f t="shared" si="50"/>
        <v>59500</v>
      </c>
      <c r="K988" s="252">
        <f t="shared" si="50"/>
        <v>63900</v>
      </c>
      <c r="L988" s="252">
        <f t="shared" si="50"/>
        <v>68300</v>
      </c>
      <c r="M988" s="252">
        <f t="shared" si="50"/>
        <v>72700</v>
      </c>
    </row>
    <row r="989" spans="1:13" ht="21.95" customHeight="1" x14ac:dyDescent="0.25">
      <c r="A989" s="36" t="s">
        <v>2904</v>
      </c>
      <c r="B989" s="36" t="str">
        <f t="shared" si="49"/>
        <v>LA_CATAHOULA PARISH, LA</v>
      </c>
      <c r="D989" s="265" t="s">
        <v>87</v>
      </c>
      <c r="E989" s="266" t="s">
        <v>3833</v>
      </c>
      <c r="F989" s="252">
        <f t="shared" si="50"/>
        <v>37000</v>
      </c>
      <c r="G989" s="252">
        <f t="shared" si="50"/>
        <v>42250</v>
      </c>
      <c r="H989" s="252">
        <f t="shared" si="50"/>
        <v>47550</v>
      </c>
      <c r="I989" s="252">
        <f t="shared" si="50"/>
        <v>52800</v>
      </c>
      <c r="J989" s="252">
        <f t="shared" si="50"/>
        <v>57050</v>
      </c>
      <c r="K989" s="252">
        <f t="shared" si="50"/>
        <v>61250</v>
      </c>
      <c r="L989" s="252">
        <f t="shared" si="50"/>
        <v>65500</v>
      </c>
      <c r="M989" s="252">
        <f t="shared" si="50"/>
        <v>69700</v>
      </c>
    </row>
    <row r="990" spans="1:13" ht="21.95" customHeight="1" x14ac:dyDescent="0.25">
      <c r="A990" s="36" t="s">
        <v>2904</v>
      </c>
      <c r="B990" s="36" t="str">
        <f t="shared" si="49"/>
        <v>LA_CLAIBORNE PARISH, LA</v>
      </c>
      <c r="D990" s="265" t="s">
        <v>87</v>
      </c>
      <c r="E990" s="266" t="s">
        <v>3834</v>
      </c>
      <c r="F990" s="252">
        <f t="shared" si="50"/>
        <v>36300</v>
      </c>
      <c r="G990" s="252">
        <f t="shared" si="50"/>
        <v>41500</v>
      </c>
      <c r="H990" s="252">
        <f t="shared" si="50"/>
        <v>46700</v>
      </c>
      <c r="I990" s="252">
        <f t="shared" si="50"/>
        <v>51850</v>
      </c>
      <c r="J990" s="252">
        <f t="shared" si="50"/>
        <v>56000</v>
      </c>
      <c r="K990" s="252">
        <f t="shared" si="50"/>
        <v>60150</v>
      </c>
      <c r="L990" s="252">
        <f t="shared" si="50"/>
        <v>64300</v>
      </c>
      <c r="M990" s="252">
        <f t="shared" si="50"/>
        <v>68450</v>
      </c>
    </row>
    <row r="991" spans="1:13" ht="21.95" customHeight="1" x14ac:dyDescent="0.25">
      <c r="A991" s="36" t="s">
        <v>2904</v>
      </c>
      <c r="B991" s="36" t="str">
        <f t="shared" si="49"/>
        <v>LA_CONCORDIA PARISH, LA</v>
      </c>
      <c r="D991" s="265" t="s">
        <v>87</v>
      </c>
      <c r="E991" s="266" t="s">
        <v>3835</v>
      </c>
      <c r="F991" s="252">
        <f t="shared" si="50"/>
        <v>36300</v>
      </c>
      <c r="G991" s="252">
        <f t="shared" si="50"/>
        <v>41500</v>
      </c>
      <c r="H991" s="252">
        <f t="shared" si="50"/>
        <v>46700</v>
      </c>
      <c r="I991" s="252">
        <f t="shared" si="50"/>
        <v>51850</v>
      </c>
      <c r="J991" s="252">
        <f t="shared" si="50"/>
        <v>56000</v>
      </c>
      <c r="K991" s="252">
        <f t="shared" si="50"/>
        <v>60150</v>
      </c>
      <c r="L991" s="252">
        <f t="shared" si="50"/>
        <v>64300</v>
      </c>
      <c r="M991" s="252">
        <f t="shared" si="50"/>
        <v>68450</v>
      </c>
    </row>
    <row r="992" spans="1:13" ht="21.95" customHeight="1" x14ac:dyDescent="0.25">
      <c r="A992" s="36" t="s">
        <v>2904</v>
      </c>
      <c r="B992" s="36" t="str">
        <f t="shared" si="49"/>
        <v>LA_EAST CARROLL PARISH, LA</v>
      </c>
      <c r="D992" s="265" t="s">
        <v>87</v>
      </c>
      <c r="E992" s="266" t="s">
        <v>3836</v>
      </c>
      <c r="F992" s="252">
        <f t="shared" si="50"/>
        <v>36300</v>
      </c>
      <c r="G992" s="252">
        <f t="shared" si="50"/>
        <v>41500</v>
      </c>
      <c r="H992" s="252">
        <f t="shared" si="50"/>
        <v>46700</v>
      </c>
      <c r="I992" s="252">
        <f t="shared" si="50"/>
        <v>51850</v>
      </c>
      <c r="J992" s="252">
        <f t="shared" si="50"/>
        <v>56000</v>
      </c>
      <c r="K992" s="252">
        <f t="shared" si="50"/>
        <v>60150</v>
      </c>
      <c r="L992" s="252">
        <f t="shared" si="50"/>
        <v>64300</v>
      </c>
      <c r="M992" s="252">
        <f t="shared" si="50"/>
        <v>68450</v>
      </c>
    </row>
    <row r="993" spans="1:13" ht="21.95" customHeight="1" x14ac:dyDescent="0.25">
      <c r="A993" s="36" t="s">
        <v>2904</v>
      </c>
      <c r="B993" s="36" t="str">
        <f t="shared" si="49"/>
        <v>LA_EVANGELINE PARISH, LA</v>
      </c>
      <c r="D993" s="265" t="s">
        <v>87</v>
      </c>
      <c r="E993" s="266" t="s">
        <v>3837</v>
      </c>
      <c r="F993" s="252">
        <f t="shared" si="50"/>
        <v>36300</v>
      </c>
      <c r="G993" s="252">
        <f t="shared" si="50"/>
        <v>41500</v>
      </c>
      <c r="H993" s="252">
        <f t="shared" si="50"/>
        <v>46700</v>
      </c>
      <c r="I993" s="252">
        <f t="shared" si="50"/>
        <v>51850</v>
      </c>
      <c r="J993" s="252">
        <f t="shared" si="50"/>
        <v>56000</v>
      </c>
      <c r="K993" s="252">
        <f t="shared" si="50"/>
        <v>60150</v>
      </c>
      <c r="L993" s="252">
        <f t="shared" si="50"/>
        <v>64300</v>
      </c>
      <c r="M993" s="252">
        <f t="shared" si="50"/>
        <v>68450</v>
      </c>
    </row>
    <row r="994" spans="1:13" ht="21.95" customHeight="1" x14ac:dyDescent="0.25">
      <c r="A994" s="36" t="s">
        <v>2904</v>
      </c>
      <c r="B994" s="36" t="str">
        <f t="shared" si="49"/>
        <v>LA_FRANKLIN PARISH, LA</v>
      </c>
      <c r="D994" s="265" t="s">
        <v>87</v>
      </c>
      <c r="E994" s="266" t="s">
        <v>3838</v>
      </c>
      <c r="F994" s="252">
        <f t="shared" si="50"/>
        <v>36300</v>
      </c>
      <c r="G994" s="252">
        <f t="shared" si="50"/>
        <v>41500</v>
      </c>
      <c r="H994" s="252">
        <f t="shared" si="50"/>
        <v>46700</v>
      </c>
      <c r="I994" s="252">
        <f t="shared" si="50"/>
        <v>51850</v>
      </c>
      <c r="J994" s="252">
        <f t="shared" si="50"/>
        <v>56000</v>
      </c>
      <c r="K994" s="252">
        <f t="shared" si="50"/>
        <v>60150</v>
      </c>
      <c r="L994" s="252">
        <f t="shared" si="50"/>
        <v>64300</v>
      </c>
      <c r="M994" s="252">
        <f t="shared" si="50"/>
        <v>68450</v>
      </c>
    </row>
    <row r="995" spans="1:13" ht="21.95" customHeight="1" x14ac:dyDescent="0.25">
      <c r="A995" s="36" t="s">
        <v>2904</v>
      </c>
      <c r="B995" s="36" t="str">
        <f t="shared" si="49"/>
        <v>LA_HAMMOND, LA MSA</v>
      </c>
      <c r="D995" s="265" t="s">
        <v>87</v>
      </c>
      <c r="E995" s="266" t="s">
        <v>3839</v>
      </c>
      <c r="F995" s="252">
        <f t="shared" si="50"/>
        <v>45050</v>
      </c>
      <c r="G995" s="252">
        <f t="shared" si="50"/>
        <v>51450</v>
      </c>
      <c r="H995" s="252">
        <f t="shared" si="50"/>
        <v>57900</v>
      </c>
      <c r="I995" s="252">
        <f t="shared" si="50"/>
        <v>64300</v>
      </c>
      <c r="J995" s="252">
        <f t="shared" si="50"/>
        <v>69450</v>
      </c>
      <c r="K995" s="252">
        <f t="shared" si="50"/>
        <v>74600</v>
      </c>
      <c r="L995" s="252">
        <f t="shared" si="50"/>
        <v>79750</v>
      </c>
      <c r="M995" s="252">
        <f t="shared" si="50"/>
        <v>84900</v>
      </c>
    </row>
    <row r="996" spans="1:13" ht="21.95" customHeight="1" x14ac:dyDescent="0.25">
      <c r="A996" s="36" t="s">
        <v>2904</v>
      </c>
      <c r="B996" s="36" t="str">
        <f t="shared" si="49"/>
        <v>LA_HOUMA-BAYOU CANE-THIBODAUX, LA MSA</v>
      </c>
      <c r="D996" s="265" t="s">
        <v>87</v>
      </c>
      <c r="E996" s="266" t="s">
        <v>9186</v>
      </c>
      <c r="F996" s="252">
        <f t="shared" si="50"/>
        <v>42400</v>
      </c>
      <c r="G996" s="252">
        <f t="shared" si="50"/>
        <v>48450</v>
      </c>
      <c r="H996" s="252">
        <f t="shared" si="50"/>
        <v>54500</v>
      </c>
      <c r="I996" s="252">
        <f t="shared" si="50"/>
        <v>60550</v>
      </c>
      <c r="J996" s="252">
        <f t="shared" si="50"/>
        <v>65400</v>
      </c>
      <c r="K996" s="252">
        <f t="shared" si="50"/>
        <v>70250</v>
      </c>
      <c r="L996" s="252">
        <f t="shared" si="50"/>
        <v>75100</v>
      </c>
      <c r="M996" s="252">
        <f t="shared" si="50"/>
        <v>79950</v>
      </c>
    </row>
    <row r="997" spans="1:13" ht="21.95" customHeight="1" x14ac:dyDescent="0.25">
      <c r="A997" s="36" t="s">
        <v>2904</v>
      </c>
      <c r="B997" s="36" t="str">
        <f t="shared" si="49"/>
        <v>LA_IBERIA PARISH, LA</v>
      </c>
      <c r="D997" s="265" t="s">
        <v>87</v>
      </c>
      <c r="E997" s="266" t="s">
        <v>9184</v>
      </c>
      <c r="F997" s="252">
        <f t="shared" si="50"/>
        <v>38000</v>
      </c>
      <c r="G997" s="252">
        <f t="shared" si="50"/>
        <v>43400</v>
      </c>
      <c r="H997" s="252">
        <f t="shared" si="50"/>
        <v>48850</v>
      </c>
      <c r="I997" s="252">
        <f t="shared" si="50"/>
        <v>54250</v>
      </c>
      <c r="J997" s="252">
        <f t="shared" si="50"/>
        <v>58600</v>
      </c>
      <c r="K997" s="252">
        <f t="shared" si="50"/>
        <v>62950</v>
      </c>
      <c r="L997" s="252">
        <f t="shared" si="50"/>
        <v>67300</v>
      </c>
      <c r="M997" s="252">
        <f t="shared" si="50"/>
        <v>71650</v>
      </c>
    </row>
    <row r="998" spans="1:13" ht="21.95" customHeight="1" x14ac:dyDescent="0.25">
      <c r="A998" s="36" t="s">
        <v>2904</v>
      </c>
      <c r="B998" s="36" t="str">
        <f t="shared" si="49"/>
        <v>LA_IBERVILLE PARISH, LA HUD METRO FMR AREA</v>
      </c>
      <c r="D998" s="265" t="s">
        <v>87</v>
      </c>
      <c r="E998" s="266" t="s">
        <v>3840</v>
      </c>
      <c r="F998" s="252">
        <f t="shared" si="50"/>
        <v>44250</v>
      </c>
      <c r="G998" s="252">
        <f t="shared" si="50"/>
        <v>50600</v>
      </c>
      <c r="H998" s="252">
        <f t="shared" si="50"/>
        <v>56900</v>
      </c>
      <c r="I998" s="252">
        <f t="shared" ref="F998:M1030" si="51">VLOOKUP($B998,LOOKUP_AMI_TABLE,5+((I$7-1)),FALSE)</f>
        <v>63200</v>
      </c>
      <c r="J998" s="252">
        <f t="shared" si="51"/>
        <v>68300</v>
      </c>
      <c r="K998" s="252">
        <f t="shared" si="51"/>
        <v>73350</v>
      </c>
      <c r="L998" s="252">
        <f t="shared" si="51"/>
        <v>78400</v>
      </c>
      <c r="M998" s="252">
        <f t="shared" si="51"/>
        <v>83450</v>
      </c>
    </row>
    <row r="999" spans="1:13" ht="21.95" customHeight="1" x14ac:dyDescent="0.25">
      <c r="A999" s="36" t="s">
        <v>2904</v>
      </c>
      <c r="B999" s="36" t="str">
        <f t="shared" si="49"/>
        <v>LA_JACKSON PARISH, LA</v>
      </c>
      <c r="D999" s="265" t="s">
        <v>87</v>
      </c>
      <c r="E999" s="266" t="s">
        <v>3841</v>
      </c>
      <c r="F999" s="252">
        <f t="shared" si="51"/>
        <v>36300</v>
      </c>
      <c r="G999" s="252">
        <f t="shared" si="51"/>
        <v>41500</v>
      </c>
      <c r="H999" s="252">
        <f t="shared" si="51"/>
        <v>46700</v>
      </c>
      <c r="I999" s="252">
        <f t="shared" si="51"/>
        <v>51850</v>
      </c>
      <c r="J999" s="252">
        <f t="shared" si="51"/>
        <v>56000</v>
      </c>
      <c r="K999" s="252">
        <f t="shared" si="51"/>
        <v>60150</v>
      </c>
      <c r="L999" s="252">
        <f t="shared" si="51"/>
        <v>64300</v>
      </c>
      <c r="M999" s="252">
        <f t="shared" si="51"/>
        <v>68450</v>
      </c>
    </row>
    <row r="1000" spans="1:13" ht="21.95" customHeight="1" x14ac:dyDescent="0.25">
      <c r="A1000" s="36" t="s">
        <v>2904</v>
      </c>
      <c r="B1000" s="36" t="str">
        <f t="shared" si="49"/>
        <v>LA_JEFFERSON DAVIS PARISH, LA HUD METRO FMR AREA</v>
      </c>
      <c r="D1000" s="265" t="s">
        <v>87</v>
      </c>
      <c r="E1000" s="266" t="s">
        <v>9185</v>
      </c>
      <c r="F1000" s="252">
        <f t="shared" si="51"/>
        <v>45150</v>
      </c>
      <c r="G1000" s="252">
        <f t="shared" si="51"/>
        <v>51600</v>
      </c>
      <c r="H1000" s="252">
        <f t="shared" si="51"/>
        <v>58050</v>
      </c>
      <c r="I1000" s="252">
        <f t="shared" si="51"/>
        <v>64500</v>
      </c>
      <c r="J1000" s="252">
        <f t="shared" si="51"/>
        <v>69700</v>
      </c>
      <c r="K1000" s="252">
        <f t="shared" si="51"/>
        <v>74850</v>
      </c>
      <c r="L1000" s="252">
        <f t="shared" si="51"/>
        <v>80000</v>
      </c>
      <c r="M1000" s="252">
        <f t="shared" si="51"/>
        <v>85150</v>
      </c>
    </row>
    <row r="1001" spans="1:13" ht="21.95" customHeight="1" x14ac:dyDescent="0.25">
      <c r="A1001" s="36" t="s">
        <v>2904</v>
      </c>
      <c r="B1001" s="36" t="str">
        <f t="shared" si="49"/>
        <v>LA_LAFAYETTE, LA HUD METRO FMR AREA</v>
      </c>
      <c r="D1001" s="265" t="s">
        <v>87</v>
      </c>
      <c r="E1001" s="266" t="s">
        <v>3843</v>
      </c>
      <c r="F1001" s="252">
        <f t="shared" si="51"/>
        <v>47450</v>
      </c>
      <c r="G1001" s="252">
        <f t="shared" si="51"/>
        <v>54200</v>
      </c>
      <c r="H1001" s="252">
        <f t="shared" si="51"/>
        <v>61000</v>
      </c>
      <c r="I1001" s="252">
        <f t="shared" si="51"/>
        <v>67750</v>
      </c>
      <c r="J1001" s="252">
        <f t="shared" si="51"/>
        <v>73200</v>
      </c>
      <c r="K1001" s="252">
        <f t="shared" si="51"/>
        <v>78600</v>
      </c>
      <c r="L1001" s="252">
        <f t="shared" si="51"/>
        <v>84050</v>
      </c>
      <c r="M1001" s="252">
        <f t="shared" si="51"/>
        <v>89450</v>
      </c>
    </row>
    <row r="1002" spans="1:13" ht="21.95" customHeight="1" x14ac:dyDescent="0.25">
      <c r="A1002" s="36" t="s">
        <v>2904</v>
      </c>
      <c r="B1002" s="36" t="str">
        <f t="shared" si="49"/>
        <v>LA_LAKE CHARLES, LA HUD METRO FMR AREA</v>
      </c>
      <c r="D1002" s="265" t="s">
        <v>87</v>
      </c>
      <c r="E1002" s="266" t="s">
        <v>9183</v>
      </c>
      <c r="F1002" s="252">
        <f t="shared" si="51"/>
        <v>48300</v>
      </c>
      <c r="G1002" s="252">
        <f t="shared" si="51"/>
        <v>55200</v>
      </c>
      <c r="H1002" s="252">
        <f t="shared" si="51"/>
        <v>62100</v>
      </c>
      <c r="I1002" s="252">
        <f t="shared" si="51"/>
        <v>68950</v>
      </c>
      <c r="J1002" s="252">
        <f t="shared" si="51"/>
        <v>74500</v>
      </c>
      <c r="K1002" s="252">
        <f t="shared" si="51"/>
        <v>80000</v>
      </c>
      <c r="L1002" s="252">
        <f t="shared" si="51"/>
        <v>85500</v>
      </c>
      <c r="M1002" s="252">
        <f t="shared" si="51"/>
        <v>91050</v>
      </c>
    </row>
    <row r="1003" spans="1:13" ht="21.95" customHeight="1" x14ac:dyDescent="0.25">
      <c r="A1003" s="36" t="s">
        <v>2904</v>
      </c>
      <c r="B1003" s="36" t="str">
        <f t="shared" si="49"/>
        <v>LA_LA SALLE PARISH, LA</v>
      </c>
      <c r="D1003" s="265" t="s">
        <v>87</v>
      </c>
      <c r="E1003" s="266" t="s">
        <v>3842</v>
      </c>
      <c r="F1003" s="252">
        <f t="shared" si="51"/>
        <v>40450</v>
      </c>
      <c r="G1003" s="252">
        <f t="shared" si="51"/>
        <v>46200</v>
      </c>
      <c r="H1003" s="252">
        <f t="shared" si="51"/>
        <v>52000</v>
      </c>
      <c r="I1003" s="252">
        <f t="shared" si="51"/>
        <v>57750</v>
      </c>
      <c r="J1003" s="252">
        <f t="shared" si="51"/>
        <v>62400</v>
      </c>
      <c r="K1003" s="252">
        <f t="shared" si="51"/>
        <v>67000</v>
      </c>
      <c r="L1003" s="252">
        <f t="shared" si="51"/>
        <v>71650</v>
      </c>
      <c r="M1003" s="252">
        <f t="shared" si="51"/>
        <v>76250</v>
      </c>
    </row>
    <row r="1004" spans="1:13" ht="21.95" customHeight="1" x14ac:dyDescent="0.25">
      <c r="A1004" s="36" t="s">
        <v>2904</v>
      </c>
      <c r="B1004" s="36" t="str">
        <f t="shared" si="49"/>
        <v>LA_LINCOLN PARISH, LA</v>
      </c>
      <c r="D1004" s="265" t="s">
        <v>87</v>
      </c>
      <c r="E1004" s="266" t="s">
        <v>3844</v>
      </c>
      <c r="F1004" s="252">
        <f t="shared" si="51"/>
        <v>38050</v>
      </c>
      <c r="G1004" s="252">
        <f t="shared" si="51"/>
        <v>43450</v>
      </c>
      <c r="H1004" s="252">
        <f t="shared" si="51"/>
        <v>48900</v>
      </c>
      <c r="I1004" s="252">
        <f t="shared" si="51"/>
        <v>54300</v>
      </c>
      <c r="J1004" s="252">
        <f t="shared" si="51"/>
        <v>58650</v>
      </c>
      <c r="K1004" s="252">
        <f t="shared" si="51"/>
        <v>63000</v>
      </c>
      <c r="L1004" s="252">
        <f t="shared" si="51"/>
        <v>67350</v>
      </c>
      <c r="M1004" s="252">
        <f t="shared" si="51"/>
        <v>71700</v>
      </c>
    </row>
    <row r="1005" spans="1:13" ht="21.95" customHeight="1" x14ac:dyDescent="0.25">
      <c r="A1005" s="36" t="s">
        <v>2904</v>
      </c>
      <c r="B1005" s="36" t="str">
        <f t="shared" si="49"/>
        <v>LA_MADISON PARISH, LA</v>
      </c>
      <c r="D1005" s="265" t="s">
        <v>87</v>
      </c>
      <c r="E1005" s="266" t="s">
        <v>3845</v>
      </c>
      <c r="F1005" s="252">
        <f t="shared" si="51"/>
        <v>36300</v>
      </c>
      <c r="G1005" s="252">
        <f t="shared" si="51"/>
        <v>41500</v>
      </c>
      <c r="H1005" s="252">
        <f t="shared" si="51"/>
        <v>46700</v>
      </c>
      <c r="I1005" s="252">
        <f t="shared" si="51"/>
        <v>51850</v>
      </c>
      <c r="J1005" s="252">
        <f t="shared" si="51"/>
        <v>56000</v>
      </c>
      <c r="K1005" s="252">
        <f t="shared" si="51"/>
        <v>60150</v>
      </c>
      <c r="L1005" s="252">
        <f t="shared" si="51"/>
        <v>64300</v>
      </c>
      <c r="M1005" s="252">
        <f t="shared" si="51"/>
        <v>68450</v>
      </c>
    </row>
    <row r="1006" spans="1:13" ht="21.95" customHeight="1" x14ac:dyDescent="0.25">
      <c r="A1006" s="36" t="s">
        <v>2904</v>
      </c>
      <c r="B1006" s="36" t="str">
        <f t="shared" si="49"/>
        <v>LA_MONROE, LA HUD METRO FMR AREA</v>
      </c>
      <c r="D1006" s="265" t="s">
        <v>87</v>
      </c>
      <c r="E1006" s="266" t="s">
        <v>3846</v>
      </c>
      <c r="F1006" s="252">
        <f t="shared" si="51"/>
        <v>40000</v>
      </c>
      <c r="G1006" s="252">
        <f t="shared" si="51"/>
        <v>45700</v>
      </c>
      <c r="H1006" s="252">
        <f t="shared" si="51"/>
        <v>51400</v>
      </c>
      <c r="I1006" s="252">
        <f t="shared" si="51"/>
        <v>57100</v>
      </c>
      <c r="J1006" s="252">
        <f t="shared" si="51"/>
        <v>61700</v>
      </c>
      <c r="K1006" s="252">
        <f t="shared" si="51"/>
        <v>66250</v>
      </c>
      <c r="L1006" s="252">
        <f t="shared" si="51"/>
        <v>70850</v>
      </c>
      <c r="M1006" s="252">
        <f t="shared" si="51"/>
        <v>75400</v>
      </c>
    </row>
    <row r="1007" spans="1:13" ht="21.95" customHeight="1" x14ac:dyDescent="0.25">
      <c r="A1007" s="36" t="s">
        <v>2904</v>
      </c>
      <c r="B1007" s="36" t="str">
        <f t="shared" si="49"/>
        <v>LA_MOREHOUSE PARISH, LA HUD METRO FMR AREA</v>
      </c>
      <c r="D1007" s="265" t="s">
        <v>87</v>
      </c>
      <c r="E1007" s="266" t="s">
        <v>3847</v>
      </c>
      <c r="F1007" s="252">
        <f t="shared" si="51"/>
        <v>36300</v>
      </c>
      <c r="G1007" s="252">
        <f t="shared" si="51"/>
        <v>41500</v>
      </c>
      <c r="H1007" s="252">
        <f t="shared" si="51"/>
        <v>46700</v>
      </c>
      <c r="I1007" s="252">
        <f t="shared" si="51"/>
        <v>51850</v>
      </c>
      <c r="J1007" s="252">
        <f t="shared" si="51"/>
        <v>56000</v>
      </c>
      <c r="K1007" s="252">
        <f t="shared" si="51"/>
        <v>60150</v>
      </c>
      <c r="L1007" s="252">
        <f t="shared" si="51"/>
        <v>64300</v>
      </c>
      <c r="M1007" s="252">
        <f t="shared" si="51"/>
        <v>68450</v>
      </c>
    </row>
    <row r="1008" spans="1:13" ht="21.95" customHeight="1" x14ac:dyDescent="0.25">
      <c r="A1008" s="36" t="s">
        <v>2904</v>
      </c>
      <c r="B1008" s="36" t="str">
        <f t="shared" si="49"/>
        <v>LA_NATCHITOCHES PARISH, LA</v>
      </c>
      <c r="D1008" s="265" t="s">
        <v>87</v>
      </c>
      <c r="E1008" s="266" t="s">
        <v>3848</v>
      </c>
      <c r="F1008" s="252">
        <f t="shared" si="51"/>
        <v>39250</v>
      </c>
      <c r="G1008" s="252">
        <f t="shared" si="51"/>
        <v>44850</v>
      </c>
      <c r="H1008" s="252">
        <f t="shared" si="51"/>
        <v>50450</v>
      </c>
      <c r="I1008" s="252">
        <f t="shared" si="51"/>
        <v>56050</v>
      </c>
      <c r="J1008" s="252">
        <f t="shared" si="51"/>
        <v>60550</v>
      </c>
      <c r="K1008" s="252">
        <f t="shared" si="51"/>
        <v>65050</v>
      </c>
      <c r="L1008" s="252">
        <f t="shared" si="51"/>
        <v>69550</v>
      </c>
      <c r="M1008" s="252">
        <f t="shared" si="51"/>
        <v>74000</v>
      </c>
    </row>
    <row r="1009" spans="1:13" ht="21.95" customHeight="1" x14ac:dyDescent="0.25">
      <c r="A1009" s="36" t="s">
        <v>2904</v>
      </c>
      <c r="B1009" s="36" t="str">
        <f t="shared" si="49"/>
        <v>LA_NEW ORLEANS-METAIRIE, LA HUD METRO FMR AREA</v>
      </c>
      <c r="D1009" s="265" t="s">
        <v>87</v>
      </c>
      <c r="E1009" s="266" t="s">
        <v>3849</v>
      </c>
      <c r="F1009" s="252">
        <f t="shared" si="51"/>
        <v>50300</v>
      </c>
      <c r="G1009" s="252">
        <f t="shared" si="51"/>
        <v>57500</v>
      </c>
      <c r="H1009" s="252">
        <f t="shared" si="51"/>
        <v>64700</v>
      </c>
      <c r="I1009" s="252">
        <f t="shared" si="51"/>
        <v>71850</v>
      </c>
      <c r="J1009" s="252">
        <f t="shared" si="51"/>
        <v>77600</v>
      </c>
      <c r="K1009" s="252">
        <f t="shared" si="51"/>
        <v>83350</v>
      </c>
      <c r="L1009" s="252">
        <f t="shared" si="51"/>
        <v>89100</v>
      </c>
      <c r="M1009" s="252">
        <f t="shared" si="51"/>
        <v>94850</v>
      </c>
    </row>
    <row r="1010" spans="1:13" ht="21.95" customHeight="1" x14ac:dyDescent="0.25">
      <c r="A1010" s="36" t="s">
        <v>2904</v>
      </c>
      <c r="B1010" s="36" t="str">
        <f t="shared" si="49"/>
        <v>LA_RED RIVER PARISH, LA</v>
      </c>
      <c r="D1010" s="265" t="s">
        <v>87</v>
      </c>
      <c r="E1010" s="266" t="s">
        <v>3850</v>
      </c>
      <c r="F1010" s="252">
        <f t="shared" si="51"/>
        <v>36900</v>
      </c>
      <c r="G1010" s="252">
        <f t="shared" si="51"/>
        <v>42200</v>
      </c>
      <c r="H1010" s="252">
        <f t="shared" si="51"/>
        <v>47450</v>
      </c>
      <c r="I1010" s="252">
        <f t="shared" si="51"/>
        <v>52700</v>
      </c>
      <c r="J1010" s="252">
        <f t="shared" si="51"/>
        <v>56950</v>
      </c>
      <c r="K1010" s="252">
        <f t="shared" si="51"/>
        <v>61150</v>
      </c>
      <c r="L1010" s="252">
        <f t="shared" si="51"/>
        <v>65350</v>
      </c>
      <c r="M1010" s="252">
        <f t="shared" si="51"/>
        <v>69600</v>
      </c>
    </row>
    <row r="1011" spans="1:13" ht="21.95" customHeight="1" x14ac:dyDescent="0.25">
      <c r="A1011" s="36" t="s">
        <v>2904</v>
      </c>
      <c r="B1011" s="36" t="str">
        <f t="shared" si="49"/>
        <v>LA_RICHLAND PARISH, LA HUD METRO FMR AREA</v>
      </c>
      <c r="D1011" s="265" t="s">
        <v>87</v>
      </c>
      <c r="E1011" s="266" t="s">
        <v>9187</v>
      </c>
      <c r="F1011" s="252">
        <f t="shared" si="51"/>
        <v>36550</v>
      </c>
      <c r="G1011" s="252">
        <f t="shared" si="51"/>
        <v>41750</v>
      </c>
      <c r="H1011" s="252">
        <f t="shared" si="51"/>
        <v>46950</v>
      </c>
      <c r="I1011" s="252">
        <f t="shared" si="51"/>
        <v>52150</v>
      </c>
      <c r="J1011" s="252">
        <f t="shared" si="51"/>
        <v>56350</v>
      </c>
      <c r="K1011" s="252">
        <f t="shared" si="51"/>
        <v>60500</v>
      </c>
      <c r="L1011" s="252">
        <f t="shared" si="51"/>
        <v>64700</v>
      </c>
      <c r="M1011" s="252">
        <f t="shared" si="51"/>
        <v>68850</v>
      </c>
    </row>
    <row r="1012" spans="1:13" ht="21.95" customHeight="1" x14ac:dyDescent="0.25">
      <c r="A1012" s="36" t="s">
        <v>2904</v>
      </c>
      <c r="B1012" s="36" t="str">
        <f t="shared" si="49"/>
        <v>LA_SABINE PARISH, LA</v>
      </c>
      <c r="D1012" s="265" t="s">
        <v>87</v>
      </c>
      <c r="E1012" s="266" t="s">
        <v>3851</v>
      </c>
      <c r="F1012" s="252">
        <f t="shared" si="51"/>
        <v>37550</v>
      </c>
      <c r="G1012" s="252">
        <f t="shared" si="51"/>
        <v>42900</v>
      </c>
      <c r="H1012" s="252">
        <f t="shared" si="51"/>
        <v>48250</v>
      </c>
      <c r="I1012" s="252">
        <f t="shared" si="51"/>
        <v>53600</v>
      </c>
      <c r="J1012" s="252">
        <f t="shared" si="51"/>
        <v>57900</v>
      </c>
      <c r="K1012" s="252">
        <f t="shared" si="51"/>
        <v>62200</v>
      </c>
      <c r="L1012" s="252">
        <f t="shared" si="51"/>
        <v>66500</v>
      </c>
      <c r="M1012" s="252">
        <f t="shared" si="51"/>
        <v>70800</v>
      </c>
    </row>
    <row r="1013" spans="1:13" ht="21.95" customHeight="1" x14ac:dyDescent="0.25">
      <c r="A1013" s="36" t="s">
        <v>2904</v>
      </c>
      <c r="B1013" s="36" t="str">
        <f t="shared" si="49"/>
        <v>LA_SHREVEPORT-BOSSIER CITY, LA MSA</v>
      </c>
      <c r="D1013" s="265" t="s">
        <v>87</v>
      </c>
      <c r="E1013" s="266" t="s">
        <v>3852</v>
      </c>
      <c r="F1013" s="252">
        <f t="shared" si="51"/>
        <v>45750</v>
      </c>
      <c r="G1013" s="252">
        <f t="shared" si="51"/>
        <v>52300</v>
      </c>
      <c r="H1013" s="252">
        <f t="shared" si="51"/>
        <v>58850</v>
      </c>
      <c r="I1013" s="252">
        <f t="shared" si="51"/>
        <v>65350</v>
      </c>
      <c r="J1013" s="252">
        <f t="shared" si="51"/>
        <v>70600</v>
      </c>
      <c r="K1013" s="252">
        <f t="shared" si="51"/>
        <v>75850</v>
      </c>
      <c r="L1013" s="252">
        <f t="shared" si="51"/>
        <v>81050</v>
      </c>
      <c r="M1013" s="252">
        <f t="shared" si="51"/>
        <v>86300</v>
      </c>
    </row>
    <row r="1014" spans="1:13" ht="21.95" customHeight="1" x14ac:dyDescent="0.25">
      <c r="A1014" s="36" t="s">
        <v>2904</v>
      </c>
      <c r="B1014" s="36" t="str">
        <f t="shared" si="49"/>
        <v>LA_SLIDELL-MANDEVILLE-COVINGTON, LA MSA</v>
      </c>
      <c r="D1014" s="265" t="s">
        <v>87</v>
      </c>
      <c r="E1014" s="266" t="s">
        <v>9188</v>
      </c>
      <c r="F1014" s="252">
        <f t="shared" si="51"/>
        <v>53100</v>
      </c>
      <c r="G1014" s="252">
        <f t="shared" si="51"/>
        <v>60700</v>
      </c>
      <c r="H1014" s="252">
        <f t="shared" si="51"/>
        <v>68300</v>
      </c>
      <c r="I1014" s="252">
        <f t="shared" si="51"/>
        <v>75850</v>
      </c>
      <c r="J1014" s="252">
        <f t="shared" si="51"/>
        <v>81950</v>
      </c>
      <c r="K1014" s="252">
        <f t="shared" si="51"/>
        <v>88000</v>
      </c>
      <c r="L1014" s="252">
        <f t="shared" si="51"/>
        <v>94100</v>
      </c>
      <c r="M1014" s="252">
        <f t="shared" si="51"/>
        <v>100150</v>
      </c>
    </row>
    <row r="1015" spans="1:13" ht="21.95" customHeight="1" x14ac:dyDescent="0.25">
      <c r="A1015" s="36" t="s">
        <v>2904</v>
      </c>
      <c r="B1015" s="36" t="str">
        <f t="shared" si="49"/>
        <v>LA_ST. JAMES PARISH, LA HUD METRO FMR AREA</v>
      </c>
      <c r="D1015" s="265" t="s">
        <v>87</v>
      </c>
      <c r="E1015" s="266" t="s">
        <v>3853</v>
      </c>
      <c r="F1015" s="252">
        <f t="shared" si="51"/>
        <v>51750</v>
      </c>
      <c r="G1015" s="252">
        <f t="shared" si="51"/>
        <v>59150</v>
      </c>
      <c r="H1015" s="252">
        <f t="shared" si="51"/>
        <v>66550</v>
      </c>
      <c r="I1015" s="252">
        <f t="shared" si="51"/>
        <v>73900</v>
      </c>
      <c r="J1015" s="252">
        <f t="shared" si="51"/>
        <v>79850</v>
      </c>
      <c r="K1015" s="252">
        <f t="shared" si="51"/>
        <v>85750</v>
      </c>
      <c r="L1015" s="252">
        <f t="shared" si="51"/>
        <v>91650</v>
      </c>
      <c r="M1015" s="252">
        <f t="shared" si="51"/>
        <v>97550</v>
      </c>
    </row>
    <row r="1016" spans="1:13" ht="21.95" customHeight="1" x14ac:dyDescent="0.25">
      <c r="A1016" s="36" t="s">
        <v>2904</v>
      </c>
      <c r="B1016" s="36" t="str">
        <f t="shared" si="49"/>
        <v>LA_ST. LANDRY PARISH, LA</v>
      </c>
      <c r="D1016" s="265" t="s">
        <v>87</v>
      </c>
      <c r="E1016" s="266" t="s">
        <v>3854</v>
      </c>
      <c r="F1016" s="252">
        <f t="shared" si="51"/>
        <v>36300</v>
      </c>
      <c r="G1016" s="252">
        <f t="shared" si="51"/>
        <v>41500</v>
      </c>
      <c r="H1016" s="252">
        <f t="shared" si="51"/>
        <v>46700</v>
      </c>
      <c r="I1016" s="252">
        <f t="shared" si="51"/>
        <v>51850</v>
      </c>
      <c r="J1016" s="252">
        <f t="shared" si="51"/>
        <v>56000</v>
      </c>
      <c r="K1016" s="252">
        <f t="shared" si="51"/>
        <v>60150</v>
      </c>
      <c r="L1016" s="252">
        <f t="shared" si="51"/>
        <v>64300</v>
      </c>
      <c r="M1016" s="252">
        <f t="shared" si="51"/>
        <v>68450</v>
      </c>
    </row>
    <row r="1017" spans="1:13" ht="21.95" customHeight="1" x14ac:dyDescent="0.25">
      <c r="A1017" s="36" t="s">
        <v>2904</v>
      </c>
      <c r="B1017" s="36" t="str">
        <f t="shared" si="49"/>
        <v>LA_ST. MARY PARISH, LA</v>
      </c>
      <c r="D1017" s="265" t="s">
        <v>87</v>
      </c>
      <c r="E1017" s="266" t="s">
        <v>3855</v>
      </c>
      <c r="F1017" s="252">
        <f t="shared" si="51"/>
        <v>39550</v>
      </c>
      <c r="G1017" s="252">
        <f t="shared" si="51"/>
        <v>45200</v>
      </c>
      <c r="H1017" s="252">
        <f t="shared" si="51"/>
        <v>50850</v>
      </c>
      <c r="I1017" s="252">
        <f t="shared" si="51"/>
        <v>56500</v>
      </c>
      <c r="J1017" s="252">
        <f t="shared" si="51"/>
        <v>61050</v>
      </c>
      <c r="K1017" s="252">
        <f t="shared" si="51"/>
        <v>65550</v>
      </c>
      <c r="L1017" s="252">
        <f t="shared" si="51"/>
        <v>70100</v>
      </c>
      <c r="M1017" s="252">
        <f t="shared" si="51"/>
        <v>74600</v>
      </c>
    </row>
    <row r="1018" spans="1:13" ht="21.95" customHeight="1" x14ac:dyDescent="0.25">
      <c r="A1018" s="36" t="s">
        <v>2904</v>
      </c>
      <c r="B1018" s="36" t="str">
        <f t="shared" si="49"/>
        <v>LA_TENSAS PARISH, LA</v>
      </c>
      <c r="D1018" s="265" t="s">
        <v>87</v>
      </c>
      <c r="E1018" s="266" t="s">
        <v>3856</v>
      </c>
      <c r="F1018" s="252">
        <f t="shared" si="51"/>
        <v>36300</v>
      </c>
      <c r="G1018" s="252">
        <f t="shared" si="51"/>
        <v>41500</v>
      </c>
      <c r="H1018" s="252">
        <f t="shared" si="51"/>
        <v>46700</v>
      </c>
      <c r="I1018" s="252">
        <f t="shared" si="51"/>
        <v>51850</v>
      </c>
      <c r="J1018" s="252">
        <f t="shared" si="51"/>
        <v>56000</v>
      </c>
      <c r="K1018" s="252">
        <f t="shared" si="51"/>
        <v>60150</v>
      </c>
      <c r="L1018" s="252">
        <f t="shared" si="51"/>
        <v>64300</v>
      </c>
      <c r="M1018" s="252">
        <f t="shared" si="51"/>
        <v>68450</v>
      </c>
    </row>
    <row r="1019" spans="1:13" ht="21.95" customHeight="1" x14ac:dyDescent="0.25">
      <c r="A1019" s="36" t="s">
        <v>2904</v>
      </c>
      <c r="B1019" s="36" t="str">
        <f t="shared" si="49"/>
        <v>LA_VERMILION PARISH, LA HUD METRO FMR AREA</v>
      </c>
      <c r="D1019" s="265" t="s">
        <v>87</v>
      </c>
      <c r="E1019" s="266" t="s">
        <v>3857</v>
      </c>
      <c r="F1019" s="252">
        <f t="shared" si="51"/>
        <v>45000</v>
      </c>
      <c r="G1019" s="252">
        <f t="shared" si="51"/>
        <v>51400</v>
      </c>
      <c r="H1019" s="252">
        <f t="shared" si="51"/>
        <v>57850</v>
      </c>
      <c r="I1019" s="252">
        <f t="shared" si="51"/>
        <v>64250</v>
      </c>
      <c r="J1019" s="252">
        <f t="shared" si="51"/>
        <v>69400</v>
      </c>
      <c r="K1019" s="252">
        <f t="shared" si="51"/>
        <v>74550</v>
      </c>
      <c r="L1019" s="252">
        <f t="shared" si="51"/>
        <v>79700</v>
      </c>
      <c r="M1019" s="252">
        <f t="shared" si="51"/>
        <v>84850</v>
      </c>
    </row>
    <row r="1020" spans="1:13" ht="21.95" customHeight="1" x14ac:dyDescent="0.25">
      <c r="A1020" s="36" t="s">
        <v>2904</v>
      </c>
      <c r="B1020" s="36" t="str">
        <f t="shared" ref="B1020:B1083" si="52">UPPER(TRIM(D1020)&amp;"_"&amp;TRIM(E1020))</f>
        <v>LA_VERNON PARISH, LA</v>
      </c>
      <c r="D1020" s="265" t="s">
        <v>87</v>
      </c>
      <c r="E1020" s="266" t="s">
        <v>3858</v>
      </c>
      <c r="F1020" s="252">
        <f t="shared" si="51"/>
        <v>40250</v>
      </c>
      <c r="G1020" s="252">
        <f t="shared" si="51"/>
        <v>46000</v>
      </c>
      <c r="H1020" s="252">
        <f t="shared" si="51"/>
        <v>51750</v>
      </c>
      <c r="I1020" s="252">
        <f t="shared" si="51"/>
        <v>57450</v>
      </c>
      <c r="J1020" s="252">
        <f t="shared" si="51"/>
        <v>62050</v>
      </c>
      <c r="K1020" s="252">
        <f t="shared" si="51"/>
        <v>66650</v>
      </c>
      <c r="L1020" s="252">
        <f t="shared" si="51"/>
        <v>71250</v>
      </c>
      <c r="M1020" s="252">
        <f t="shared" si="51"/>
        <v>75850</v>
      </c>
    </row>
    <row r="1021" spans="1:13" ht="21.95" customHeight="1" x14ac:dyDescent="0.25">
      <c r="A1021" s="36" t="s">
        <v>2904</v>
      </c>
      <c r="B1021" s="36" t="str">
        <f t="shared" si="52"/>
        <v>LA_WASHINGTON PARISH, LA</v>
      </c>
      <c r="D1021" s="265" t="s">
        <v>87</v>
      </c>
      <c r="E1021" s="266" t="s">
        <v>3859</v>
      </c>
      <c r="F1021" s="252">
        <f t="shared" si="51"/>
        <v>36300</v>
      </c>
      <c r="G1021" s="252">
        <f t="shared" si="51"/>
        <v>41500</v>
      </c>
      <c r="H1021" s="252">
        <f t="shared" si="51"/>
        <v>46700</v>
      </c>
      <c r="I1021" s="252">
        <f t="shared" si="51"/>
        <v>51850</v>
      </c>
      <c r="J1021" s="252">
        <f t="shared" si="51"/>
        <v>56000</v>
      </c>
      <c r="K1021" s="252">
        <f t="shared" si="51"/>
        <v>60150</v>
      </c>
      <c r="L1021" s="252">
        <f t="shared" si="51"/>
        <v>64300</v>
      </c>
      <c r="M1021" s="252">
        <f t="shared" si="51"/>
        <v>68450</v>
      </c>
    </row>
    <row r="1022" spans="1:13" ht="21.95" customHeight="1" x14ac:dyDescent="0.25">
      <c r="A1022" s="36" t="s">
        <v>2904</v>
      </c>
      <c r="B1022" s="36" t="str">
        <f t="shared" si="52"/>
        <v>LA_WEBSTER PARISH, LA</v>
      </c>
      <c r="D1022" s="265" t="s">
        <v>87</v>
      </c>
      <c r="E1022" s="266" t="s">
        <v>3860</v>
      </c>
      <c r="F1022" s="252">
        <f t="shared" si="51"/>
        <v>36300</v>
      </c>
      <c r="G1022" s="252">
        <f t="shared" si="51"/>
        <v>41500</v>
      </c>
      <c r="H1022" s="252">
        <f t="shared" si="51"/>
        <v>46700</v>
      </c>
      <c r="I1022" s="252">
        <f t="shared" si="51"/>
        <v>51850</v>
      </c>
      <c r="J1022" s="252">
        <f t="shared" si="51"/>
        <v>56000</v>
      </c>
      <c r="K1022" s="252">
        <f t="shared" si="51"/>
        <v>60150</v>
      </c>
      <c r="L1022" s="252">
        <f t="shared" si="51"/>
        <v>64300</v>
      </c>
      <c r="M1022" s="252">
        <f t="shared" si="51"/>
        <v>68450</v>
      </c>
    </row>
    <row r="1023" spans="1:13" ht="21.95" customHeight="1" x14ac:dyDescent="0.25">
      <c r="A1023" s="36" t="s">
        <v>2904</v>
      </c>
      <c r="B1023" s="36" t="str">
        <f t="shared" si="52"/>
        <v>LA_WEST CARROLL PARISH, LA</v>
      </c>
      <c r="D1023" s="265" t="s">
        <v>87</v>
      </c>
      <c r="E1023" s="266" t="s">
        <v>3861</v>
      </c>
      <c r="F1023" s="252">
        <f t="shared" si="51"/>
        <v>39800</v>
      </c>
      <c r="G1023" s="252">
        <f t="shared" si="51"/>
        <v>45450</v>
      </c>
      <c r="H1023" s="252">
        <f t="shared" si="51"/>
        <v>51150</v>
      </c>
      <c r="I1023" s="252">
        <f t="shared" si="51"/>
        <v>56800</v>
      </c>
      <c r="J1023" s="252">
        <f t="shared" si="51"/>
        <v>61350</v>
      </c>
      <c r="K1023" s="252">
        <f t="shared" si="51"/>
        <v>65900</v>
      </c>
      <c r="L1023" s="252">
        <f t="shared" si="51"/>
        <v>70450</v>
      </c>
      <c r="M1023" s="252">
        <f t="shared" si="51"/>
        <v>75000</v>
      </c>
    </row>
    <row r="1024" spans="1:13" ht="21.95" customHeight="1" x14ac:dyDescent="0.25">
      <c r="A1024" s="36" t="s">
        <v>2904</v>
      </c>
      <c r="B1024" s="36" t="str">
        <f t="shared" si="52"/>
        <v>LA_WINN PARISH, LA</v>
      </c>
      <c r="D1024" s="265" t="s">
        <v>87</v>
      </c>
      <c r="E1024" s="266" t="s">
        <v>3862</v>
      </c>
      <c r="F1024" s="252">
        <f t="shared" si="51"/>
        <v>37350</v>
      </c>
      <c r="G1024" s="252">
        <f t="shared" si="51"/>
        <v>42700</v>
      </c>
      <c r="H1024" s="252">
        <f t="shared" si="51"/>
        <v>48050</v>
      </c>
      <c r="I1024" s="252">
        <f t="shared" si="51"/>
        <v>53350</v>
      </c>
      <c r="J1024" s="252">
        <f t="shared" si="51"/>
        <v>57650</v>
      </c>
      <c r="K1024" s="252">
        <f t="shared" si="51"/>
        <v>61900</v>
      </c>
      <c r="L1024" s="252">
        <f t="shared" si="51"/>
        <v>66200</v>
      </c>
      <c r="M1024" s="252">
        <f t="shared" si="51"/>
        <v>70450</v>
      </c>
    </row>
    <row r="1025" spans="1:13" ht="21.95" customHeight="1" x14ac:dyDescent="0.25">
      <c r="A1025" s="36" t="s">
        <v>2904</v>
      </c>
      <c r="B1025" s="36" t="str">
        <f t="shared" si="52"/>
        <v>MA_AMHERST TOWN-NORTHAMPTON, MA MSA</v>
      </c>
      <c r="D1025" s="265" t="s">
        <v>84</v>
      </c>
      <c r="E1025" s="266" t="s">
        <v>9191</v>
      </c>
      <c r="F1025" s="252">
        <f t="shared" si="51"/>
        <v>67000</v>
      </c>
      <c r="G1025" s="252">
        <f t="shared" si="51"/>
        <v>76550</v>
      </c>
      <c r="H1025" s="252">
        <f t="shared" si="51"/>
        <v>86100</v>
      </c>
      <c r="I1025" s="252">
        <f t="shared" si="51"/>
        <v>95650</v>
      </c>
      <c r="J1025" s="252">
        <f t="shared" si="51"/>
        <v>103350</v>
      </c>
      <c r="K1025" s="252">
        <f t="shared" si="51"/>
        <v>111000</v>
      </c>
      <c r="L1025" s="252">
        <f t="shared" si="51"/>
        <v>118650</v>
      </c>
      <c r="M1025" s="252">
        <f t="shared" si="51"/>
        <v>126300</v>
      </c>
    </row>
    <row r="1026" spans="1:13" ht="21.95" customHeight="1" x14ac:dyDescent="0.25">
      <c r="A1026" s="36" t="s">
        <v>2904</v>
      </c>
      <c r="B1026" s="36" t="str">
        <f t="shared" si="52"/>
        <v>MA_BARNSTABLE TOWN, MA MSA</v>
      </c>
      <c r="D1026" s="265" t="s">
        <v>84</v>
      </c>
      <c r="E1026" s="266" t="s">
        <v>3863</v>
      </c>
      <c r="F1026" s="252">
        <f t="shared" si="51"/>
        <v>74800</v>
      </c>
      <c r="G1026" s="252">
        <f t="shared" si="51"/>
        <v>85450</v>
      </c>
      <c r="H1026" s="252">
        <f t="shared" si="51"/>
        <v>96150</v>
      </c>
      <c r="I1026" s="252">
        <f t="shared" si="51"/>
        <v>106800</v>
      </c>
      <c r="J1026" s="252">
        <f t="shared" si="51"/>
        <v>115350</v>
      </c>
      <c r="K1026" s="252">
        <f t="shared" si="51"/>
        <v>123900</v>
      </c>
      <c r="L1026" s="252">
        <f t="shared" si="51"/>
        <v>132450</v>
      </c>
      <c r="M1026" s="252">
        <f t="shared" si="51"/>
        <v>141000</v>
      </c>
    </row>
    <row r="1027" spans="1:13" ht="21.95" customHeight="1" x14ac:dyDescent="0.25">
      <c r="A1027" s="36" t="s">
        <v>2904</v>
      </c>
      <c r="B1027" s="36" t="str">
        <f t="shared" si="52"/>
        <v>MA_BERKSHIRE COUNTY, MA (PART) HUD METRO FMR AREA</v>
      </c>
      <c r="D1027" s="265" t="s">
        <v>84</v>
      </c>
      <c r="E1027" s="266" t="s">
        <v>3864</v>
      </c>
      <c r="F1027" s="252">
        <f t="shared" si="51"/>
        <v>67000</v>
      </c>
      <c r="G1027" s="252">
        <f t="shared" si="51"/>
        <v>76550</v>
      </c>
      <c r="H1027" s="252">
        <f t="shared" si="51"/>
        <v>86100</v>
      </c>
      <c r="I1027" s="252">
        <f t="shared" si="51"/>
        <v>95650</v>
      </c>
      <c r="J1027" s="252">
        <f t="shared" si="51"/>
        <v>103350</v>
      </c>
      <c r="K1027" s="252">
        <f t="shared" si="51"/>
        <v>111000</v>
      </c>
      <c r="L1027" s="252">
        <f t="shared" si="51"/>
        <v>118650</v>
      </c>
      <c r="M1027" s="252">
        <f t="shared" si="51"/>
        <v>126300</v>
      </c>
    </row>
    <row r="1028" spans="1:13" ht="21.95" customHeight="1" x14ac:dyDescent="0.25">
      <c r="A1028" s="36" t="s">
        <v>2904</v>
      </c>
      <c r="B1028" s="36" t="str">
        <f t="shared" si="52"/>
        <v>MA_BOSTON-CAMBRIDGE-QUINCY, MA-NH HUD METRO FMR AREA</v>
      </c>
      <c r="D1028" s="265" t="s">
        <v>84</v>
      </c>
      <c r="E1028" s="266" t="s">
        <v>3865</v>
      </c>
      <c r="F1028" s="252">
        <f t="shared" si="51"/>
        <v>92650</v>
      </c>
      <c r="G1028" s="252">
        <f t="shared" si="51"/>
        <v>105850</v>
      </c>
      <c r="H1028" s="252">
        <f t="shared" si="51"/>
        <v>119100</v>
      </c>
      <c r="I1028" s="252">
        <f t="shared" si="51"/>
        <v>132300</v>
      </c>
      <c r="J1028" s="252">
        <f t="shared" si="51"/>
        <v>142900</v>
      </c>
      <c r="K1028" s="252">
        <f t="shared" si="51"/>
        <v>153500</v>
      </c>
      <c r="L1028" s="252">
        <f t="shared" si="51"/>
        <v>164100</v>
      </c>
      <c r="M1028" s="252">
        <f t="shared" si="51"/>
        <v>174650</v>
      </c>
    </row>
    <row r="1029" spans="1:13" ht="21.95" customHeight="1" x14ac:dyDescent="0.25">
      <c r="A1029" s="36" t="s">
        <v>2904</v>
      </c>
      <c r="B1029" s="36" t="str">
        <f t="shared" si="52"/>
        <v>MA_BROCKTON, MA HUD METRO FMR AREA</v>
      </c>
      <c r="D1029" s="265" t="s">
        <v>84</v>
      </c>
      <c r="E1029" s="266" t="s">
        <v>3866</v>
      </c>
      <c r="F1029" s="252">
        <f t="shared" si="51"/>
        <v>72950</v>
      </c>
      <c r="G1029" s="252">
        <f t="shared" si="51"/>
        <v>83400</v>
      </c>
      <c r="H1029" s="252">
        <f t="shared" si="51"/>
        <v>93800</v>
      </c>
      <c r="I1029" s="252">
        <f t="shared" si="51"/>
        <v>104200</v>
      </c>
      <c r="J1029" s="252">
        <f t="shared" si="51"/>
        <v>112550</v>
      </c>
      <c r="K1029" s="252">
        <f t="shared" si="51"/>
        <v>120900</v>
      </c>
      <c r="L1029" s="252">
        <f t="shared" si="51"/>
        <v>129250</v>
      </c>
      <c r="M1029" s="252">
        <f t="shared" si="51"/>
        <v>137550</v>
      </c>
    </row>
    <row r="1030" spans="1:13" ht="21.95" customHeight="1" x14ac:dyDescent="0.25">
      <c r="A1030" s="36" t="s">
        <v>2904</v>
      </c>
      <c r="B1030" s="36" t="str">
        <f t="shared" si="52"/>
        <v>MA_DUKES COUNTY, MA</v>
      </c>
      <c r="D1030" s="265" t="s">
        <v>84</v>
      </c>
      <c r="E1030" s="266" t="s">
        <v>3867</v>
      </c>
      <c r="F1030" s="252">
        <f t="shared" si="51"/>
        <v>72950</v>
      </c>
      <c r="G1030" s="252">
        <f t="shared" si="51"/>
        <v>83400</v>
      </c>
      <c r="H1030" s="252">
        <f t="shared" ref="F1030:M1062" si="53">VLOOKUP($B1030,LOOKUP_AMI_TABLE,5+((H$7-1)),FALSE)</f>
        <v>93800</v>
      </c>
      <c r="I1030" s="252">
        <f t="shared" si="53"/>
        <v>104200</v>
      </c>
      <c r="J1030" s="252">
        <f t="shared" si="53"/>
        <v>112550</v>
      </c>
      <c r="K1030" s="252">
        <f t="shared" si="53"/>
        <v>120900</v>
      </c>
      <c r="L1030" s="252">
        <f t="shared" si="53"/>
        <v>129250</v>
      </c>
      <c r="M1030" s="252">
        <f t="shared" si="53"/>
        <v>137550</v>
      </c>
    </row>
    <row r="1031" spans="1:13" ht="21.95" customHeight="1" x14ac:dyDescent="0.25">
      <c r="A1031" s="36" t="s">
        <v>2904</v>
      </c>
      <c r="B1031" s="36" t="str">
        <f t="shared" si="52"/>
        <v>MA_EASTERN WORCESTER COUNTY, MA HUD METRO FMR AREA</v>
      </c>
      <c r="D1031" s="265" t="s">
        <v>84</v>
      </c>
      <c r="E1031" s="266" t="s">
        <v>3868</v>
      </c>
      <c r="F1031" s="252">
        <f t="shared" si="53"/>
        <v>72950</v>
      </c>
      <c r="G1031" s="252">
        <f t="shared" si="53"/>
        <v>83400</v>
      </c>
      <c r="H1031" s="252">
        <f t="shared" si="53"/>
        <v>93800</v>
      </c>
      <c r="I1031" s="252">
        <f t="shared" si="53"/>
        <v>104200</v>
      </c>
      <c r="J1031" s="252">
        <f t="shared" si="53"/>
        <v>112550</v>
      </c>
      <c r="K1031" s="252">
        <f t="shared" si="53"/>
        <v>120900</v>
      </c>
      <c r="L1031" s="252">
        <f t="shared" si="53"/>
        <v>129250</v>
      </c>
      <c r="M1031" s="252">
        <f t="shared" si="53"/>
        <v>137550</v>
      </c>
    </row>
    <row r="1032" spans="1:13" ht="21.95" customHeight="1" x14ac:dyDescent="0.25">
      <c r="A1032" s="36" t="s">
        <v>2904</v>
      </c>
      <c r="B1032" s="36" t="str">
        <f t="shared" si="52"/>
        <v>MA_EASTON-RAYNHAM, MA HUD METRO FMR AREA</v>
      </c>
      <c r="D1032" s="265" t="s">
        <v>84</v>
      </c>
      <c r="E1032" s="266" t="s">
        <v>3869</v>
      </c>
      <c r="F1032" s="252">
        <f t="shared" si="53"/>
        <v>78500</v>
      </c>
      <c r="G1032" s="252">
        <f t="shared" si="53"/>
        <v>89700</v>
      </c>
      <c r="H1032" s="252">
        <f t="shared" si="53"/>
        <v>100900</v>
      </c>
      <c r="I1032" s="252">
        <f t="shared" si="53"/>
        <v>112100</v>
      </c>
      <c r="J1032" s="252">
        <f t="shared" si="53"/>
        <v>121100</v>
      </c>
      <c r="K1032" s="252">
        <f t="shared" si="53"/>
        <v>130050</v>
      </c>
      <c r="L1032" s="252">
        <f t="shared" si="53"/>
        <v>139050</v>
      </c>
      <c r="M1032" s="252">
        <f t="shared" si="53"/>
        <v>148000</v>
      </c>
    </row>
    <row r="1033" spans="1:13" ht="21.95" customHeight="1" x14ac:dyDescent="0.25">
      <c r="A1033" s="36" t="s">
        <v>2904</v>
      </c>
      <c r="B1033" s="36" t="str">
        <f t="shared" si="52"/>
        <v>MA_FITCHBURG-LEOMINSTER, MA HUD METRO FMR AREA</v>
      </c>
      <c r="D1033" s="265" t="s">
        <v>84</v>
      </c>
      <c r="E1033" s="266" t="s">
        <v>3870</v>
      </c>
      <c r="F1033" s="252">
        <f t="shared" si="53"/>
        <v>69850</v>
      </c>
      <c r="G1033" s="252">
        <f t="shared" si="53"/>
        <v>79800</v>
      </c>
      <c r="H1033" s="252">
        <f t="shared" si="53"/>
        <v>89800</v>
      </c>
      <c r="I1033" s="252">
        <f t="shared" si="53"/>
        <v>99750</v>
      </c>
      <c r="J1033" s="252">
        <f t="shared" si="53"/>
        <v>107750</v>
      </c>
      <c r="K1033" s="252">
        <f t="shared" si="53"/>
        <v>115750</v>
      </c>
      <c r="L1033" s="252">
        <f t="shared" si="53"/>
        <v>123700</v>
      </c>
      <c r="M1033" s="252">
        <f t="shared" si="53"/>
        <v>131700</v>
      </c>
    </row>
    <row r="1034" spans="1:13" ht="21.95" customHeight="1" x14ac:dyDescent="0.25">
      <c r="A1034" s="36" t="s">
        <v>2904</v>
      </c>
      <c r="B1034" s="36" t="str">
        <f t="shared" si="52"/>
        <v>MA_FRANKLIN COUNTY, MA</v>
      </c>
      <c r="D1034" s="265" t="s">
        <v>84</v>
      </c>
      <c r="E1034" s="266" t="s">
        <v>9189</v>
      </c>
      <c r="F1034" s="252">
        <f t="shared" si="53"/>
        <v>67000</v>
      </c>
      <c r="G1034" s="252">
        <f t="shared" si="53"/>
        <v>76550</v>
      </c>
      <c r="H1034" s="252">
        <f t="shared" si="53"/>
        <v>86100</v>
      </c>
      <c r="I1034" s="252">
        <f t="shared" si="53"/>
        <v>95650</v>
      </c>
      <c r="J1034" s="252">
        <f t="shared" si="53"/>
        <v>103350</v>
      </c>
      <c r="K1034" s="252">
        <f t="shared" si="53"/>
        <v>111000</v>
      </c>
      <c r="L1034" s="252">
        <f t="shared" si="53"/>
        <v>118650</v>
      </c>
      <c r="M1034" s="252">
        <f t="shared" si="53"/>
        <v>126300</v>
      </c>
    </row>
    <row r="1035" spans="1:13" ht="21.95" customHeight="1" x14ac:dyDescent="0.25">
      <c r="A1035" s="36" t="s">
        <v>2904</v>
      </c>
      <c r="B1035" s="36" t="str">
        <f t="shared" si="52"/>
        <v>MA_LAWRENCE, MA-NH HUD METRO FMR AREA</v>
      </c>
      <c r="D1035" s="265" t="s">
        <v>84</v>
      </c>
      <c r="E1035" s="266" t="s">
        <v>3871</v>
      </c>
      <c r="F1035" s="252">
        <f t="shared" si="53"/>
        <v>72950</v>
      </c>
      <c r="G1035" s="252">
        <f t="shared" si="53"/>
        <v>83400</v>
      </c>
      <c r="H1035" s="252">
        <f t="shared" si="53"/>
        <v>93800</v>
      </c>
      <c r="I1035" s="252">
        <f t="shared" si="53"/>
        <v>104200</v>
      </c>
      <c r="J1035" s="252">
        <f t="shared" si="53"/>
        <v>112550</v>
      </c>
      <c r="K1035" s="252">
        <f t="shared" si="53"/>
        <v>120900</v>
      </c>
      <c r="L1035" s="252">
        <f t="shared" si="53"/>
        <v>129250</v>
      </c>
      <c r="M1035" s="252">
        <f t="shared" si="53"/>
        <v>137550</v>
      </c>
    </row>
    <row r="1036" spans="1:13" ht="21.95" customHeight="1" x14ac:dyDescent="0.25">
      <c r="A1036" s="36" t="s">
        <v>2904</v>
      </c>
      <c r="B1036" s="36" t="str">
        <f t="shared" si="52"/>
        <v>MA_LOWELL, MA HUD METRO FMR AREA</v>
      </c>
      <c r="D1036" s="265" t="s">
        <v>84</v>
      </c>
      <c r="E1036" s="266" t="s">
        <v>3872</v>
      </c>
      <c r="F1036" s="252">
        <f t="shared" si="53"/>
        <v>73200</v>
      </c>
      <c r="G1036" s="252">
        <f t="shared" si="53"/>
        <v>83650</v>
      </c>
      <c r="H1036" s="252">
        <f t="shared" si="53"/>
        <v>94100</v>
      </c>
      <c r="I1036" s="252">
        <f t="shared" si="53"/>
        <v>104550</v>
      </c>
      <c r="J1036" s="252">
        <f t="shared" si="53"/>
        <v>112950</v>
      </c>
      <c r="K1036" s="252">
        <f t="shared" si="53"/>
        <v>121300</v>
      </c>
      <c r="L1036" s="252">
        <f t="shared" si="53"/>
        <v>129650</v>
      </c>
      <c r="M1036" s="252">
        <f t="shared" si="53"/>
        <v>138050</v>
      </c>
    </row>
    <row r="1037" spans="1:13" ht="21.95" customHeight="1" x14ac:dyDescent="0.25">
      <c r="A1037" s="36" t="s">
        <v>2904</v>
      </c>
      <c r="B1037" s="36" t="str">
        <f t="shared" si="52"/>
        <v>MA_NANTUCKET COUNTY, MA</v>
      </c>
      <c r="D1037" s="265" t="s">
        <v>84</v>
      </c>
      <c r="E1037" s="266" t="s">
        <v>3873</v>
      </c>
      <c r="F1037" s="252">
        <f t="shared" si="53"/>
        <v>83850</v>
      </c>
      <c r="G1037" s="252">
        <f t="shared" si="53"/>
        <v>95800</v>
      </c>
      <c r="H1037" s="252">
        <f t="shared" si="53"/>
        <v>107800</v>
      </c>
      <c r="I1037" s="252">
        <f t="shared" si="53"/>
        <v>119750</v>
      </c>
      <c r="J1037" s="252">
        <f t="shared" si="53"/>
        <v>129350</v>
      </c>
      <c r="K1037" s="252">
        <f t="shared" si="53"/>
        <v>138950</v>
      </c>
      <c r="L1037" s="252">
        <f t="shared" si="53"/>
        <v>148500</v>
      </c>
      <c r="M1037" s="252">
        <f t="shared" si="53"/>
        <v>158100</v>
      </c>
    </row>
    <row r="1038" spans="1:13" ht="21.95" customHeight="1" x14ac:dyDescent="0.25">
      <c r="A1038" s="36" t="s">
        <v>2904</v>
      </c>
      <c r="B1038" s="36" t="str">
        <f t="shared" si="52"/>
        <v>MA_NEW BEDFORD, MA HUD METRO FMR AREA</v>
      </c>
      <c r="D1038" s="265" t="s">
        <v>84</v>
      </c>
      <c r="E1038" s="266" t="s">
        <v>3874</v>
      </c>
      <c r="F1038" s="252">
        <f t="shared" si="53"/>
        <v>67000</v>
      </c>
      <c r="G1038" s="252">
        <f t="shared" si="53"/>
        <v>76550</v>
      </c>
      <c r="H1038" s="252">
        <f t="shared" si="53"/>
        <v>86100</v>
      </c>
      <c r="I1038" s="252">
        <f t="shared" si="53"/>
        <v>95650</v>
      </c>
      <c r="J1038" s="252">
        <f t="shared" si="53"/>
        <v>103350</v>
      </c>
      <c r="K1038" s="252">
        <f t="shared" si="53"/>
        <v>111000</v>
      </c>
      <c r="L1038" s="252">
        <f t="shared" si="53"/>
        <v>118650</v>
      </c>
      <c r="M1038" s="252">
        <f t="shared" si="53"/>
        <v>126300</v>
      </c>
    </row>
    <row r="1039" spans="1:13" ht="21.95" customHeight="1" x14ac:dyDescent="0.25">
      <c r="A1039" s="36" t="s">
        <v>2904</v>
      </c>
      <c r="B1039" s="36" t="str">
        <f t="shared" si="52"/>
        <v>MA_PITTSFIELD, MA HUD METRO FMR AREA</v>
      </c>
      <c r="D1039" s="265" t="s">
        <v>84</v>
      </c>
      <c r="E1039" s="266" t="s">
        <v>3875</v>
      </c>
      <c r="F1039" s="252">
        <f t="shared" si="53"/>
        <v>68800</v>
      </c>
      <c r="G1039" s="252">
        <f t="shared" si="53"/>
        <v>78600</v>
      </c>
      <c r="H1039" s="252">
        <f t="shared" si="53"/>
        <v>88450</v>
      </c>
      <c r="I1039" s="252">
        <f t="shared" si="53"/>
        <v>98250</v>
      </c>
      <c r="J1039" s="252">
        <f t="shared" si="53"/>
        <v>106150</v>
      </c>
      <c r="K1039" s="252">
        <f t="shared" si="53"/>
        <v>114000</v>
      </c>
      <c r="L1039" s="252">
        <f t="shared" si="53"/>
        <v>121850</v>
      </c>
      <c r="M1039" s="252">
        <f t="shared" si="53"/>
        <v>129700</v>
      </c>
    </row>
    <row r="1040" spans="1:13" ht="21.95" customHeight="1" x14ac:dyDescent="0.25">
      <c r="A1040" s="36" t="s">
        <v>2904</v>
      </c>
      <c r="B1040" s="36" t="str">
        <f t="shared" si="52"/>
        <v>MA_PROVIDENCE-FALL RIVER, RI-MA HUD METRO FMR AREA</v>
      </c>
      <c r="D1040" s="265" t="s">
        <v>84</v>
      </c>
      <c r="E1040" s="266" t="s">
        <v>3876</v>
      </c>
      <c r="F1040" s="252">
        <f t="shared" si="53"/>
        <v>64050</v>
      </c>
      <c r="G1040" s="252">
        <f t="shared" si="53"/>
        <v>73200</v>
      </c>
      <c r="H1040" s="252">
        <f t="shared" si="53"/>
        <v>82350</v>
      </c>
      <c r="I1040" s="252">
        <f t="shared" si="53"/>
        <v>91450</v>
      </c>
      <c r="J1040" s="252">
        <f t="shared" si="53"/>
        <v>98800</v>
      </c>
      <c r="K1040" s="252">
        <f t="shared" si="53"/>
        <v>106100</v>
      </c>
      <c r="L1040" s="252">
        <f t="shared" si="53"/>
        <v>113400</v>
      </c>
      <c r="M1040" s="252">
        <f t="shared" si="53"/>
        <v>120750</v>
      </c>
    </row>
    <row r="1041" spans="1:13" ht="21.95" customHeight="1" x14ac:dyDescent="0.25">
      <c r="A1041" s="36" t="s">
        <v>2904</v>
      </c>
      <c r="B1041" s="36" t="str">
        <f t="shared" si="52"/>
        <v>MA_SPRINGFIELD, MA MSA</v>
      </c>
      <c r="D1041" s="265" t="s">
        <v>84</v>
      </c>
      <c r="E1041" s="266" t="s">
        <v>9190</v>
      </c>
      <c r="F1041" s="252">
        <f t="shared" si="53"/>
        <v>67000</v>
      </c>
      <c r="G1041" s="252">
        <f t="shared" si="53"/>
        <v>76550</v>
      </c>
      <c r="H1041" s="252">
        <f t="shared" si="53"/>
        <v>86100</v>
      </c>
      <c r="I1041" s="252">
        <f t="shared" si="53"/>
        <v>95650</v>
      </c>
      <c r="J1041" s="252">
        <f t="shared" si="53"/>
        <v>103350</v>
      </c>
      <c r="K1041" s="252">
        <f t="shared" si="53"/>
        <v>111000</v>
      </c>
      <c r="L1041" s="252">
        <f t="shared" si="53"/>
        <v>118650</v>
      </c>
      <c r="M1041" s="252">
        <f t="shared" si="53"/>
        <v>126300</v>
      </c>
    </row>
    <row r="1042" spans="1:13" ht="21.95" customHeight="1" x14ac:dyDescent="0.25">
      <c r="A1042" s="36" t="s">
        <v>2904</v>
      </c>
      <c r="B1042" s="36" t="str">
        <f t="shared" si="52"/>
        <v>MA_TAUNTON-MANSFIELD-NORTON, MA HUD METRO FMR AREA</v>
      </c>
      <c r="D1042" s="265" t="s">
        <v>84</v>
      </c>
      <c r="E1042" s="266" t="s">
        <v>3877</v>
      </c>
      <c r="F1042" s="252">
        <f t="shared" si="53"/>
        <v>70350</v>
      </c>
      <c r="G1042" s="252">
        <f t="shared" si="53"/>
        <v>80400</v>
      </c>
      <c r="H1042" s="252">
        <f t="shared" si="53"/>
        <v>90450</v>
      </c>
      <c r="I1042" s="252">
        <f t="shared" si="53"/>
        <v>100500</v>
      </c>
      <c r="J1042" s="252">
        <f t="shared" si="53"/>
        <v>108550</v>
      </c>
      <c r="K1042" s="252">
        <f t="shared" si="53"/>
        <v>116600</v>
      </c>
      <c r="L1042" s="252">
        <f t="shared" si="53"/>
        <v>124650</v>
      </c>
      <c r="M1042" s="252">
        <f t="shared" si="53"/>
        <v>132700</v>
      </c>
    </row>
    <row r="1043" spans="1:13" ht="21.95" customHeight="1" x14ac:dyDescent="0.25">
      <c r="A1043" s="36" t="s">
        <v>2904</v>
      </c>
      <c r="B1043" s="36" t="str">
        <f t="shared" si="52"/>
        <v>MA_WESTERN WORCESTER COUNTY, MA HUD METRO FMR AREA</v>
      </c>
      <c r="D1043" s="265" t="s">
        <v>84</v>
      </c>
      <c r="E1043" s="266" t="s">
        <v>3878</v>
      </c>
      <c r="F1043" s="252">
        <f t="shared" si="53"/>
        <v>69550</v>
      </c>
      <c r="G1043" s="252">
        <f t="shared" si="53"/>
        <v>79450</v>
      </c>
      <c r="H1043" s="252">
        <f t="shared" si="53"/>
        <v>89400</v>
      </c>
      <c r="I1043" s="252">
        <f t="shared" si="53"/>
        <v>99300</v>
      </c>
      <c r="J1043" s="252">
        <f t="shared" si="53"/>
        <v>107250</v>
      </c>
      <c r="K1043" s="252">
        <f t="shared" si="53"/>
        <v>115200</v>
      </c>
      <c r="L1043" s="252">
        <f t="shared" si="53"/>
        <v>123150</v>
      </c>
      <c r="M1043" s="252">
        <f t="shared" si="53"/>
        <v>131100</v>
      </c>
    </row>
    <row r="1044" spans="1:13" ht="21.95" customHeight="1" x14ac:dyDescent="0.25">
      <c r="A1044" s="36" t="s">
        <v>2904</v>
      </c>
      <c r="B1044" s="36" t="str">
        <f t="shared" si="52"/>
        <v>MA_WORCESTER, MA HUD METRO FMR AREA</v>
      </c>
      <c r="D1044" s="265" t="s">
        <v>84</v>
      </c>
      <c r="E1044" s="266" t="s">
        <v>3879</v>
      </c>
      <c r="F1044" s="252">
        <f t="shared" si="53"/>
        <v>69850</v>
      </c>
      <c r="G1044" s="252">
        <f t="shared" si="53"/>
        <v>79800</v>
      </c>
      <c r="H1044" s="252">
        <f t="shared" si="53"/>
        <v>89800</v>
      </c>
      <c r="I1044" s="252">
        <f t="shared" si="53"/>
        <v>99750</v>
      </c>
      <c r="J1044" s="252">
        <f t="shared" si="53"/>
        <v>107750</v>
      </c>
      <c r="K1044" s="252">
        <f t="shared" si="53"/>
        <v>115750</v>
      </c>
      <c r="L1044" s="252">
        <f t="shared" si="53"/>
        <v>123700</v>
      </c>
      <c r="M1044" s="252">
        <f t="shared" si="53"/>
        <v>131700</v>
      </c>
    </row>
    <row r="1045" spans="1:13" ht="21.95" customHeight="1" x14ac:dyDescent="0.25">
      <c r="A1045" s="36" t="s">
        <v>2904</v>
      </c>
      <c r="B1045" s="36" t="str">
        <f t="shared" si="52"/>
        <v>MD_ALLEGANY COUNTY, MD</v>
      </c>
      <c r="D1045" s="265" t="s">
        <v>85</v>
      </c>
      <c r="E1045" s="266" t="s">
        <v>9192</v>
      </c>
      <c r="F1045" s="252">
        <f t="shared" si="53"/>
        <v>52000</v>
      </c>
      <c r="G1045" s="252">
        <f t="shared" si="53"/>
        <v>59400</v>
      </c>
      <c r="H1045" s="252">
        <f t="shared" si="53"/>
        <v>66850</v>
      </c>
      <c r="I1045" s="252">
        <f t="shared" si="53"/>
        <v>74250</v>
      </c>
      <c r="J1045" s="252">
        <f t="shared" si="53"/>
        <v>80200</v>
      </c>
      <c r="K1045" s="252">
        <f t="shared" si="53"/>
        <v>86150</v>
      </c>
      <c r="L1045" s="252">
        <f t="shared" si="53"/>
        <v>92100</v>
      </c>
      <c r="M1045" s="252">
        <f t="shared" si="53"/>
        <v>98050</v>
      </c>
    </row>
    <row r="1046" spans="1:13" ht="21.95" customHeight="1" x14ac:dyDescent="0.25">
      <c r="A1046" s="36" t="s">
        <v>2904</v>
      </c>
      <c r="B1046" s="36" t="str">
        <f t="shared" si="52"/>
        <v>MD_BALTIMORE-COLUMBIA-TOWSON, MD MSA</v>
      </c>
      <c r="D1046" s="265" t="s">
        <v>85</v>
      </c>
      <c r="E1046" s="266" t="s">
        <v>3880</v>
      </c>
      <c r="F1046" s="252">
        <f t="shared" si="53"/>
        <v>72950</v>
      </c>
      <c r="G1046" s="252">
        <f t="shared" si="53"/>
        <v>83400</v>
      </c>
      <c r="H1046" s="252">
        <f t="shared" si="53"/>
        <v>93800</v>
      </c>
      <c r="I1046" s="252">
        <f t="shared" si="53"/>
        <v>104200</v>
      </c>
      <c r="J1046" s="252">
        <f t="shared" si="53"/>
        <v>112550</v>
      </c>
      <c r="K1046" s="252">
        <f t="shared" si="53"/>
        <v>120900</v>
      </c>
      <c r="L1046" s="252">
        <f t="shared" si="53"/>
        <v>129250</v>
      </c>
      <c r="M1046" s="252">
        <f t="shared" si="53"/>
        <v>137550</v>
      </c>
    </row>
    <row r="1047" spans="1:13" ht="21.95" customHeight="1" x14ac:dyDescent="0.25">
      <c r="A1047" s="36" t="s">
        <v>2904</v>
      </c>
      <c r="B1047" s="36" t="str">
        <f t="shared" si="52"/>
        <v>MD_CALVERT COUNTY, MD HUD METRO FMR AREA</v>
      </c>
      <c r="D1047" s="265" t="s">
        <v>85</v>
      </c>
      <c r="E1047" s="266" t="s">
        <v>9193</v>
      </c>
      <c r="F1047" s="252">
        <f t="shared" si="53"/>
        <v>74800</v>
      </c>
      <c r="G1047" s="252">
        <f t="shared" si="53"/>
        <v>85450</v>
      </c>
      <c r="H1047" s="252">
        <f t="shared" si="53"/>
        <v>96150</v>
      </c>
      <c r="I1047" s="252">
        <f t="shared" si="53"/>
        <v>106800</v>
      </c>
      <c r="J1047" s="252">
        <f t="shared" si="53"/>
        <v>115350</v>
      </c>
      <c r="K1047" s="252">
        <f t="shared" si="53"/>
        <v>123900</v>
      </c>
      <c r="L1047" s="252">
        <f t="shared" si="53"/>
        <v>132450</v>
      </c>
      <c r="M1047" s="252">
        <f t="shared" si="53"/>
        <v>141000</v>
      </c>
    </row>
    <row r="1048" spans="1:13" ht="21.95" customHeight="1" x14ac:dyDescent="0.25">
      <c r="A1048" s="36" t="s">
        <v>2904</v>
      </c>
      <c r="B1048" s="36" t="str">
        <f t="shared" si="52"/>
        <v>MD_CAROLINE COUNTY, MD</v>
      </c>
      <c r="D1048" s="265" t="s">
        <v>85</v>
      </c>
      <c r="E1048" s="266" t="s">
        <v>3881</v>
      </c>
      <c r="F1048" s="252">
        <f t="shared" si="53"/>
        <v>52000</v>
      </c>
      <c r="G1048" s="252">
        <f t="shared" si="53"/>
        <v>59400</v>
      </c>
      <c r="H1048" s="252">
        <f t="shared" si="53"/>
        <v>66850</v>
      </c>
      <c r="I1048" s="252">
        <f t="shared" si="53"/>
        <v>74250</v>
      </c>
      <c r="J1048" s="252">
        <f t="shared" si="53"/>
        <v>80200</v>
      </c>
      <c r="K1048" s="252">
        <f t="shared" si="53"/>
        <v>86150</v>
      </c>
      <c r="L1048" s="252">
        <f t="shared" si="53"/>
        <v>92100</v>
      </c>
      <c r="M1048" s="252">
        <f t="shared" si="53"/>
        <v>98050</v>
      </c>
    </row>
    <row r="1049" spans="1:13" ht="21.95" customHeight="1" x14ac:dyDescent="0.25">
      <c r="A1049" s="36" t="s">
        <v>2904</v>
      </c>
      <c r="B1049" s="36" t="str">
        <f t="shared" si="52"/>
        <v>MD_DORCHESTER COUNTY, MD</v>
      </c>
      <c r="D1049" s="265" t="s">
        <v>85</v>
      </c>
      <c r="E1049" s="266" t="s">
        <v>3882</v>
      </c>
      <c r="F1049" s="252">
        <f t="shared" si="53"/>
        <v>52000</v>
      </c>
      <c r="G1049" s="252">
        <f t="shared" si="53"/>
        <v>59400</v>
      </c>
      <c r="H1049" s="252">
        <f t="shared" si="53"/>
        <v>66850</v>
      </c>
      <c r="I1049" s="252">
        <f t="shared" si="53"/>
        <v>74250</v>
      </c>
      <c r="J1049" s="252">
        <f t="shared" si="53"/>
        <v>80200</v>
      </c>
      <c r="K1049" s="252">
        <f t="shared" si="53"/>
        <v>86150</v>
      </c>
      <c r="L1049" s="252">
        <f t="shared" si="53"/>
        <v>92100</v>
      </c>
      <c r="M1049" s="252">
        <f t="shared" si="53"/>
        <v>98050</v>
      </c>
    </row>
    <row r="1050" spans="1:13" ht="21.95" customHeight="1" x14ac:dyDescent="0.25">
      <c r="A1050" s="36" t="s">
        <v>2904</v>
      </c>
      <c r="B1050" s="36" t="str">
        <f t="shared" si="52"/>
        <v>MD_GARRETT COUNTY, MD</v>
      </c>
      <c r="D1050" s="265" t="s">
        <v>85</v>
      </c>
      <c r="E1050" s="266" t="s">
        <v>3883</v>
      </c>
      <c r="F1050" s="252">
        <f t="shared" si="53"/>
        <v>52500</v>
      </c>
      <c r="G1050" s="252">
        <f t="shared" si="53"/>
        <v>60000</v>
      </c>
      <c r="H1050" s="252">
        <f t="shared" si="53"/>
        <v>67500</v>
      </c>
      <c r="I1050" s="252">
        <f t="shared" si="53"/>
        <v>74950</v>
      </c>
      <c r="J1050" s="252">
        <f t="shared" si="53"/>
        <v>80950</v>
      </c>
      <c r="K1050" s="252">
        <f t="shared" si="53"/>
        <v>86950</v>
      </c>
      <c r="L1050" s="252">
        <f t="shared" si="53"/>
        <v>92950</v>
      </c>
      <c r="M1050" s="252">
        <f t="shared" si="53"/>
        <v>98950</v>
      </c>
    </row>
    <row r="1051" spans="1:13" ht="21.95" customHeight="1" x14ac:dyDescent="0.25">
      <c r="A1051" s="36" t="s">
        <v>2904</v>
      </c>
      <c r="B1051" s="36" t="str">
        <f t="shared" si="52"/>
        <v>MD_HAGERSTOWN, MD HUD METRO FMR AREA</v>
      </c>
      <c r="D1051" s="265" t="s">
        <v>85</v>
      </c>
      <c r="E1051" s="266" t="s">
        <v>3884</v>
      </c>
      <c r="F1051" s="252">
        <f t="shared" si="53"/>
        <v>52500</v>
      </c>
      <c r="G1051" s="252">
        <f t="shared" si="53"/>
        <v>60000</v>
      </c>
      <c r="H1051" s="252">
        <f t="shared" si="53"/>
        <v>67500</v>
      </c>
      <c r="I1051" s="252">
        <f t="shared" si="53"/>
        <v>74950</v>
      </c>
      <c r="J1051" s="252">
        <f t="shared" si="53"/>
        <v>80950</v>
      </c>
      <c r="K1051" s="252">
        <f t="shared" si="53"/>
        <v>86950</v>
      </c>
      <c r="L1051" s="252">
        <f t="shared" si="53"/>
        <v>92950</v>
      </c>
      <c r="M1051" s="252">
        <f t="shared" si="53"/>
        <v>98950</v>
      </c>
    </row>
    <row r="1052" spans="1:13" ht="21.95" customHeight="1" x14ac:dyDescent="0.25">
      <c r="A1052" s="36" t="s">
        <v>2904</v>
      </c>
      <c r="B1052" s="36" t="str">
        <f t="shared" si="52"/>
        <v>MD_KENT COUNTY, MD</v>
      </c>
      <c r="D1052" s="265" t="s">
        <v>85</v>
      </c>
      <c r="E1052" s="266" t="s">
        <v>3885</v>
      </c>
      <c r="F1052" s="252">
        <f t="shared" si="53"/>
        <v>62450</v>
      </c>
      <c r="G1052" s="252">
        <f t="shared" si="53"/>
        <v>71400</v>
      </c>
      <c r="H1052" s="252">
        <f t="shared" si="53"/>
        <v>80300</v>
      </c>
      <c r="I1052" s="252">
        <f t="shared" si="53"/>
        <v>89200</v>
      </c>
      <c r="J1052" s="252">
        <f t="shared" si="53"/>
        <v>96350</v>
      </c>
      <c r="K1052" s="252">
        <f t="shared" si="53"/>
        <v>103500</v>
      </c>
      <c r="L1052" s="252">
        <f t="shared" si="53"/>
        <v>110650</v>
      </c>
      <c r="M1052" s="252">
        <f t="shared" si="53"/>
        <v>117750</v>
      </c>
    </row>
    <row r="1053" spans="1:13" ht="21.95" customHeight="1" x14ac:dyDescent="0.25">
      <c r="A1053" s="36" t="s">
        <v>2904</v>
      </c>
      <c r="B1053" s="36" t="str">
        <f t="shared" si="52"/>
        <v>MD_PHILADELPHIA-CAMDEN-WILMINGTON, PA-NJ-DE-MD MSA</v>
      </c>
      <c r="D1053" s="265" t="s">
        <v>85</v>
      </c>
      <c r="E1053" s="266" t="s">
        <v>3212</v>
      </c>
      <c r="F1053" s="252">
        <f t="shared" si="53"/>
        <v>66850</v>
      </c>
      <c r="G1053" s="252">
        <f t="shared" si="53"/>
        <v>76400</v>
      </c>
      <c r="H1053" s="252">
        <f t="shared" si="53"/>
        <v>85950</v>
      </c>
      <c r="I1053" s="252">
        <f t="shared" si="53"/>
        <v>95500</v>
      </c>
      <c r="J1053" s="252">
        <f t="shared" si="53"/>
        <v>103150</v>
      </c>
      <c r="K1053" s="252">
        <f t="shared" si="53"/>
        <v>110800</v>
      </c>
      <c r="L1053" s="252">
        <f t="shared" si="53"/>
        <v>118450</v>
      </c>
      <c r="M1053" s="252">
        <f t="shared" si="53"/>
        <v>126100</v>
      </c>
    </row>
    <row r="1054" spans="1:13" ht="21.95" customHeight="1" x14ac:dyDescent="0.25">
      <c r="A1054" s="36" t="s">
        <v>2904</v>
      </c>
      <c r="B1054" s="36" t="str">
        <f t="shared" si="52"/>
        <v>MD_SALISBURY, MD HUD METRO FMR AREA</v>
      </c>
      <c r="D1054" s="265" t="s">
        <v>85</v>
      </c>
      <c r="E1054" s="266" t="s">
        <v>3886</v>
      </c>
      <c r="F1054" s="252">
        <f t="shared" si="53"/>
        <v>52500</v>
      </c>
      <c r="G1054" s="252">
        <f t="shared" si="53"/>
        <v>60000</v>
      </c>
      <c r="H1054" s="252">
        <f t="shared" si="53"/>
        <v>67500</v>
      </c>
      <c r="I1054" s="252">
        <f t="shared" si="53"/>
        <v>74950</v>
      </c>
      <c r="J1054" s="252">
        <f t="shared" si="53"/>
        <v>80950</v>
      </c>
      <c r="K1054" s="252">
        <f t="shared" si="53"/>
        <v>86950</v>
      </c>
      <c r="L1054" s="252">
        <f t="shared" si="53"/>
        <v>92950</v>
      </c>
      <c r="M1054" s="252">
        <f t="shared" si="53"/>
        <v>98950</v>
      </c>
    </row>
    <row r="1055" spans="1:13" ht="21.95" customHeight="1" x14ac:dyDescent="0.25">
      <c r="A1055" s="36" t="s">
        <v>2904</v>
      </c>
      <c r="B1055" s="36" t="str">
        <f t="shared" si="52"/>
        <v>MD_SOMERSET COUNTY, MD HUD METRO FMR AREA</v>
      </c>
      <c r="D1055" s="265" t="s">
        <v>85</v>
      </c>
      <c r="E1055" s="266" t="s">
        <v>3887</v>
      </c>
      <c r="F1055" s="252">
        <f t="shared" si="53"/>
        <v>52000</v>
      </c>
      <c r="G1055" s="252">
        <f t="shared" si="53"/>
        <v>59400</v>
      </c>
      <c r="H1055" s="252">
        <f t="shared" si="53"/>
        <v>66850</v>
      </c>
      <c r="I1055" s="252">
        <f t="shared" si="53"/>
        <v>74250</v>
      </c>
      <c r="J1055" s="252">
        <f t="shared" si="53"/>
        <v>80200</v>
      </c>
      <c r="K1055" s="252">
        <f t="shared" si="53"/>
        <v>86150</v>
      </c>
      <c r="L1055" s="252">
        <f t="shared" si="53"/>
        <v>92100</v>
      </c>
      <c r="M1055" s="252">
        <f t="shared" si="53"/>
        <v>98050</v>
      </c>
    </row>
    <row r="1056" spans="1:13" ht="21.95" customHeight="1" x14ac:dyDescent="0.25">
      <c r="A1056" s="36" t="s">
        <v>2904</v>
      </c>
      <c r="B1056" s="36" t="str">
        <f t="shared" si="52"/>
        <v>MD_ST. MARY'S COUNTY, MD HUD METRO FMR AREA</v>
      </c>
      <c r="D1056" s="265" t="s">
        <v>85</v>
      </c>
      <c r="E1056" s="266" t="s">
        <v>9194</v>
      </c>
      <c r="F1056" s="252">
        <f t="shared" si="53"/>
        <v>72150</v>
      </c>
      <c r="G1056" s="252">
        <f t="shared" si="53"/>
        <v>82450</v>
      </c>
      <c r="H1056" s="252">
        <f t="shared" si="53"/>
        <v>92750</v>
      </c>
      <c r="I1056" s="252">
        <f t="shared" si="53"/>
        <v>103050</v>
      </c>
      <c r="J1056" s="252">
        <f t="shared" si="53"/>
        <v>111300</v>
      </c>
      <c r="K1056" s="252">
        <f t="shared" si="53"/>
        <v>119550</v>
      </c>
      <c r="L1056" s="252">
        <f t="shared" si="53"/>
        <v>127800</v>
      </c>
      <c r="M1056" s="252">
        <f t="shared" si="53"/>
        <v>136050</v>
      </c>
    </row>
    <row r="1057" spans="1:13" ht="21.95" customHeight="1" x14ac:dyDescent="0.25">
      <c r="A1057" s="36" t="s">
        <v>2904</v>
      </c>
      <c r="B1057" s="36" t="str">
        <f t="shared" si="52"/>
        <v>MD_TALBOT COUNTY, MD</v>
      </c>
      <c r="D1057" s="265" t="s">
        <v>85</v>
      </c>
      <c r="E1057" s="266" t="s">
        <v>3888</v>
      </c>
      <c r="F1057" s="252">
        <f t="shared" si="53"/>
        <v>64400</v>
      </c>
      <c r="G1057" s="252">
        <f t="shared" si="53"/>
        <v>73600</v>
      </c>
      <c r="H1057" s="252">
        <f t="shared" si="53"/>
        <v>82800</v>
      </c>
      <c r="I1057" s="252">
        <f t="shared" si="53"/>
        <v>92000</v>
      </c>
      <c r="J1057" s="252">
        <f t="shared" si="53"/>
        <v>99400</v>
      </c>
      <c r="K1057" s="252">
        <f t="shared" si="53"/>
        <v>106750</v>
      </c>
      <c r="L1057" s="252">
        <f t="shared" si="53"/>
        <v>114100</v>
      </c>
      <c r="M1057" s="252">
        <f t="shared" si="53"/>
        <v>121450</v>
      </c>
    </row>
    <row r="1058" spans="1:13" ht="21.95" customHeight="1" x14ac:dyDescent="0.25">
      <c r="A1058" s="36" t="s">
        <v>2904</v>
      </c>
      <c r="B1058" s="36" t="str">
        <f t="shared" si="52"/>
        <v>MD_WASHINGTON-ARLINGTON-ALEXANDRIA, DC-VA-MD HUD METRO FMR AREA</v>
      </c>
      <c r="D1058" s="265" t="s">
        <v>85</v>
      </c>
      <c r="E1058" s="266" t="s">
        <v>3210</v>
      </c>
      <c r="F1058" s="252">
        <f t="shared" si="53"/>
        <v>74800</v>
      </c>
      <c r="G1058" s="252">
        <f t="shared" si="53"/>
        <v>85450</v>
      </c>
      <c r="H1058" s="252">
        <f t="shared" si="53"/>
        <v>96150</v>
      </c>
      <c r="I1058" s="252">
        <f t="shared" si="53"/>
        <v>106800</v>
      </c>
      <c r="J1058" s="252">
        <f t="shared" si="53"/>
        <v>115350</v>
      </c>
      <c r="K1058" s="252">
        <f t="shared" si="53"/>
        <v>123900</v>
      </c>
      <c r="L1058" s="252">
        <f t="shared" si="53"/>
        <v>132450</v>
      </c>
      <c r="M1058" s="252">
        <f t="shared" si="53"/>
        <v>141000</v>
      </c>
    </row>
    <row r="1059" spans="1:13" ht="21.95" customHeight="1" x14ac:dyDescent="0.25">
      <c r="A1059" s="36" t="s">
        <v>2904</v>
      </c>
      <c r="B1059" s="36" t="str">
        <f t="shared" si="52"/>
        <v>MD_WORCESTER COUNTY, MD</v>
      </c>
      <c r="D1059" s="265" t="s">
        <v>85</v>
      </c>
      <c r="E1059" s="266" t="s">
        <v>9195</v>
      </c>
      <c r="F1059" s="252">
        <f t="shared" si="53"/>
        <v>62200</v>
      </c>
      <c r="G1059" s="252">
        <f t="shared" si="53"/>
        <v>71050</v>
      </c>
      <c r="H1059" s="252">
        <f t="shared" si="53"/>
        <v>79950</v>
      </c>
      <c r="I1059" s="252">
        <f t="shared" si="53"/>
        <v>88800</v>
      </c>
      <c r="J1059" s="252">
        <f t="shared" si="53"/>
        <v>95950</v>
      </c>
      <c r="K1059" s="252">
        <f t="shared" si="53"/>
        <v>103050</v>
      </c>
      <c r="L1059" s="252">
        <f t="shared" si="53"/>
        <v>110150</v>
      </c>
      <c r="M1059" s="252">
        <f t="shared" si="53"/>
        <v>117250</v>
      </c>
    </row>
    <row r="1060" spans="1:13" ht="21.95" customHeight="1" x14ac:dyDescent="0.25">
      <c r="A1060" s="36" t="s">
        <v>2904</v>
      </c>
      <c r="B1060" s="36" t="str">
        <f t="shared" si="52"/>
        <v>ME_AROOSTOOK COUNTY, ME</v>
      </c>
      <c r="D1060" s="265" t="s">
        <v>86</v>
      </c>
      <c r="E1060" s="266" t="s">
        <v>3889</v>
      </c>
      <c r="F1060" s="252">
        <f t="shared" si="53"/>
        <v>47600</v>
      </c>
      <c r="G1060" s="252">
        <f t="shared" si="53"/>
        <v>54400</v>
      </c>
      <c r="H1060" s="252">
        <f t="shared" si="53"/>
        <v>61200</v>
      </c>
      <c r="I1060" s="252">
        <f t="shared" si="53"/>
        <v>68000</v>
      </c>
      <c r="J1060" s="252">
        <f t="shared" si="53"/>
        <v>73450</v>
      </c>
      <c r="K1060" s="252">
        <f t="shared" si="53"/>
        <v>78900</v>
      </c>
      <c r="L1060" s="252">
        <f t="shared" si="53"/>
        <v>84350</v>
      </c>
      <c r="M1060" s="252">
        <f t="shared" si="53"/>
        <v>89800</v>
      </c>
    </row>
    <row r="1061" spans="1:13" ht="21.95" customHeight="1" x14ac:dyDescent="0.25">
      <c r="A1061" s="36" t="s">
        <v>2904</v>
      </c>
      <c r="B1061" s="36" t="str">
        <f t="shared" si="52"/>
        <v>ME_BANGOR, ME HUD METRO FMR AREA</v>
      </c>
      <c r="D1061" s="265" t="s">
        <v>86</v>
      </c>
      <c r="E1061" s="266" t="s">
        <v>3890</v>
      </c>
      <c r="F1061" s="252">
        <f t="shared" si="53"/>
        <v>57900</v>
      </c>
      <c r="G1061" s="252">
        <f t="shared" si="53"/>
        <v>66200</v>
      </c>
      <c r="H1061" s="252">
        <f t="shared" si="53"/>
        <v>74450</v>
      </c>
      <c r="I1061" s="252">
        <f t="shared" si="53"/>
        <v>82700</v>
      </c>
      <c r="J1061" s="252">
        <f t="shared" si="53"/>
        <v>89350</v>
      </c>
      <c r="K1061" s="252">
        <f t="shared" si="53"/>
        <v>95950</v>
      </c>
      <c r="L1061" s="252">
        <f t="shared" si="53"/>
        <v>102550</v>
      </c>
      <c r="M1061" s="252">
        <f t="shared" si="53"/>
        <v>109200</v>
      </c>
    </row>
    <row r="1062" spans="1:13" ht="21.95" customHeight="1" x14ac:dyDescent="0.25">
      <c r="A1062" s="36" t="s">
        <v>2904</v>
      </c>
      <c r="B1062" s="36" t="str">
        <f t="shared" si="52"/>
        <v>ME_CUMBERLAND COUNTY, ME (PART) HUD METRO FMR AREA</v>
      </c>
      <c r="D1062" s="265" t="s">
        <v>86</v>
      </c>
      <c r="E1062" s="266" t="s">
        <v>3891</v>
      </c>
      <c r="F1062" s="252">
        <f t="shared" si="53"/>
        <v>61350</v>
      </c>
      <c r="G1062" s="252">
        <f t="shared" ref="F1062:M1093" si="54">VLOOKUP($B1062,LOOKUP_AMI_TABLE,5+((G$7-1)),FALSE)</f>
        <v>70100</v>
      </c>
      <c r="H1062" s="252">
        <f t="shared" si="54"/>
        <v>78850</v>
      </c>
      <c r="I1062" s="252">
        <f t="shared" si="54"/>
        <v>87600</v>
      </c>
      <c r="J1062" s="252">
        <f t="shared" si="54"/>
        <v>94650</v>
      </c>
      <c r="K1062" s="252">
        <f t="shared" si="54"/>
        <v>101650</v>
      </c>
      <c r="L1062" s="252">
        <f t="shared" si="54"/>
        <v>108650</v>
      </c>
      <c r="M1062" s="252">
        <f t="shared" si="54"/>
        <v>115650</v>
      </c>
    </row>
    <row r="1063" spans="1:13" ht="21.95" customHeight="1" x14ac:dyDescent="0.25">
      <c r="A1063" s="36" t="s">
        <v>2904</v>
      </c>
      <c r="B1063" s="36" t="str">
        <f t="shared" si="52"/>
        <v>ME_FRANKLIN COUNTY, ME</v>
      </c>
      <c r="D1063" s="265" t="s">
        <v>86</v>
      </c>
      <c r="E1063" s="266" t="s">
        <v>3892</v>
      </c>
      <c r="F1063" s="252">
        <f t="shared" si="54"/>
        <v>48400</v>
      </c>
      <c r="G1063" s="252">
        <f t="shared" si="54"/>
        <v>55300</v>
      </c>
      <c r="H1063" s="252">
        <f t="shared" si="54"/>
        <v>62200</v>
      </c>
      <c r="I1063" s="252">
        <f t="shared" si="54"/>
        <v>69100</v>
      </c>
      <c r="J1063" s="252">
        <f t="shared" si="54"/>
        <v>74650</v>
      </c>
      <c r="K1063" s="252">
        <f t="shared" si="54"/>
        <v>80200</v>
      </c>
      <c r="L1063" s="252">
        <f t="shared" si="54"/>
        <v>85700</v>
      </c>
      <c r="M1063" s="252">
        <f t="shared" si="54"/>
        <v>91250</v>
      </c>
    </row>
    <row r="1064" spans="1:13" ht="21.95" customHeight="1" x14ac:dyDescent="0.25">
      <c r="A1064" s="36" t="s">
        <v>2904</v>
      </c>
      <c r="B1064" s="36" t="str">
        <f t="shared" si="52"/>
        <v>ME_HANCOCK COUNTY, ME</v>
      </c>
      <c r="D1064" s="265" t="s">
        <v>86</v>
      </c>
      <c r="E1064" s="266" t="s">
        <v>3893</v>
      </c>
      <c r="F1064" s="252">
        <f t="shared" si="54"/>
        <v>54000</v>
      </c>
      <c r="G1064" s="252">
        <f t="shared" si="54"/>
        <v>61700</v>
      </c>
      <c r="H1064" s="252">
        <f t="shared" si="54"/>
        <v>69400</v>
      </c>
      <c r="I1064" s="252">
        <f t="shared" si="54"/>
        <v>77100</v>
      </c>
      <c r="J1064" s="252">
        <f t="shared" si="54"/>
        <v>83300</v>
      </c>
      <c r="K1064" s="252">
        <f t="shared" si="54"/>
        <v>89450</v>
      </c>
      <c r="L1064" s="252">
        <f t="shared" si="54"/>
        <v>95650</v>
      </c>
      <c r="M1064" s="252">
        <f t="shared" si="54"/>
        <v>101800</v>
      </c>
    </row>
    <row r="1065" spans="1:13" ht="21.95" customHeight="1" x14ac:dyDescent="0.25">
      <c r="A1065" s="36" t="s">
        <v>2904</v>
      </c>
      <c r="B1065" s="36" t="str">
        <f t="shared" si="52"/>
        <v>ME_KENNEBEC COUNTY, ME</v>
      </c>
      <c r="D1065" s="265" t="s">
        <v>86</v>
      </c>
      <c r="E1065" s="266" t="s">
        <v>3894</v>
      </c>
      <c r="F1065" s="252">
        <f t="shared" si="54"/>
        <v>48900</v>
      </c>
      <c r="G1065" s="252">
        <f t="shared" si="54"/>
        <v>55900</v>
      </c>
      <c r="H1065" s="252">
        <f t="shared" si="54"/>
        <v>62900</v>
      </c>
      <c r="I1065" s="252">
        <f t="shared" si="54"/>
        <v>69850</v>
      </c>
      <c r="J1065" s="252">
        <f t="shared" si="54"/>
        <v>75450</v>
      </c>
      <c r="K1065" s="252">
        <f t="shared" si="54"/>
        <v>81050</v>
      </c>
      <c r="L1065" s="252">
        <f t="shared" si="54"/>
        <v>86650</v>
      </c>
      <c r="M1065" s="252">
        <f t="shared" si="54"/>
        <v>92250</v>
      </c>
    </row>
    <row r="1066" spans="1:13" ht="21.95" customHeight="1" x14ac:dyDescent="0.25">
      <c r="A1066" s="36" t="s">
        <v>2904</v>
      </c>
      <c r="B1066" s="36" t="str">
        <f t="shared" si="52"/>
        <v>ME_KNOX COUNTY, ME</v>
      </c>
      <c r="D1066" s="265" t="s">
        <v>86</v>
      </c>
      <c r="E1066" s="266" t="s">
        <v>3895</v>
      </c>
      <c r="F1066" s="252">
        <f t="shared" si="54"/>
        <v>56000</v>
      </c>
      <c r="G1066" s="252">
        <f t="shared" si="54"/>
        <v>64000</v>
      </c>
      <c r="H1066" s="252">
        <f t="shared" si="54"/>
        <v>72000</v>
      </c>
      <c r="I1066" s="252">
        <f t="shared" si="54"/>
        <v>80000</v>
      </c>
      <c r="J1066" s="252">
        <f t="shared" si="54"/>
        <v>86400</v>
      </c>
      <c r="K1066" s="252">
        <f t="shared" si="54"/>
        <v>92800</v>
      </c>
      <c r="L1066" s="252">
        <f t="shared" si="54"/>
        <v>99200</v>
      </c>
      <c r="M1066" s="252">
        <f t="shared" si="54"/>
        <v>105600</v>
      </c>
    </row>
    <row r="1067" spans="1:13" ht="21.95" customHeight="1" x14ac:dyDescent="0.25">
      <c r="A1067" s="36" t="s">
        <v>2904</v>
      </c>
      <c r="B1067" s="36" t="str">
        <f t="shared" si="52"/>
        <v>ME_LEWISTON-AUBURN, ME MSA</v>
      </c>
      <c r="D1067" s="265" t="s">
        <v>86</v>
      </c>
      <c r="E1067" s="266" t="s">
        <v>3896</v>
      </c>
      <c r="F1067" s="252">
        <f t="shared" si="54"/>
        <v>47850</v>
      </c>
      <c r="G1067" s="252">
        <f t="shared" si="54"/>
        <v>54650</v>
      </c>
      <c r="H1067" s="252">
        <f t="shared" si="54"/>
        <v>61500</v>
      </c>
      <c r="I1067" s="252">
        <f t="shared" si="54"/>
        <v>68300</v>
      </c>
      <c r="J1067" s="252">
        <f t="shared" si="54"/>
        <v>73800</v>
      </c>
      <c r="K1067" s="252">
        <f t="shared" si="54"/>
        <v>79250</v>
      </c>
      <c r="L1067" s="252">
        <f t="shared" si="54"/>
        <v>84700</v>
      </c>
      <c r="M1067" s="252">
        <f t="shared" si="54"/>
        <v>90200</v>
      </c>
    </row>
    <row r="1068" spans="1:13" ht="21.95" customHeight="1" x14ac:dyDescent="0.25">
      <c r="A1068" s="36" t="s">
        <v>2904</v>
      </c>
      <c r="B1068" s="36" t="str">
        <f t="shared" si="52"/>
        <v>ME_LINCOLN COUNTY, ME</v>
      </c>
      <c r="D1068" s="265" t="s">
        <v>86</v>
      </c>
      <c r="E1068" s="266" t="s">
        <v>3897</v>
      </c>
      <c r="F1068" s="252">
        <f t="shared" si="54"/>
        <v>55300</v>
      </c>
      <c r="G1068" s="252">
        <f t="shared" si="54"/>
        <v>63200</v>
      </c>
      <c r="H1068" s="252">
        <f t="shared" si="54"/>
        <v>71100</v>
      </c>
      <c r="I1068" s="252">
        <f t="shared" si="54"/>
        <v>78950</v>
      </c>
      <c r="J1068" s="252">
        <f t="shared" si="54"/>
        <v>85300</v>
      </c>
      <c r="K1068" s="252">
        <f t="shared" si="54"/>
        <v>91600</v>
      </c>
      <c r="L1068" s="252">
        <f t="shared" si="54"/>
        <v>97900</v>
      </c>
      <c r="M1068" s="252">
        <f t="shared" si="54"/>
        <v>104250</v>
      </c>
    </row>
    <row r="1069" spans="1:13" ht="21.95" customHeight="1" x14ac:dyDescent="0.25">
      <c r="A1069" s="36" t="s">
        <v>2904</v>
      </c>
      <c r="B1069" s="36" t="str">
        <f t="shared" si="52"/>
        <v>ME_OXFORD COUNTY, ME</v>
      </c>
      <c r="D1069" s="265" t="s">
        <v>86</v>
      </c>
      <c r="E1069" s="266" t="s">
        <v>3898</v>
      </c>
      <c r="F1069" s="252">
        <f t="shared" si="54"/>
        <v>47600</v>
      </c>
      <c r="G1069" s="252">
        <f t="shared" si="54"/>
        <v>54400</v>
      </c>
      <c r="H1069" s="252">
        <f t="shared" si="54"/>
        <v>61200</v>
      </c>
      <c r="I1069" s="252">
        <f t="shared" si="54"/>
        <v>68000</v>
      </c>
      <c r="J1069" s="252">
        <f t="shared" si="54"/>
        <v>73450</v>
      </c>
      <c r="K1069" s="252">
        <f t="shared" si="54"/>
        <v>78900</v>
      </c>
      <c r="L1069" s="252">
        <f t="shared" si="54"/>
        <v>84350</v>
      </c>
      <c r="M1069" s="252">
        <f t="shared" si="54"/>
        <v>89800</v>
      </c>
    </row>
    <row r="1070" spans="1:13" ht="21.95" customHeight="1" x14ac:dyDescent="0.25">
      <c r="A1070" s="36" t="s">
        <v>2904</v>
      </c>
      <c r="B1070" s="36" t="str">
        <f t="shared" si="52"/>
        <v>ME_PENOBSCOT COUNTY, ME (PART) HUD METRO FMR AREA</v>
      </c>
      <c r="D1070" s="265" t="s">
        <v>86</v>
      </c>
      <c r="E1070" s="266" t="s">
        <v>3899</v>
      </c>
      <c r="F1070" s="252">
        <f t="shared" si="54"/>
        <v>47600</v>
      </c>
      <c r="G1070" s="252">
        <f t="shared" si="54"/>
        <v>54400</v>
      </c>
      <c r="H1070" s="252">
        <f t="shared" si="54"/>
        <v>61200</v>
      </c>
      <c r="I1070" s="252">
        <f t="shared" si="54"/>
        <v>68000</v>
      </c>
      <c r="J1070" s="252">
        <f t="shared" si="54"/>
        <v>73450</v>
      </c>
      <c r="K1070" s="252">
        <f t="shared" si="54"/>
        <v>78900</v>
      </c>
      <c r="L1070" s="252">
        <f t="shared" si="54"/>
        <v>84350</v>
      </c>
      <c r="M1070" s="252">
        <f t="shared" si="54"/>
        <v>89800</v>
      </c>
    </row>
    <row r="1071" spans="1:13" ht="21.95" customHeight="1" x14ac:dyDescent="0.25">
      <c r="A1071" s="36" t="s">
        <v>2904</v>
      </c>
      <c r="B1071" s="36" t="str">
        <f t="shared" si="52"/>
        <v>ME_PISCATAQUIS COUNTY, ME</v>
      </c>
      <c r="D1071" s="265" t="s">
        <v>86</v>
      </c>
      <c r="E1071" s="266" t="s">
        <v>3900</v>
      </c>
      <c r="F1071" s="252">
        <f t="shared" si="54"/>
        <v>47600</v>
      </c>
      <c r="G1071" s="252">
        <f t="shared" si="54"/>
        <v>54400</v>
      </c>
      <c r="H1071" s="252">
        <f t="shared" si="54"/>
        <v>61200</v>
      </c>
      <c r="I1071" s="252">
        <f t="shared" si="54"/>
        <v>68000</v>
      </c>
      <c r="J1071" s="252">
        <f t="shared" si="54"/>
        <v>73450</v>
      </c>
      <c r="K1071" s="252">
        <f t="shared" si="54"/>
        <v>78900</v>
      </c>
      <c r="L1071" s="252">
        <f t="shared" si="54"/>
        <v>84350</v>
      </c>
      <c r="M1071" s="252">
        <f t="shared" si="54"/>
        <v>89800</v>
      </c>
    </row>
    <row r="1072" spans="1:13" ht="21.95" customHeight="1" x14ac:dyDescent="0.25">
      <c r="A1072" s="36" t="s">
        <v>2904</v>
      </c>
      <c r="B1072" s="36" t="str">
        <f t="shared" si="52"/>
        <v>ME_PORTLAND, ME HUD METRO FMR AREA</v>
      </c>
      <c r="D1072" s="265" t="s">
        <v>86</v>
      </c>
      <c r="E1072" s="266" t="s">
        <v>3901</v>
      </c>
      <c r="F1072" s="252">
        <f t="shared" si="54"/>
        <v>72700</v>
      </c>
      <c r="G1072" s="252">
        <f t="shared" si="54"/>
        <v>83100</v>
      </c>
      <c r="H1072" s="252">
        <f t="shared" si="54"/>
        <v>93500</v>
      </c>
      <c r="I1072" s="252">
        <f t="shared" si="54"/>
        <v>103850</v>
      </c>
      <c r="J1072" s="252">
        <f t="shared" si="54"/>
        <v>112200</v>
      </c>
      <c r="K1072" s="252">
        <f t="shared" si="54"/>
        <v>120500</v>
      </c>
      <c r="L1072" s="252">
        <f t="shared" si="54"/>
        <v>128800</v>
      </c>
      <c r="M1072" s="252">
        <f t="shared" si="54"/>
        <v>137100</v>
      </c>
    </row>
    <row r="1073" spans="1:13" ht="21.95" customHeight="1" x14ac:dyDescent="0.25">
      <c r="A1073" s="36" t="s">
        <v>2904</v>
      </c>
      <c r="B1073" s="36" t="str">
        <f t="shared" si="52"/>
        <v>ME_SAGADAHOC COUNTY, ME HUD METRO FMR AREA</v>
      </c>
      <c r="D1073" s="265" t="s">
        <v>86</v>
      </c>
      <c r="E1073" s="266" t="s">
        <v>3902</v>
      </c>
      <c r="F1073" s="252">
        <f t="shared" si="54"/>
        <v>57800</v>
      </c>
      <c r="G1073" s="252">
        <f t="shared" si="54"/>
        <v>66050</v>
      </c>
      <c r="H1073" s="252">
        <f t="shared" si="54"/>
        <v>74300</v>
      </c>
      <c r="I1073" s="252">
        <f t="shared" si="54"/>
        <v>82550</v>
      </c>
      <c r="J1073" s="252">
        <f t="shared" si="54"/>
        <v>89200</v>
      </c>
      <c r="K1073" s="252">
        <f t="shared" si="54"/>
        <v>95800</v>
      </c>
      <c r="L1073" s="252">
        <f t="shared" si="54"/>
        <v>102400</v>
      </c>
      <c r="M1073" s="252">
        <f t="shared" si="54"/>
        <v>109000</v>
      </c>
    </row>
    <row r="1074" spans="1:13" ht="21.95" customHeight="1" x14ac:dyDescent="0.25">
      <c r="A1074" s="36" t="s">
        <v>2904</v>
      </c>
      <c r="B1074" s="36" t="str">
        <f t="shared" si="52"/>
        <v>ME_SOMERSET COUNTY, ME</v>
      </c>
      <c r="D1074" s="265" t="s">
        <v>86</v>
      </c>
      <c r="E1074" s="266" t="s">
        <v>3903</v>
      </c>
      <c r="F1074" s="252">
        <f t="shared" si="54"/>
        <v>47600</v>
      </c>
      <c r="G1074" s="252">
        <f t="shared" si="54"/>
        <v>54400</v>
      </c>
      <c r="H1074" s="252">
        <f t="shared" si="54"/>
        <v>61200</v>
      </c>
      <c r="I1074" s="252">
        <f t="shared" si="54"/>
        <v>68000</v>
      </c>
      <c r="J1074" s="252">
        <f t="shared" si="54"/>
        <v>73450</v>
      </c>
      <c r="K1074" s="252">
        <f t="shared" si="54"/>
        <v>78900</v>
      </c>
      <c r="L1074" s="252">
        <f t="shared" si="54"/>
        <v>84350</v>
      </c>
      <c r="M1074" s="252">
        <f t="shared" si="54"/>
        <v>89800</v>
      </c>
    </row>
    <row r="1075" spans="1:13" ht="21.95" customHeight="1" x14ac:dyDescent="0.25">
      <c r="A1075" s="36" t="s">
        <v>2904</v>
      </c>
      <c r="B1075" s="36" t="str">
        <f t="shared" si="52"/>
        <v>ME_WALDO COUNTY, ME</v>
      </c>
      <c r="D1075" s="265" t="s">
        <v>86</v>
      </c>
      <c r="E1075" s="266" t="s">
        <v>3904</v>
      </c>
      <c r="F1075" s="252">
        <f t="shared" si="54"/>
        <v>49700</v>
      </c>
      <c r="G1075" s="252">
        <f t="shared" si="54"/>
        <v>56800</v>
      </c>
      <c r="H1075" s="252">
        <f t="shared" si="54"/>
        <v>63900</v>
      </c>
      <c r="I1075" s="252">
        <f t="shared" si="54"/>
        <v>70950</v>
      </c>
      <c r="J1075" s="252">
        <f t="shared" si="54"/>
        <v>76650</v>
      </c>
      <c r="K1075" s="252">
        <f t="shared" si="54"/>
        <v>82350</v>
      </c>
      <c r="L1075" s="252">
        <f t="shared" si="54"/>
        <v>88000</v>
      </c>
      <c r="M1075" s="252">
        <f t="shared" si="54"/>
        <v>93700</v>
      </c>
    </row>
    <row r="1076" spans="1:13" ht="21.95" customHeight="1" x14ac:dyDescent="0.25">
      <c r="A1076" s="36" t="s">
        <v>2904</v>
      </c>
      <c r="B1076" s="36" t="str">
        <f t="shared" si="52"/>
        <v>ME_WASHINGTON COUNTY, ME</v>
      </c>
      <c r="D1076" s="265" t="s">
        <v>86</v>
      </c>
      <c r="E1076" s="266" t="s">
        <v>3905</v>
      </c>
      <c r="F1076" s="252">
        <f t="shared" si="54"/>
        <v>47600</v>
      </c>
      <c r="G1076" s="252">
        <f t="shared" si="54"/>
        <v>54400</v>
      </c>
      <c r="H1076" s="252">
        <f t="shared" si="54"/>
        <v>61200</v>
      </c>
      <c r="I1076" s="252">
        <f t="shared" si="54"/>
        <v>68000</v>
      </c>
      <c r="J1076" s="252">
        <f t="shared" si="54"/>
        <v>73450</v>
      </c>
      <c r="K1076" s="252">
        <f t="shared" si="54"/>
        <v>78900</v>
      </c>
      <c r="L1076" s="252">
        <f t="shared" si="54"/>
        <v>84350</v>
      </c>
      <c r="M1076" s="252">
        <f t="shared" si="54"/>
        <v>89800</v>
      </c>
    </row>
    <row r="1077" spans="1:13" ht="21.95" customHeight="1" x14ac:dyDescent="0.25">
      <c r="A1077" s="36" t="s">
        <v>2904</v>
      </c>
      <c r="B1077" s="36" t="str">
        <f t="shared" si="52"/>
        <v>ME_YORK COUNTY, ME (PART) HUD METRO FMR AREA</v>
      </c>
      <c r="D1077" s="265" t="s">
        <v>86</v>
      </c>
      <c r="E1077" s="266" t="s">
        <v>3906</v>
      </c>
      <c r="F1077" s="252">
        <f t="shared" si="54"/>
        <v>59850</v>
      </c>
      <c r="G1077" s="252">
        <f t="shared" si="54"/>
        <v>68400</v>
      </c>
      <c r="H1077" s="252">
        <f t="shared" si="54"/>
        <v>76950</v>
      </c>
      <c r="I1077" s="252">
        <f t="shared" si="54"/>
        <v>85500</v>
      </c>
      <c r="J1077" s="252">
        <f t="shared" si="54"/>
        <v>92350</v>
      </c>
      <c r="K1077" s="252">
        <f t="shared" si="54"/>
        <v>99200</v>
      </c>
      <c r="L1077" s="252">
        <f t="shared" si="54"/>
        <v>106050</v>
      </c>
      <c r="M1077" s="252">
        <f t="shared" si="54"/>
        <v>112900</v>
      </c>
    </row>
    <row r="1078" spans="1:13" ht="21.95" customHeight="1" x14ac:dyDescent="0.25">
      <c r="A1078" s="36" t="s">
        <v>2904</v>
      </c>
      <c r="B1078" s="36" t="str">
        <f t="shared" si="52"/>
        <v>ME_YORK-KITTERY-SOUTH BERWICK, ME HUD METRO FMR AREA</v>
      </c>
      <c r="D1078" s="265" t="s">
        <v>86</v>
      </c>
      <c r="E1078" s="266" t="s">
        <v>3907</v>
      </c>
      <c r="F1078" s="252">
        <f t="shared" si="54"/>
        <v>71800</v>
      </c>
      <c r="G1078" s="252">
        <f t="shared" si="54"/>
        <v>82050</v>
      </c>
      <c r="H1078" s="252">
        <f t="shared" si="54"/>
        <v>92300</v>
      </c>
      <c r="I1078" s="252">
        <f t="shared" si="54"/>
        <v>102550</v>
      </c>
      <c r="J1078" s="252">
        <f t="shared" si="54"/>
        <v>110800</v>
      </c>
      <c r="K1078" s="252">
        <f t="shared" si="54"/>
        <v>119000</v>
      </c>
      <c r="L1078" s="252">
        <f t="shared" si="54"/>
        <v>127200</v>
      </c>
      <c r="M1078" s="252">
        <f t="shared" si="54"/>
        <v>135400</v>
      </c>
    </row>
    <row r="1079" spans="1:13" ht="21.95" customHeight="1" x14ac:dyDescent="0.25">
      <c r="A1079" s="36" t="s">
        <v>2904</v>
      </c>
      <c r="B1079" s="36" t="str">
        <f t="shared" si="52"/>
        <v>MI_ALCONA COUNTY, MI</v>
      </c>
      <c r="D1079" s="265" t="s">
        <v>83</v>
      </c>
      <c r="E1079" s="266" t="s">
        <v>3908</v>
      </c>
      <c r="F1079" s="252">
        <f t="shared" si="54"/>
        <v>45850</v>
      </c>
      <c r="G1079" s="252">
        <f t="shared" si="54"/>
        <v>52400</v>
      </c>
      <c r="H1079" s="252">
        <f t="shared" si="54"/>
        <v>58950</v>
      </c>
      <c r="I1079" s="252">
        <f t="shared" si="54"/>
        <v>65500</v>
      </c>
      <c r="J1079" s="252">
        <f t="shared" si="54"/>
        <v>70750</v>
      </c>
      <c r="K1079" s="252">
        <f t="shared" si="54"/>
        <v>76000</v>
      </c>
      <c r="L1079" s="252">
        <f t="shared" si="54"/>
        <v>81250</v>
      </c>
      <c r="M1079" s="252">
        <f t="shared" si="54"/>
        <v>86500</v>
      </c>
    </row>
    <row r="1080" spans="1:13" ht="21.95" customHeight="1" x14ac:dyDescent="0.25">
      <c r="A1080" s="36" t="s">
        <v>2904</v>
      </c>
      <c r="B1080" s="36" t="str">
        <f t="shared" si="52"/>
        <v>MI_ALGER COUNTY, MI</v>
      </c>
      <c r="D1080" s="265" t="s">
        <v>83</v>
      </c>
      <c r="E1080" s="266" t="s">
        <v>3909</v>
      </c>
      <c r="F1080" s="252">
        <f t="shared" si="54"/>
        <v>45850</v>
      </c>
      <c r="G1080" s="252">
        <f t="shared" si="54"/>
        <v>52400</v>
      </c>
      <c r="H1080" s="252">
        <f t="shared" si="54"/>
        <v>58950</v>
      </c>
      <c r="I1080" s="252">
        <f t="shared" si="54"/>
        <v>65500</v>
      </c>
      <c r="J1080" s="252">
        <f t="shared" si="54"/>
        <v>70750</v>
      </c>
      <c r="K1080" s="252">
        <f t="shared" si="54"/>
        <v>76000</v>
      </c>
      <c r="L1080" s="252">
        <f t="shared" si="54"/>
        <v>81250</v>
      </c>
      <c r="M1080" s="252">
        <f t="shared" si="54"/>
        <v>86500</v>
      </c>
    </row>
    <row r="1081" spans="1:13" ht="21.95" customHeight="1" x14ac:dyDescent="0.25">
      <c r="A1081" s="36" t="s">
        <v>2904</v>
      </c>
      <c r="B1081" s="36" t="str">
        <f t="shared" si="52"/>
        <v>MI_ALLEGAN COUNTY, MI</v>
      </c>
      <c r="D1081" s="265" t="s">
        <v>83</v>
      </c>
      <c r="E1081" s="266" t="s">
        <v>3910</v>
      </c>
      <c r="F1081" s="252">
        <f t="shared" si="54"/>
        <v>56400</v>
      </c>
      <c r="G1081" s="252">
        <f t="shared" si="54"/>
        <v>64450</v>
      </c>
      <c r="H1081" s="252">
        <f t="shared" si="54"/>
        <v>72500</v>
      </c>
      <c r="I1081" s="252">
        <f t="shared" si="54"/>
        <v>80550</v>
      </c>
      <c r="J1081" s="252">
        <f t="shared" si="54"/>
        <v>87000</v>
      </c>
      <c r="K1081" s="252">
        <f t="shared" si="54"/>
        <v>93450</v>
      </c>
      <c r="L1081" s="252">
        <f t="shared" si="54"/>
        <v>99900</v>
      </c>
      <c r="M1081" s="252">
        <f t="shared" si="54"/>
        <v>106350</v>
      </c>
    </row>
    <row r="1082" spans="1:13" ht="21.95" customHeight="1" x14ac:dyDescent="0.25">
      <c r="A1082" s="36" t="s">
        <v>2904</v>
      </c>
      <c r="B1082" s="36" t="str">
        <f t="shared" si="52"/>
        <v>MI_ALPENA COUNTY, MI</v>
      </c>
      <c r="D1082" s="265" t="s">
        <v>83</v>
      </c>
      <c r="E1082" s="266" t="s">
        <v>3911</v>
      </c>
      <c r="F1082" s="252">
        <f t="shared" si="54"/>
        <v>45850</v>
      </c>
      <c r="G1082" s="252">
        <f t="shared" si="54"/>
        <v>52400</v>
      </c>
      <c r="H1082" s="252">
        <f t="shared" si="54"/>
        <v>58950</v>
      </c>
      <c r="I1082" s="252">
        <f t="shared" si="54"/>
        <v>65500</v>
      </c>
      <c r="J1082" s="252">
        <f t="shared" si="54"/>
        <v>70750</v>
      </c>
      <c r="K1082" s="252">
        <f t="shared" si="54"/>
        <v>76000</v>
      </c>
      <c r="L1082" s="252">
        <f t="shared" si="54"/>
        <v>81250</v>
      </c>
      <c r="M1082" s="252">
        <f t="shared" si="54"/>
        <v>86500</v>
      </c>
    </row>
    <row r="1083" spans="1:13" ht="21.95" customHeight="1" x14ac:dyDescent="0.25">
      <c r="A1083" s="36" t="s">
        <v>2904</v>
      </c>
      <c r="B1083" s="36" t="str">
        <f t="shared" si="52"/>
        <v>MI_ANN ARBOR, MI MSA</v>
      </c>
      <c r="D1083" s="265" t="s">
        <v>83</v>
      </c>
      <c r="E1083" s="266" t="s">
        <v>3912</v>
      </c>
      <c r="F1083" s="252">
        <f t="shared" si="54"/>
        <v>70500</v>
      </c>
      <c r="G1083" s="252">
        <f t="shared" si="54"/>
        <v>80600</v>
      </c>
      <c r="H1083" s="252">
        <f t="shared" si="54"/>
        <v>90650</v>
      </c>
      <c r="I1083" s="252">
        <f t="shared" si="54"/>
        <v>100700</v>
      </c>
      <c r="J1083" s="252">
        <f t="shared" si="54"/>
        <v>108800</v>
      </c>
      <c r="K1083" s="252">
        <f t="shared" si="54"/>
        <v>116850</v>
      </c>
      <c r="L1083" s="252">
        <f t="shared" si="54"/>
        <v>124900</v>
      </c>
      <c r="M1083" s="252">
        <f t="shared" si="54"/>
        <v>132950</v>
      </c>
    </row>
    <row r="1084" spans="1:13" ht="21.95" customHeight="1" x14ac:dyDescent="0.25">
      <c r="A1084" s="36" t="s">
        <v>2904</v>
      </c>
      <c r="B1084" s="36" t="str">
        <f t="shared" ref="B1084:B1147" si="55">UPPER(TRIM(D1084)&amp;"_"&amp;TRIM(E1084))</f>
        <v>MI_ANTRIM COUNTY, MI</v>
      </c>
      <c r="D1084" s="265" t="s">
        <v>83</v>
      </c>
      <c r="E1084" s="266" t="s">
        <v>3913</v>
      </c>
      <c r="F1084" s="252">
        <f t="shared" si="54"/>
        <v>52300</v>
      </c>
      <c r="G1084" s="252">
        <f t="shared" si="54"/>
        <v>59800</v>
      </c>
      <c r="H1084" s="252">
        <f t="shared" si="54"/>
        <v>67250</v>
      </c>
      <c r="I1084" s="252">
        <f t="shared" si="54"/>
        <v>74700</v>
      </c>
      <c r="J1084" s="252">
        <f t="shared" si="54"/>
        <v>80700</v>
      </c>
      <c r="K1084" s="252">
        <f t="shared" si="54"/>
        <v>86700</v>
      </c>
      <c r="L1084" s="252">
        <f t="shared" si="54"/>
        <v>92650</v>
      </c>
      <c r="M1084" s="252">
        <f t="shared" si="54"/>
        <v>98650</v>
      </c>
    </row>
    <row r="1085" spans="1:13" ht="21.95" customHeight="1" x14ac:dyDescent="0.25">
      <c r="A1085" s="36" t="s">
        <v>2904</v>
      </c>
      <c r="B1085" s="36" t="str">
        <f t="shared" si="55"/>
        <v>MI_ARENAC COUNTY, MI</v>
      </c>
      <c r="D1085" s="265" t="s">
        <v>83</v>
      </c>
      <c r="E1085" s="266" t="s">
        <v>3914</v>
      </c>
      <c r="F1085" s="252">
        <f t="shared" si="54"/>
        <v>45850</v>
      </c>
      <c r="G1085" s="252">
        <f t="shared" si="54"/>
        <v>52400</v>
      </c>
      <c r="H1085" s="252">
        <f t="shared" si="54"/>
        <v>58950</v>
      </c>
      <c r="I1085" s="252">
        <f t="shared" si="54"/>
        <v>65500</v>
      </c>
      <c r="J1085" s="252">
        <f t="shared" si="54"/>
        <v>70750</v>
      </c>
      <c r="K1085" s="252">
        <f t="shared" si="54"/>
        <v>76000</v>
      </c>
      <c r="L1085" s="252">
        <f t="shared" si="54"/>
        <v>81250</v>
      </c>
      <c r="M1085" s="252">
        <f t="shared" si="54"/>
        <v>86500</v>
      </c>
    </row>
    <row r="1086" spans="1:13" ht="21.95" customHeight="1" x14ac:dyDescent="0.25">
      <c r="A1086" s="36" t="s">
        <v>2904</v>
      </c>
      <c r="B1086" s="36" t="str">
        <f t="shared" si="55"/>
        <v>MI_BARAGA COUNTY, MI</v>
      </c>
      <c r="D1086" s="265" t="s">
        <v>83</v>
      </c>
      <c r="E1086" s="266" t="s">
        <v>3915</v>
      </c>
      <c r="F1086" s="252">
        <f t="shared" si="54"/>
        <v>45850</v>
      </c>
      <c r="G1086" s="252">
        <f t="shared" si="54"/>
        <v>52400</v>
      </c>
      <c r="H1086" s="252">
        <f t="shared" si="54"/>
        <v>58950</v>
      </c>
      <c r="I1086" s="252">
        <f t="shared" si="54"/>
        <v>65500</v>
      </c>
      <c r="J1086" s="252">
        <f t="shared" si="54"/>
        <v>70750</v>
      </c>
      <c r="K1086" s="252">
        <f t="shared" si="54"/>
        <v>76000</v>
      </c>
      <c r="L1086" s="252">
        <f t="shared" si="54"/>
        <v>81250</v>
      </c>
      <c r="M1086" s="252">
        <f t="shared" si="54"/>
        <v>86500</v>
      </c>
    </row>
    <row r="1087" spans="1:13" ht="21.95" customHeight="1" x14ac:dyDescent="0.25">
      <c r="A1087" s="36" t="s">
        <v>2904</v>
      </c>
      <c r="B1087" s="36" t="str">
        <f t="shared" si="55"/>
        <v>MI_BARRY COUNTY, MI HUD METRO FMR AREA</v>
      </c>
      <c r="D1087" s="265" t="s">
        <v>83</v>
      </c>
      <c r="E1087" s="266" t="s">
        <v>9196</v>
      </c>
      <c r="F1087" s="252">
        <f t="shared" si="54"/>
        <v>58050</v>
      </c>
      <c r="G1087" s="252">
        <f t="shared" si="54"/>
        <v>66350</v>
      </c>
      <c r="H1087" s="252">
        <f t="shared" si="54"/>
        <v>74650</v>
      </c>
      <c r="I1087" s="252">
        <f t="shared" si="54"/>
        <v>82900</v>
      </c>
      <c r="J1087" s="252">
        <f t="shared" si="54"/>
        <v>89550</v>
      </c>
      <c r="K1087" s="252">
        <f t="shared" si="54"/>
        <v>96200</v>
      </c>
      <c r="L1087" s="252">
        <f t="shared" si="54"/>
        <v>102800</v>
      </c>
      <c r="M1087" s="252">
        <f t="shared" si="54"/>
        <v>109450</v>
      </c>
    </row>
    <row r="1088" spans="1:13" ht="21.95" customHeight="1" x14ac:dyDescent="0.25">
      <c r="A1088" s="36" t="s">
        <v>2904</v>
      </c>
      <c r="B1088" s="36" t="str">
        <f t="shared" si="55"/>
        <v>MI_BATTLE CREEK, MI MSA</v>
      </c>
      <c r="D1088" s="265" t="s">
        <v>83</v>
      </c>
      <c r="E1088" s="266" t="s">
        <v>3916</v>
      </c>
      <c r="F1088" s="252">
        <f t="shared" si="54"/>
        <v>45850</v>
      </c>
      <c r="G1088" s="252">
        <f t="shared" si="54"/>
        <v>52400</v>
      </c>
      <c r="H1088" s="252">
        <f t="shared" si="54"/>
        <v>58950</v>
      </c>
      <c r="I1088" s="252">
        <f t="shared" si="54"/>
        <v>65500</v>
      </c>
      <c r="J1088" s="252">
        <f t="shared" si="54"/>
        <v>70750</v>
      </c>
      <c r="K1088" s="252">
        <f t="shared" si="54"/>
        <v>76000</v>
      </c>
      <c r="L1088" s="252">
        <f t="shared" si="54"/>
        <v>81250</v>
      </c>
      <c r="M1088" s="252">
        <f t="shared" si="54"/>
        <v>86500</v>
      </c>
    </row>
    <row r="1089" spans="1:13" ht="21.95" customHeight="1" x14ac:dyDescent="0.25">
      <c r="A1089" s="36" t="s">
        <v>2904</v>
      </c>
      <c r="B1089" s="36" t="str">
        <f t="shared" si="55"/>
        <v>MI_BAY CITY, MI MSA</v>
      </c>
      <c r="D1089" s="265" t="s">
        <v>83</v>
      </c>
      <c r="E1089" s="266" t="s">
        <v>3917</v>
      </c>
      <c r="F1089" s="252">
        <f t="shared" si="54"/>
        <v>46900</v>
      </c>
      <c r="G1089" s="252">
        <f t="shared" si="54"/>
        <v>53600</v>
      </c>
      <c r="H1089" s="252">
        <f t="shared" si="54"/>
        <v>60300</v>
      </c>
      <c r="I1089" s="252">
        <f t="shared" si="54"/>
        <v>66950</v>
      </c>
      <c r="J1089" s="252">
        <f t="shared" si="54"/>
        <v>72350</v>
      </c>
      <c r="K1089" s="252">
        <f t="shared" si="54"/>
        <v>77700</v>
      </c>
      <c r="L1089" s="252">
        <f t="shared" si="54"/>
        <v>83050</v>
      </c>
      <c r="M1089" s="252">
        <f t="shared" si="54"/>
        <v>88400</v>
      </c>
    </row>
    <row r="1090" spans="1:13" ht="21.95" customHeight="1" x14ac:dyDescent="0.25">
      <c r="A1090" s="36" t="s">
        <v>2904</v>
      </c>
      <c r="B1090" s="36" t="str">
        <f t="shared" si="55"/>
        <v>MI_BENZIE COUNTY, MI HUD METRO FMR AREA</v>
      </c>
      <c r="D1090" s="265" t="s">
        <v>83</v>
      </c>
      <c r="E1090" s="266" t="s">
        <v>9197</v>
      </c>
      <c r="F1090" s="252">
        <f t="shared" si="54"/>
        <v>53600</v>
      </c>
      <c r="G1090" s="252">
        <f t="shared" si="54"/>
        <v>61250</v>
      </c>
      <c r="H1090" s="252">
        <f t="shared" si="54"/>
        <v>68900</v>
      </c>
      <c r="I1090" s="252">
        <f t="shared" si="54"/>
        <v>76550</v>
      </c>
      <c r="J1090" s="252">
        <f t="shared" si="54"/>
        <v>82700</v>
      </c>
      <c r="K1090" s="252">
        <f t="shared" si="54"/>
        <v>88800</v>
      </c>
      <c r="L1090" s="252">
        <f t="shared" si="54"/>
        <v>94950</v>
      </c>
      <c r="M1090" s="252">
        <f t="shared" si="54"/>
        <v>101050</v>
      </c>
    </row>
    <row r="1091" spans="1:13" ht="21.95" customHeight="1" x14ac:dyDescent="0.25">
      <c r="A1091" s="36" t="s">
        <v>2904</v>
      </c>
      <c r="B1091" s="36" t="str">
        <f t="shared" si="55"/>
        <v>MI_BRANCH COUNTY, MI</v>
      </c>
      <c r="D1091" s="265" t="s">
        <v>83</v>
      </c>
      <c r="E1091" s="266" t="s">
        <v>3918</v>
      </c>
      <c r="F1091" s="252">
        <f t="shared" si="54"/>
        <v>46100</v>
      </c>
      <c r="G1091" s="252">
        <f t="shared" si="54"/>
        <v>52700</v>
      </c>
      <c r="H1091" s="252">
        <f t="shared" si="54"/>
        <v>59300</v>
      </c>
      <c r="I1091" s="252">
        <f t="shared" si="54"/>
        <v>65850</v>
      </c>
      <c r="J1091" s="252">
        <f t="shared" si="54"/>
        <v>71150</v>
      </c>
      <c r="K1091" s="252">
        <f t="shared" si="54"/>
        <v>76400</v>
      </c>
      <c r="L1091" s="252">
        <f t="shared" si="54"/>
        <v>81700</v>
      </c>
      <c r="M1091" s="252">
        <f t="shared" si="54"/>
        <v>86950</v>
      </c>
    </row>
    <row r="1092" spans="1:13" ht="21.95" customHeight="1" x14ac:dyDescent="0.25">
      <c r="A1092" s="36" t="s">
        <v>2904</v>
      </c>
      <c r="B1092" s="36" t="str">
        <f t="shared" si="55"/>
        <v>MI_CASS COUNTY, MI HUD METRO FMR AREA</v>
      </c>
      <c r="D1092" s="265" t="s">
        <v>83</v>
      </c>
      <c r="E1092" s="266" t="s">
        <v>3919</v>
      </c>
      <c r="F1092" s="252">
        <f t="shared" si="54"/>
        <v>51600</v>
      </c>
      <c r="G1092" s="252">
        <f t="shared" si="54"/>
        <v>59000</v>
      </c>
      <c r="H1092" s="252">
        <f t="shared" si="54"/>
        <v>66350</v>
      </c>
      <c r="I1092" s="252">
        <f t="shared" si="54"/>
        <v>73700</v>
      </c>
      <c r="J1092" s="252">
        <f t="shared" si="54"/>
        <v>79600</v>
      </c>
      <c r="K1092" s="252">
        <f t="shared" si="54"/>
        <v>85500</v>
      </c>
      <c r="L1092" s="252">
        <f t="shared" si="54"/>
        <v>91400</v>
      </c>
      <c r="M1092" s="252">
        <f t="shared" si="54"/>
        <v>97300</v>
      </c>
    </row>
    <row r="1093" spans="1:13" ht="21.95" customHeight="1" x14ac:dyDescent="0.25">
      <c r="A1093" s="36" t="s">
        <v>2904</v>
      </c>
      <c r="B1093" s="36" t="str">
        <f t="shared" si="55"/>
        <v>MI_CHARLEVOIX COUNTY, MI</v>
      </c>
      <c r="D1093" s="265" t="s">
        <v>83</v>
      </c>
      <c r="E1093" s="266" t="s">
        <v>3920</v>
      </c>
      <c r="F1093" s="252">
        <f t="shared" si="54"/>
        <v>55850</v>
      </c>
      <c r="G1093" s="252">
        <f t="shared" si="54"/>
        <v>63800</v>
      </c>
      <c r="H1093" s="252">
        <f t="shared" si="54"/>
        <v>71800</v>
      </c>
      <c r="I1093" s="252">
        <f t="shared" si="54"/>
        <v>79750</v>
      </c>
      <c r="J1093" s="252">
        <f t="shared" si="54"/>
        <v>86150</v>
      </c>
      <c r="K1093" s="252">
        <f t="shared" si="54"/>
        <v>92550</v>
      </c>
      <c r="L1093" s="252">
        <f t="shared" si="54"/>
        <v>98900</v>
      </c>
      <c r="M1093" s="252">
        <f t="shared" si="54"/>
        <v>105300</v>
      </c>
    </row>
    <row r="1094" spans="1:13" ht="21.95" customHeight="1" x14ac:dyDescent="0.25">
      <c r="A1094" s="36" t="s">
        <v>2904</v>
      </c>
      <c r="B1094" s="36" t="str">
        <f t="shared" si="55"/>
        <v>MI_CHEBOYGAN COUNTY, MI</v>
      </c>
      <c r="D1094" s="265" t="s">
        <v>83</v>
      </c>
      <c r="E1094" s="266" t="s">
        <v>3921</v>
      </c>
      <c r="F1094" s="252">
        <f t="shared" ref="F1094:M1125" si="56">VLOOKUP($B1094,LOOKUP_AMI_TABLE,5+((F$7-1)),FALSE)</f>
        <v>45850</v>
      </c>
      <c r="G1094" s="252">
        <f t="shared" si="56"/>
        <v>52400</v>
      </c>
      <c r="H1094" s="252">
        <f t="shared" si="56"/>
        <v>58950</v>
      </c>
      <c r="I1094" s="252">
        <f t="shared" si="56"/>
        <v>65500</v>
      </c>
      <c r="J1094" s="252">
        <f t="shared" si="56"/>
        <v>70750</v>
      </c>
      <c r="K1094" s="252">
        <f t="shared" si="56"/>
        <v>76000</v>
      </c>
      <c r="L1094" s="252">
        <f t="shared" si="56"/>
        <v>81250</v>
      </c>
      <c r="M1094" s="252">
        <f t="shared" si="56"/>
        <v>86500</v>
      </c>
    </row>
    <row r="1095" spans="1:13" ht="21.95" customHeight="1" x14ac:dyDescent="0.25">
      <c r="A1095" s="36" t="s">
        <v>2904</v>
      </c>
      <c r="B1095" s="36" t="str">
        <f t="shared" si="55"/>
        <v>MI_CHIPPEWA COUNTY, MI</v>
      </c>
      <c r="D1095" s="265" t="s">
        <v>83</v>
      </c>
      <c r="E1095" s="266" t="s">
        <v>3922</v>
      </c>
      <c r="F1095" s="252">
        <f t="shared" si="56"/>
        <v>48100</v>
      </c>
      <c r="G1095" s="252">
        <f t="shared" si="56"/>
        <v>55000</v>
      </c>
      <c r="H1095" s="252">
        <f t="shared" si="56"/>
        <v>61850</v>
      </c>
      <c r="I1095" s="252">
        <f t="shared" si="56"/>
        <v>68700</v>
      </c>
      <c r="J1095" s="252">
        <f t="shared" si="56"/>
        <v>74200</v>
      </c>
      <c r="K1095" s="252">
        <f t="shared" si="56"/>
        <v>79700</v>
      </c>
      <c r="L1095" s="252">
        <f t="shared" si="56"/>
        <v>85200</v>
      </c>
      <c r="M1095" s="252">
        <f t="shared" si="56"/>
        <v>90700</v>
      </c>
    </row>
    <row r="1096" spans="1:13" ht="21.95" customHeight="1" x14ac:dyDescent="0.25">
      <c r="A1096" s="36" t="s">
        <v>2904</v>
      </c>
      <c r="B1096" s="36" t="str">
        <f t="shared" si="55"/>
        <v>MI_CLARE COUNTY, MI</v>
      </c>
      <c r="D1096" s="265" t="s">
        <v>83</v>
      </c>
      <c r="E1096" s="266" t="s">
        <v>3923</v>
      </c>
      <c r="F1096" s="252">
        <f t="shared" si="56"/>
        <v>45850</v>
      </c>
      <c r="G1096" s="252">
        <f t="shared" si="56"/>
        <v>52400</v>
      </c>
      <c r="H1096" s="252">
        <f t="shared" si="56"/>
        <v>58950</v>
      </c>
      <c r="I1096" s="252">
        <f t="shared" si="56"/>
        <v>65500</v>
      </c>
      <c r="J1096" s="252">
        <f t="shared" si="56"/>
        <v>70750</v>
      </c>
      <c r="K1096" s="252">
        <f t="shared" si="56"/>
        <v>76000</v>
      </c>
      <c r="L1096" s="252">
        <f t="shared" si="56"/>
        <v>81250</v>
      </c>
      <c r="M1096" s="252">
        <f t="shared" si="56"/>
        <v>86500</v>
      </c>
    </row>
    <row r="1097" spans="1:13" ht="21.95" customHeight="1" x14ac:dyDescent="0.25">
      <c r="A1097" s="36" t="s">
        <v>2904</v>
      </c>
      <c r="B1097" s="36" t="str">
        <f t="shared" si="55"/>
        <v>MI_CRAWFORD COUNTY, MI</v>
      </c>
      <c r="D1097" s="265" t="s">
        <v>83</v>
      </c>
      <c r="E1097" s="266" t="s">
        <v>3924</v>
      </c>
      <c r="F1097" s="252">
        <f t="shared" si="56"/>
        <v>45850</v>
      </c>
      <c r="G1097" s="252">
        <f t="shared" si="56"/>
        <v>52400</v>
      </c>
      <c r="H1097" s="252">
        <f t="shared" si="56"/>
        <v>58950</v>
      </c>
      <c r="I1097" s="252">
        <f t="shared" si="56"/>
        <v>65500</v>
      </c>
      <c r="J1097" s="252">
        <f t="shared" si="56"/>
        <v>70750</v>
      </c>
      <c r="K1097" s="252">
        <f t="shared" si="56"/>
        <v>76000</v>
      </c>
      <c r="L1097" s="252">
        <f t="shared" si="56"/>
        <v>81250</v>
      </c>
      <c r="M1097" s="252">
        <f t="shared" si="56"/>
        <v>86500</v>
      </c>
    </row>
    <row r="1098" spans="1:13" ht="21.95" customHeight="1" x14ac:dyDescent="0.25">
      <c r="A1098" s="36" t="s">
        <v>2904</v>
      </c>
      <c r="B1098" s="36" t="str">
        <f t="shared" si="55"/>
        <v>MI_DELTA COUNTY, MI</v>
      </c>
      <c r="D1098" s="265" t="s">
        <v>83</v>
      </c>
      <c r="E1098" s="266" t="s">
        <v>3925</v>
      </c>
      <c r="F1098" s="252">
        <f t="shared" si="56"/>
        <v>45850</v>
      </c>
      <c r="G1098" s="252">
        <f t="shared" si="56"/>
        <v>52400</v>
      </c>
      <c r="H1098" s="252">
        <f t="shared" si="56"/>
        <v>58950</v>
      </c>
      <c r="I1098" s="252">
        <f t="shared" si="56"/>
        <v>65500</v>
      </c>
      <c r="J1098" s="252">
        <f t="shared" si="56"/>
        <v>70750</v>
      </c>
      <c r="K1098" s="252">
        <f t="shared" si="56"/>
        <v>76000</v>
      </c>
      <c r="L1098" s="252">
        <f t="shared" si="56"/>
        <v>81250</v>
      </c>
      <c r="M1098" s="252">
        <f t="shared" si="56"/>
        <v>86500</v>
      </c>
    </row>
    <row r="1099" spans="1:13" ht="21.95" customHeight="1" x14ac:dyDescent="0.25">
      <c r="A1099" s="36" t="s">
        <v>2904</v>
      </c>
      <c r="B1099" s="36" t="str">
        <f t="shared" si="55"/>
        <v>MI_DETROIT-WARREN-LIVONIA, MI HUD METRO FMR AREA</v>
      </c>
      <c r="D1099" s="265" t="s">
        <v>83</v>
      </c>
      <c r="E1099" s="266" t="s">
        <v>3926</v>
      </c>
      <c r="F1099" s="252">
        <f t="shared" si="56"/>
        <v>56600</v>
      </c>
      <c r="G1099" s="252">
        <f t="shared" si="56"/>
        <v>64650</v>
      </c>
      <c r="H1099" s="252">
        <f t="shared" si="56"/>
        <v>72750</v>
      </c>
      <c r="I1099" s="252">
        <f t="shared" si="56"/>
        <v>80800</v>
      </c>
      <c r="J1099" s="252">
        <f t="shared" si="56"/>
        <v>87300</v>
      </c>
      <c r="K1099" s="252">
        <f t="shared" si="56"/>
        <v>93750</v>
      </c>
      <c r="L1099" s="252">
        <f t="shared" si="56"/>
        <v>100200</v>
      </c>
      <c r="M1099" s="252">
        <f t="shared" si="56"/>
        <v>106700</v>
      </c>
    </row>
    <row r="1100" spans="1:13" ht="21.95" customHeight="1" x14ac:dyDescent="0.25">
      <c r="A1100" s="36" t="s">
        <v>2904</v>
      </c>
      <c r="B1100" s="36" t="str">
        <f t="shared" si="55"/>
        <v>MI_DICKINSON COUNTY, MI</v>
      </c>
      <c r="D1100" s="265" t="s">
        <v>83</v>
      </c>
      <c r="E1100" s="266" t="s">
        <v>3927</v>
      </c>
      <c r="F1100" s="252">
        <f t="shared" si="56"/>
        <v>46550</v>
      </c>
      <c r="G1100" s="252">
        <f t="shared" si="56"/>
        <v>53200</v>
      </c>
      <c r="H1100" s="252">
        <f t="shared" si="56"/>
        <v>59850</v>
      </c>
      <c r="I1100" s="252">
        <f t="shared" si="56"/>
        <v>66500</v>
      </c>
      <c r="J1100" s="252">
        <f t="shared" si="56"/>
        <v>71850</v>
      </c>
      <c r="K1100" s="252">
        <f t="shared" si="56"/>
        <v>77150</v>
      </c>
      <c r="L1100" s="252">
        <f t="shared" si="56"/>
        <v>82500</v>
      </c>
      <c r="M1100" s="252">
        <f t="shared" si="56"/>
        <v>87800</v>
      </c>
    </row>
    <row r="1101" spans="1:13" ht="21.95" customHeight="1" x14ac:dyDescent="0.25">
      <c r="A1101" s="36" t="s">
        <v>2904</v>
      </c>
      <c r="B1101" s="36" t="str">
        <f t="shared" si="55"/>
        <v>MI_EMMET COUNTY, MI</v>
      </c>
      <c r="D1101" s="265" t="s">
        <v>83</v>
      </c>
      <c r="E1101" s="266" t="s">
        <v>3928</v>
      </c>
      <c r="F1101" s="252">
        <f t="shared" si="56"/>
        <v>54700</v>
      </c>
      <c r="G1101" s="252">
        <f t="shared" si="56"/>
        <v>62500</v>
      </c>
      <c r="H1101" s="252">
        <f t="shared" si="56"/>
        <v>70300</v>
      </c>
      <c r="I1101" s="252">
        <f t="shared" si="56"/>
        <v>78100</v>
      </c>
      <c r="J1101" s="252">
        <f t="shared" si="56"/>
        <v>84350</v>
      </c>
      <c r="K1101" s="252">
        <f t="shared" si="56"/>
        <v>90600</v>
      </c>
      <c r="L1101" s="252">
        <f t="shared" si="56"/>
        <v>96850</v>
      </c>
      <c r="M1101" s="252">
        <f t="shared" si="56"/>
        <v>103100</v>
      </c>
    </row>
    <row r="1102" spans="1:13" ht="21.95" customHeight="1" x14ac:dyDescent="0.25">
      <c r="A1102" s="36" t="s">
        <v>2904</v>
      </c>
      <c r="B1102" s="36" t="str">
        <f t="shared" si="55"/>
        <v>MI_FLINT, MI MSA</v>
      </c>
      <c r="D1102" s="265" t="s">
        <v>83</v>
      </c>
      <c r="E1102" s="266" t="s">
        <v>3929</v>
      </c>
      <c r="F1102" s="252">
        <f t="shared" si="56"/>
        <v>46500</v>
      </c>
      <c r="G1102" s="252">
        <f t="shared" si="56"/>
        <v>53150</v>
      </c>
      <c r="H1102" s="252">
        <f t="shared" si="56"/>
        <v>59800</v>
      </c>
      <c r="I1102" s="252">
        <f t="shared" si="56"/>
        <v>66400</v>
      </c>
      <c r="J1102" s="252">
        <f t="shared" si="56"/>
        <v>71750</v>
      </c>
      <c r="K1102" s="252">
        <f t="shared" si="56"/>
        <v>77050</v>
      </c>
      <c r="L1102" s="252">
        <f t="shared" si="56"/>
        <v>82350</v>
      </c>
      <c r="M1102" s="252">
        <f t="shared" si="56"/>
        <v>87650</v>
      </c>
    </row>
    <row r="1103" spans="1:13" ht="21.95" customHeight="1" x14ac:dyDescent="0.25">
      <c r="A1103" s="36" t="s">
        <v>2904</v>
      </c>
      <c r="B1103" s="36" t="str">
        <f t="shared" si="55"/>
        <v>MI_GLADWIN COUNTY, MI</v>
      </c>
      <c r="D1103" s="265" t="s">
        <v>83</v>
      </c>
      <c r="E1103" s="266" t="s">
        <v>3930</v>
      </c>
      <c r="F1103" s="252">
        <f t="shared" si="56"/>
        <v>45850</v>
      </c>
      <c r="G1103" s="252">
        <f t="shared" si="56"/>
        <v>52400</v>
      </c>
      <c r="H1103" s="252">
        <f t="shared" si="56"/>
        <v>58950</v>
      </c>
      <c r="I1103" s="252">
        <f t="shared" si="56"/>
        <v>65500</v>
      </c>
      <c r="J1103" s="252">
        <f t="shared" si="56"/>
        <v>70750</v>
      </c>
      <c r="K1103" s="252">
        <f t="shared" si="56"/>
        <v>76000</v>
      </c>
      <c r="L1103" s="252">
        <f t="shared" si="56"/>
        <v>81250</v>
      </c>
      <c r="M1103" s="252">
        <f t="shared" si="56"/>
        <v>86500</v>
      </c>
    </row>
    <row r="1104" spans="1:13" ht="21.95" customHeight="1" x14ac:dyDescent="0.25">
      <c r="A1104" s="36" t="s">
        <v>2904</v>
      </c>
      <c r="B1104" s="36" t="str">
        <f t="shared" si="55"/>
        <v>MI_GOGEBIC COUNTY, MI</v>
      </c>
      <c r="D1104" s="265" t="s">
        <v>83</v>
      </c>
      <c r="E1104" s="266" t="s">
        <v>3931</v>
      </c>
      <c r="F1104" s="252">
        <f t="shared" si="56"/>
        <v>45850</v>
      </c>
      <c r="G1104" s="252">
        <f t="shared" si="56"/>
        <v>52400</v>
      </c>
      <c r="H1104" s="252">
        <f t="shared" si="56"/>
        <v>58950</v>
      </c>
      <c r="I1104" s="252">
        <f t="shared" si="56"/>
        <v>65500</v>
      </c>
      <c r="J1104" s="252">
        <f t="shared" si="56"/>
        <v>70750</v>
      </c>
      <c r="K1104" s="252">
        <f t="shared" si="56"/>
        <v>76000</v>
      </c>
      <c r="L1104" s="252">
        <f t="shared" si="56"/>
        <v>81250</v>
      </c>
      <c r="M1104" s="252">
        <f t="shared" si="56"/>
        <v>86500</v>
      </c>
    </row>
    <row r="1105" spans="1:13" ht="21.95" customHeight="1" x14ac:dyDescent="0.25">
      <c r="A1105" s="36" t="s">
        <v>2904</v>
      </c>
      <c r="B1105" s="36" t="str">
        <f t="shared" si="55"/>
        <v>MI_GRAND RAPIDS-WYOMING, MI HUD METRO FMR AREA</v>
      </c>
      <c r="D1105" s="265" t="s">
        <v>83</v>
      </c>
      <c r="E1105" s="266" t="s">
        <v>3932</v>
      </c>
      <c r="F1105" s="252">
        <f t="shared" si="56"/>
        <v>59600</v>
      </c>
      <c r="G1105" s="252">
        <f t="shared" si="56"/>
        <v>68100</v>
      </c>
      <c r="H1105" s="252">
        <f t="shared" si="56"/>
        <v>76600</v>
      </c>
      <c r="I1105" s="252">
        <f t="shared" si="56"/>
        <v>85100</v>
      </c>
      <c r="J1105" s="252">
        <f t="shared" si="56"/>
        <v>91950</v>
      </c>
      <c r="K1105" s="252">
        <f t="shared" si="56"/>
        <v>98750</v>
      </c>
      <c r="L1105" s="252">
        <f t="shared" si="56"/>
        <v>105550</v>
      </c>
      <c r="M1105" s="252">
        <f t="shared" si="56"/>
        <v>112350</v>
      </c>
    </row>
    <row r="1106" spans="1:13" ht="21.95" customHeight="1" x14ac:dyDescent="0.25">
      <c r="A1106" s="36" t="s">
        <v>2904</v>
      </c>
      <c r="B1106" s="36" t="str">
        <f t="shared" si="55"/>
        <v>MI_GRAND TRAVERSE COUNTY, MI HUD METRO FMR AREA</v>
      </c>
      <c r="D1106" s="265" t="s">
        <v>83</v>
      </c>
      <c r="E1106" s="266" t="s">
        <v>9200</v>
      </c>
      <c r="F1106" s="252">
        <f t="shared" si="56"/>
        <v>59450</v>
      </c>
      <c r="G1106" s="252">
        <f t="shared" si="56"/>
        <v>67950</v>
      </c>
      <c r="H1106" s="252">
        <f t="shared" si="56"/>
        <v>76450</v>
      </c>
      <c r="I1106" s="252">
        <f t="shared" si="56"/>
        <v>84900</v>
      </c>
      <c r="J1106" s="252">
        <f t="shared" si="56"/>
        <v>91700</v>
      </c>
      <c r="K1106" s="252">
        <f t="shared" si="56"/>
        <v>98500</v>
      </c>
      <c r="L1106" s="252">
        <f t="shared" si="56"/>
        <v>105300</v>
      </c>
      <c r="M1106" s="252">
        <f t="shared" si="56"/>
        <v>112100</v>
      </c>
    </row>
    <row r="1107" spans="1:13" ht="21.95" customHeight="1" x14ac:dyDescent="0.25">
      <c r="A1107" s="36" t="s">
        <v>2904</v>
      </c>
      <c r="B1107" s="36" t="str">
        <f t="shared" si="55"/>
        <v>MI_GRATIOT COUNTY, MI</v>
      </c>
      <c r="D1107" s="265" t="s">
        <v>83</v>
      </c>
      <c r="E1107" s="266" t="s">
        <v>3933</v>
      </c>
      <c r="F1107" s="252">
        <f t="shared" si="56"/>
        <v>45850</v>
      </c>
      <c r="G1107" s="252">
        <f t="shared" si="56"/>
        <v>52400</v>
      </c>
      <c r="H1107" s="252">
        <f t="shared" si="56"/>
        <v>58950</v>
      </c>
      <c r="I1107" s="252">
        <f t="shared" si="56"/>
        <v>65500</v>
      </c>
      <c r="J1107" s="252">
        <f t="shared" si="56"/>
        <v>70750</v>
      </c>
      <c r="K1107" s="252">
        <f t="shared" si="56"/>
        <v>76000</v>
      </c>
      <c r="L1107" s="252">
        <f t="shared" si="56"/>
        <v>81250</v>
      </c>
      <c r="M1107" s="252">
        <f t="shared" si="56"/>
        <v>86500</v>
      </c>
    </row>
    <row r="1108" spans="1:13" ht="21.95" customHeight="1" x14ac:dyDescent="0.25">
      <c r="A1108" s="36" t="s">
        <v>2904</v>
      </c>
      <c r="B1108" s="36" t="str">
        <f t="shared" si="55"/>
        <v>MI_HILLSDALE COUNTY, MI</v>
      </c>
      <c r="D1108" s="265" t="s">
        <v>83</v>
      </c>
      <c r="E1108" s="266" t="s">
        <v>3934</v>
      </c>
      <c r="F1108" s="252">
        <f t="shared" si="56"/>
        <v>45850</v>
      </c>
      <c r="G1108" s="252">
        <f t="shared" si="56"/>
        <v>52400</v>
      </c>
      <c r="H1108" s="252">
        <f t="shared" si="56"/>
        <v>58950</v>
      </c>
      <c r="I1108" s="252">
        <f t="shared" si="56"/>
        <v>65500</v>
      </c>
      <c r="J1108" s="252">
        <f t="shared" si="56"/>
        <v>70750</v>
      </c>
      <c r="K1108" s="252">
        <f t="shared" si="56"/>
        <v>76000</v>
      </c>
      <c r="L1108" s="252">
        <f t="shared" si="56"/>
        <v>81250</v>
      </c>
      <c r="M1108" s="252">
        <f t="shared" si="56"/>
        <v>86500</v>
      </c>
    </row>
    <row r="1109" spans="1:13" ht="21.95" customHeight="1" x14ac:dyDescent="0.25">
      <c r="A1109" s="36" t="s">
        <v>2904</v>
      </c>
      <c r="B1109" s="36" t="str">
        <f t="shared" si="55"/>
        <v>MI_HOLLAND-GRAND HAVEN, MI HUD METRO FMR AREA</v>
      </c>
      <c r="D1109" s="265" t="s">
        <v>83</v>
      </c>
      <c r="E1109" s="266" t="s">
        <v>3935</v>
      </c>
      <c r="F1109" s="252">
        <f t="shared" si="56"/>
        <v>61950</v>
      </c>
      <c r="G1109" s="252">
        <f t="shared" si="56"/>
        <v>70800</v>
      </c>
      <c r="H1109" s="252">
        <f t="shared" si="56"/>
        <v>79650</v>
      </c>
      <c r="I1109" s="252">
        <f t="shared" si="56"/>
        <v>88500</v>
      </c>
      <c r="J1109" s="252">
        <f t="shared" si="56"/>
        <v>95600</v>
      </c>
      <c r="K1109" s="252">
        <f t="shared" si="56"/>
        <v>102700</v>
      </c>
      <c r="L1109" s="252">
        <f t="shared" si="56"/>
        <v>109750</v>
      </c>
      <c r="M1109" s="252">
        <f t="shared" si="56"/>
        <v>116850</v>
      </c>
    </row>
    <row r="1110" spans="1:13" ht="21.95" customHeight="1" x14ac:dyDescent="0.25">
      <c r="A1110" s="36" t="s">
        <v>2904</v>
      </c>
      <c r="B1110" s="36" t="str">
        <f t="shared" si="55"/>
        <v>MI_HOUGHTON COUNTY, MI</v>
      </c>
      <c r="D1110" s="265" t="s">
        <v>83</v>
      </c>
      <c r="E1110" s="266" t="s">
        <v>3936</v>
      </c>
      <c r="F1110" s="252">
        <f t="shared" si="56"/>
        <v>49400</v>
      </c>
      <c r="G1110" s="252">
        <f t="shared" si="56"/>
        <v>56450</v>
      </c>
      <c r="H1110" s="252">
        <f t="shared" si="56"/>
        <v>63500</v>
      </c>
      <c r="I1110" s="252">
        <f t="shared" si="56"/>
        <v>70550</v>
      </c>
      <c r="J1110" s="252">
        <f t="shared" si="56"/>
        <v>76200</v>
      </c>
      <c r="K1110" s="252">
        <f t="shared" si="56"/>
        <v>81850</v>
      </c>
      <c r="L1110" s="252">
        <f t="shared" si="56"/>
        <v>87500</v>
      </c>
      <c r="M1110" s="252">
        <f t="shared" si="56"/>
        <v>93150</v>
      </c>
    </row>
    <row r="1111" spans="1:13" ht="21.95" customHeight="1" x14ac:dyDescent="0.25">
      <c r="A1111" s="36" t="s">
        <v>2904</v>
      </c>
      <c r="B1111" s="36" t="str">
        <f t="shared" si="55"/>
        <v>MI_HURON COUNTY, MI</v>
      </c>
      <c r="D1111" s="265" t="s">
        <v>83</v>
      </c>
      <c r="E1111" s="266" t="s">
        <v>3937</v>
      </c>
      <c r="F1111" s="252">
        <f t="shared" si="56"/>
        <v>45850</v>
      </c>
      <c r="G1111" s="252">
        <f t="shared" si="56"/>
        <v>52400</v>
      </c>
      <c r="H1111" s="252">
        <f t="shared" si="56"/>
        <v>58950</v>
      </c>
      <c r="I1111" s="252">
        <f t="shared" si="56"/>
        <v>65500</v>
      </c>
      <c r="J1111" s="252">
        <f t="shared" si="56"/>
        <v>70750</v>
      </c>
      <c r="K1111" s="252">
        <f t="shared" si="56"/>
        <v>76000</v>
      </c>
      <c r="L1111" s="252">
        <f t="shared" si="56"/>
        <v>81250</v>
      </c>
      <c r="M1111" s="252">
        <f t="shared" si="56"/>
        <v>86500</v>
      </c>
    </row>
    <row r="1112" spans="1:13" ht="21.95" customHeight="1" x14ac:dyDescent="0.25">
      <c r="A1112" s="36" t="s">
        <v>2904</v>
      </c>
      <c r="B1112" s="36" t="str">
        <f t="shared" si="55"/>
        <v>MI_IONIA COUNTY, MI HUD METRO FMR AREA</v>
      </c>
      <c r="D1112" s="265" t="s">
        <v>83</v>
      </c>
      <c r="E1112" s="266" t="s">
        <v>3938</v>
      </c>
      <c r="F1112" s="252">
        <f t="shared" si="56"/>
        <v>46700</v>
      </c>
      <c r="G1112" s="252">
        <f t="shared" si="56"/>
        <v>53350</v>
      </c>
      <c r="H1112" s="252">
        <f t="shared" si="56"/>
        <v>60000</v>
      </c>
      <c r="I1112" s="252">
        <f t="shared" si="56"/>
        <v>66650</v>
      </c>
      <c r="J1112" s="252">
        <f t="shared" si="56"/>
        <v>72000</v>
      </c>
      <c r="K1112" s="252">
        <f t="shared" si="56"/>
        <v>77350</v>
      </c>
      <c r="L1112" s="252">
        <f t="shared" si="56"/>
        <v>82650</v>
      </c>
      <c r="M1112" s="252">
        <f t="shared" si="56"/>
        <v>88000</v>
      </c>
    </row>
    <row r="1113" spans="1:13" ht="21.95" customHeight="1" x14ac:dyDescent="0.25">
      <c r="A1113" s="36" t="s">
        <v>2904</v>
      </c>
      <c r="B1113" s="36" t="str">
        <f t="shared" si="55"/>
        <v>MI_IOSCO COUNTY, MI</v>
      </c>
      <c r="D1113" s="265" t="s">
        <v>83</v>
      </c>
      <c r="E1113" s="266" t="s">
        <v>3939</v>
      </c>
      <c r="F1113" s="252">
        <f t="shared" si="56"/>
        <v>45850</v>
      </c>
      <c r="G1113" s="252">
        <f t="shared" si="56"/>
        <v>52400</v>
      </c>
      <c r="H1113" s="252">
        <f t="shared" si="56"/>
        <v>58950</v>
      </c>
      <c r="I1113" s="252">
        <f t="shared" si="56"/>
        <v>65500</v>
      </c>
      <c r="J1113" s="252">
        <f t="shared" si="56"/>
        <v>70750</v>
      </c>
      <c r="K1113" s="252">
        <f t="shared" si="56"/>
        <v>76000</v>
      </c>
      <c r="L1113" s="252">
        <f t="shared" si="56"/>
        <v>81250</v>
      </c>
      <c r="M1113" s="252">
        <f t="shared" si="56"/>
        <v>86500</v>
      </c>
    </row>
    <row r="1114" spans="1:13" ht="21.95" customHeight="1" x14ac:dyDescent="0.25">
      <c r="A1114" s="36" t="s">
        <v>2904</v>
      </c>
      <c r="B1114" s="36" t="str">
        <f t="shared" si="55"/>
        <v>MI_IRON COUNTY, MI</v>
      </c>
      <c r="D1114" s="265" t="s">
        <v>83</v>
      </c>
      <c r="E1114" s="266" t="s">
        <v>3940</v>
      </c>
      <c r="F1114" s="252">
        <f t="shared" si="56"/>
        <v>45850</v>
      </c>
      <c r="G1114" s="252">
        <f t="shared" si="56"/>
        <v>52400</v>
      </c>
      <c r="H1114" s="252">
        <f t="shared" si="56"/>
        <v>58950</v>
      </c>
      <c r="I1114" s="252">
        <f t="shared" si="56"/>
        <v>65500</v>
      </c>
      <c r="J1114" s="252">
        <f t="shared" si="56"/>
        <v>70750</v>
      </c>
      <c r="K1114" s="252">
        <f t="shared" si="56"/>
        <v>76000</v>
      </c>
      <c r="L1114" s="252">
        <f t="shared" si="56"/>
        <v>81250</v>
      </c>
      <c r="M1114" s="252">
        <f t="shared" si="56"/>
        <v>86500</v>
      </c>
    </row>
    <row r="1115" spans="1:13" ht="21.95" customHeight="1" x14ac:dyDescent="0.25">
      <c r="A1115" s="36" t="s">
        <v>2904</v>
      </c>
      <c r="B1115" s="36" t="str">
        <f t="shared" si="55"/>
        <v>MI_ISABELLA COUNTY, MI</v>
      </c>
      <c r="D1115" s="265" t="s">
        <v>83</v>
      </c>
      <c r="E1115" s="266" t="s">
        <v>3941</v>
      </c>
      <c r="F1115" s="252">
        <f t="shared" si="56"/>
        <v>45850</v>
      </c>
      <c r="G1115" s="252">
        <f t="shared" si="56"/>
        <v>52400</v>
      </c>
      <c r="H1115" s="252">
        <f t="shared" si="56"/>
        <v>58950</v>
      </c>
      <c r="I1115" s="252">
        <f t="shared" si="56"/>
        <v>65500</v>
      </c>
      <c r="J1115" s="252">
        <f t="shared" si="56"/>
        <v>70750</v>
      </c>
      <c r="K1115" s="252">
        <f t="shared" si="56"/>
        <v>76000</v>
      </c>
      <c r="L1115" s="252">
        <f t="shared" si="56"/>
        <v>81250</v>
      </c>
      <c r="M1115" s="252">
        <f t="shared" si="56"/>
        <v>86500</v>
      </c>
    </row>
    <row r="1116" spans="1:13" ht="21.95" customHeight="1" x14ac:dyDescent="0.25">
      <c r="A1116" s="36" t="s">
        <v>2904</v>
      </c>
      <c r="B1116" s="36" t="str">
        <f t="shared" si="55"/>
        <v>MI_JACKSON, MI MSA</v>
      </c>
      <c r="D1116" s="265" t="s">
        <v>83</v>
      </c>
      <c r="E1116" s="266" t="s">
        <v>3942</v>
      </c>
      <c r="F1116" s="252">
        <f t="shared" si="56"/>
        <v>47250</v>
      </c>
      <c r="G1116" s="252">
        <f t="shared" si="56"/>
        <v>54000</v>
      </c>
      <c r="H1116" s="252">
        <f t="shared" si="56"/>
        <v>60750</v>
      </c>
      <c r="I1116" s="252">
        <f t="shared" si="56"/>
        <v>67450</v>
      </c>
      <c r="J1116" s="252">
        <f t="shared" si="56"/>
        <v>72850</v>
      </c>
      <c r="K1116" s="252">
        <f t="shared" si="56"/>
        <v>78250</v>
      </c>
      <c r="L1116" s="252">
        <f t="shared" si="56"/>
        <v>83650</v>
      </c>
      <c r="M1116" s="252">
        <f t="shared" si="56"/>
        <v>89050</v>
      </c>
    </row>
    <row r="1117" spans="1:13" ht="21.95" customHeight="1" x14ac:dyDescent="0.25">
      <c r="A1117" s="36" t="s">
        <v>2904</v>
      </c>
      <c r="B1117" s="36" t="str">
        <f t="shared" si="55"/>
        <v>MI_KALAMAZOO-PORTAGE, MI MSA</v>
      </c>
      <c r="D1117" s="265" t="s">
        <v>83</v>
      </c>
      <c r="E1117" s="266" t="s">
        <v>3943</v>
      </c>
      <c r="F1117" s="252">
        <f t="shared" si="56"/>
        <v>53700</v>
      </c>
      <c r="G1117" s="252">
        <f t="shared" si="56"/>
        <v>61350</v>
      </c>
      <c r="H1117" s="252">
        <f t="shared" si="56"/>
        <v>69000</v>
      </c>
      <c r="I1117" s="252">
        <f t="shared" si="56"/>
        <v>76650</v>
      </c>
      <c r="J1117" s="252">
        <f t="shared" si="56"/>
        <v>82800</v>
      </c>
      <c r="K1117" s="252">
        <f t="shared" si="56"/>
        <v>88950</v>
      </c>
      <c r="L1117" s="252">
        <f t="shared" si="56"/>
        <v>95050</v>
      </c>
      <c r="M1117" s="252">
        <f t="shared" si="56"/>
        <v>101200</v>
      </c>
    </row>
    <row r="1118" spans="1:13" ht="21.95" customHeight="1" x14ac:dyDescent="0.25">
      <c r="A1118" s="36" t="s">
        <v>2904</v>
      </c>
      <c r="B1118" s="36" t="str">
        <f t="shared" si="55"/>
        <v>MI_KALKASKA COUNTY, MI HUD METRO FMR AREA</v>
      </c>
      <c r="D1118" s="265" t="s">
        <v>83</v>
      </c>
      <c r="E1118" s="266" t="s">
        <v>9201</v>
      </c>
      <c r="F1118" s="252">
        <f t="shared" si="56"/>
        <v>46450</v>
      </c>
      <c r="G1118" s="252">
        <f t="shared" si="56"/>
        <v>53050</v>
      </c>
      <c r="H1118" s="252">
        <f t="shared" si="56"/>
        <v>59700</v>
      </c>
      <c r="I1118" s="252">
        <f t="shared" si="56"/>
        <v>66300</v>
      </c>
      <c r="J1118" s="252">
        <f t="shared" si="56"/>
        <v>71650</v>
      </c>
      <c r="K1118" s="252">
        <f t="shared" si="56"/>
        <v>76950</v>
      </c>
      <c r="L1118" s="252">
        <f t="shared" si="56"/>
        <v>82250</v>
      </c>
      <c r="M1118" s="252">
        <f t="shared" si="56"/>
        <v>87550</v>
      </c>
    </row>
    <row r="1119" spans="1:13" ht="21.95" customHeight="1" x14ac:dyDescent="0.25">
      <c r="A1119" s="36" t="s">
        <v>2904</v>
      </c>
      <c r="B1119" s="36" t="str">
        <f t="shared" si="55"/>
        <v>MI_KEWEENAW COUNTY, MI</v>
      </c>
      <c r="D1119" s="265" t="s">
        <v>83</v>
      </c>
      <c r="E1119" s="266" t="s">
        <v>3944</v>
      </c>
      <c r="F1119" s="252">
        <f t="shared" si="56"/>
        <v>50500</v>
      </c>
      <c r="G1119" s="252">
        <f t="shared" si="56"/>
        <v>57700</v>
      </c>
      <c r="H1119" s="252">
        <f t="shared" si="56"/>
        <v>64900</v>
      </c>
      <c r="I1119" s="252">
        <f t="shared" si="56"/>
        <v>72100</v>
      </c>
      <c r="J1119" s="252">
        <f t="shared" si="56"/>
        <v>77900</v>
      </c>
      <c r="K1119" s="252">
        <f t="shared" si="56"/>
        <v>83650</v>
      </c>
      <c r="L1119" s="252">
        <f t="shared" si="56"/>
        <v>89450</v>
      </c>
      <c r="M1119" s="252">
        <f t="shared" si="56"/>
        <v>95200</v>
      </c>
    </row>
    <row r="1120" spans="1:13" ht="21.95" customHeight="1" x14ac:dyDescent="0.25">
      <c r="A1120" s="36" t="s">
        <v>2904</v>
      </c>
      <c r="B1120" s="36" t="str">
        <f t="shared" si="55"/>
        <v>MI_LAKE COUNTY, MI</v>
      </c>
      <c r="D1120" s="265" t="s">
        <v>83</v>
      </c>
      <c r="E1120" s="266" t="s">
        <v>3945</v>
      </c>
      <c r="F1120" s="252">
        <f t="shared" si="56"/>
        <v>45850</v>
      </c>
      <c r="G1120" s="252">
        <f t="shared" si="56"/>
        <v>52400</v>
      </c>
      <c r="H1120" s="252">
        <f t="shared" si="56"/>
        <v>58950</v>
      </c>
      <c r="I1120" s="252">
        <f t="shared" si="56"/>
        <v>65500</v>
      </c>
      <c r="J1120" s="252">
        <f t="shared" si="56"/>
        <v>70750</v>
      </c>
      <c r="K1120" s="252">
        <f t="shared" si="56"/>
        <v>76000</v>
      </c>
      <c r="L1120" s="252">
        <f t="shared" si="56"/>
        <v>81250</v>
      </c>
      <c r="M1120" s="252">
        <f t="shared" si="56"/>
        <v>86500</v>
      </c>
    </row>
    <row r="1121" spans="1:13" ht="21.95" customHeight="1" x14ac:dyDescent="0.25">
      <c r="A1121" s="36" t="s">
        <v>2904</v>
      </c>
      <c r="B1121" s="36" t="str">
        <f t="shared" si="55"/>
        <v>MI_LANSING-EAST LANSING, MI MSA</v>
      </c>
      <c r="D1121" s="265" t="s">
        <v>83</v>
      </c>
      <c r="E1121" s="266" t="s">
        <v>9199</v>
      </c>
      <c r="F1121" s="252">
        <f t="shared" si="56"/>
        <v>56500</v>
      </c>
      <c r="G1121" s="252">
        <f t="shared" si="56"/>
        <v>64550</v>
      </c>
      <c r="H1121" s="252">
        <f t="shared" si="56"/>
        <v>72600</v>
      </c>
      <c r="I1121" s="252">
        <f t="shared" si="56"/>
        <v>80650</v>
      </c>
      <c r="J1121" s="252">
        <f t="shared" si="56"/>
        <v>87150</v>
      </c>
      <c r="K1121" s="252">
        <f t="shared" si="56"/>
        <v>93600</v>
      </c>
      <c r="L1121" s="252">
        <f t="shared" si="56"/>
        <v>100050</v>
      </c>
      <c r="M1121" s="252">
        <f t="shared" si="56"/>
        <v>106500</v>
      </c>
    </row>
    <row r="1122" spans="1:13" ht="21.95" customHeight="1" x14ac:dyDescent="0.25">
      <c r="A1122" s="36" t="s">
        <v>2904</v>
      </c>
      <c r="B1122" s="36" t="str">
        <f t="shared" si="55"/>
        <v>MI_LEELANAU COUNTY, MI HUD METRO FMR AREA</v>
      </c>
      <c r="D1122" s="265" t="s">
        <v>83</v>
      </c>
      <c r="E1122" s="266" t="s">
        <v>9202</v>
      </c>
      <c r="F1122" s="252">
        <f t="shared" si="56"/>
        <v>62800</v>
      </c>
      <c r="G1122" s="252">
        <f t="shared" si="56"/>
        <v>71800</v>
      </c>
      <c r="H1122" s="252">
        <f t="shared" si="56"/>
        <v>80750</v>
      </c>
      <c r="I1122" s="252">
        <f t="shared" si="56"/>
        <v>89700</v>
      </c>
      <c r="J1122" s="252">
        <f t="shared" si="56"/>
        <v>96900</v>
      </c>
      <c r="K1122" s="252">
        <f t="shared" si="56"/>
        <v>104100</v>
      </c>
      <c r="L1122" s="252">
        <f t="shared" si="56"/>
        <v>111250</v>
      </c>
      <c r="M1122" s="252">
        <f t="shared" si="56"/>
        <v>118450</v>
      </c>
    </row>
    <row r="1123" spans="1:13" ht="21.95" customHeight="1" x14ac:dyDescent="0.25">
      <c r="A1123" s="36" t="s">
        <v>2904</v>
      </c>
      <c r="B1123" s="36" t="str">
        <f t="shared" si="55"/>
        <v>MI_LENAWEE COUNTY, MI</v>
      </c>
      <c r="D1123" s="265" t="s">
        <v>83</v>
      </c>
      <c r="E1123" s="266" t="s">
        <v>3946</v>
      </c>
      <c r="F1123" s="252">
        <f t="shared" si="56"/>
        <v>47250</v>
      </c>
      <c r="G1123" s="252">
        <f t="shared" si="56"/>
        <v>54000</v>
      </c>
      <c r="H1123" s="252">
        <f t="shared" si="56"/>
        <v>60750</v>
      </c>
      <c r="I1123" s="252">
        <f t="shared" si="56"/>
        <v>67450</v>
      </c>
      <c r="J1123" s="252">
        <f t="shared" si="56"/>
        <v>72850</v>
      </c>
      <c r="K1123" s="252">
        <f t="shared" si="56"/>
        <v>78250</v>
      </c>
      <c r="L1123" s="252">
        <f t="shared" si="56"/>
        <v>83650</v>
      </c>
      <c r="M1123" s="252">
        <f t="shared" si="56"/>
        <v>89050</v>
      </c>
    </row>
    <row r="1124" spans="1:13" ht="21.95" customHeight="1" x14ac:dyDescent="0.25">
      <c r="A1124" s="36" t="s">
        <v>2904</v>
      </c>
      <c r="B1124" s="36" t="str">
        <f t="shared" si="55"/>
        <v>MI_LIVINGSTON COUNTY, MI HUD METRO FMR AREA</v>
      </c>
      <c r="D1124" s="265" t="s">
        <v>83</v>
      </c>
      <c r="E1124" s="266" t="s">
        <v>3947</v>
      </c>
      <c r="F1124" s="252">
        <f t="shared" si="56"/>
        <v>72950</v>
      </c>
      <c r="G1124" s="252">
        <f t="shared" si="56"/>
        <v>83400</v>
      </c>
      <c r="H1124" s="252">
        <f t="shared" si="56"/>
        <v>93800</v>
      </c>
      <c r="I1124" s="252">
        <f t="shared" si="56"/>
        <v>104200</v>
      </c>
      <c r="J1124" s="252">
        <f t="shared" si="56"/>
        <v>112550</v>
      </c>
      <c r="K1124" s="252">
        <f t="shared" si="56"/>
        <v>120900</v>
      </c>
      <c r="L1124" s="252">
        <f t="shared" si="56"/>
        <v>129250</v>
      </c>
      <c r="M1124" s="252">
        <f t="shared" si="56"/>
        <v>137550</v>
      </c>
    </row>
    <row r="1125" spans="1:13" ht="21.95" customHeight="1" x14ac:dyDescent="0.25">
      <c r="A1125" s="36" t="s">
        <v>2904</v>
      </c>
      <c r="B1125" s="36" t="str">
        <f t="shared" si="55"/>
        <v>MI_LUCE COUNTY, MI</v>
      </c>
      <c r="D1125" s="265" t="s">
        <v>83</v>
      </c>
      <c r="E1125" s="266" t="s">
        <v>3948</v>
      </c>
      <c r="F1125" s="252">
        <f t="shared" si="56"/>
        <v>45850</v>
      </c>
      <c r="G1125" s="252">
        <f t="shared" si="56"/>
        <v>52400</v>
      </c>
      <c r="H1125" s="252">
        <f t="shared" si="56"/>
        <v>58950</v>
      </c>
      <c r="I1125" s="252">
        <f t="shared" si="56"/>
        <v>65500</v>
      </c>
      <c r="J1125" s="252">
        <f t="shared" si="56"/>
        <v>70750</v>
      </c>
      <c r="K1125" s="252">
        <f t="shared" si="56"/>
        <v>76000</v>
      </c>
      <c r="L1125" s="252">
        <f t="shared" si="56"/>
        <v>81250</v>
      </c>
      <c r="M1125" s="252">
        <f t="shared" ref="F1125:M1157" si="57">VLOOKUP($B1125,LOOKUP_AMI_TABLE,5+((M$7-1)),FALSE)</f>
        <v>86500</v>
      </c>
    </row>
    <row r="1126" spans="1:13" ht="21.95" customHeight="1" x14ac:dyDescent="0.25">
      <c r="A1126" s="36" t="s">
        <v>2904</v>
      </c>
      <c r="B1126" s="36" t="str">
        <f t="shared" si="55"/>
        <v>MI_MACKINAC COUNTY, MI</v>
      </c>
      <c r="D1126" s="265" t="s">
        <v>83</v>
      </c>
      <c r="E1126" s="266" t="s">
        <v>3949</v>
      </c>
      <c r="F1126" s="252">
        <f t="shared" si="57"/>
        <v>45850</v>
      </c>
      <c r="G1126" s="252">
        <f t="shared" si="57"/>
        <v>52400</v>
      </c>
      <c r="H1126" s="252">
        <f t="shared" si="57"/>
        <v>58950</v>
      </c>
      <c r="I1126" s="252">
        <f t="shared" si="57"/>
        <v>65500</v>
      </c>
      <c r="J1126" s="252">
        <f t="shared" si="57"/>
        <v>70750</v>
      </c>
      <c r="K1126" s="252">
        <f t="shared" si="57"/>
        <v>76000</v>
      </c>
      <c r="L1126" s="252">
        <f t="shared" si="57"/>
        <v>81250</v>
      </c>
      <c r="M1126" s="252">
        <f t="shared" si="57"/>
        <v>86500</v>
      </c>
    </row>
    <row r="1127" spans="1:13" ht="21.95" customHeight="1" x14ac:dyDescent="0.25">
      <c r="A1127" s="36" t="s">
        <v>2904</v>
      </c>
      <c r="B1127" s="36" t="str">
        <f t="shared" si="55"/>
        <v>MI_MANISTEE COUNTY, MI</v>
      </c>
      <c r="D1127" s="265" t="s">
        <v>83</v>
      </c>
      <c r="E1127" s="266" t="s">
        <v>3950</v>
      </c>
      <c r="F1127" s="252">
        <f t="shared" si="57"/>
        <v>46700</v>
      </c>
      <c r="G1127" s="252">
        <f t="shared" si="57"/>
        <v>53400</v>
      </c>
      <c r="H1127" s="252">
        <f t="shared" si="57"/>
        <v>60050</v>
      </c>
      <c r="I1127" s="252">
        <f t="shared" si="57"/>
        <v>66700</v>
      </c>
      <c r="J1127" s="252">
        <f t="shared" si="57"/>
        <v>72050</v>
      </c>
      <c r="K1127" s="252">
        <f t="shared" si="57"/>
        <v>77400</v>
      </c>
      <c r="L1127" s="252">
        <f t="shared" si="57"/>
        <v>82750</v>
      </c>
      <c r="M1127" s="252">
        <f t="shared" si="57"/>
        <v>88050</v>
      </c>
    </row>
    <row r="1128" spans="1:13" ht="21.95" customHeight="1" x14ac:dyDescent="0.25">
      <c r="A1128" s="36" t="s">
        <v>2904</v>
      </c>
      <c r="B1128" s="36" t="str">
        <f t="shared" si="55"/>
        <v>MI_MARQUETTE COUNTY, MI</v>
      </c>
      <c r="D1128" s="265" t="s">
        <v>83</v>
      </c>
      <c r="E1128" s="266" t="s">
        <v>3951</v>
      </c>
      <c r="F1128" s="252">
        <f t="shared" si="57"/>
        <v>48850</v>
      </c>
      <c r="G1128" s="252">
        <f t="shared" si="57"/>
        <v>55800</v>
      </c>
      <c r="H1128" s="252">
        <f t="shared" si="57"/>
        <v>62800</v>
      </c>
      <c r="I1128" s="252">
        <f t="shared" si="57"/>
        <v>69750</v>
      </c>
      <c r="J1128" s="252">
        <f t="shared" si="57"/>
        <v>75350</v>
      </c>
      <c r="K1128" s="252">
        <f t="shared" si="57"/>
        <v>80950</v>
      </c>
      <c r="L1128" s="252">
        <f t="shared" si="57"/>
        <v>86500</v>
      </c>
      <c r="M1128" s="252">
        <f t="shared" si="57"/>
        <v>92100</v>
      </c>
    </row>
    <row r="1129" spans="1:13" ht="21.95" customHeight="1" x14ac:dyDescent="0.25">
      <c r="A1129" s="36" t="s">
        <v>2904</v>
      </c>
      <c r="B1129" s="36" t="str">
        <f t="shared" si="55"/>
        <v>MI_MASON COUNTY, MI</v>
      </c>
      <c r="D1129" s="265" t="s">
        <v>83</v>
      </c>
      <c r="E1129" s="266" t="s">
        <v>3952</v>
      </c>
      <c r="F1129" s="252">
        <f t="shared" si="57"/>
        <v>48550</v>
      </c>
      <c r="G1129" s="252">
        <f t="shared" si="57"/>
        <v>55450</v>
      </c>
      <c r="H1129" s="252">
        <f t="shared" si="57"/>
        <v>62400</v>
      </c>
      <c r="I1129" s="252">
        <f t="shared" si="57"/>
        <v>69300</v>
      </c>
      <c r="J1129" s="252">
        <f t="shared" si="57"/>
        <v>74850</v>
      </c>
      <c r="K1129" s="252">
        <f t="shared" si="57"/>
        <v>80400</v>
      </c>
      <c r="L1129" s="252">
        <f t="shared" si="57"/>
        <v>85950</v>
      </c>
      <c r="M1129" s="252">
        <f t="shared" si="57"/>
        <v>91500</v>
      </c>
    </row>
    <row r="1130" spans="1:13" ht="21.95" customHeight="1" x14ac:dyDescent="0.25">
      <c r="A1130" s="36" t="s">
        <v>2904</v>
      </c>
      <c r="B1130" s="36" t="str">
        <f t="shared" si="55"/>
        <v>MI_MECOSTA COUNTY, MI</v>
      </c>
      <c r="D1130" s="265" t="s">
        <v>83</v>
      </c>
      <c r="E1130" s="266" t="s">
        <v>3953</v>
      </c>
      <c r="F1130" s="252">
        <f t="shared" si="57"/>
        <v>45850</v>
      </c>
      <c r="G1130" s="252">
        <f t="shared" si="57"/>
        <v>52400</v>
      </c>
      <c r="H1130" s="252">
        <f t="shared" si="57"/>
        <v>58950</v>
      </c>
      <c r="I1130" s="252">
        <f t="shared" si="57"/>
        <v>65500</v>
      </c>
      <c r="J1130" s="252">
        <f t="shared" si="57"/>
        <v>70750</v>
      </c>
      <c r="K1130" s="252">
        <f t="shared" si="57"/>
        <v>76000</v>
      </c>
      <c r="L1130" s="252">
        <f t="shared" si="57"/>
        <v>81250</v>
      </c>
      <c r="M1130" s="252">
        <f t="shared" si="57"/>
        <v>86500</v>
      </c>
    </row>
    <row r="1131" spans="1:13" ht="21.95" customHeight="1" x14ac:dyDescent="0.25">
      <c r="A1131" s="36" t="s">
        <v>2904</v>
      </c>
      <c r="B1131" s="36" t="str">
        <f t="shared" si="55"/>
        <v>MI_MENOMINEE COUNTY, MI</v>
      </c>
      <c r="D1131" s="265" t="s">
        <v>83</v>
      </c>
      <c r="E1131" s="266" t="s">
        <v>3954</v>
      </c>
      <c r="F1131" s="252">
        <f t="shared" si="57"/>
        <v>46500</v>
      </c>
      <c r="G1131" s="252">
        <f t="shared" si="57"/>
        <v>53150</v>
      </c>
      <c r="H1131" s="252">
        <f t="shared" si="57"/>
        <v>59800</v>
      </c>
      <c r="I1131" s="252">
        <f t="shared" si="57"/>
        <v>66400</v>
      </c>
      <c r="J1131" s="252">
        <f t="shared" si="57"/>
        <v>71750</v>
      </c>
      <c r="K1131" s="252">
        <f t="shared" si="57"/>
        <v>77050</v>
      </c>
      <c r="L1131" s="252">
        <f t="shared" si="57"/>
        <v>82350</v>
      </c>
      <c r="M1131" s="252">
        <f t="shared" si="57"/>
        <v>87650</v>
      </c>
    </row>
    <row r="1132" spans="1:13" ht="21.95" customHeight="1" x14ac:dyDescent="0.25">
      <c r="A1132" s="36" t="s">
        <v>2904</v>
      </c>
      <c r="B1132" s="36" t="str">
        <f t="shared" si="55"/>
        <v>MI_MIDLAND, MI MSA</v>
      </c>
      <c r="D1132" s="265" t="s">
        <v>83</v>
      </c>
      <c r="E1132" s="266" t="s">
        <v>3955</v>
      </c>
      <c r="F1132" s="252">
        <f t="shared" si="57"/>
        <v>57900</v>
      </c>
      <c r="G1132" s="252">
        <f t="shared" si="57"/>
        <v>66150</v>
      </c>
      <c r="H1132" s="252">
        <f t="shared" si="57"/>
        <v>74400</v>
      </c>
      <c r="I1132" s="252">
        <f t="shared" si="57"/>
        <v>82650</v>
      </c>
      <c r="J1132" s="252">
        <f t="shared" si="57"/>
        <v>89300</v>
      </c>
      <c r="K1132" s="252">
        <f t="shared" si="57"/>
        <v>95900</v>
      </c>
      <c r="L1132" s="252">
        <f t="shared" si="57"/>
        <v>102500</v>
      </c>
      <c r="M1132" s="252">
        <f t="shared" si="57"/>
        <v>109100</v>
      </c>
    </row>
    <row r="1133" spans="1:13" ht="21.95" customHeight="1" x14ac:dyDescent="0.25">
      <c r="A1133" s="36" t="s">
        <v>2904</v>
      </c>
      <c r="B1133" s="36" t="str">
        <f t="shared" si="55"/>
        <v>MI_MISSAUKEE COUNTY, MI</v>
      </c>
      <c r="D1133" s="265" t="s">
        <v>83</v>
      </c>
      <c r="E1133" s="266" t="s">
        <v>3956</v>
      </c>
      <c r="F1133" s="252">
        <f t="shared" si="57"/>
        <v>45850</v>
      </c>
      <c r="G1133" s="252">
        <f t="shared" si="57"/>
        <v>52400</v>
      </c>
      <c r="H1133" s="252">
        <f t="shared" si="57"/>
        <v>58950</v>
      </c>
      <c r="I1133" s="252">
        <f t="shared" si="57"/>
        <v>65500</v>
      </c>
      <c r="J1133" s="252">
        <f t="shared" si="57"/>
        <v>70750</v>
      </c>
      <c r="K1133" s="252">
        <f t="shared" si="57"/>
        <v>76000</v>
      </c>
      <c r="L1133" s="252">
        <f t="shared" si="57"/>
        <v>81250</v>
      </c>
      <c r="M1133" s="252">
        <f t="shared" si="57"/>
        <v>86500</v>
      </c>
    </row>
    <row r="1134" spans="1:13" ht="21.95" customHeight="1" x14ac:dyDescent="0.25">
      <c r="A1134" s="36" t="s">
        <v>2904</v>
      </c>
      <c r="B1134" s="36" t="str">
        <f t="shared" si="55"/>
        <v>MI_MONROE, MI MSA</v>
      </c>
      <c r="D1134" s="265" t="s">
        <v>83</v>
      </c>
      <c r="E1134" s="266" t="s">
        <v>3957</v>
      </c>
      <c r="F1134" s="252">
        <f t="shared" si="57"/>
        <v>51350</v>
      </c>
      <c r="G1134" s="252">
        <f t="shared" si="57"/>
        <v>58750</v>
      </c>
      <c r="H1134" s="252">
        <f t="shared" si="57"/>
        <v>66050</v>
      </c>
      <c r="I1134" s="252">
        <f t="shared" si="57"/>
        <v>73350</v>
      </c>
      <c r="J1134" s="252">
        <f t="shared" si="57"/>
        <v>79250</v>
      </c>
      <c r="K1134" s="252">
        <f t="shared" si="57"/>
        <v>85150</v>
      </c>
      <c r="L1134" s="252">
        <f t="shared" si="57"/>
        <v>91000</v>
      </c>
      <c r="M1134" s="252">
        <f t="shared" si="57"/>
        <v>96900</v>
      </c>
    </row>
    <row r="1135" spans="1:13" ht="21.95" customHeight="1" x14ac:dyDescent="0.25">
      <c r="A1135" s="36" t="s">
        <v>2904</v>
      </c>
      <c r="B1135" s="36" t="str">
        <f t="shared" si="55"/>
        <v>MI_MONTCALM COUNTY, MI HUD METRO FMR AREA</v>
      </c>
      <c r="D1135" s="265" t="s">
        <v>83</v>
      </c>
      <c r="E1135" s="266" t="s">
        <v>3958</v>
      </c>
      <c r="F1135" s="252">
        <f t="shared" si="57"/>
        <v>46000</v>
      </c>
      <c r="G1135" s="252">
        <f t="shared" si="57"/>
        <v>52600</v>
      </c>
      <c r="H1135" s="252">
        <f t="shared" si="57"/>
        <v>59150</v>
      </c>
      <c r="I1135" s="252">
        <f t="shared" si="57"/>
        <v>65700</v>
      </c>
      <c r="J1135" s="252">
        <f t="shared" si="57"/>
        <v>71000</v>
      </c>
      <c r="K1135" s="252">
        <f t="shared" si="57"/>
        <v>76250</v>
      </c>
      <c r="L1135" s="252">
        <f t="shared" si="57"/>
        <v>81500</v>
      </c>
      <c r="M1135" s="252">
        <f t="shared" si="57"/>
        <v>86750</v>
      </c>
    </row>
    <row r="1136" spans="1:13" ht="21.95" customHeight="1" x14ac:dyDescent="0.25">
      <c r="A1136" s="36" t="s">
        <v>2904</v>
      </c>
      <c r="B1136" s="36" t="str">
        <f t="shared" si="55"/>
        <v>MI_MONTMORENCY COUNTY, MI</v>
      </c>
      <c r="D1136" s="265" t="s">
        <v>83</v>
      </c>
      <c r="E1136" s="266" t="s">
        <v>3959</v>
      </c>
      <c r="F1136" s="252">
        <f t="shared" si="57"/>
        <v>45850</v>
      </c>
      <c r="G1136" s="252">
        <f t="shared" si="57"/>
        <v>52400</v>
      </c>
      <c r="H1136" s="252">
        <f t="shared" si="57"/>
        <v>58950</v>
      </c>
      <c r="I1136" s="252">
        <f t="shared" si="57"/>
        <v>65500</v>
      </c>
      <c r="J1136" s="252">
        <f t="shared" si="57"/>
        <v>70750</v>
      </c>
      <c r="K1136" s="252">
        <f t="shared" si="57"/>
        <v>76000</v>
      </c>
      <c r="L1136" s="252">
        <f t="shared" si="57"/>
        <v>81250</v>
      </c>
      <c r="M1136" s="252">
        <f t="shared" si="57"/>
        <v>86500</v>
      </c>
    </row>
    <row r="1137" spans="1:13" ht="21.95" customHeight="1" x14ac:dyDescent="0.25">
      <c r="A1137" s="36" t="s">
        <v>2904</v>
      </c>
      <c r="B1137" s="36" t="str">
        <f t="shared" si="55"/>
        <v>MI_MUSKEGON-NORTON SHORES, MI MSA</v>
      </c>
      <c r="D1137" s="265" t="s">
        <v>83</v>
      </c>
      <c r="E1137" s="266" t="s">
        <v>9203</v>
      </c>
      <c r="F1137" s="252">
        <f t="shared" si="57"/>
        <v>45950</v>
      </c>
      <c r="G1137" s="252">
        <f t="shared" si="57"/>
        <v>52500</v>
      </c>
      <c r="H1137" s="252">
        <f t="shared" si="57"/>
        <v>59050</v>
      </c>
      <c r="I1137" s="252">
        <f t="shared" si="57"/>
        <v>65600</v>
      </c>
      <c r="J1137" s="252">
        <f t="shared" si="57"/>
        <v>70850</v>
      </c>
      <c r="K1137" s="252">
        <f t="shared" si="57"/>
        <v>76100</v>
      </c>
      <c r="L1137" s="252">
        <f t="shared" si="57"/>
        <v>81350</v>
      </c>
      <c r="M1137" s="252">
        <f t="shared" si="57"/>
        <v>86600</v>
      </c>
    </row>
    <row r="1138" spans="1:13" ht="21.95" customHeight="1" x14ac:dyDescent="0.25">
      <c r="A1138" s="36" t="s">
        <v>2904</v>
      </c>
      <c r="B1138" s="36" t="str">
        <f t="shared" si="55"/>
        <v>MI_NEWAYGO COUNTY, MI</v>
      </c>
      <c r="D1138" s="265" t="s">
        <v>83</v>
      </c>
      <c r="E1138" s="266" t="s">
        <v>3960</v>
      </c>
      <c r="F1138" s="252">
        <f t="shared" si="57"/>
        <v>45850</v>
      </c>
      <c r="G1138" s="252">
        <f t="shared" si="57"/>
        <v>52400</v>
      </c>
      <c r="H1138" s="252">
        <f t="shared" si="57"/>
        <v>58950</v>
      </c>
      <c r="I1138" s="252">
        <f t="shared" si="57"/>
        <v>65500</v>
      </c>
      <c r="J1138" s="252">
        <f t="shared" si="57"/>
        <v>70750</v>
      </c>
      <c r="K1138" s="252">
        <f t="shared" si="57"/>
        <v>76000</v>
      </c>
      <c r="L1138" s="252">
        <f t="shared" si="57"/>
        <v>81250</v>
      </c>
      <c r="M1138" s="252">
        <f t="shared" si="57"/>
        <v>86500</v>
      </c>
    </row>
    <row r="1139" spans="1:13" ht="21.95" customHeight="1" x14ac:dyDescent="0.25">
      <c r="A1139" s="36" t="s">
        <v>2904</v>
      </c>
      <c r="B1139" s="36" t="str">
        <f t="shared" si="55"/>
        <v>MI_NILES, MI MSA</v>
      </c>
      <c r="D1139" s="265" t="s">
        <v>83</v>
      </c>
      <c r="E1139" s="266" t="s">
        <v>9198</v>
      </c>
      <c r="F1139" s="252">
        <f t="shared" si="57"/>
        <v>48850</v>
      </c>
      <c r="G1139" s="252">
        <f t="shared" si="57"/>
        <v>55800</v>
      </c>
      <c r="H1139" s="252">
        <f t="shared" si="57"/>
        <v>62800</v>
      </c>
      <c r="I1139" s="252">
        <f t="shared" si="57"/>
        <v>69750</v>
      </c>
      <c r="J1139" s="252">
        <f t="shared" si="57"/>
        <v>75350</v>
      </c>
      <c r="K1139" s="252">
        <f t="shared" si="57"/>
        <v>80950</v>
      </c>
      <c r="L1139" s="252">
        <f t="shared" si="57"/>
        <v>86500</v>
      </c>
      <c r="M1139" s="252">
        <f t="shared" si="57"/>
        <v>92100</v>
      </c>
    </row>
    <row r="1140" spans="1:13" ht="21.95" customHeight="1" x14ac:dyDescent="0.25">
      <c r="A1140" s="36" t="s">
        <v>2904</v>
      </c>
      <c r="B1140" s="36" t="str">
        <f t="shared" si="55"/>
        <v>MI_OCEANA COUNTY, MI</v>
      </c>
      <c r="D1140" s="265" t="s">
        <v>83</v>
      </c>
      <c r="E1140" s="266" t="s">
        <v>3961</v>
      </c>
      <c r="F1140" s="252">
        <f t="shared" si="57"/>
        <v>45850</v>
      </c>
      <c r="G1140" s="252">
        <f t="shared" si="57"/>
        <v>52400</v>
      </c>
      <c r="H1140" s="252">
        <f t="shared" si="57"/>
        <v>58950</v>
      </c>
      <c r="I1140" s="252">
        <f t="shared" si="57"/>
        <v>65500</v>
      </c>
      <c r="J1140" s="252">
        <f t="shared" si="57"/>
        <v>70750</v>
      </c>
      <c r="K1140" s="252">
        <f t="shared" si="57"/>
        <v>76000</v>
      </c>
      <c r="L1140" s="252">
        <f t="shared" si="57"/>
        <v>81250</v>
      </c>
      <c r="M1140" s="252">
        <f t="shared" si="57"/>
        <v>86500</v>
      </c>
    </row>
    <row r="1141" spans="1:13" ht="21.95" customHeight="1" x14ac:dyDescent="0.25">
      <c r="A1141" s="36" t="s">
        <v>2904</v>
      </c>
      <c r="B1141" s="36" t="str">
        <f t="shared" si="55"/>
        <v>MI_OGEMAW COUNTY, MI</v>
      </c>
      <c r="D1141" s="265" t="s">
        <v>83</v>
      </c>
      <c r="E1141" s="266" t="s">
        <v>3962</v>
      </c>
      <c r="F1141" s="252">
        <f t="shared" si="57"/>
        <v>45850</v>
      </c>
      <c r="G1141" s="252">
        <f t="shared" si="57"/>
        <v>52400</v>
      </c>
      <c r="H1141" s="252">
        <f t="shared" si="57"/>
        <v>58950</v>
      </c>
      <c r="I1141" s="252">
        <f t="shared" si="57"/>
        <v>65500</v>
      </c>
      <c r="J1141" s="252">
        <f t="shared" si="57"/>
        <v>70750</v>
      </c>
      <c r="K1141" s="252">
        <f t="shared" si="57"/>
        <v>76000</v>
      </c>
      <c r="L1141" s="252">
        <f t="shared" si="57"/>
        <v>81250</v>
      </c>
      <c r="M1141" s="252">
        <f t="shared" si="57"/>
        <v>86500</v>
      </c>
    </row>
    <row r="1142" spans="1:13" ht="21.95" customHeight="1" x14ac:dyDescent="0.25">
      <c r="A1142" s="36" t="s">
        <v>2904</v>
      </c>
      <c r="B1142" s="36" t="str">
        <f t="shared" si="55"/>
        <v>MI_ONTONAGON COUNTY, MI</v>
      </c>
      <c r="D1142" s="265" t="s">
        <v>83</v>
      </c>
      <c r="E1142" s="266" t="s">
        <v>3963</v>
      </c>
      <c r="F1142" s="252">
        <f t="shared" si="57"/>
        <v>45850</v>
      </c>
      <c r="G1142" s="252">
        <f t="shared" si="57"/>
        <v>52400</v>
      </c>
      <c r="H1142" s="252">
        <f t="shared" si="57"/>
        <v>58950</v>
      </c>
      <c r="I1142" s="252">
        <f t="shared" si="57"/>
        <v>65500</v>
      </c>
      <c r="J1142" s="252">
        <f t="shared" si="57"/>
        <v>70750</v>
      </c>
      <c r="K1142" s="252">
        <f t="shared" si="57"/>
        <v>76000</v>
      </c>
      <c r="L1142" s="252">
        <f t="shared" si="57"/>
        <v>81250</v>
      </c>
      <c r="M1142" s="252">
        <f t="shared" si="57"/>
        <v>86500</v>
      </c>
    </row>
    <row r="1143" spans="1:13" ht="21.95" customHeight="1" x14ac:dyDescent="0.25">
      <c r="A1143" s="36" t="s">
        <v>2904</v>
      </c>
      <c r="B1143" s="36" t="str">
        <f t="shared" si="55"/>
        <v>MI_OSCEOLA COUNTY, MI</v>
      </c>
      <c r="D1143" s="265" t="s">
        <v>83</v>
      </c>
      <c r="E1143" s="266" t="s">
        <v>3964</v>
      </c>
      <c r="F1143" s="252">
        <f t="shared" si="57"/>
        <v>45850</v>
      </c>
      <c r="G1143" s="252">
        <f t="shared" si="57"/>
        <v>52400</v>
      </c>
      <c r="H1143" s="252">
        <f t="shared" si="57"/>
        <v>58950</v>
      </c>
      <c r="I1143" s="252">
        <f t="shared" si="57"/>
        <v>65500</v>
      </c>
      <c r="J1143" s="252">
        <f t="shared" si="57"/>
        <v>70750</v>
      </c>
      <c r="K1143" s="252">
        <f t="shared" si="57"/>
        <v>76000</v>
      </c>
      <c r="L1143" s="252">
        <f t="shared" si="57"/>
        <v>81250</v>
      </c>
      <c r="M1143" s="252">
        <f t="shared" si="57"/>
        <v>86500</v>
      </c>
    </row>
    <row r="1144" spans="1:13" ht="21.95" customHeight="1" x14ac:dyDescent="0.25">
      <c r="A1144" s="36" t="s">
        <v>2904</v>
      </c>
      <c r="B1144" s="36" t="str">
        <f t="shared" si="55"/>
        <v>MI_OSCODA COUNTY, MI</v>
      </c>
      <c r="D1144" s="265" t="s">
        <v>83</v>
      </c>
      <c r="E1144" s="266" t="s">
        <v>3965</v>
      </c>
      <c r="F1144" s="252">
        <f t="shared" si="57"/>
        <v>45850</v>
      </c>
      <c r="G1144" s="252">
        <f t="shared" si="57"/>
        <v>52400</v>
      </c>
      <c r="H1144" s="252">
        <f t="shared" si="57"/>
        <v>58950</v>
      </c>
      <c r="I1144" s="252">
        <f t="shared" si="57"/>
        <v>65500</v>
      </c>
      <c r="J1144" s="252">
        <f t="shared" si="57"/>
        <v>70750</v>
      </c>
      <c r="K1144" s="252">
        <f t="shared" si="57"/>
        <v>76000</v>
      </c>
      <c r="L1144" s="252">
        <f t="shared" si="57"/>
        <v>81250</v>
      </c>
      <c r="M1144" s="252">
        <f t="shared" si="57"/>
        <v>86500</v>
      </c>
    </row>
    <row r="1145" spans="1:13" ht="21.95" customHeight="1" x14ac:dyDescent="0.25">
      <c r="A1145" s="36" t="s">
        <v>2904</v>
      </c>
      <c r="B1145" s="36" t="str">
        <f t="shared" si="55"/>
        <v>MI_OTSEGO COUNTY, MI</v>
      </c>
      <c r="D1145" s="265" t="s">
        <v>83</v>
      </c>
      <c r="E1145" s="266" t="s">
        <v>3966</v>
      </c>
      <c r="F1145" s="252">
        <f t="shared" si="57"/>
        <v>50700</v>
      </c>
      <c r="G1145" s="252">
        <f t="shared" si="57"/>
        <v>57950</v>
      </c>
      <c r="H1145" s="252">
        <f t="shared" si="57"/>
        <v>65200</v>
      </c>
      <c r="I1145" s="252">
        <f t="shared" si="57"/>
        <v>72400</v>
      </c>
      <c r="J1145" s="252">
        <f t="shared" si="57"/>
        <v>78200</v>
      </c>
      <c r="K1145" s="252">
        <f t="shared" si="57"/>
        <v>84000</v>
      </c>
      <c r="L1145" s="252">
        <f t="shared" si="57"/>
        <v>89800</v>
      </c>
      <c r="M1145" s="252">
        <f t="shared" si="57"/>
        <v>95600</v>
      </c>
    </row>
    <row r="1146" spans="1:13" ht="21.95" customHeight="1" x14ac:dyDescent="0.25">
      <c r="A1146" s="36" t="s">
        <v>2904</v>
      </c>
      <c r="B1146" s="36" t="str">
        <f t="shared" si="55"/>
        <v>MI_PRESQUE ISLE COUNTY, MI</v>
      </c>
      <c r="D1146" s="265" t="s">
        <v>83</v>
      </c>
      <c r="E1146" s="266" t="s">
        <v>3967</v>
      </c>
      <c r="F1146" s="252">
        <f t="shared" si="57"/>
        <v>45850</v>
      </c>
      <c r="G1146" s="252">
        <f t="shared" si="57"/>
        <v>52400</v>
      </c>
      <c r="H1146" s="252">
        <f t="shared" si="57"/>
        <v>58950</v>
      </c>
      <c r="I1146" s="252">
        <f t="shared" si="57"/>
        <v>65500</v>
      </c>
      <c r="J1146" s="252">
        <f t="shared" si="57"/>
        <v>70750</v>
      </c>
      <c r="K1146" s="252">
        <f t="shared" si="57"/>
        <v>76000</v>
      </c>
      <c r="L1146" s="252">
        <f t="shared" si="57"/>
        <v>81250</v>
      </c>
      <c r="M1146" s="252">
        <f t="shared" si="57"/>
        <v>86500</v>
      </c>
    </row>
    <row r="1147" spans="1:13" ht="21.95" customHeight="1" x14ac:dyDescent="0.25">
      <c r="A1147" s="36" t="s">
        <v>2904</v>
      </c>
      <c r="B1147" s="36" t="str">
        <f t="shared" si="55"/>
        <v>MI_ROSCOMMON COUNTY, MI</v>
      </c>
      <c r="D1147" s="265" t="s">
        <v>83</v>
      </c>
      <c r="E1147" s="266" t="s">
        <v>3968</v>
      </c>
      <c r="F1147" s="252">
        <f t="shared" si="57"/>
        <v>45850</v>
      </c>
      <c r="G1147" s="252">
        <f t="shared" si="57"/>
        <v>52400</v>
      </c>
      <c r="H1147" s="252">
        <f t="shared" si="57"/>
        <v>58950</v>
      </c>
      <c r="I1147" s="252">
        <f t="shared" si="57"/>
        <v>65500</v>
      </c>
      <c r="J1147" s="252">
        <f t="shared" si="57"/>
        <v>70750</v>
      </c>
      <c r="K1147" s="252">
        <f t="shared" si="57"/>
        <v>76000</v>
      </c>
      <c r="L1147" s="252">
        <f t="shared" si="57"/>
        <v>81250</v>
      </c>
      <c r="M1147" s="252">
        <f t="shared" si="57"/>
        <v>86500</v>
      </c>
    </row>
    <row r="1148" spans="1:13" ht="21.95" customHeight="1" x14ac:dyDescent="0.25">
      <c r="A1148" s="36" t="s">
        <v>2904</v>
      </c>
      <c r="B1148" s="36" t="str">
        <f t="shared" ref="B1148:B1211" si="58">UPPER(TRIM(D1148)&amp;"_"&amp;TRIM(E1148))</f>
        <v>MI_SAGINAW, MI MSA</v>
      </c>
      <c r="D1148" s="265" t="s">
        <v>83</v>
      </c>
      <c r="E1148" s="266" t="s">
        <v>3969</v>
      </c>
      <c r="F1148" s="252">
        <f t="shared" si="57"/>
        <v>45850</v>
      </c>
      <c r="G1148" s="252">
        <f t="shared" si="57"/>
        <v>52400</v>
      </c>
      <c r="H1148" s="252">
        <f t="shared" si="57"/>
        <v>58950</v>
      </c>
      <c r="I1148" s="252">
        <f t="shared" si="57"/>
        <v>65500</v>
      </c>
      <c r="J1148" s="252">
        <f t="shared" si="57"/>
        <v>70750</v>
      </c>
      <c r="K1148" s="252">
        <f t="shared" si="57"/>
        <v>76000</v>
      </c>
      <c r="L1148" s="252">
        <f t="shared" si="57"/>
        <v>81250</v>
      </c>
      <c r="M1148" s="252">
        <f t="shared" si="57"/>
        <v>86500</v>
      </c>
    </row>
    <row r="1149" spans="1:13" ht="21.95" customHeight="1" x14ac:dyDescent="0.25">
      <c r="A1149" s="36" t="s">
        <v>2904</v>
      </c>
      <c r="B1149" s="36" t="str">
        <f t="shared" si="58"/>
        <v>MI_SANILAC COUNTY, MI</v>
      </c>
      <c r="D1149" s="265" t="s">
        <v>83</v>
      </c>
      <c r="E1149" s="266" t="s">
        <v>3970</v>
      </c>
      <c r="F1149" s="252">
        <f t="shared" si="57"/>
        <v>45850</v>
      </c>
      <c r="G1149" s="252">
        <f t="shared" si="57"/>
        <v>52400</v>
      </c>
      <c r="H1149" s="252">
        <f t="shared" si="57"/>
        <v>58950</v>
      </c>
      <c r="I1149" s="252">
        <f t="shared" si="57"/>
        <v>65500</v>
      </c>
      <c r="J1149" s="252">
        <f t="shared" si="57"/>
        <v>70750</v>
      </c>
      <c r="K1149" s="252">
        <f t="shared" si="57"/>
        <v>76000</v>
      </c>
      <c r="L1149" s="252">
        <f t="shared" si="57"/>
        <v>81250</v>
      </c>
      <c r="M1149" s="252">
        <f t="shared" si="57"/>
        <v>86500</v>
      </c>
    </row>
    <row r="1150" spans="1:13" ht="21.95" customHeight="1" x14ac:dyDescent="0.25">
      <c r="A1150" s="36" t="s">
        <v>2904</v>
      </c>
      <c r="B1150" s="36" t="str">
        <f t="shared" si="58"/>
        <v>MI_SCHOOLCRAFT COUNTY, MI</v>
      </c>
      <c r="D1150" s="265" t="s">
        <v>83</v>
      </c>
      <c r="E1150" s="266" t="s">
        <v>3971</v>
      </c>
      <c r="F1150" s="252">
        <f t="shared" si="57"/>
        <v>45850</v>
      </c>
      <c r="G1150" s="252">
        <f t="shared" si="57"/>
        <v>52400</v>
      </c>
      <c r="H1150" s="252">
        <f t="shared" si="57"/>
        <v>58950</v>
      </c>
      <c r="I1150" s="252">
        <f t="shared" si="57"/>
        <v>65500</v>
      </c>
      <c r="J1150" s="252">
        <f t="shared" si="57"/>
        <v>70750</v>
      </c>
      <c r="K1150" s="252">
        <f t="shared" si="57"/>
        <v>76000</v>
      </c>
      <c r="L1150" s="252">
        <f t="shared" si="57"/>
        <v>81250</v>
      </c>
      <c r="M1150" s="252">
        <f t="shared" si="57"/>
        <v>86500</v>
      </c>
    </row>
    <row r="1151" spans="1:13" ht="21.95" customHeight="1" x14ac:dyDescent="0.25">
      <c r="A1151" s="36" t="s">
        <v>2904</v>
      </c>
      <c r="B1151" s="36" t="str">
        <f t="shared" si="58"/>
        <v>MI_SHIAWASSEE COUNTY, MI</v>
      </c>
      <c r="D1151" s="265" t="s">
        <v>83</v>
      </c>
      <c r="E1151" s="266" t="s">
        <v>9204</v>
      </c>
      <c r="F1151" s="252">
        <f t="shared" si="57"/>
        <v>48550</v>
      </c>
      <c r="G1151" s="252">
        <f t="shared" si="57"/>
        <v>55450</v>
      </c>
      <c r="H1151" s="252">
        <f t="shared" si="57"/>
        <v>62400</v>
      </c>
      <c r="I1151" s="252">
        <f t="shared" si="57"/>
        <v>69300</v>
      </c>
      <c r="J1151" s="252">
        <f t="shared" si="57"/>
        <v>74850</v>
      </c>
      <c r="K1151" s="252">
        <f t="shared" si="57"/>
        <v>80400</v>
      </c>
      <c r="L1151" s="252">
        <f t="shared" si="57"/>
        <v>85950</v>
      </c>
      <c r="M1151" s="252">
        <f t="shared" si="57"/>
        <v>91500</v>
      </c>
    </row>
    <row r="1152" spans="1:13" ht="21.95" customHeight="1" x14ac:dyDescent="0.25">
      <c r="A1152" s="36" t="s">
        <v>2904</v>
      </c>
      <c r="B1152" s="36" t="str">
        <f t="shared" si="58"/>
        <v>MI_ST. JOSEPH COUNTY, MI</v>
      </c>
      <c r="D1152" s="265" t="s">
        <v>83</v>
      </c>
      <c r="E1152" s="266" t="s">
        <v>3972</v>
      </c>
      <c r="F1152" s="252">
        <f t="shared" si="57"/>
        <v>47150</v>
      </c>
      <c r="G1152" s="252">
        <f t="shared" si="57"/>
        <v>53850</v>
      </c>
      <c r="H1152" s="252">
        <f t="shared" si="57"/>
        <v>60600</v>
      </c>
      <c r="I1152" s="252">
        <f t="shared" si="57"/>
        <v>67300</v>
      </c>
      <c r="J1152" s="252">
        <f t="shared" si="57"/>
        <v>72700</v>
      </c>
      <c r="K1152" s="252">
        <f t="shared" si="57"/>
        <v>78100</v>
      </c>
      <c r="L1152" s="252">
        <f t="shared" si="57"/>
        <v>83500</v>
      </c>
      <c r="M1152" s="252">
        <f t="shared" si="57"/>
        <v>88850</v>
      </c>
    </row>
    <row r="1153" spans="1:13" ht="21.95" customHeight="1" x14ac:dyDescent="0.25">
      <c r="A1153" s="36" t="s">
        <v>2904</v>
      </c>
      <c r="B1153" s="36" t="str">
        <f t="shared" si="58"/>
        <v>MI_TUSCOLA COUNTY, MI</v>
      </c>
      <c r="D1153" s="265" t="s">
        <v>83</v>
      </c>
      <c r="E1153" s="266" t="s">
        <v>3973</v>
      </c>
      <c r="F1153" s="252">
        <f t="shared" si="57"/>
        <v>45850</v>
      </c>
      <c r="G1153" s="252">
        <f t="shared" si="57"/>
        <v>52400</v>
      </c>
      <c r="H1153" s="252">
        <f t="shared" si="57"/>
        <v>58950</v>
      </c>
      <c r="I1153" s="252">
        <f t="shared" si="57"/>
        <v>65500</v>
      </c>
      <c r="J1153" s="252">
        <f t="shared" si="57"/>
        <v>70750</v>
      </c>
      <c r="K1153" s="252">
        <f t="shared" si="57"/>
        <v>76000</v>
      </c>
      <c r="L1153" s="252">
        <f t="shared" si="57"/>
        <v>81250</v>
      </c>
      <c r="M1153" s="252">
        <f t="shared" si="57"/>
        <v>86500</v>
      </c>
    </row>
    <row r="1154" spans="1:13" ht="21.95" customHeight="1" x14ac:dyDescent="0.25">
      <c r="A1154" s="36" t="s">
        <v>2904</v>
      </c>
      <c r="B1154" s="36" t="str">
        <f t="shared" si="58"/>
        <v>MI_VAN BUREN COUNTY, MI</v>
      </c>
      <c r="D1154" s="265" t="s">
        <v>83</v>
      </c>
      <c r="E1154" s="266" t="s">
        <v>3974</v>
      </c>
      <c r="F1154" s="252">
        <f t="shared" si="57"/>
        <v>48650</v>
      </c>
      <c r="G1154" s="252">
        <f t="shared" si="57"/>
        <v>55600</v>
      </c>
      <c r="H1154" s="252">
        <f t="shared" si="57"/>
        <v>62550</v>
      </c>
      <c r="I1154" s="252">
        <f t="shared" si="57"/>
        <v>69500</v>
      </c>
      <c r="J1154" s="252">
        <f t="shared" si="57"/>
        <v>75100</v>
      </c>
      <c r="K1154" s="252">
        <f t="shared" si="57"/>
        <v>80650</v>
      </c>
      <c r="L1154" s="252">
        <f t="shared" si="57"/>
        <v>86200</v>
      </c>
      <c r="M1154" s="252">
        <f t="shared" si="57"/>
        <v>91750</v>
      </c>
    </row>
    <row r="1155" spans="1:13" ht="21.95" customHeight="1" x14ac:dyDescent="0.25">
      <c r="A1155" s="36" t="s">
        <v>2904</v>
      </c>
      <c r="B1155" s="36" t="str">
        <f t="shared" si="58"/>
        <v>MI_WEXFORD COUNTY, MI</v>
      </c>
      <c r="D1155" s="265" t="s">
        <v>83</v>
      </c>
      <c r="E1155" s="266" t="s">
        <v>3975</v>
      </c>
      <c r="F1155" s="252">
        <f t="shared" si="57"/>
        <v>47050</v>
      </c>
      <c r="G1155" s="252">
        <f t="shared" si="57"/>
        <v>53800</v>
      </c>
      <c r="H1155" s="252">
        <f t="shared" si="57"/>
        <v>60500</v>
      </c>
      <c r="I1155" s="252">
        <f t="shared" si="57"/>
        <v>67200</v>
      </c>
      <c r="J1155" s="252">
        <f t="shared" si="57"/>
        <v>72600</v>
      </c>
      <c r="K1155" s="252">
        <f t="shared" si="57"/>
        <v>78000</v>
      </c>
      <c r="L1155" s="252">
        <f t="shared" si="57"/>
        <v>83350</v>
      </c>
      <c r="M1155" s="252">
        <f t="shared" si="57"/>
        <v>88750</v>
      </c>
    </row>
    <row r="1156" spans="1:13" ht="21.95" customHeight="1" x14ac:dyDescent="0.25">
      <c r="A1156" s="36" t="s">
        <v>2904</v>
      </c>
      <c r="B1156" s="36" t="str">
        <f t="shared" si="58"/>
        <v>MN_AITKIN COUNTY, MN</v>
      </c>
      <c r="D1156" s="265" t="s">
        <v>82</v>
      </c>
      <c r="E1156" s="266" t="s">
        <v>3976</v>
      </c>
      <c r="F1156" s="252">
        <f t="shared" si="57"/>
        <v>53350</v>
      </c>
      <c r="G1156" s="252">
        <f t="shared" si="57"/>
        <v>60950</v>
      </c>
      <c r="H1156" s="252">
        <f t="shared" si="57"/>
        <v>68550</v>
      </c>
      <c r="I1156" s="252">
        <f t="shared" si="57"/>
        <v>76150</v>
      </c>
      <c r="J1156" s="252">
        <f t="shared" si="57"/>
        <v>82250</v>
      </c>
      <c r="K1156" s="252">
        <f t="shared" si="57"/>
        <v>88350</v>
      </c>
      <c r="L1156" s="252">
        <f t="shared" si="57"/>
        <v>94450</v>
      </c>
      <c r="M1156" s="252">
        <f t="shared" si="57"/>
        <v>100550</v>
      </c>
    </row>
    <row r="1157" spans="1:13" ht="21.95" customHeight="1" x14ac:dyDescent="0.25">
      <c r="A1157" s="36" t="s">
        <v>2904</v>
      </c>
      <c r="B1157" s="36" t="str">
        <f t="shared" si="58"/>
        <v>MN_BECKER COUNTY, MN</v>
      </c>
      <c r="D1157" s="265" t="s">
        <v>82</v>
      </c>
      <c r="E1157" s="266" t="s">
        <v>3977</v>
      </c>
      <c r="F1157" s="252">
        <f t="shared" si="57"/>
        <v>54600</v>
      </c>
      <c r="G1157" s="252">
        <f t="shared" si="57"/>
        <v>62400</v>
      </c>
      <c r="H1157" s="252">
        <f t="shared" si="57"/>
        <v>70200</v>
      </c>
      <c r="I1157" s="252">
        <f t="shared" si="57"/>
        <v>78000</v>
      </c>
      <c r="J1157" s="252">
        <f t="shared" si="57"/>
        <v>84250</v>
      </c>
      <c r="K1157" s="252">
        <f t="shared" si="57"/>
        <v>90500</v>
      </c>
      <c r="L1157" s="252">
        <f t="shared" ref="F1157:M1189" si="59">VLOOKUP($B1157,LOOKUP_AMI_TABLE,5+((L$7-1)),FALSE)</f>
        <v>96750</v>
      </c>
      <c r="M1157" s="252">
        <f t="shared" si="59"/>
        <v>103000</v>
      </c>
    </row>
    <row r="1158" spans="1:13" ht="21.95" customHeight="1" x14ac:dyDescent="0.25">
      <c r="A1158" s="36" t="s">
        <v>2904</v>
      </c>
      <c r="B1158" s="36" t="str">
        <f t="shared" si="58"/>
        <v>MN_BELTRAMI COUNTY, MN</v>
      </c>
      <c r="D1158" s="265" t="s">
        <v>82</v>
      </c>
      <c r="E1158" s="266" t="s">
        <v>3978</v>
      </c>
      <c r="F1158" s="252">
        <f t="shared" si="59"/>
        <v>53350</v>
      </c>
      <c r="G1158" s="252">
        <f t="shared" si="59"/>
        <v>60950</v>
      </c>
      <c r="H1158" s="252">
        <f t="shared" si="59"/>
        <v>68550</v>
      </c>
      <c r="I1158" s="252">
        <f t="shared" si="59"/>
        <v>76150</v>
      </c>
      <c r="J1158" s="252">
        <f t="shared" si="59"/>
        <v>82250</v>
      </c>
      <c r="K1158" s="252">
        <f t="shared" si="59"/>
        <v>88350</v>
      </c>
      <c r="L1158" s="252">
        <f t="shared" si="59"/>
        <v>94450</v>
      </c>
      <c r="M1158" s="252">
        <f t="shared" si="59"/>
        <v>100550</v>
      </c>
    </row>
    <row r="1159" spans="1:13" ht="21.95" customHeight="1" x14ac:dyDescent="0.25">
      <c r="A1159" s="36" t="s">
        <v>2904</v>
      </c>
      <c r="B1159" s="36" t="str">
        <f t="shared" si="58"/>
        <v>MN_BIG STONE COUNTY, MN</v>
      </c>
      <c r="D1159" s="265" t="s">
        <v>82</v>
      </c>
      <c r="E1159" s="266" t="s">
        <v>3979</v>
      </c>
      <c r="F1159" s="252">
        <f t="shared" si="59"/>
        <v>53350</v>
      </c>
      <c r="G1159" s="252">
        <f t="shared" si="59"/>
        <v>60950</v>
      </c>
      <c r="H1159" s="252">
        <f t="shared" si="59"/>
        <v>68550</v>
      </c>
      <c r="I1159" s="252">
        <f t="shared" si="59"/>
        <v>76150</v>
      </c>
      <c r="J1159" s="252">
        <f t="shared" si="59"/>
        <v>82250</v>
      </c>
      <c r="K1159" s="252">
        <f t="shared" si="59"/>
        <v>88350</v>
      </c>
      <c r="L1159" s="252">
        <f t="shared" si="59"/>
        <v>94450</v>
      </c>
      <c r="M1159" s="252">
        <f t="shared" si="59"/>
        <v>100550</v>
      </c>
    </row>
    <row r="1160" spans="1:13" ht="21.95" customHeight="1" x14ac:dyDescent="0.25">
      <c r="A1160" s="36" t="s">
        <v>2904</v>
      </c>
      <c r="B1160" s="36" t="str">
        <f t="shared" si="58"/>
        <v>MN_BROWN COUNTY, MN</v>
      </c>
      <c r="D1160" s="265" t="s">
        <v>82</v>
      </c>
      <c r="E1160" s="266" t="s">
        <v>3980</v>
      </c>
      <c r="F1160" s="252">
        <f t="shared" si="59"/>
        <v>54150</v>
      </c>
      <c r="G1160" s="252">
        <f t="shared" si="59"/>
        <v>61850</v>
      </c>
      <c r="H1160" s="252">
        <f t="shared" si="59"/>
        <v>69600</v>
      </c>
      <c r="I1160" s="252">
        <f t="shared" si="59"/>
        <v>77300</v>
      </c>
      <c r="J1160" s="252">
        <f t="shared" si="59"/>
        <v>83500</v>
      </c>
      <c r="K1160" s="252">
        <f t="shared" si="59"/>
        <v>89700</v>
      </c>
      <c r="L1160" s="252">
        <f t="shared" si="59"/>
        <v>95900</v>
      </c>
      <c r="M1160" s="252">
        <f t="shared" si="59"/>
        <v>102050</v>
      </c>
    </row>
    <row r="1161" spans="1:13" ht="21.95" customHeight="1" x14ac:dyDescent="0.25">
      <c r="A1161" s="36" t="s">
        <v>2904</v>
      </c>
      <c r="B1161" s="36" t="str">
        <f t="shared" si="58"/>
        <v>MN_CASS COUNTY, MN</v>
      </c>
      <c r="D1161" s="265" t="s">
        <v>82</v>
      </c>
      <c r="E1161" s="266" t="s">
        <v>3981</v>
      </c>
      <c r="F1161" s="252">
        <f t="shared" si="59"/>
        <v>53350</v>
      </c>
      <c r="G1161" s="252">
        <f t="shared" si="59"/>
        <v>60950</v>
      </c>
      <c r="H1161" s="252">
        <f t="shared" si="59"/>
        <v>68550</v>
      </c>
      <c r="I1161" s="252">
        <f t="shared" si="59"/>
        <v>76150</v>
      </c>
      <c r="J1161" s="252">
        <f t="shared" si="59"/>
        <v>82250</v>
      </c>
      <c r="K1161" s="252">
        <f t="shared" si="59"/>
        <v>88350</v>
      </c>
      <c r="L1161" s="252">
        <f t="shared" si="59"/>
        <v>94450</v>
      </c>
      <c r="M1161" s="252">
        <f t="shared" si="59"/>
        <v>100550</v>
      </c>
    </row>
    <row r="1162" spans="1:13" ht="21.95" customHeight="1" x14ac:dyDescent="0.25">
      <c r="A1162" s="36" t="s">
        <v>2904</v>
      </c>
      <c r="B1162" s="36" t="str">
        <f t="shared" si="58"/>
        <v>MN_CHIPPEWA COUNTY, MN</v>
      </c>
      <c r="D1162" s="265" t="s">
        <v>82</v>
      </c>
      <c r="E1162" s="266" t="s">
        <v>3982</v>
      </c>
      <c r="F1162" s="252">
        <f t="shared" si="59"/>
        <v>56000</v>
      </c>
      <c r="G1162" s="252">
        <f t="shared" si="59"/>
        <v>64000</v>
      </c>
      <c r="H1162" s="252">
        <f t="shared" si="59"/>
        <v>72000</v>
      </c>
      <c r="I1162" s="252">
        <f t="shared" si="59"/>
        <v>80000</v>
      </c>
      <c r="J1162" s="252">
        <f t="shared" si="59"/>
        <v>86400</v>
      </c>
      <c r="K1162" s="252">
        <f t="shared" si="59"/>
        <v>92800</v>
      </c>
      <c r="L1162" s="252">
        <f t="shared" si="59"/>
        <v>99200</v>
      </c>
      <c r="M1162" s="252">
        <f t="shared" si="59"/>
        <v>105600</v>
      </c>
    </row>
    <row r="1163" spans="1:13" ht="21.95" customHeight="1" x14ac:dyDescent="0.25">
      <c r="A1163" s="36" t="s">
        <v>2904</v>
      </c>
      <c r="B1163" s="36" t="str">
        <f t="shared" si="58"/>
        <v>MN_CLEARWATER COUNTY, MN</v>
      </c>
      <c r="D1163" s="265" t="s">
        <v>82</v>
      </c>
      <c r="E1163" s="266" t="s">
        <v>3983</v>
      </c>
      <c r="F1163" s="252">
        <f t="shared" si="59"/>
        <v>53350</v>
      </c>
      <c r="G1163" s="252">
        <f t="shared" si="59"/>
        <v>60950</v>
      </c>
      <c r="H1163" s="252">
        <f t="shared" si="59"/>
        <v>68550</v>
      </c>
      <c r="I1163" s="252">
        <f t="shared" si="59"/>
        <v>76150</v>
      </c>
      <c r="J1163" s="252">
        <f t="shared" si="59"/>
        <v>82250</v>
      </c>
      <c r="K1163" s="252">
        <f t="shared" si="59"/>
        <v>88350</v>
      </c>
      <c r="L1163" s="252">
        <f t="shared" si="59"/>
        <v>94450</v>
      </c>
      <c r="M1163" s="252">
        <f t="shared" si="59"/>
        <v>100550</v>
      </c>
    </row>
    <row r="1164" spans="1:13" ht="21.95" customHeight="1" x14ac:dyDescent="0.25">
      <c r="A1164" s="36" t="s">
        <v>2904</v>
      </c>
      <c r="B1164" s="36" t="str">
        <f t="shared" si="58"/>
        <v>MN_COOK COUNTY, MN</v>
      </c>
      <c r="D1164" s="265" t="s">
        <v>82</v>
      </c>
      <c r="E1164" s="266" t="s">
        <v>3984</v>
      </c>
      <c r="F1164" s="252">
        <f t="shared" si="59"/>
        <v>53350</v>
      </c>
      <c r="G1164" s="252">
        <f t="shared" si="59"/>
        <v>60950</v>
      </c>
      <c r="H1164" s="252">
        <f t="shared" si="59"/>
        <v>68550</v>
      </c>
      <c r="I1164" s="252">
        <f t="shared" si="59"/>
        <v>76150</v>
      </c>
      <c r="J1164" s="252">
        <f t="shared" si="59"/>
        <v>82250</v>
      </c>
      <c r="K1164" s="252">
        <f t="shared" si="59"/>
        <v>88350</v>
      </c>
      <c r="L1164" s="252">
        <f t="shared" si="59"/>
        <v>94450</v>
      </c>
      <c r="M1164" s="252">
        <f t="shared" si="59"/>
        <v>100550</v>
      </c>
    </row>
    <row r="1165" spans="1:13" ht="21.95" customHeight="1" x14ac:dyDescent="0.25">
      <c r="A1165" s="36" t="s">
        <v>2904</v>
      </c>
      <c r="B1165" s="36" t="str">
        <f t="shared" si="58"/>
        <v>MN_COTTONWOOD COUNTY, MN</v>
      </c>
      <c r="D1165" s="265" t="s">
        <v>82</v>
      </c>
      <c r="E1165" s="266" t="s">
        <v>3985</v>
      </c>
      <c r="F1165" s="252">
        <f t="shared" si="59"/>
        <v>53350</v>
      </c>
      <c r="G1165" s="252">
        <f t="shared" si="59"/>
        <v>60950</v>
      </c>
      <c r="H1165" s="252">
        <f t="shared" si="59"/>
        <v>68550</v>
      </c>
      <c r="I1165" s="252">
        <f t="shared" si="59"/>
        <v>76150</v>
      </c>
      <c r="J1165" s="252">
        <f t="shared" si="59"/>
        <v>82250</v>
      </c>
      <c r="K1165" s="252">
        <f t="shared" si="59"/>
        <v>88350</v>
      </c>
      <c r="L1165" s="252">
        <f t="shared" si="59"/>
        <v>94450</v>
      </c>
      <c r="M1165" s="252">
        <f t="shared" si="59"/>
        <v>100550</v>
      </c>
    </row>
    <row r="1166" spans="1:13" ht="21.95" customHeight="1" x14ac:dyDescent="0.25">
      <c r="A1166" s="36" t="s">
        <v>2904</v>
      </c>
      <c r="B1166" s="36" t="str">
        <f t="shared" si="58"/>
        <v>MN_CROW WING COUNTY, MN</v>
      </c>
      <c r="D1166" s="265" t="s">
        <v>82</v>
      </c>
      <c r="E1166" s="266" t="s">
        <v>3986</v>
      </c>
      <c r="F1166" s="252">
        <f t="shared" si="59"/>
        <v>56000</v>
      </c>
      <c r="G1166" s="252">
        <f t="shared" si="59"/>
        <v>64000</v>
      </c>
      <c r="H1166" s="252">
        <f t="shared" si="59"/>
        <v>72000</v>
      </c>
      <c r="I1166" s="252">
        <f t="shared" si="59"/>
        <v>80000</v>
      </c>
      <c r="J1166" s="252">
        <f t="shared" si="59"/>
        <v>86400</v>
      </c>
      <c r="K1166" s="252">
        <f t="shared" si="59"/>
        <v>92800</v>
      </c>
      <c r="L1166" s="252">
        <f t="shared" si="59"/>
        <v>99200</v>
      </c>
      <c r="M1166" s="252">
        <f t="shared" si="59"/>
        <v>105600</v>
      </c>
    </row>
    <row r="1167" spans="1:13" ht="21.95" customHeight="1" x14ac:dyDescent="0.25">
      <c r="A1167" s="36" t="s">
        <v>2904</v>
      </c>
      <c r="B1167" s="36" t="str">
        <f t="shared" si="58"/>
        <v>MN_DOUGLAS COUNTY, MN</v>
      </c>
      <c r="D1167" s="265" t="s">
        <v>82</v>
      </c>
      <c r="E1167" s="266" t="s">
        <v>3987</v>
      </c>
      <c r="F1167" s="252">
        <f t="shared" si="59"/>
        <v>58950</v>
      </c>
      <c r="G1167" s="252">
        <f t="shared" si="59"/>
        <v>67350</v>
      </c>
      <c r="H1167" s="252">
        <f t="shared" si="59"/>
        <v>75750</v>
      </c>
      <c r="I1167" s="252">
        <f t="shared" si="59"/>
        <v>84150</v>
      </c>
      <c r="J1167" s="252">
        <f t="shared" si="59"/>
        <v>90900</v>
      </c>
      <c r="K1167" s="252">
        <f t="shared" si="59"/>
        <v>97650</v>
      </c>
      <c r="L1167" s="252">
        <f t="shared" si="59"/>
        <v>104350</v>
      </c>
      <c r="M1167" s="252">
        <f t="shared" si="59"/>
        <v>111100</v>
      </c>
    </row>
    <row r="1168" spans="1:13" ht="21.95" customHeight="1" x14ac:dyDescent="0.25">
      <c r="A1168" s="36" t="s">
        <v>2904</v>
      </c>
      <c r="B1168" s="36" t="str">
        <f t="shared" si="58"/>
        <v>MN_DULUTH, MN-WI MSA</v>
      </c>
      <c r="D1168" s="265" t="s">
        <v>82</v>
      </c>
      <c r="E1168" s="266" t="s">
        <v>9206</v>
      </c>
      <c r="F1168" s="252">
        <f t="shared" si="59"/>
        <v>56350</v>
      </c>
      <c r="G1168" s="252">
        <f t="shared" si="59"/>
        <v>64400</v>
      </c>
      <c r="H1168" s="252">
        <f t="shared" si="59"/>
        <v>72450</v>
      </c>
      <c r="I1168" s="252">
        <f t="shared" si="59"/>
        <v>80500</v>
      </c>
      <c r="J1168" s="252">
        <f t="shared" si="59"/>
        <v>86950</v>
      </c>
      <c r="K1168" s="252">
        <f t="shared" si="59"/>
        <v>93400</v>
      </c>
      <c r="L1168" s="252">
        <f t="shared" si="59"/>
        <v>99850</v>
      </c>
      <c r="M1168" s="252">
        <f t="shared" si="59"/>
        <v>106300</v>
      </c>
    </row>
    <row r="1169" spans="1:13" ht="21.95" customHeight="1" x14ac:dyDescent="0.25">
      <c r="A1169" s="36" t="s">
        <v>2904</v>
      </c>
      <c r="B1169" s="36" t="str">
        <f t="shared" si="58"/>
        <v>MN_FARGO, ND-MN MSA</v>
      </c>
      <c r="D1169" s="265" t="s">
        <v>82</v>
      </c>
      <c r="E1169" s="266" t="s">
        <v>3988</v>
      </c>
      <c r="F1169" s="252">
        <f t="shared" si="59"/>
        <v>64750</v>
      </c>
      <c r="G1169" s="252">
        <f t="shared" si="59"/>
        <v>74000</v>
      </c>
      <c r="H1169" s="252">
        <f t="shared" si="59"/>
        <v>83250</v>
      </c>
      <c r="I1169" s="252">
        <f t="shared" si="59"/>
        <v>92500</v>
      </c>
      <c r="J1169" s="252">
        <f t="shared" si="59"/>
        <v>99900</v>
      </c>
      <c r="K1169" s="252">
        <f t="shared" si="59"/>
        <v>107300</v>
      </c>
      <c r="L1169" s="252">
        <f t="shared" si="59"/>
        <v>114700</v>
      </c>
      <c r="M1169" s="252">
        <f t="shared" si="59"/>
        <v>122100</v>
      </c>
    </row>
    <row r="1170" spans="1:13" ht="21.95" customHeight="1" x14ac:dyDescent="0.25">
      <c r="A1170" s="36" t="s">
        <v>2904</v>
      </c>
      <c r="B1170" s="36" t="str">
        <f t="shared" si="58"/>
        <v>MN_FARIBAULT COUNTY, MN</v>
      </c>
      <c r="D1170" s="265" t="s">
        <v>82</v>
      </c>
      <c r="E1170" s="266" t="s">
        <v>3989</v>
      </c>
      <c r="F1170" s="252">
        <f t="shared" si="59"/>
        <v>53350</v>
      </c>
      <c r="G1170" s="252">
        <f t="shared" si="59"/>
        <v>60950</v>
      </c>
      <c r="H1170" s="252">
        <f t="shared" si="59"/>
        <v>68550</v>
      </c>
      <c r="I1170" s="252">
        <f t="shared" si="59"/>
        <v>76150</v>
      </c>
      <c r="J1170" s="252">
        <f t="shared" si="59"/>
        <v>82250</v>
      </c>
      <c r="K1170" s="252">
        <f t="shared" si="59"/>
        <v>88350</v>
      </c>
      <c r="L1170" s="252">
        <f t="shared" si="59"/>
        <v>94450</v>
      </c>
      <c r="M1170" s="252">
        <f t="shared" si="59"/>
        <v>100550</v>
      </c>
    </row>
    <row r="1171" spans="1:13" ht="21.95" customHeight="1" x14ac:dyDescent="0.25">
      <c r="A1171" s="36" t="s">
        <v>2904</v>
      </c>
      <c r="B1171" s="36" t="str">
        <f t="shared" si="58"/>
        <v>MN_FILLMORE COUNTY, MN HUD METRO FMR AREA</v>
      </c>
      <c r="D1171" s="265" t="s">
        <v>82</v>
      </c>
      <c r="E1171" s="266" t="s">
        <v>3990</v>
      </c>
      <c r="F1171" s="252">
        <f t="shared" si="59"/>
        <v>55250</v>
      </c>
      <c r="G1171" s="252">
        <f t="shared" si="59"/>
        <v>63150</v>
      </c>
      <c r="H1171" s="252">
        <f t="shared" si="59"/>
        <v>71050</v>
      </c>
      <c r="I1171" s="252">
        <f t="shared" si="59"/>
        <v>78900</v>
      </c>
      <c r="J1171" s="252">
        <f t="shared" si="59"/>
        <v>85250</v>
      </c>
      <c r="K1171" s="252">
        <f t="shared" si="59"/>
        <v>91550</v>
      </c>
      <c r="L1171" s="252">
        <f t="shared" si="59"/>
        <v>97850</v>
      </c>
      <c r="M1171" s="252">
        <f t="shared" si="59"/>
        <v>104150</v>
      </c>
    </row>
    <row r="1172" spans="1:13" ht="21.95" customHeight="1" x14ac:dyDescent="0.25">
      <c r="A1172" s="36" t="s">
        <v>2904</v>
      </c>
      <c r="B1172" s="36" t="str">
        <f t="shared" si="58"/>
        <v>MN_FREEBORN COUNTY, MN</v>
      </c>
      <c r="D1172" s="265" t="s">
        <v>82</v>
      </c>
      <c r="E1172" s="266" t="s">
        <v>3991</v>
      </c>
      <c r="F1172" s="252">
        <f t="shared" si="59"/>
        <v>53350</v>
      </c>
      <c r="G1172" s="252">
        <f t="shared" si="59"/>
        <v>60950</v>
      </c>
      <c r="H1172" s="252">
        <f t="shared" si="59"/>
        <v>68550</v>
      </c>
      <c r="I1172" s="252">
        <f t="shared" si="59"/>
        <v>76150</v>
      </c>
      <c r="J1172" s="252">
        <f t="shared" si="59"/>
        <v>82250</v>
      </c>
      <c r="K1172" s="252">
        <f t="shared" si="59"/>
        <v>88350</v>
      </c>
      <c r="L1172" s="252">
        <f t="shared" si="59"/>
        <v>94450</v>
      </c>
      <c r="M1172" s="252">
        <f t="shared" si="59"/>
        <v>100550</v>
      </c>
    </row>
    <row r="1173" spans="1:13" ht="21.95" customHeight="1" x14ac:dyDescent="0.25">
      <c r="A1173" s="36" t="s">
        <v>2904</v>
      </c>
      <c r="B1173" s="36" t="str">
        <f t="shared" si="58"/>
        <v>MN_GOODHUE COUNTY, MN</v>
      </c>
      <c r="D1173" s="265" t="s">
        <v>82</v>
      </c>
      <c r="E1173" s="266" t="s">
        <v>3992</v>
      </c>
      <c r="F1173" s="252">
        <f t="shared" si="59"/>
        <v>63400</v>
      </c>
      <c r="G1173" s="252">
        <f t="shared" si="59"/>
        <v>72450</v>
      </c>
      <c r="H1173" s="252">
        <f t="shared" si="59"/>
        <v>81500</v>
      </c>
      <c r="I1173" s="252">
        <f t="shared" si="59"/>
        <v>90550</v>
      </c>
      <c r="J1173" s="252">
        <f t="shared" si="59"/>
        <v>97800</v>
      </c>
      <c r="K1173" s="252">
        <f t="shared" si="59"/>
        <v>105050</v>
      </c>
      <c r="L1173" s="252">
        <f t="shared" si="59"/>
        <v>112300</v>
      </c>
      <c r="M1173" s="252">
        <f t="shared" si="59"/>
        <v>119550</v>
      </c>
    </row>
    <row r="1174" spans="1:13" ht="21.95" customHeight="1" x14ac:dyDescent="0.25">
      <c r="A1174" s="36" t="s">
        <v>2904</v>
      </c>
      <c r="B1174" s="36" t="str">
        <f t="shared" si="58"/>
        <v>MN_GRAND FORKS, ND-MN MSA</v>
      </c>
      <c r="D1174" s="265" t="s">
        <v>82</v>
      </c>
      <c r="E1174" s="266" t="s">
        <v>3993</v>
      </c>
      <c r="F1174" s="252">
        <f t="shared" si="59"/>
        <v>58450</v>
      </c>
      <c r="G1174" s="252">
        <f t="shared" si="59"/>
        <v>66800</v>
      </c>
      <c r="H1174" s="252">
        <f t="shared" si="59"/>
        <v>75150</v>
      </c>
      <c r="I1174" s="252">
        <f t="shared" si="59"/>
        <v>83500</v>
      </c>
      <c r="J1174" s="252">
        <f t="shared" si="59"/>
        <v>90200</v>
      </c>
      <c r="K1174" s="252">
        <f t="shared" si="59"/>
        <v>96900</v>
      </c>
      <c r="L1174" s="252">
        <f t="shared" si="59"/>
        <v>103550</v>
      </c>
      <c r="M1174" s="252">
        <f t="shared" si="59"/>
        <v>110250</v>
      </c>
    </row>
    <row r="1175" spans="1:13" ht="21.95" customHeight="1" x14ac:dyDescent="0.25">
      <c r="A1175" s="36" t="s">
        <v>2904</v>
      </c>
      <c r="B1175" s="36" t="str">
        <f t="shared" si="58"/>
        <v>MN_GRANT COUNTY, MN</v>
      </c>
      <c r="D1175" s="265" t="s">
        <v>82</v>
      </c>
      <c r="E1175" s="266" t="s">
        <v>3994</v>
      </c>
      <c r="F1175" s="252">
        <f t="shared" si="59"/>
        <v>53350</v>
      </c>
      <c r="G1175" s="252">
        <f t="shared" si="59"/>
        <v>60950</v>
      </c>
      <c r="H1175" s="252">
        <f t="shared" si="59"/>
        <v>68550</v>
      </c>
      <c r="I1175" s="252">
        <f t="shared" si="59"/>
        <v>76150</v>
      </c>
      <c r="J1175" s="252">
        <f t="shared" si="59"/>
        <v>82250</v>
      </c>
      <c r="K1175" s="252">
        <f t="shared" si="59"/>
        <v>88350</v>
      </c>
      <c r="L1175" s="252">
        <f t="shared" si="59"/>
        <v>94450</v>
      </c>
      <c r="M1175" s="252">
        <f t="shared" si="59"/>
        <v>100550</v>
      </c>
    </row>
    <row r="1176" spans="1:13" ht="21.95" customHeight="1" x14ac:dyDescent="0.25">
      <c r="A1176" s="36" t="s">
        <v>2904</v>
      </c>
      <c r="B1176" s="36" t="str">
        <f t="shared" si="58"/>
        <v>MN_HUBBARD COUNTY, MN</v>
      </c>
      <c r="D1176" s="265" t="s">
        <v>82</v>
      </c>
      <c r="E1176" s="266" t="s">
        <v>3995</v>
      </c>
      <c r="F1176" s="252">
        <f t="shared" si="59"/>
        <v>53350</v>
      </c>
      <c r="G1176" s="252">
        <f t="shared" si="59"/>
        <v>60950</v>
      </c>
      <c r="H1176" s="252">
        <f t="shared" si="59"/>
        <v>68550</v>
      </c>
      <c r="I1176" s="252">
        <f t="shared" si="59"/>
        <v>76150</v>
      </c>
      <c r="J1176" s="252">
        <f t="shared" si="59"/>
        <v>82250</v>
      </c>
      <c r="K1176" s="252">
        <f t="shared" si="59"/>
        <v>88350</v>
      </c>
      <c r="L1176" s="252">
        <f t="shared" si="59"/>
        <v>94450</v>
      </c>
      <c r="M1176" s="252">
        <f t="shared" si="59"/>
        <v>100550</v>
      </c>
    </row>
    <row r="1177" spans="1:13" ht="21.95" customHeight="1" x14ac:dyDescent="0.25">
      <c r="A1177" s="36" t="s">
        <v>2904</v>
      </c>
      <c r="B1177" s="36" t="str">
        <f t="shared" si="58"/>
        <v>MN_ITASCA COUNTY, MN</v>
      </c>
      <c r="D1177" s="265" t="s">
        <v>82</v>
      </c>
      <c r="E1177" s="266" t="s">
        <v>3996</v>
      </c>
      <c r="F1177" s="252">
        <f t="shared" si="59"/>
        <v>53350</v>
      </c>
      <c r="G1177" s="252">
        <f t="shared" si="59"/>
        <v>60950</v>
      </c>
      <c r="H1177" s="252">
        <f t="shared" si="59"/>
        <v>68550</v>
      </c>
      <c r="I1177" s="252">
        <f t="shared" si="59"/>
        <v>76150</v>
      </c>
      <c r="J1177" s="252">
        <f t="shared" si="59"/>
        <v>82250</v>
      </c>
      <c r="K1177" s="252">
        <f t="shared" si="59"/>
        <v>88350</v>
      </c>
      <c r="L1177" s="252">
        <f t="shared" si="59"/>
        <v>94450</v>
      </c>
      <c r="M1177" s="252">
        <f t="shared" si="59"/>
        <v>100550</v>
      </c>
    </row>
    <row r="1178" spans="1:13" ht="21.95" customHeight="1" x14ac:dyDescent="0.25">
      <c r="A1178" s="36" t="s">
        <v>2904</v>
      </c>
      <c r="B1178" s="36" t="str">
        <f t="shared" si="58"/>
        <v>MN_JACKSON COUNTY, MN</v>
      </c>
      <c r="D1178" s="265" t="s">
        <v>82</v>
      </c>
      <c r="E1178" s="266" t="s">
        <v>3997</v>
      </c>
      <c r="F1178" s="252">
        <f t="shared" si="59"/>
        <v>53350</v>
      </c>
      <c r="G1178" s="252">
        <f t="shared" si="59"/>
        <v>60950</v>
      </c>
      <c r="H1178" s="252">
        <f t="shared" si="59"/>
        <v>68550</v>
      </c>
      <c r="I1178" s="252">
        <f t="shared" si="59"/>
        <v>76150</v>
      </c>
      <c r="J1178" s="252">
        <f t="shared" si="59"/>
        <v>82250</v>
      </c>
      <c r="K1178" s="252">
        <f t="shared" si="59"/>
        <v>88350</v>
      </c>
      <c r="L1178" s="252">
        <f t="shared" si="59"/>
        <v>94450</v>
      </c>
      <c r="M1178" s="252">
        <f t="shared" si="59"/>
        <v>100550</v>
      </c>
    </row>
    <row r="1179" spans="1:13" ht="21.95" customHeight="1" x14ac:dyDescent="0.25">
      <c r="A1179" s="36" t="s">
        <v>2904</v>
      </c>
      <c r="B1179" s="36" t="str">
        <f t="shared" si="58"/>
        <v>MN_KANABEC COUNTY, MN</v>
      </c>
      <c r="D1179" s="265" t="s">
        <v>82</v>
      </c>
      <c r="E1179" s="266" t="s">
        <v>3998</v>
      </c>
      <c r="F1179" s="252">
        <f t="shared" si="59"/>
        <v>53350</v>
      </c>
      <c r="G1179" s="252">
        <f t="shared" si="59"/>
        <v>60950</v>
      </c>
      <c r="H1179" s="252">
        <f t="shared" si="59"/>
        <v>68550</v>
      </c>
      <c r="I1179" s="252">
        <f t="shared" si="59"/>
        <v>76150</v>
      </c>
      <c r="J1179" s="252">
        <f t="shared" si="59"/>
        <v>82250</v>
      </c>
      <c r="K1179" s="252">
        <f t="shared" si="59"/>
        <v>88350</v>
      </c>
      <c r="L1179" s="252">
        <f t="shared" si="59"/>
        <v>94450</v>
      </c>
      <c r="M1179" s="252">
        <f t="shared" si="59"/>
        <v>100550</v>
      </c>
    </row>
    <row r="1180" spans="1:13" ht="21.95" customHeight="1" x14ac:dyDescent="0.25">
      <c r="A1180" s="36" t="s">
        <v>2904</v>
      </c>
      <c r="B1180" s="36" t="str">
        <f t="shared" si="58"/>
        <v>MN_KANDIYOHI COUNTY, MN</v>
      </c>
      <c r="D1180" s="265" t="s">
        <v>82</v>
      </c>
      <c r="E1180" s="266" t="s">
        <v>3999</v>
      </c>
      <c r="F1180" s="252">
        <f t="shared" si="59"/>
        <v>56500</v>
      </c>
      <c r="G1180" s="252">
        <f t="shared" si="59"/>
        <v>64550</v>
      </c>
      <c r="H1180" s="252">
        <f t="shared" si="59"/>
        <v>72600</v>
      </c>
      <c r="I1180" s="252">
        <f t="shared" si="59"/>
        <v>80650</v>
      </c>
      <c r="J1180" s="252">
        <f t="shared" si="59"/>
        <v>87150</v>
      </c>
      <c r="K1180" s="252">
        <f t="shared" si="59"/>
        <v>93600</v>
      </c>
      <c r="L1180" s="252">
        <f t="shared" si="59"/>
        <v>100050</v>
      </c>
      <c r="M1180" s="252">
        <f t="shared" si="59"/>
        <v>106500</v>
      </c>
    </row>
    <row r="1181" spans="1:13" ht="21.95" customHeight="1" x14ac:dyDescent="0.25">
      <c r="A1181" s="36" t="s">
        <v>2904</v>
      </c>
      <c r="B1181" s="36" t="str">
        <f t="shared" si="58"/>
        <v>MN_KITTSON COUNTY, MN</v>
      </c>
      <c r="D1181" s="265" t="s">
        <v>82</v>
      </c>
      <c r="E1181" s="266" t="s">
        <v>4000</v>
      </c>
      <c r="F1181" s="252">
        <f t="shared" si="59"/>
        <v>57200</v>
      </c>
      <c r="G1181" s="252">
        <f t="shared" si="59"/>
        <v>65400</v>
      </c>
      <c r="H1181" s="252">
        <f t="shared" si="59"/>
        <v>73550</v>
      </c>
      <c r="I1181" s="252">
        <f t="shared" si="59"/>
        <v>81700</v>
      </c>
      <c r="J1181" s="252">
        <f t="shared" si="59"/>
        <v>88250</v>
      </c>
      <c r="K1181" s="252">
        <f t="shared" si="59"/>
        <v>94800</v>
      </c>
      <c r="L1181" s="252">
        <f t="shared" si="59"/>
        <v>101350</v>
      </c>
      <c r="M1181" s="252">
        <f t="shared" si="59"/>
        <v>107850</v>
      </c>
    </row>
    <row r="1182" spans="1:13" ht="21.95" customHeight="1" x14ac:dyDescent="0.25">
      <c r="A1182" s="36" t="s">
        <v>2904</v>
      </c>
      <c r="B1182" s="36" t="str">
        <f t="shared" si="58"/>
        <v>MN_KOOCHICHING COUNTY, MN</v>
      </c>
      <c r="D1182" s="265" t="s">
        <v>82</v>
      </c>
      <c r="E1182" s="266" t="s">
        <v>4001</v>
      </c>
      <c r="F1182" s="252">
        <f t="shared" si="59"/>
        <v>53350</v>
      </c>
      <c r="G1182" s="252">
        <f t="shared" si="59"/>
        <v>60950</v>
      </c>
      <c r="H1182" s="252">
        <f t="shared" si="59"/>
        <v>68550</v>
      </c>
      <c r="I1182" s="252">
        <f t="shared" si="59"/>
        <v>76150</v>
      </c>
      <c r="J1182" s="252">
        <f t="shared" si="59"/>
        <v>82250</v>
      </c>
      <c r="K1182" s="252">
        <f t="shared" si="59"/>
        <v>88350</v>
      </c>
      <c r="L1182" s="252">
        <f t="shared" si="59"/>
        <v>94450</v>
      </c>
      <c r="M1182" s="252">
        <f t="shared" si="59"/>
        <v>100550</v>
      </c>
    </row>
    <row r="1183" spans="1:13" ht="21.95" customHeight="1" x14ac:dyDescent="0.25">
      <c r="A1183" s="36" t="s">
        <v>2904</v>
      </c>
      <c r="B1183" s="36" t="str">
        <f t="shared" si="58"/>
        <v>MN_LAC QUI PARLE COUNTY, MN</v>
      </c>
      <c r="D1183" s="265" t="s">
        <v>82</v>
      </c>
      <c r="E1183" s="266" t="s">
        <v>4002</v>
      </c>
      <c r="F1183" s="252">
        <f t="shared" si="59"/>
        <v>55950</v>
      </c>
      <c r="G1183" s="252">
        <f t="shared" si="59"/>
        <v>63950</v>
      </c>
      <c r="H1183" s="252">
        <f t="shared" si="59"/>
        <v>71950</v>
      </c>
      <c r="I1183" s="252">
        <f t="shared" si="59"/>
        <v>79900</v>
      </c>
      <c r="J1183" s="252">
        <f t="shared" si="59"/>
        <v>86300</v>
      </c>
      <c r="K1183" s="252">
        <f t="shared" si="59"/>
        <v>92700</v>
      </c>
      <c r="L1183" s="252">
        <f t="shared" si="59"/>
        <v>99100</v>
      </c>
      <c r="M1183" s="252">
        <f t="shared" si="59"/>
        <v>105500</v>
      </c>
    </row>
    <row r="1184" spans="1:13" ht="21.95" customHeight="1" x14ac:dyDescent="0.25">
      <c r="A1184" s="36" t="s">
        <v>2904</v>
      </c>
      <c r="B1184" s="36" t="str">
        <f t="shared" si="58"/>
        <v>MN_LA CROSSE-ONALASKA, WI-MN HUD METRO FMR AREA</v>
      </c>
      <c r="D1184" s="265" t="s">
        <v>82</v>
      </c>
      <c r="E1184" s="266" t="s">
        <v>9207</v>
      </c>
      <c r="F1184" s="252">
        <f t="shared" si="59"/>
        <v>60150</v>
      </c>
      <c r="G1184" s="252">
        <f t="shared" si="59"/>
        <v>68750</v>
      </c>
      <c r="H1184" s="252">
        <f t="shared" si="59"/>
        <v>77350</v>
      </c>
      <c r="I1184" s="252">
        <f t="shared" si="59"/>
        <v>85900</v>
      </c>
      <c r="J1184" s="252">
        <f t="shared" si="59"/>
        <v>92800</v>
      </c>
      <c r="K1184" s="252">
        <f t="shared" si="59"/>
        <v>99650</v>
      </c>
      <c r="L1184" s="252">
        <f t="shared" si="59"/>
        <v>106550</v>
      </c>
      <c r="M1184" s="252">
        <f t="shared" si="59"/>
        <v>113400</v>
      </c>
    </row>
    <row r="1185" spans="1:13" ht="21.95" customHeight="1" x14ac:dyDescent="0.25">
      <c r="A1185" s="36" t="s">
        <v>2904</v>
      </c>
      <c r="B1185" s="36" t="str">
        <f t="shared" si="58"/>
        <v>MN_LAKE COUNTY, MN</v>
      </c>
      <c r="D1185" s="265" t="s">
        <v>82</v>
      </c>
      <c r="E1185" s="266" t="s">
        <v>9208</v>
      </c>
      <c r="F1185" s="252">
        <f t="shared" si="59"/>
        <v>56650</v>
      </c>
      <c r="G1185" s="252">
        <f t="shared" si="59"/>
        <v>64750</v>
      </c>
      <c r="H1185" s="252">
        <f t="shared" si="59"/>
        <v>72850</v>
      </c>
      <c r="I1185" s="252">
        <f t="shared" si="59"/>
        <v>80900</v>
      </c>
      <c r="J1185" s="252">
        <f t="shared" si="59"/>
        <v>87400</v>
      </c>
      <c r="K1185" s="252">
        <f t="shared" si="59"/>
        <v>93850</v>
      </c>
      <c r="L1185" s="252">
        <f t="shared" si="59"/>
        <v>100350</v>
      </c>
      <c r="M1185" s="252">
        <f t="shared" si="59"/>
        <v>106800</v>
      </c>
    </row>
    <row r="1186" spans="1:13" ht="21.95" customHeight="1" x14ac:dyDescent="0.25">
      <c r="A1186" s="36" t="s">
        <v>2904</v>
      </c>
      <c r="B1186" s="36" t="str">
        <f t="shared" si="58"/>
        <v>MN_LAKE OF THE WOODS COUNTY, MN</v>
      </c>
      <c r="D1186" s="265" t="s">
        <v>82</v>
      </c>
      <c r="E1186" s="266" t="s">
        <v>4003</v>
      </c>
      <c r="F1186" s="252">
        <f t="shared" si="59"/>
        <v>54000</v>
      </c>
      <c r="G1186" s="252">
        <f t="shared" si="59"/>
        <v>61700</v>
      </c>
      <c r="H1186" s="252">
        <f t="shared" si="59"/>
        <v>69400</v>
      </c>
      <c r="I1186" s="252">
        <f t="shared" si="59"/>
        <v>77100</v>
      </c>
      <c r="J1186" s="252">
        <f t="shared" si="59"/>
        <v>83300</v>
      </c>
      <c r="K1186" s="252">
        <f t="shared" si="59"/>
        <v>89450</v>
      </c>
      <c r="L1186" s="252">
        <f t="shared" si="59"/>
        <v>95650</v>
      </c>
      <c r="M1186" s="252">
        <f t="shared" si="59"/>
        <v>101800</v>
      </c>
    </row>
    <row r="1187" spans="1:13" ht="21.95" customHeight="1" x14ac:dyDescent="0.25">
      <c r="A1187" s="36" t="s">
        <v>2904</v>
      </c>
      <c r="B1187" s="36" t="str">
        <f t="shared" si="58"/>
        <v>MN_LE SUEUR COUNTY, MN HUD METRO FMR AREA</v>
      </c>
      <c r="D1187" s="265" t="s">
        <v>82</v>
      </c>
      <c r="E1187" s="266" t="s">
        <v>4004</v>
      </c>
      <c r="F1187" s="252">
        <f t="shared" si="59"/>
        <v>65450</v>
      </c>
      <c r="G1187" s="252">
        <f t="shared" si="59"/>
        <v>74800</v>
      </c>
      <c r="H1187" s="252">
        <f t="shared" si="59"/>
        <v>84150</v>
      </c>
      <c r="I1187" s="252">
        <f t="shared" si="59"/>
        <v>93450</v>
      </c>
      <c r="J1187" s="252">
        <f t="shared" si="59"/>
        <v>100950</v>
      </c>
      <c r="K1187" s="252">
        <f t="shared" si="59"/>
        <v>108450</v>
      </c>
      <c r="L1187" s="252">
        <f t="shared" si="59"/>
        <v>115900</v>
      </c>
      <c r="M1187" s="252">
        <f t="shared" si="59"/>
        <v>123400</v>
      </c>
    </row>
    <row r="1188" spans="1:13" ht="21.95" customHeight="1" x14ac:dyDescent="0.25">
      <c r="A1188" s="36" t="s">
        <v>2904</v>
      </c>
      <c r="B1188" s="36" t="str">
        <f t="shared" si="58"/>
        <v>MN_LINCOLN COUNTY, MN</v>
      </c>
      <c r="D1188" s="265" t="s">
        <v>82</v>
      </c>
      <c r="E1188" s="266" t="s">
        <v>4005</v>
      </c>
      <c r="F1188" s="252">
        <f t="shared" si="59"/>
        <v>53350</v>
      </c>
      <c r="G1188" s="252">
        <f t="shared" si="59"/>
        <v>60950</v>
      </c>
      <c r="H1188" s="252">
        <f t="shared" si="59"/>
        <v>68550</v>
      </c>
      <c r="I1188" s="252">
        <f t="shared" si="59"/>
        <v>76150</v>
      </c>
      <c r="J1188" s="252">
        <f t="shared" si="59"/>
        <v>82250</v>
      </c>
      <c r="K1188" s="252">
        <f t="shared" si="59"/>
        <v>88350</v>
      </c>
      <c r="L1188" s="252">
        <f t="shared" si="59"/>
        <v>94450</v>
      </c>
      <c r="M1188" s="252">
        <f t="shared" si="59"/>
        <v>100550</v>
      </c>
    </row>
    <row r="1189" spans="1:13" ht="21.95" customHeight="1" x14ac:dyDescent="0.25">
      <c r="A1189" s="36" t="s">
        <v>2904</v>
      </c>
      <c r="B1189" s="36" t="str">
        <f t="shared" si="58"/>
        <v>MN_LYON COUNTY, MN</v>
      </c>
      <c r="D1189" s="265" t="s">
        <v>82</v>
      </c>
      <c r="E1189" s="266" t="s">
        <v>4006</v>
      </c>
      <c r="F1189" s="252">
        <f t="shared" si="59"/>
        <v>56000</v>
      </c>
      <c r="G1189" s="252">
        <f t="shared" si="59"/>
        <v>64000</v>
      </c>
      <c r="H1189" s="252">
        <f t="shared" si="59"/>
        <v>72000</v>
      </c>
      <c r="I1189" s="252">
        <f t="shared" si="59"/>
        <v>80000</v>
      </c>
      <c r="J1189" s="252">
        <f t="shared" si="59"/>
        <v>86400</v>
      </c>
      <c r="K1189" s="252">
        <f t="shared" ref="F1189:M1221" si="60">VLOOKUP($B1189,LOOKUP_AMI_TABLE,5+((K$7-1)),FALSE)</f>
        <v>92800</v>
      </c>
      <c r="L1189" s="252">
        <f t="shared" si="60"/>
        <v>99200</v>
      </c>
      <c r="M1189" s="252">
        <f t="shared" si="60"/>
        <v>105600</v>
      </c>
    </row>
    <row r="1190" spans="1:13" ht="21.95" customHeight="1" x14ac:dyDescent="0.25">
      <c r="A1190" s="36" t="s">
        <v>2904</v>
      </c>
      <c r="B1190" s="36" t="str">
        <f t="shared" si="58"/>
        <v>MN_MAHNOMEN COUNTY, MN</v>
      </c>
      <c r="D1190" s="265" t="s">
        <v>82</v>
      </c>
      <c r="E1190" s="266" t="s">
        <v>4007</v>
      </c>
      <c r="F1190" s="252">
        <f t="shared" si="60"/>
        <v>53350</v>
      </c>
      <c r="G1190" s="252">
        <f t="shared" si="60"/>
        <v>60950</v>
      </c>
      <c r="H1190" s="252">
        <f t="shared" si="60"/>
        <v>68550</v>
      </c>
      <c r="I1190" s="252">
        <f t="shared" si="60"/>
        <v>76150</v>
      </c>
      <c r="J1190" s="252">
        <f t="shared" si="60"/>
        <v>82250</v>
      </c>
      <c r="K1190" s="252">
        <f t="shared" si="60"/>
        <v>88350</v>
      </c>
      <c r="L1190" s="252">
        <f t="shared" si="60"/>
        <v>94450</v>
      </c>
      <c r="M1190" s="252">
        <f t="shared" si="60"/>
        <v>100550</v>
      </c>
    </row>
    <row r="1191" spans="1:13" ht="21.95" customHeight="1" x14ac:dyDescent="0.25">
      <c r="A1191" s="36" t="s">
        <v>2904</v>
      </c>
      <c r="B1191" s="36" t="str">
        <f t="shared" si="58"/>
        <v>MN_MANKATO, MN MSA</v>
      </c>
      <c r="D1191" s="265" t="s">
        <v>82</v>
      </c>
      <c r="E1191" s="266" t="s">
        <v>9205</v>
      </c>
      <c r="F1191" s="252">
        <f t="shared" si="60"/>
        <v>58650</v>
      </c>
      <c r="G1191" s="252">
        <f t="shared" si="60"/>
        <v>67000</v>
      </c>
      <c r="H1191" s="252">
        <f t="shared" si="60"/>
        <v>75400</v>
      </c>
      <c r="I1191" s="252">
        <f t="shared" si="60"/>
        <v>83750</v>
      </c>
      <c r="J1191" s="252">
        <f t="shared" si="60"/>
        <v>90450</v>
      </c>
      <c r="K1191" s="252">
        <f t="shared" si="60"/>
        <v>97150</v>
      </c>
      <c r="L1191" s="252">
        <f t="shared" si="60"/>
        <v>103850</v>
      </c>
      <c r="M1191" s="252">
        <f t="shared" si="60"/>
        <v>110550</v>
      </c>
    </row>
    <row r="1192" spans="1:13" ht="21.95" customHeight="1" x14ac:dyDescent="0.25">
      <c r="A1192" s="36" t="s">
        <v>2904</v>
      </c>
      <c r="B1192" s="36" t="str">
        <f t="shared" si="58"/>
        <v>MN_MARSHALL COUNTY, MN</v>
      </c>
      <c r="D1192" s="265" t="s">
        <v>82</v>
      </c>
      <c r="E1192" s="266" t="s">
        <v>4008</v>
      </c>
      <c r="F1192" s="252">
        <f t="shared" si="60"/>
        <v>55750</v>
      </c>
      <c r="G1192" s="252">
        <f t="shared" si="60"/>
        <v>63700</v>
      </c>
      <c r="H1192" s="252">
        <f t="shared" si="60"/>
        <v>71650</v>
      </c>
      <c r="I1192" s="252">
        <f t="shared" si="60"/>
        <v>79600</v>
      </c>
      <c r="J1192" s="252">
        <f t="shared" si="60"/>
        <v>86000</v>
      </c>
      <c r="K1192" s="252">
        <f t="shared" si="60"/>
        <v>92350</v>
      </c>
      <c r="L1192" s="252">
        <f t="shared" si="60"/>
        <v>98750</v>
      </c>
      <c r="M1192" s="252">
        <f t="shared" si="60"/>
        <v>105100</v>
      </c>
    </row>
    <row r="1193" spans="1:13" ht="21.95" customHeight="1" x14ac:dyDescent="0.25">
      <c r="A1193" s="36" t="s">
        <v>2904</v>
      </c>
      <c r="B1193" s="36" t="str">
        <f t="shared" si="58"/>
        <v>MN_MARTIN COUNTY, MN</v>
      </c>
      <c r="D1193" s="265" t="s">
        <v>82</v>
      </c>
      <c r="E1193" s="266" t="s">
        <v>4009</v>
      </c>
      <c r="F1193" s="252">
        <f t="shared" si="60"/>
        <v>53350</v>
      </c>
      <c r="G1193" s="252">
        <f t="shared" si="60"/>
        <v>60950</v>
      </c>
      <c r="H1193" s="252">
        <f t="shared" si="60"/>
        <v>68550</v>
      </c>
      <c r="I1193" s="252">
        <f t="shared" si="60"/>
        <v>76150</v>
      </c>
      <c r="J1193" s="252">
        <f t="shared" si="60"/>
        <v>82250</v>
      </c>
      <c r="K1193" s="252">
        <f t="shared" si="60"/>
        <v>88350</v>
      </c>
      <c r="L1193" s="252">
        <f t="shared" si="60"/>
        <v>94450</v>
      </c>
      <c r="M1193" s="252">
        <f t="shared" si="60"/>
        <v>100550</v>
      </c>
    </row>
    <row r="1194" spans="1:13" ht="21.95" customHeight="1" x14ac:dyDescent="0.25">
      <c r="A1194" s="36" t="s">
        <v>2904</v>
      </c>
      <c r="B1194" s="36" t="str">
        <f t="shared" si="58"/>
        <v>MN_MCLEOD COUNTY, MN</v>
      </c>
      <c r="D1194" s="265" t="s">
        <v>82</v>
      </c>
      <c r="E1194" s="266" t="s">
        <v>4010</v>
      </c>
      <c r="F1194" s="252">
        <f t="shared" si="60"/>
        <v>61000</v>
      </c>
      <c r="G1194" s="252">
        <f t="shared" si="60"/>
        <v>69700</v>
      </c>
      <c r="H1194" s="252">
        <f t="shared" si="60"/>
        <v>78400</v>
      </c>
      <c r="I1194" s="252">
        <f t="shared" si="60"/>
        <v>87100</v>
      </c>
      <c r="J1194" s="252">
        <f t="shared" si="60"/>
        <v>94100</v>
      </c>
      <c r="K1194" s="252">
        <f t="shared" si="60"/>
        <v>101050</v>
      </c>
      <c r="L1194" s="252">
        <f t="shared" si="60"/>
        <v>108050</v>
      </c>
      <c r="M1194" s="252">
        <f t="shared" si="60"/>
        <v>115000</v>
      </c>
    </row>
    <row r="1195" spans="1:13" ht="21.95" customHeight="1" x14ac:dyDescent="0.25">
      <c r="A1195" s="36" t="s">
        <v>2904</v>
      </c>
      <c r="B1195" s="36" t="str">
        <f t="shared" si="58"/>
        <v>MN_MEEKER COUNTY, MN</v>
      </c>
      <c r="D1195" s="265" t="s">
        <v>82</v>
      </c>
      <c r="E1195" s="266" t="s">
        <v>4011</v>
      </c>
      <c r="F1195" s="252">
        <f t="shared" si="60"/>
        <v>57900</v>
      </c>
      <c r="G1195" s="252">
        <f t="shared" si="60"/>
        <v>66200</v>
      </c>
      <c r="H1195" s="252">
        <f t="shared" si="60"/>
        <v>74450</v>
      </c>
      <c r="I1195" s="252">
        <f t="shared" si="60"/>
        <v>82700</v>
      </c>
      <c r="J1195" s="252">
        <f t="shared" si="60"/>
        <v>89350</v>
      </c>
      <c r="K1195" s="252">
        <f t="shared" si="60"/>
        <v>95950</v>
      </c>
      <c r="L1195" s="252">
        <f t="shared" si="60"/>
        <v>102550</v>
      </c>
      <c r="M1195" s="252">
        <f t="shared" si="60"/>
        <v>109200</v>
      </c>
    </row>
    <row r="1196" spans="1:13" ht="21.95" customHeight="1" x14ac:dyDescent="0.25">
      <c r="A1196" s="36" t="s">
        <v>2904</v>
      </c>
      <c r="B1196" s="36" t="str">
        <f t="shared" si="58"/>
        <v>MN_MILLE LACS COUNTY, MN HUD METRO FMR AREA</v>
      </c>
      <c r="D1196" s="265" t="s">
        <v>82</v>
      </c>
      <c r="E1196" s="266" t="s">
        <v>4012</v>
      </c>
      <c r="F1196" s="252">
        <f t="shared" si="60"/>
        <v>53350</v>
      </c>
      <c r="G1196" s="252">
        <f t="shared" si="60"/>
        <v>60950</v>
      </c>
      <c r="H1196" s="252">
        <f t="shared" si="60"/>
        <v>68550</v>
      </c>
      <c r="I1196" s="252">
        <f t="shared" si="60"/>
        <v>76150</v>
      </c>
      <c r="J1196" s="252">
        <f t="shared" si="60"/>
        <v>82250</v>
      </c>
      <c r="K1196" s="252">
        <f t="shared" si="60"/>
        <v>88350</v>
      </c>
      <c r="L1196" s="252">
        <f t="shared" si="60"/>
        <v>94450</v>
      </c>
      <c r="M1196" s="252">
        <f t="shared" si="60"/>
        <v>100550</v>
      </c>
    </row>
    <row r="1197" spans="1:13" ht="21.95" customHeight="1" x14ac:dyDescent="0.25">
      <c r="A1197" s="36" t="s">
        <v>2904</v>
      </c>
      <c r="B1197" s="36" t="str">
        <f t="shared" si="58"/>
        <v>MN_MINNEAPOLIS-ST. PAUL-BLOOMINGTON, MN-WI HUD METRO FMR AREA</v>
      </c>
      <c r="D1197" s="265" t="s">
        <v>82</v>
      </c>
      <c r="E1197" s="266" t="s">
        <v>4013</v>
      </c>
      <c r="F1197" s="252">
        <f t="shared" si="60"/>
        <v>72950</v>
      </c>
      <c r="G1197" s="252">
        <f t="shared" si="60"/>
        <v>83400</v>
      </c>
      <c r="H1197" s="252">
        <f t="shared" si="60"/>
        <v>93800</v>
      </c>
      <c r="I1197" s="252">
        <f t="shared" si="60"/>
        <v>104200</v>
      </c>
      <c r="J1197" s="252">
        <f t="shared" si="60"/>
        <v>112550</v>
      </c>
      <c r="K1197" s="252">
        <f t="shared" si="60"/>
        <v>120900</v>
      </c>
      <c r="L1197" s="252">
        <f t="shared" si="60"/>
        <v>129250</v>
      </c>
      <c r="M1197" s="252">
        <f t="shared" si="60"/>
        <v>137550</v>
      </c>
    </row>
    <row r="1198" spans="1:13" ht="21.95" customHeight="1" x14ac:dyDescent="0.25">
      <c r="A1198" s="36" t="s">
        <v>2904</v>
      </c>
      <c r="B1198" s="36" t="str">
        <f t="shared" si="58"/>
        <v>MN_MORRISON COUNTY, MN</v>
      </c>
      <c r="D1198" s="265" t="s">
        <v>82</v>
      </c>
      <c r="E1198" s="266" t="s">
        <v>4014</v>
      </c>
      <c r="F1198" s="252">
        <f t="shared" si="60"/>
        <v>53350</v>
      </c>
      <c r="G1198" s="252">
        <f t="shared" si="60"/>
        <v>60950</v>
      </c>
      <c r="H1198" s="252">
        <f t="shared" si="60"/>
        <v>68550</v>
      </c>
      <c r="I1198" s="252">
        <f t="shared" si="60"/>
        <v>76150</v>
      </c>
      <c r="J1198" s="252">
        <f t="shared" si="60"/>
        <v>82250</v>
      </c>
      <c r="K1198" s="252">
        <f t="shared" si="60"/>
        <v>88350</v>
      </c>
      <c r="L1198" s="252">
        <f t="shared" si="60"/>
        <v>94450</v>
      </c>
      <c r="M1198" s="252">
        <f t="shared" si="60"/>
        <v>100550</v>
      </c>
    </row>
    <row r="1199" spans="1:13" ht="21.95" customHeight="1" x14ac:dyDescent="0.25">
      <c r="A1199" s="36" t="s">
        <v>2904</v>
      </c>
      <c r="B1199" s="36" t="str">
        <f t="shared" si="58"/>
        <v>MN_MOWER COUNTY, MN</v>
      </c>
      <c r="D1199" s="265" t="s">
        <v>82</v>
      </c>
      <c r="E1199" s="266" t="s">
        <v>4015</v>
      </c>
      <c r="F1199" s="252">
        <f t="shared" si="60"/>
        <v>55200</v>
      </c>
      <c r="G1199" s="252">
        <f t="shared" si="60"/>
        <v>63050</v>
      </c>
      <c r="H1199" s="252">
        <f t="shared" si="60"/>
        <v>70950</v>
      </c>
      <c r="I1199" s="252">
        <f t="shared" si="60"/>
        <v>78800</v>
      </c>
      <c r="J1199" s="252">
        <f t="shared" si="60"/>
        <v>85150</v>
      </c>
      <c r="K1199" s="252">
        <f t="shared" si="60"/>
        <v>91450</v>
      </c>
      <c r="L1199" s="252">
        <f t="shared" si="60"/>
        <v>97750</v>
      </c>
      <c r="M1199" s="252">
        <f t="shared" si="60"/>
        <v>104050</v>
      </c>
    </row>
    <row r="1200" spans="1:13" ht="21.95" customHeight="1" x14ac:dyDescent="0.25">
      <c r="A1200" s="36" t="s">
        <v>2904</v>
      </c>
      <c r="B1200" s="36" t="str">
        <f t="shared" si="58"/>
        <v>MN_MURRAY COUNTY, MN</v>
      </c>
      <c r="D1200" s="265" t="s">
        <v>82</v>
      </c>
      <c r="E1200" s="266" t="s">
        <v>4016</v>
      </c>
      <c r="F1200" s="252">
        <f t="shared" si="60"/>
        <v>56500</v>
      </c>
      <c r="G1200" s="252">
        <f t="shared" si="60"/>
        <v>64600</v>
      </c>
      <c r="H1200" s="252">
        <f t="shared" si="60"/>
        <v>72650</v>
      </c>
      <c r="I1200" s="252">
        <f t="shared" si="60"/>
        <v>80700</v>
      </c>
      <c r="J1200" s="252">
        <f t="shared" si="60"/>
        <v>87200</v>
      </c>
      <c r="K1200" s="252">
        <f t="shared" si="60"/>
        <v>93650</v>
      </c>
      <c r="L1200" s="252">
        <f t="shared" si="60"/>
        <v>100100</v>
      </c>
      <c r="M1200" s="252">
        <f t="shared" si="60"/>
        <v>106550</v>
      </c>
    </row>
    <row r="1201" spans="1:13" ht="21.95" customHeight="1" x14ac:dyDescent="0.25">
      <c r="A1201" s="36" t="s">
        <v>2904</v>
      </c>
      <c r="B1201" s="36" t="str">
        <f t="shared" si="58"/>
        <v>MN_NOBLES COUNTY, MN</v>
      </c>
      <c r="D1201" s="265" t="s">
        <v>82</v>
      </c>
      <c r="E1201" s="266" t="s">
        <v>4017</v>
      </c>
      <c r="F1201" s="252">
        <f t="shared" si="60"/>
        <v>53350</v>
      </c>
      <c r="G1201" s="252">
        <f t="shared" si="60"/>
        <v>60950</v>
      </c>
      <c r="H1201" s="252">
        <f t="shared" si="60"/>
        <v>68550</v>
      </c>
      <c r="I1201" s="252">
        <f t="shared" si="60"/>
        <v>76150</v>
      </c>
      <c r="J1201" s="252">
        <f t="shared" si="60"/>
        <v>82250</v>
      </c>
      <c r="K1201" s="252">
        <f t="shared" si="60"/>
        <v>88350</v>
      </c>
      <c r="L1201" s="252">
        <f t="shared" si="60"/>
        <v>94450</v>
      </c>
      <c r="M1201" s="252">
        <f t="shared" si="60"/>
        <v>100550</v>
      </c>
    </row>
    <row r="1202" spans="1:13" ht="21.95" customHeight="1" x14ac:dyDescent="0.25">
      <c r="A1202" s="36" t="s">
        <v>2904</v>
      </c>
      <c r="B1202" s="36" t="str">
        <f t="shared" si="58"/>
        <v>MN_NORMAN COUNTY, MN</v>
      </c>
      <c r="D1202" s="265" t="s">
        <v>82</v>
      </c>
      <c r="E1202" s="266" t="s">
        <v>4018</v>
      </c>
      <c r="F1202" s="252">
        <f t="shared" si="60"/>
        <v>56300</v>
      </c>
      <c r="G1202" s="252">
        <f t="shared" si="60"/>
        <v>64350</v>
      </c>
      <c r="H1202" s="252">
        <f t="shared" si="60"/>
        <v>72400</v>
      </c>
      <c r="I1202" s="252">
        <f t="shared" si="60"/>
        <v>80400</v>
      </c>
      <c r="J1202" s="252">
        <f t="shared" si="60"/>
        <v>86850</v>
      </c>
      <c r="K1202" s="252">
        <f t="shared" si="60"/>
        <v>93300</v>
      </c>
      <c r="L1202" s="252">
        <f t="shared" si="60"/>
        <v>99700</v>
      </c>
      <c r="M1202" s="252">
        <f t="shared" si="60"/>
        <v>106150</v>
      </c>
    </row>
    <row r="1203" spans="1:13" ht="21.95" customHeight="1" x14ac:dyDescent="0.25">
      <c r="A1203" s="36" t="s">
        <v>2904</v>
      </c>
      <c r="B1203" s="36" t="str">
        <f t="shared" si="58"/>
        <v>MN_OTTER TAIL COUNTY, MN</v>
      </c>
      <c r="D1203" s="265" t="s">
        <v>82</v>
      </c>
      <c r="E1203" s="266" t="s">
        <v>4019</v>
      </c>
      <c r="F1203" s="252">
        <f t="shared" si="60"/>
        <v>56100</v>
      </c>
      <c r="G1203" s="252">
        <f t="shared" si="60"/>
        <v>64100</v>
      </c>
      <c r="H1203" s="252">
        <f t="shared" si="60"/>
        <v>72100</v>
      </c>
      <c r="I1203" s="252">
        <f t="shared" si="60"/>
        <v>80100</v>
      </c>
      <c r="J1203" s="252">
        <f t="shared" si="60"/>
        <v>86550</v>
      </c>
      <c r="K1203" s="252">
        <f t="shared" si="60"/>
        <v>92950</v>
      </c>
      <c r="L1203" s="252">
        <f t="shared" si="60"/>
        <v>99350</v>
      </c>
      <c r="M1203" s="252">
        <f t="shared" si="60"/>
        <v>105750</v>
      </c>
    </row>
    <row r="1204" spans="1:13" ht="21.95" customHeight="1" x14ac:dyDescent="0.25">
      <c r="A1204" s="36" t="s">
        <v>2904</v>
      </c>
      <c r="B1204" s="36" t="str">
        <f t="shared" si="58"/>
        <v>MN_PENNINGTON COUNTY, MN</v>
      </c>
      <c r="D1204" s="265" t="s">
        <v>82</v>
      </c>
      <c r="E1204" s="266" t="s">
        <v>4020</v>
      </c>
      <c r="F1204" s="252">
        <f t="shared" si="60"/>
        <v>59500</v>
      </c>
      <c r="G1204" s="252">
        <f t="shared" si="60"/>
        <v>68000</v>
      </c>
      <c r="H1204" s="252">
        <f t="shared" si="60"/>
        <v>76500</v>
      </c>
      <c r="I1204" s="252">
        <f t="shared" si="60"/>
        <v>84950</v>
      </c>
      <c r="J1204" s="252">
        <f t="shared" si="60"/>
        <v>91750</v>
      </c>
      <c r="K1204" s="252">
        <f t="shared" si="60"/>
        <v>98550</v>
      </c>
      <c r="L1204" s="252">
        <f t="shared" si="60"/>
        <v>105350</v>
      </c>
      <c r="M1204" s="252">
        <f t="shared" si="60"/>
        <v>112150</v>
      </c>
    </row>
    <row r="1205" spans="1:13" ht="21.95" customHeight="1" x14ac:dyDescent="0.25">
      <c r="A1205" s="36" t="s">
        <v>2904</v>
      </c>
      <c r="B1205" s="36" t="str">
        <f t="shared" si="58"/>
        <v>MN_PINE COUNTY, MN</v>
      </c>
      <c r="D1205" s="265" t="s">
        <v>82</v>
      </c>
      <c r="E1205" s="266" t="s">
        <v>4021</v>
      </c>
      <c r="F1205" s="252">
        <f t="shared" si="60"/>
        <v>53350</v>
      </c>
      <c r="G1205" s="252">
        <f t="shared" si="60"/>
        <v>60950</v>
      </c>
      <c r="H1205" s="252">
        <f t="shared" si="60"/>
        <v>68550</v>
      </c>
      <c r="I1205" s="252">
        <f t="shared" si="60"/>
        <v>76150</v>
      </c>
      <c r="J1205" s="252">
        <f t="shared" si="60"/>
        <v>82250</v>
      </c>
      <c r="K1205" s="252">
        <f t="shared" si="60"/>
        <v>88350</v>
      </c>
      <c r="L1205" s="252">
        <f t="shared" si="60"/>
        <v>94450</v>
      </c>
      <c r="M1205" s="252">
        <f t="shared" si="60"/>
        <v>100550</v>
      </c>
    </row>
    <row r="1206" spans="1:13" ht="21.95" customHeight="1" x14ac:dyDescent="0.25">
      <c r="A1206" s="36" t="s">
        <v>2904</v>
      </c>
      <c r="B1206" s="36" t="str">
        <f t="shared" si="58"/>
        <v>MN_PIPESTONE COUNTY, MN</v>
      </c>
      <c r="D1206" s="265" t="s">
        <v>82</v>
      </c>
      <c r="E1206" s="266" t="s">
        <v>4022</v>
      </c>
      <c r="F1206" s="252">
        <f t="shared" si="60"/>
        <v>53350</v>
      </c>
      <c r="G1206" s="252">
        <f t="shared" si="60"/>
        <v>60950</v>
      </c>
      <c r="H1206" s="252">
        <f t="shared" si="60"/>
        <v>68550</v>
      </c>
      <c r="I1206" s="252">
        <f t="shared" si="60"/>
        <v>76150</v>
      </c>
      <c r="J1206" s="252">
        <f t="shared" si="60"/>
        <v>82250</v>
      </c>
      <c r="K1206" s="252">
        <f t="shared" si="60"/>
        <v>88350</v>
      </c>
      <c r="L1206" s="252">
        <f t="shared" si="60"/>
        <v>94450</v>
      </c>
      <c r="M1206" s="252">
        <f t="shared" si="60"/>
        <v>100550</v>
      </c>
    </row>
    <row r="1207" spans="1:13" ht="21.95" customHeight="1" x14ac:dyDescent="0.25">
      <c r="A1207" s="36" t="s">
        <v>2904</v>
      </c>
      <c r="B1207" s="36" t="str">
        <f t="shared" si="58"/>
        <v>MN_POPE COUNTY, MN</v>
      </c>
      <c r="D1207" s="265" t="s">
        <v>82</v>
      </c>
      <c r="E1207" s="266" t="s">
        <v>4023</v>
      </c>
      <c r="F1207" s="252">
        <f t="shared" si="60"/>
        <v>58250</v>
      </c>
      <c r="G1207" s="252">
        <f t="shared" si="60"/>
        <v>66600</v>
      </c>
      <c r="H1207" s="252">
        <f t="shared" si="60"/>
        <v>74900</v>
      </c>
      <c r="I1207" s="252">
        <f t="shared" si="60"/>
        <v>83200</v>
      </c>
      <c r="J1207" s="252">
        <f t="shared" si="60"/>
        <v>89900</v>
      </c>
      <c r="K1207" s="252">
        <f t="shared" si="60"/>
        <v>96550</v>
      </c>
      <c r="L1207" s="252">
        <f t="shared" si="60"/>
        <v>103200</v>
      </c>
      <c r="M1207" s="252">
        <f t="shared" si="60"/>
        <v>109850</v>
      </c>
    </row>
    <row r="1208" spans="1:13" ht="21.95" customHeight="1" x14ac:dyDescent="0.25">
      <c r="A1208" s="36" t="s">
        <v>2904</v>
      </c>
      <c r="B1208" s="36" t="str">
        <f t="shared" si="58"/>
        <v>MN_RED LAKE COUNTY, MN</v>
      </c>
      <c r="D1208" s="265" t="s">
        <v>82</v>
      </c>
      <c r="E1208" s="266" t="s">
        <v>4024</v>
      </c>
      <c r="F1208" s="252">
        <f t="shared" si="60"/>
        <v>58450</v>
      </c>
      <c r="G1208" s="252">
        <f t="shared" si="60"/>
        <v>66800</v>
      </c>
      <c r="H1208" s="252">
        <f t="shared" si="60"/>
        <v>75150</v>
      </c>
      <c r="I1208" s="252">
        <f t="shared" si="60"/>
        <v>83500</v>
      </c>
      <c r="J1208" s="252">
        <f t="shared" si="60"/>
        <v>90200</v>
      </c>
      <c r="K1208" s="252">
        <f t="shared" si="60"/>
        <v>96900</v>
      </c>
      <c r="L1208" s="252">
        <f t="shared" si="60"/>
        <v>103550</v>
      </c>
      <c r="M1208" s="252">
        <f t="shared" si="60"/>
        <v>110250</v>
      </c>
    </row>
    <row r="1209" spans="1:13" ht="21.95" customHeight="1" x14ac:dyDescent="0.25">
      <c r="A1209" s="36" t="s">
        <v>2904</v>
      </c>
      <c r="B1209" s="36" t="str">
        <f t="shared" si="58"/>
        <v>MN_REDWOOD COUNTY, MN</v>
      </c>
      <c r="D1209" s="265" t="s">
        <v>82</v>
      </c>
      <c r="E1209" s="266" t="s">
        <v>4025</v>
      </c>
      <c r="F1209" s="252">
        <f t="shared" si="60"/>
        <v>53350</v>
      </c>
      <c r="G1209" s="252">
        <f t="shared" si="60"/>
        <v>60950</v>
      </c>
      <c r="H1209" s="252">
        <f t="shared" si="60"/>
        <v>68550</v>
      </c>
      <c r="I1209" s="252">
        <f t="shared" si="60"/>
        <v>76150</v>
      </c>
      <c r="J1209" s="252">
        <f t="shared" si="60"/>
        <v>82250</v>
      </c>
      <c r="K1209" s="252">
        <f t="shared" si="60"/>
        <v>88350</v>
      </c>
      <c r="L1209" s="252">
        <f t="shared" si="60"/>
        <v>94450</v>
      </c>
      <c r="M1209" s="252">
        <f t="shared" si="60"/>
        <v>100550</v>
      </c>
    </row>
    <row r="1210" spans="1:13" ht="21.95" customHeight="1" x14ac:dyDescent="0.25">
      <c r="A1210" s="36" t="s">
        <v>2904</v>
      </c>
      <c r="B1210" s="36" t="str">
        <f t="shared" si="58"/>
        <v>MN_RENVILLE COUNTY, MN</v>
      </c>
      <c r="D1210" s="265" t="s">
        <v>82</v>
      </c>
      <c r="E1210" s="266" t="s">
        <v>4026</v>
      </c>
      <c r="F1210" s="252">
        <f t="shared" si="60"/>
        <v>53400</v>
      </c>
      <c r="G1210" s="252">
        <f t="shared" si="60"/>
        <v>61000</v>
      </c>
      <c r="H1210" s="252">
        <f t="shared" si="60"/>
        <v>68650</v>
      </c>
      <c r="I1210" s="252">
        <f t="shared" si="60"/>
        <v>76250</v>
      </c>
      <c r="J1210" s="252">
        <f t="shared" si="60"/>
        <v>82350</v>
      </c>
      <c r="K1210" s="252">
        <f t="shared" si="60"/>
        <v>88450</v>
      </c>
      <c r="L1210" s="252">
        <f t="shared" si="60"/>
        <v>94550</v>
      </c>
      <c r="M1210" s="252">
        <f t="shared" si="60"/>
        <v>100650</v>
      </c>
    </row>
    <row r="1211" spans="1:13" ht="21.95" customHeight="1" x14ac:dyDescent="0.25">
      <c r="A1211" s="36" t="s">
        <v>2904</v>
      </c>
      <c r="B1211" s="36" t="str">
        <f t="shared" si="58"/>
        <v>MN_RICE COUNTY, MN</v>
      </c>
      <c r="D1211" s="265" t="s">
        <v>82</v>
      </c>
      <c r="E1211" s="266" t="s">
        <v>4027</v>
      </c>
      <c r="F1211" s="252">
        <f t="shared" si="60"/>
        <v>60350</v>
      </c>
      <c r="G1211" s="252">
        <f t="shared" si="60"/>
        <v>68950</v>
      </c>
      <c r="H1211" s="252">
        <f t="shared" si="60"/>
        <v>77550</v>
      </c>
      <c r="I1211" s="252">
        <f t="shared" si="60"/>
        <v>86150</v>
      </c>
      <c r="J1211" s="252">
        <f t="shared" si="60"/>
        <v>93050</v>
      </c>
      <c r="K1211" s="252">
        <f t="shared" si="60"/>
        <v>99950</v>
      </c>
      <c r="L1211" s="252">
        <f t="shared" si="60"/>
        <v>106850</v>
      </c>
      <c r="M1211" s="252">
        <f t="shared" si="60"/>
        <v>113750</v>
      </c>
    </row>
    <row r="1212" spans="1:13" ht="21.95" customHeight="1" x14ac:dyDescent="0.25">
      <c r="A1212" s="36" t="s">
        <v>2904</v>
      </c>
      <c r="B1212" s="36" t="str">
        <f t="shared" ref="B1212:B1275" si="61">UPPER(TRIM(D1212)&amp;"_"&amp;TRIM(E1212))</f>
        <v>MN_ROCHESTER, MN HUD METRO FMR AREA</v>
      </c>
      <c r="D1212" s="265" t="s">
        <v>82</v>
      </c>
      <c r="E1212" s="266" t="s">
        <v>4028</v>
      </c>
      <c r="F1212" s="252">
        <f t="shared" si="60"/>
        <v>70350</v>
      </c>
      <c r="G1212" s="252">
        <f t="shared" si="60"/>
        <v>80400</v>
      </c>
      <c r="H1212" s="252">
        <f t="shared" si="60"/>
        <v>90450</v>
      </c>
      <c r="I1212" s="252">
        <f t="shared" si="60"/>
        <v>100500</v>
      </c>
      <c r="J1212" s="252">
        <f t="shared" si="60"/>
        <v>108550</v>
      </c>
      <c r="K1212" s="252">
        <f t="shared" si="60"/>
        <v>116600</v>
      </c>
      <c r="L1212" s="252">
        <f t="shared" si="60"/>
        <v>124650</v>
      </c>
      <c r="M1212" s="252">
        <f t="shared" si="60"/>
        <v>132700</v>
      </c>
    </row>
    <row r="1213" spans="1:13" ht="21.95" customHeight="1" x14ac:dyDescent="0.25">
      <c r="A1213" s="36" t="s">
        <v>2904</v>
      </c>
      <c r="B1213" s="36" t="str">
        <f t="shared" si="61"/>
        <v>MN_ROCK COUNTY, MN HUD METRO FMR AREA</v>
      </c>
      <c r="D1213" s="265" t="s">
        <v>82</v>
      </c>
      <c r="E1213" s="266" t="s">
        <v>9209</v>
      </c>
      <c r="F1213" s="252">
        <f t="shared" si="60"/>
        <v>57500</v>
      </c>
      <c r="G1213" s="252">
        <f t="shared" si="60"/>
        <v>65700</v>
      </c>
      <c r="H1213" s="252">
        <f t="shared" si="60"/>
        <v>73900</v>
      </c>
      <c r="I1213" s="252">
        <f t="shared" si="60"/>
        <v>82100</v>
      </c>
      <c r="J1213" s="252">
        <f t="shared" si="60"/>
        <v>88700</v>
      </c>
      <c r="K1213" s="252">
        <f t="shared" si="60"/>
        <v>95250</v>
      </c>
      <c r="L1213" s="252">
        <f t="shared" si="60"/>
        <v>101850</v>
      </c>
      <c r="M1213" s="252">
        <f t="shared" si="60"/>
        <v>108400</v>
      </c>
    </row>
    <row r="1214" spans="1:13" ht="21.95" customHeight="1" x14ac:dyDescent="0.25">
      <c r="A1214" s="36" t="s">
        <v>2904</v>
      </c>
      <c r="B1214" s="36" t="str">
        <f t="shared" si="61"/>
        <v>MN_ROSEAU COUNTY, MN</v>
      </c>
      <c r="D1214" s="265" t="s">
        <v>82</v>
      </c>
      <c r="E1214" s="266" t="s">
        <v>4029</v>
      </c>
      <c r="F1214" s="252">
        <f t="shared" si="60"/>
        <v>53900</v>
      </c>
      <c r="G1214" s="252">
        <f t="shared" si="60"/>
        <v>61600</v>
      </c>
      <c r="H1214" s="252">
        <f t="shared" si="60"/>
        <v>69300</v>
      </c>
      <c r="I1214" s="252">
        <f t="shared" si="60"/>
        <v>76950</v>
      </c>
      <c r="J1214" s="252">
        <f t="shared" si="60"/>
        <v>83150</v>
      </c>
      <c r="K1214" s="252">
        <f t="shared" si="60"/>
        <v>89300</v>
      </c>
      <c r="L1214" s="252">
        <f t="shared" si="60"/>
        <v>95450</v>
      </c>
      <c r="M1214" s="252">
        <f t="shared" si="60"/>
        <v>101600</v>
      </c>
    </row>
    <row r="1215" spans="1:13" ht="21.95" customHeight="1" x14ac:dyDescent="0.25">
      <c r="A1215" s="36" t="s">
        <v>2904</v>
      </c>
      <c r="B1215" s="36" t="str">
        <f t="shared" si="61"/>
        <v>MN_SIBLEY COUNTY, MN</v>
      </c>
      <c r="D1215" s="265" t="s">
        <v>82</v>
      </c>
      <c r="E1215" s="266" t="s">
        <v>4030</v>
      </c>
      <c r="F1215" s="252">
        <f t="shared" si="60"/>
        <v>56950</v>
      </c>
      <c r="G1215" s="252">
        <f t="shared" si="60"/>
        <v>65100</v>
      </c>
      <c r="H1215" s="252">
        <f t="shared" si="60"/>
        <v>73250</v>
      </c>
      <c r="I1215" s="252">
        <f t="shared" si="60"/>
        <v>81350</v>
      </c>
      <c r="J1215" s="252">
        <f t="shared" si="60"/>
        <v>87900</v>
      </c>
      <c r="K1215" s="252">
        <f t="shared" si="60"/>
        <v>94400</v>
      </c>
      <c r="L1215" s="252">
        <f t="shared" si="60"/>
        <v>100900</v>
      </c>
      <c r="M1215" s="252">
        <f t="shared" si="60"/>
        <v>107400</v>
      </c>
    </row>
    <row r="1216" spans="1:13" ht="21.95" customHeight="1" x14ac:dyDescent="0.25">
      <c r="A1216" s="36" t="s">
        <v>2904</v>
      </c>
      <c r="B1216" s="36" t="str">
        <f t="shared" si="61"/>
        <v>MN_ST. CLOUD, MN MSA</v>
      </c>
      <c r="D1216" s="265" t="s">
        <v>82</v>
      </c>
      <c r="E1216" s="266" t="s">
        <v>4031</v>
      </c>
      <c r="F1216" s="252">
        <f t="shared" si="60"/>
        <v>57800</v>
      </c>
      <c r="G1216" s="252">
        <f t="shared" si="60"/>
        <v>66050</v>
      </c>
      <c r="H1216" s="252">
        <f t="shared" si="60"/>
        <v>74300</v>
      </c>
      <c r="I1216" s="252">
        <f t="shared" si="60"/>
        <v>82550</v>
      </c>
      <c r="J1216" s="252">
        <f t="shared" si="60"/>
        <v>89200</v>
      </c>
      <c r="K1216" s="252">
        <f t="shared" si="60"/>
        <v>95800</v>
      </c>
      <c r="L1216" s="252">
        <f t="shared" si="60"/>
        <v>102400</v>
      </c>
      <c r="M1216" s="252">
        <f t="shared" si="60"/>
        <v>109000</v>
      </c>
    </row>
    <row r="1217" spans="1:13" ht="21.95" customHeight="1" x14ac:dyDescent="0.25">
      <c r="A1217" s="36" t="s">
        <v>2904</v>
      </c>
      <c r="B1217" s="36" t="str">
        <f t="shared" si="61"/>
        <v>MN_STEELE COUNTY, MN</v>
      </c>
      <c r="D1217" s="265" t="s">
        <v>82</v>
      </c>
      <c r="E1217" s="266" t="s">
        <v>4032</v>
      </c>
      <c r="F1217" s="252">
        <f t="shared" si="60"/>
        <v>64300</v>
      </c>
      <c r="G1217" s="252">
        <f t="shared" si="60"/>
        <v>73500</v>
      </c>
      <c r="H1217" s="252">
        <f t="shared" si="60"/>
        <v>82700</v>
      </c>
      <c r="I1217" s="252">
        <f t="shared" si="60"/>
        <v>91850</v>
      </c>
      <c r="J1217" s="252">
        <f t="shared" si="60"/>
        <v>99200</v>
      </c>
      <c r="K1217" s="252">
        <f t="shared" si="60"/>
        <v>106550</v>
      </c>
      <c r="L1217" s="252">
        <f t="shared" si="60"/>
        <v>113900</v>
      </c>
      <c r="M1217" s="252">
        <f t="shared" si="60"/>
        <v>121250</v>
      </c>
    </row>
    <row r="1218" spans="1:13" ht="21.95" customHeight="1" x14ac:dyDescent="0.25">
      <c r="A1218" s="36" t="s">
        <v>2904</v>
      </c>
      <c r="B1218" s="36" t="str">
        <f t="shared" si="61"/>
        <v>MN_STEVENS COUNTY, MN</v>
      </c>
      <c r="D1218" s="265" t="s">
        <v>82</v>
      </c>
      <c r="E1218" s="266" t="s">
        <v>4033</v>
      </c>
      <c r="F1218" s="252">
        <f t="shared" si="60"/>
        <v>57700</v>
      </c>
      <c r="G1218" s="252">
        <f t="shared" si="60"/>
        <v>65950</v>
      </c>
      <c r="H1218" s="252">
        <f t="shared" si="60"/>
        <v>74200</v>
      </c>
      <c r="I1218" s="252">
        <f t="shared" si="60"/>
        <v>82400</v>
      </c>
      <c r="J1218" s="252">
        <f t="shared" si="60"/>
        <v>89000</v>
      </c>
      <c r="K1218" s="252">
        <f t="shared" si="60"/>
        <v>95600</v>
      </c>
      <c r="L1218" s="252">
        <f t="shared" si="60"/>
        <v>102200</v>
      </c>
      <c r="M1218" s="252">
        <f t="shared" si="60"/>
        <v>108800</v>
      </c>
    </row>
    <row r="1219" spans="1:13" ht="21.95" customHeight="1" x14ac:dyDescent="0.25">
      <c r="A1219" s="36" t="s">
        <v>2904</v>
      </c>
      <c r="B1219" s="36" t="str">
        <f t="shared" si="61"/>
        <v>MN_SWIFT COUNTY, MN</v>
      </c>
      <c r="D1219" s="265" t="s">
        <v>82</v>
      </c>
      <c r="E1219" s="266" t="s">
        <v>4034</v>
      </c>
      <c r="F1219" s="252">
        <f t="shared" si="60"/>
        <v>53350</v>
      </c>
      <c r="G1219" s="252">
        <f t="shared" si="60"/>
        <v>60950</v>
      </c>
      <c r="H1219" s="252">
        <f t="shared" si="60"/>
        <v>68550</v>
      </c>
      <c r="I1219" s="252">
        <f t="shared" si="60"/>
        <v>76150</v>
      </c>
      <c r="J1219" s="252">
        <f t="shared" si="60"/>
        <v>82250</v>
      </c>
      <c r="K1219" s="252">
        <f t="shared" si="60"/>
        <v>88350</v>
      </c>
      <c r="L1219" s="252">
        <f t="shared" si="60"/>
        <v>94450</v>
      </c>
      <c r="M1219" s="252">
        <f t="shared" si="60"/>
        <v>100550</v>
      </c>
    </row>
    <row r="1220" spans="1:13" ht="21.95" customHeight="1" x14ac:dyDescent="0.25">
      <c r="A1220" s="36" t="s">
        <v>2904</v>
      </c>
      <c r="B1220" s="36" t="str">
        <f t="shared" si="61"/>
        <v>MN_TODD COUNTY, MN</v>
      </c>
      <c r="D1220" s="265" t="s">
        <v>82</v>
      </c>
      <c r="E1220" s="266" t="s">
        <v>4035</v>
      </c>
      <c r="F1220" s="252">
        <f t="shared" si="60"/>
        <v>53350</v>
      </c>
      <c r="G1220" s="252">
        <f t="shared" si="60"/>
        <v>60950</v>
      </c>
      <c r="H1220" s="252">
        <f t="shared" si="60"/>
        <v>68550</v>
      </c>
      <c r="I1220" s="252">
        <f t="shared" si="60"/>
        <v>76150</v>
      </c>
      <c r="J1220" s="252">
        <f t="shared" si="60"/>
        <v>82250</v>
      </c>
      <c r="K1220" s="252">
        <f t="shared" si="60"/>
        <v>88350</v>
      </c>
      <c r="L1220" s="252">
        <f t="shared" si="60"/>
        <v>94450</v>
      </c>
      <c r="M1220" s="252">
        <f t="shared" si="60"/>
        <v>100550</v>
      </c>
    </row>
    <row r="1221" spans="1:13" ht="21.95" customHeight="1" x14ac:dyDescent="0.25">
      <c r="A1221" s="36" t="s">
        <v>2904</v>
      </c>
      <c r="B1221" s="36" t="str">
        <f t="shared" si="61"/>
        <v>MN_TRAVERSE COUNTY, MN</v>
      </c>
      <c r="D1221" s="265" t="s">
        <v>82</v>
      </c>
      <c r="E1221" s="266" t="s">
        <v>4036</v>
      </c>
      <c r="F1221" s="252">
        <f t="shared" si="60"/>
        <v>55950</v>
      </c>
      <c r="G1221" s="252">
        <f t="shared" si="60"/>
        <v>63950</v>
      </c>
      <c r="H1221" s="252">
        <f t="shared" si="60"/>
        <v>71950</v>
      </c>
      <c r="I1221" s="252">
        <f t="shared" si="60"/>
        <v>79900</v>
      </c>
      <c r="J1221" s="252">
        <f t="shared" ref="F1221:M1253" si="62">VLOOKUP($B1221,LOOKUP_AMI_TABLE,5+((J$7-1)),FALSE)</f>
        <v>86300</v>
      </c>
      <c r="K1221" s="252">
        <f t="shared" si="62"/>
        <v>92700</v>
      </c>
      <c r="L1221" s="252">
        <f t="shared" si="62"/>
        <v>99100</v>
      </c>
      <c r="M1221" s="252">
        <f t="shared" si="62"/>
        <v>105500</v>
      </c>
    </row>
    <row r="1222" spans="1:13" ht="21.95" customHeight="1" x14ac:dyDescent="0.25">
      <c r="A1222" s="36" t="s">
        <v>2904</v>
      </c>
      <c r="B1222" s="36" t="str">
        <f t="shared" si="61"/>
        <v>MN_WABASHA COUNTY, MN HUD METRO FMR AREA</v>
      </c>
      <c r="D1222" s="265" t="s">
        <v>82</v>
      </c>
      <c r="E1222" s="266" t="s">
        <v>4037</v>
      </c>
      <c r="F1222" s="252">
        <f t="shared" si="62"/>
        <v>58650</v>
      </c>
      <c r="G1222" s="252">
        <f t="shared" si="62"/>
        <v>67000</v>
      </c>
      <c r="H1222" s="252">
        <f t="shared" si="62"/>
        <v>75400</v>
      </c>
      <c r="I1222" s="252">
        <f t="shared" si="62"/>
        <v>83750</v>
      </c>
      <c r="J1222" s="252">
        <f t="shared" si="62"/>
        <v>90450</v>
      </c>
      <c r="K1222" s="252">
        <f t="shared" si="62"/>
        <v>97150</v>
      </c>
      <c r="L1222" s="252">
        <f t="shared" si="62"/>
        <v>103850</v>
      </c>
      <c r="M1222" s="252">
        <f t="shared" si="62"/>
        <v>110550</v>
      </c>
    </row>
    <row r="1223" spans="1:13" ht="21.95" customHeight="1" x14ac:dyDescent="0.25">
      <c r="A1223" s="36" t="s">
        <v>2904</v>
      </c>
      <c r="B1223" s="36" t="str">
        <f t="shared" si="61"/>
        <v>MN_WADENA COUNTY, MN</v>
      </c>
      <c r="D1223" s="265" t="s">
        <v>82</v>
      </c>
      <c r="E1223" s="266" t="s">
        <v>4038</v>
      </c>
      <c r="F1223" s="252">
        <f t="shared" si="62"/>
        <v>53350</v>
      </c>
      <c r="G1223" s="252">
        <f t="shared" si="62"/>
        <v>60950</v>
      </c>
      <c r="H1223" s="252">
        <f t="shared" si="62"/>
        <v>68550</v>
      </c>
      <c r="I1223" s="252">
        <f t="shared" si="62"/>
        <v>76150</v>
      </c>
      <c r="J1223" s="252">
        <f t="shared" si="62"/>
        <v>82250</v>
      </c>
      <c r="K1223" s="252">
        <f t="shared" si="62"/>
        <v>88350</v>
      </c>
      <c r="L1223" s="252">
        <f t="shared" si="62"/>
        <v>94450</v>
      </c>
      <c r="M1223" s="252">
        <f t="shared" si="62"/>
        <v>100550</v>
      </c>
    </row>
    <row r="1224" spans="1:13" ht="21.95" customHeight="1" x14ac:dyDescent="0.25">
      <c r="A1224" s="36" t="s">
        <v>2904</v>
      </c>
      <c r="B1224" s="36" t="str">
        <f t="shared" si="61"/>
        <v>MN_WASECA COUNTY, MN</v>
      </c>
      <c r="D1224" s="265" t="s">
        <v>82</v>
      </c>
      <c r="E1224" s="266" t="s">
        <v>4039</v>
      </c>
      <c r="F1224" s="252">
        <f t="shared" si="62"/>
        <v>53900</v>
      </c>
      <c r="G1224" s="252">
        <f t="shared" si="62"/>
        <v>61600</v>
      </c>
      <c r="H1224" s="252">
        <f t="shared" si="62"/>
        <v>69300</v>
      </c>
      <c r="I1224" s="252">
        <f t="shared" si="62"/>
        <v>76950</v>
      </c>
      <c r="J1224" s="252">
        <f t="shared" si="62"/>
        <v>83150</v>
      </c>
      <c r="K1224" s="252">
        <f t="shared" si="62"/>
        <v>89300</v>
      </c>
      <c r="L1224" s="252">
        <f t="shared" si="62"/>
        <v>95450</v>
      </c>
      <c r="M1224" s="252">
        <f t="shared" si="62"/>
        <v>101600</v>
      </c>
    </row>
    <row r="1225" spans="1:13" ht="21.95" customHeight="1" x14ac:dyDescent="0.25">
      <c r="A1225" s="36" t="s">
        <v>2904</v>
      </c>
      <c r="B1225" s="36" t="str">
        <f t="shared" si="61"/>
        <v>MN_WATONWAN COUNTY, MN</v>
      </c>
      <c r="D1225" s="265" t="s">
        <v>82</v>
      </c>
      <c r="E1225" s="266" t="s">
        <v>4040</v>
      </c>
      <c r="F1225" s="252">
        <f t="shared" si="62"/>
        <v>53350</v>
      </c>
      <c r="G1225" s="252">
        <f t="shared" si="62"/>
        <v>60950</v>
      </c>
      <c r="H1225" s="252">
        <f t="shared" si="62"/>
        <v>68550</v>
      </c>
      <c r="I1225" s="252">
        <f t="shared" si="62"/>
        <v>76150</v>
      </c>
      <c r="J1225" s="252">
        <f t="shared" si="62"/>
        <v>82250</v>
      </c>
      <c r="K1225" s="252">
        <f t="shared" si="62"/>
        <v>88350</v>
      </c>
      <c r="L1225" s="252">
        <f t="shared" si="62"/>
        <v>94450</v>
      </c>
      <c r="M1225" s="252">
        <f t="shared" si="62"/>
        <v>100550</v>
      </c>
    </row>
    <row r="1226" spans="1:13" ht="21.95" customHeight="1" x14ac:dyDescent="0.25">
      <c r="A1226" s="36" t="s">
        <v>2904</v>
      </c>
      <c r="B1226" s="36" t="str">
        <f t="shared" si="61"/>
        <v>MN_WILKIN COUNTY, MN</v>
      </c>
      <c r="D1226" s="265" t="s">
        <v>82</v>
      </c>
      <c r="E1226" s="266" t="s">
        <v>4041</v>
      </c>
      <c r="F1226" s="252">
        <f t="shared" si="62"/>
        <v>56400</v>
      </c>
      <c r="G1226" s="252">
        <f t="shared" si="62"/>
        <v>64450</v>
      </c>
      <c r="H1226" s="252">
        <f t="shared" si="62"/>
        <v>72500</v>
      </c>
      <c r="I1226" s="252">
        <f t="shared" si="62"/>
        <v>80550</v>
      </c>
      <c r="J1226" s="252">
        <f t="shared" si="62"/>
        <v>87000</v>
      </c>
      <c r="K1226" s="252">
        <f t="shared" si="62"/>
        <v>93450</v>
      </c>
      <c r="L1226" s="252">
        <f t="shared" si="62"/>
        <v>99900</v>
      </c>
      <c r="M1226" s="252">
        <f t="shared" si="62"/>
        <v>106350</v>
      </c>
    </row>
    <row r="1227" spans="1:13" ht="21.95" customHeight="1" x14ac:dyDescent="0.25">
      <c r="A1227" s="36" t="s">
        <v>2904</v>
      </c>
      <c r="B1227" s="36" t="str">
        <f t="shared" si="61"/>
        <v>MN_WINONA COUNTY, MN</v>
      </c>
      <c r="D1227" s="265" t="s">
        <v>82</v>
      </c>
      <c r="E1227" s="266" t="s">
        <v>4042</v>
      </c>
      <c r="F1227" s="252">
        <f t="shared" si="62"/>
        <v>59200</v>
      </c>
      <c r="G1227" s="252">
        <f t="shared" si="62"/>
        <v>67650</v>
      </c>
      <c r="H1227" s="252">
        <f t="shared" si="62"/>
        <v>76100</v>
      </c>
      <c r="I1227" s="252">
        <f t="shared" si="62"/>
        <v>84550</v>
      </c>
      <c r="J1227" s="252">
        <f t="shared" si="62"/>
        <v>91350</v>
      </c>
      <c r="K1227" s="252">
        <f t="shared" si="62"/>
        <v>98100</v>
      </c>
      <c r="L1227" s="252">
        <f t="shared" si="62"/>
        <v>104850</v>
      </c>
      <c r="M1227" s="252">
        <f t="shared" si="62"/>
        <v>111650</v>
      </c>
    </row>
    <row r="1228" spans="1:13" ht="21.95" customHeight="1" x14ac:dyDescent="0.25">
      <c r="A1228" s="36" t="s">
        <v>2904</v>
      </c>
      <c r="B1228" s="36" t="str">
        <f t="shared" si="61"/>
        <v>MN_YELLOW MEDICINE COUNTY, MN</v>
      </c>
      <c r="D1228" s="265" t="s">
        <v>82</v>
      </c>
      <c r="E1228" s="266" t="s">
        <v>4043</v>
      </c>
      <c r="F1228" s="252">
        <f t="shared" si="62"/>
        <v>53350</v>
      </c>
      <c r="G1228" s="252">
        <f t="shared" si="62"/>
        <v>60950</v>
      </c>
      <c r="H1228" s="252">
        <f t="shared" si="62"/>
        <v>68550</v>
      </c>
      <c r="I1228" s="252">
        <f t="shared" si="62"/>
        <v>76150</v>
      </c>
      <c r="J1228" s="252">
        <f t="shared" si="62"/>
        <v>82250</v>
      </c>
      <c r="K1228" s="252">
        <f t="shared" si="62"/>
        <v>88350</v>
      </c>
      <c r="L1228" s="252">
        <f t="shared" si="62"/>
        <v>94450</v>
      </c>
      <c r="M1228" s="252">
        <f t="shared" si="62"/>
        <v>100550</v>
      </c>
    </row>
    <row r="1229" spans="1:13" ht="21.95" customHeight="1" x14ac:dyDescent="0.25">
      <c r="A1229" s="36" t="s">
        <v>2904</v>
      </c>
      <c r="B1229" s="36" t="str">
        <f t="shared" si="61"/>
        <v>MO_ADAIR COUNTY, MO</v>
      </c>
      <c r="D1229" s="265" t="s">
        <v>80</v>
      </c>
      <c r="E1229" s="266" t="s">
        <v>4044</v>
      </c>
      <c r="F1229" s="252">
        <f t="shared" si="62"/>
        <v>47450</v>
      </c>
      <c r="G1229" s="252">
        <f t="shared" si="62"/>
        <v>54200</v>
      </c>
      <c r="H1229" s="252">
        <f t="shared" si="62"/>
        <v>61000</v>
      </c>
      <c r="I1229" s="252">
        <f t="shared" si="62"/>
        <v>67750</v>
      </c>
      <c r="J1229" s="252">
        <f t="shared" si="62"/>
        <v>73200</v>
      </c>
      <c r="K1229" s="252">
        <f t="shared" si="62"/>
        <v>78600</v>
      </c>
      <c r="L1229" s="252">
        <f t="shared" si="62"/>
        <v>84050</v>
      </c>
      <c r="M1229" s="252">
        <f t="shared" si="62"/>
        <v>89450</v>
      </c>
    </row>
    <row r="1230" spans="1:13" ht="21.95" customHeight="1" x14ac:dyDescent="0.25">
      <c r="A1230" s="36" t="s">
        <v>2904</v>
      </c>
      <c r="B1230" s="36" t="str">
        <f t="shared" si="61"/>
        <v>MO_ATCHISON COUNTY, MO</v>
      </c>
      <c r="D1230" s="265" t="s">
        <v>80</v>
      </c>
      <c r="E1230" s="266" t="s">
        <v>4045</v>
      </c>
      <c r="F1230" s="252">
        <f t="shared" si="62"/>
        <v>43200</v>
      </c>
      <c r="G1230" s="252">
        <f t="shared" si="62"/>
        <v>49400</v>
      </c>
      <c r="H1230" s="252">
        <f t="shared" si="62"/>
        <v>55550</v>
      </c>
      <c r="I1230" s="252">
        <f t="shared" si="62"/>
        <v>61700</v>
      </c>
      <c r="J1230" s="252">
        <f t="shared" si="62"/>
        <v>66650</v>
      </c>
      <c r="K1230" s="252">
        <f t="shared" si="62"/>
        <v>71600</v>
      </c>
      <c r="L1230" s="252">
        <f t="shared" si="62"/>
        <v>76550</v>
      </c>
      <c r="M1230" s="252">
        <f t="shared" si="62"/>
        <v>81450</v>
      </c>
    </row>
    <row r="1231" spans="1:13" ht="21.95" customHeight="1" x14ac:dyDescent="0.25">
      <c r="A1231" s="36" t="s">
        <v>2904</v>
      </c>
      <c r="B1231" s="36" t="str">
        <f t="shared" si="61"/>
        <v>MO_AUDRAIN COUNTY, MO</v>
      </c>
      <c r="D1231" s="265" t="s">
        <v>80</v>
      </c>
      <c r="E1231" s="266" t="s">
        <v>4046</v>
      </c>
      <c r="F1231" s="252">
        <f t="shared" si="62"/>
        <v>43200</v>
      </c>
      <c r="G1231" s="252">
        <f t="shared" si="62"/>
        <v>49400</v>
      </c>
      <c r="H1231" s="252">
        <f t="shared" si="62"/>
        <v>55550</v>
      </c>
      <c r="I1231" s="252">
        <f t="shared" si="62"/>
        <v>61700</v>
      </c>
      <c r="J1231" s="252">
        <f t="shared" si="62"/>
        <v>66650</v>
      </c>
      <c r="K1231" s="252">
        <f t="shared" si="62"/>
        <v>71600</v>
      </c>
      <c r="L1231" s="252">
        <f t="shared" si="62"/>
        <v>76550</v>
      </c>
      <c r="M1231" s="252">
        <f t="shared" si="62"/>
        <v>81450</v>
      </c>
    </row>
    <row r="1232" spans="1:13" ht="21.95" customHeight="1" x14ac:dyDescent="0.25">
      <c r="A1232" s="36" t="s">
        <v>2904</v>
      </c>
      <c r="B1232" s="36" t="str">
        <f t="shared" si="61"/>
        <v>MO_BARRY COUNTY, MO</v>
      </c>
      <c r="D1232" s="265" t="s">
        <v>80</v>
      </c>
      <c r="E1232" s="266" t="s">
        <v>4047</v>
      </c>
      <c r="F1232" s="252">
        <f t="shared" si="62"/>
        <v>43200</v>
      </c>
      <c r="G1232" s="252">
        <f t="shared" si="62"/>
        <v>49400</v>
      </c>
      <c r="H1232" s="252">
        <f t="shared" si="62"/>
        <v>55550</v>
      </c>
      <c r="I1232" s="252">
        <f t="shared" si="62"/>
        <v>61700</v>
      </c>
      <c r="J1232" s="252">
        <f t="shared" si="62"/>
        <v>66650</v>
      </c>
      <c r="K1232" s="252">
        <f t="shared" si="62"/>
        <v>71600</v>
      </c>
      <c r="L1232" s="252">
        <f t="shared" si="62"/>
        <v>76550</v>
      </c>
      <c r="M1232" s="252">
        <f t="shared" si="62"/>
        <v>81450</v>
      </c>
    </row>
    <row r="1233" spans="1:13" ht="21.95" customHeight="1" x14ac:dyDescent="0.25">
      <c r="A1233" s="36" t="s">
        <v>2904</v>
      </c>
      <c r="B1233" s="36" t="str">
        <f t="shared" si="61"/>
        <v>MO_BARTON COUNTY, MO</v>
      </c>
      <c r="D1233" s="265" t="s">
        <v>80</v>
      </c>
      <c r="E1233" s="266" t="s">
        <v>4048</v>
      </c>
      <c r="F1233" s="252">
        <f t="shared" si="62"/>
        <v>43200</v>
      </c>
      <c r="G1233" s="252">
        <f t="shared" si="62"/>
        <v>49400</v>
      </c>
      <c r="H1233" s="252">
        <f t="shared" si="62"/>
        <v>55550</v>
      </c>
      <c r="I1233" s="252">
        <f t="shared" si="62"/>
        <v>61700</v>
      </c>
      <c r="J1233" s="252">
        <f t="shared" si="62"/>
        <v>66650</v>
      </c>
      <c r="K1233" s="252">
        <f t="shared" si="62"/>
        <v>71600</v>
      </c>
      <c r="L1233" s="252">
        <f t="shared" si="62"/>
        <v>76550</v>
      </c>
      <c r="M1233" s="252">
        <f t="shared" si="62"/>
        <v>81450</v>
      </c>
    </row>
    <row r="1234" spans="1:13" ht="21.95" customHeight="1" x14ac:dyDescent="0.25">
      <c r="A1234" s="36" t="s">
        <v>2904</v>
      </c>
      <c r="B1234" s="36" t="str">
        <f t="shared" si="61"/>
        <v>MO_BATES COUNTY, MO HUD METRO FMR AREA</v>
      </c>
      <c r="D1234" s="265" t="s">
        <v>80</v>
      </c>
      <c r="E1234" s="266" t="s">
        <v>4049</v>
      </c>
      <c r="F1234" s="252">
        <f t="shared" si="62"/>
        <v>46200</v>
      </c>
      <c r="G1234" s="252">
        <f t="shared" si="62"/>
        <v>52800</v>
      </c>
      <c r="H1234" s="252">
        <f t="shared" si="62"/>
        <v>59400</v>
      </c>
      <c r="I1234" s="252">
        <f t="shared" si="62"/>
        <v>66000</v>
      </c>
      <c r="J1234" s="252">
        <f t="shared" si="62"/>
        <v>71300</v>
      </c>
      <c r="K1234" s="252">
        <f t="shared" si="62"/>
        <v>76600</v>
      </c>
      <c r="L1234" s="252">
        <f t="shared" si="62"/>
        <v>81850</v>
      </c>
      <c r="M1234" s="252">
        <f t="shared" si="62"/>
        <v>87150</v>
      </c>
    </row>
    <row r="1235" spans="1:13" ht="21.95" customHeight="1" x14ac:dyDescent="0.25">
      <c r="A1235" s="36" t="s">
        <v>2904</v>
      </c>
      <c r="B1235" s="36" t="str">
        <f t="shared" si="61"/>
        <v>MO_BENTON COUNTY, MO</v>
      </c>
      <c r="D1235" s="265" t="s">
        <v>80</v>
      </c>
      <c r="E1235" s="266" t="s">
        <v>4050</v>
      </c>
      <c r="F1235" s="252">
        <f t="shared" si="62"/>
        <v>43200</v>
      </c>
      <c r="G1235" s="252">
        <f t="shared" si="62"/>
        <v>49400</v>
      </c>
      <c r="H1235" s="252">
        <f t="shared" si="62"/>
        <v>55550</v>
      </c>
      <c r="I1235" s="252">
        <f t="shared" si="62"/>
        <v>61700</v>
      </c>
      <c r="J1235" s="252">
        <f t="shared" si="62"/>
        <v>66650</v>
      </c>
      <c r="K1235" s="252">
        <f t="shared" si="62"/>
        <v>71600</v>
      </c>
      <c r="L1235" s="252">
        <f t="shared" si="62"/>
        <v>76550</v>
      </c>
      <c r="M1235" s="252">
        <f t="shared" si="62"/>
        <v>81450</v>
      </c>
    </row>
    <row r="1236" spans="1:13" ht="21.95" customHeight="1" x14ac:dyDescent="0.25">
      <c r="A1236" s="36" t="s">
        <v>2904</v>
      </c>
      <c r="B1236" s="36" t="str">
        <f t="shared" si="61"/>
        <v>MO_BUTLER COUNTY, MO</v>
      </c>
      <c r="D1236" s="265" t="s">
        <v>80</v>
      </c>
      <c r="E1236" s="266" t="s">
        <v>4051</v>
      </c>
      <c r="F1236" s="252">
        <f t="shared" si="62"/>
        <v>43200</v>
      </c>
      <c r="G1236" s="252">
        <f t="shared" si="62"/>
        <v>49400</v>
      </c>
      <c r="H1236" s="252">
        <f t="shared" si="62"/>
        <v>55550</v>
      </c>
      <c r="I1236" s="252">
        <f t="shared" si="62"/>
        <v>61700</v>
      </c>
      <c r="J1236" s="252">
        <f t="shared" si="62"/>
        <v>66650</v>
      </c>
      <c r="K1236" s="252">
        <f t="shared" si="62"/>
        <v>71600</v>
      </c>
      <c r="L1236" s="252">
        <f t="shared" si="62"/>
        <v>76550</v>
      </c>
      <c r="M1236" s="252">
        <f t="shared" si="62"/>
        <v>81450</v>
      </c>
    </row>
    <row r="1237" spans="1:13" ht="21.95" customHeight="1" x14ac:dyDescent="0.25">
      <c r="A1237" s="36" t="s">
        <v>2904</v>
      </c>
      <c r="B1237" s="36" t="str">
        <f t="shared" si="61"/>
        <v>MO_CALLAWAY COUNTY, MO HUD METRO FMR AREA</v>
      </c>
      <c r="D1237" s="265" t="s">
        <v>80</v>
      </c>
      <c r="E1237" s="266" t="s">
        <v>4052</v>
      </c>
      <c r="F1237" s="252">
        <f t="shared" si="62"/>
        <v>52450</v>
      </c>
      <c r="G1237" s="252">
        <f t="shared" si="62"/>
        <v>59950</v>
      </c>
      <c r="H1237" s="252">
        <f t="shared" si="62"/>
        <v>67450</v>
      </c>
      <c r="I1237" s="252">
        <f t="shared" si="62"/>
        <v>74900</v>
      </c>
      <c r="J1237" s="252">
        <f t="shared" si="62"/>
        <v>80900</v>
      </c>
      <c r="K1237" s="252">
        <f t="shared" si="62"/>
        <v>86900</v>
      </c>
      <c r="L1237" s="252">
        <f t="shared" si="62"/>
        <v>92900</v>
      </c>
      <c r="M1237" s="252">
        <f t="shared" si="62"/>
        <v>98900</v>
      </c>
    </row>
    <row r="1238" spans="1:13" ht="21.95" customHeight="1" x14ac:dyDescent="0.25">
      <c r="A1238" s="36" t="s">
        <v>2904</v>
      </c>
      <c r="B1238" s="36" t="str">
        <f t="shared" si="61"/>
        <v>MO_CAMDEN COUNTY, MO</v>
      </c>
      <c r="D1238" s="265" t="s">
        <v>80</v>
      </c>
      <c r="E1238" s="266" t="s">
        <v>4053</v>
      </c>
      <c r="F1238" s="252">
        <f t="shared" si="62"/>
        <v>48400</v>
      </c>
      <c r="G1238" s="252">
        <f t="shared" si="62"/>
        <v>55300</v>
      </c>
      <c r="H1238" s="252">
        <f t="shared" si="62"/>
        <v>62200</v>
      </c>
      <c r="I1238" s="252">
        <f t="shared" si="62"/>
        <v>69100</v>
      </c>
      <c r="J1238" s="252">
        <f t="shared" si="62"/>
        <v>74650</v>
      </c>
      <c r="K1238" s="252">
        <f t="shared" si="62"/>
        <v>80200</v>
      </c>
      <c r="L1238" s="252">
        <f t="shared" si="62"/>
        <v>85700</v>
      </c>
      <c r="M1238" s="252">
        <f t="shared" si="62"/>
        <v>91250</v>
      </c>
    </row>
    <row r="1239" spans="1:13" ht="21.95" customHeight="1" x14ac:dyDescent="0.25">
      <c r="A1239" s="36" t="s">
        <v>2904</v>
      </c>
      <c r="B1239" s="36" t="str">
        <f t="shared" si="61"/>
        <v>MO_CAPE GIRARDEAU, MO-IL MSA</v>
      </c>
      <c r="D1239" s="265" t="s">
        <v>80</v>
      </c>
      <c r="E1239" s="266" t="s">
        <v>3506</v>
      </c>
      <c r="F1239" s="252">
        <f t="shared" si="62"/>
        <v>50700</v>
      </c>
      <c r="G1239" s="252">
        <f t="shared" si="62"/>
        <v>57950</v>
      </c>
      <c r="H1239" s="252">
        <f t="shared" si="62"/>
        <v>65200</v>
      </c>
      <c r="I1239" s="252">
        <f t="shared" si="62"/>
        <v>72400</v>
      </c>
      <c r="J1239" s="252">
        <f t="shared" si="62"/>
        <v>78200</v>
      </c>
      <c r="K1239" s="252">
        <f t="shared" si="62"/>
        <v>84000</v>
      </c>
      <c r="L1239" s="252">
        <f t="shared" si="62"/>
        <v>89800</v>
      </c>
      <c r="M1239" s="252">
        <f t="shared" si="62"/>
        <v>95600</v>
      </c>
    </row>
    <row r="1240" spans="1:13" ht="21.95" customHeight="1" x14ac:dyDescent="0.25">
      <c r="A1240" s="36" t="s">
        <v>2904</v>
      </c>
      <c r="B1240" s="36" t="str">
        <f t="shared" si="61"/>
        <v>MO_CARROLL COUNTY, MO</v>
      </c>
      <c r="D1240" s="265" t="s">
        <v>80</v>
      </c>
      <c r="E1240" s="266" t="s">
        <v>4054</v>
      </c>
      <c r="F1240" s="252">
        <f t="shared" si="62"/>
        <v>46200</v>
      </c>
      <c r="G1240" s="252">
        <f t="shared" si="62"/>
        <v>52800</v>
      </c>
      <c r="H1240" s="252">
        <f t="shared" si="62"/>
        <v>59400</v>
      </c>
      <c r="I1240" s="252">
        <f t="shared" si="62"/>
        <v>66000</v>
      </c>
      <c r="J1240" s="252">
        <f t="shared" si="62"/>
        <v>71300</v>
      </c>
      <c r="K1240" s="252">
        <f t="shared" si="62"/>
        <v>76600</v>
      </c>
      <c r="L1240" s="252">
        <f t="shared" si="62"/>
        <v>81850</v>
      </c>
      <c r="M1240" s="252">
        <f t="shared" si="62"/>
        <v>87150</v>
      </c>
    </row>
    <row r="1241" spans="1:13" ht="21.95" customHeight="1" x14ac:dyDescent="0.25">
      <c r="A1241" s="36" t="s">
        <v>2904</v>
      </c>
      <c r="B1241" s="36" t="str">
        <f t="shared" si="61"/>
        <v>MO_CARTER COUNTY, MO</v>
      </c>
      <c r="D1241" s="265" t="s">
        <v>80</v>
      </c>
      <c r="E1241" s="266" t="s">
        <v>4055</v>
      </c>
      <c r="F1241" s="252">
        <f t="shared" si="62"/>
        <v>45200</v>
      </c>
      <c r="G1241" s="252">
        <f t="shared" si="62"/>
        <v>51650</v>
      </c>
      <c r="H1241" s="252">
        <f t="shared" si="62"/>
        <v>58100</v>
      </c>
      <c r="I1241" s="252">
        <f t="shared" si="62"/>
        <v>64550</v>
      </c>
      <c r="J1241" s="252">
        <f t="shared" si="62"/>
        <v>69750</v>
      </c>
      <c r="K1241" s="252">
        <f t="shared" si="62"/>
        <v>74900</v>
      </c>
      <c r="L1241" s="252">
        <f t="shared" si="62"/>
        <v>80050</v>
      </c>
      <c r="M1241" s="252">
        <f t="shared" si="62"/>
        <v>85250</v>
      </c>
    </row>
    <row r="1242" spans="1:13" ht="21.95" customHeight="1" x14ac:dyDescent="0.25">
      <c r="A1242" s="36" t="s">
        <v>2904</v>
      </c>
      <c r="B1242" s="36" t="str">
        <f t="shared" si="61"/>
        <v>MO_CEDAR COUNTY, MO</v>
      </c>
      <c r="D1242" s="265" t="s">
        <v>80</v>
      </c>
      <c r="E1242" s="266" t="s">
        <v>4056</v>
      </c>
      <c r="F1242" s="252">
        <f t="shared" si="62"/>
        <v>43200</v>
      </c>
      <c r="G1242" s="252">
        <f t="shared" si="62"/>
        <v>49400</v>
      </c>
      <c r="H1242" s="252">
        <f t="shared" si="62"/>
        <v>55550</v>
      </c>
      <c r="I1242" s="252">
        <f t="shared" si="62"/>
        <v>61700</v>
      </c>
      <c r="J1242" s="252">
        <f t="shared" si="62"/>
        <v>66650</v>
      </c>
      <c r="K1242" s="252">
        <f t="shared" si="62"/>
        <v>71600</v>
      </c>
      <c r="L1242" s="252">
        <f t="shared" si="62"/>
        <v>76550</v>
      </c>
      <c r="M1242" s="252">
        <f t="shared" si="62"/>
        <v>81450</v>
      </c>
    </row>
    <row r="1243" spans="1:13" ht="21.95" customHeight="1" x14ac:dyDescent="0.25">
      <c r="A1243" s="36" t="s">
        <v>2904</v>
      </c>
      <c r="B1243" s="36" t="str">
        <f t="shared" si="61"/>
        <v>MO_CHARITON COUNTY, MO</v>
      </c>
      <c r="D1243" s="265" t="s">
        <v>80</v>
      </c>
      <c r="E1243" s="266" t="s">
        <v>4057</v>
      </c>
      <c r="F1243" s="252">
        <f t="shared" si="62"/>
        <v>45950</v>
      </c>
      <c r="G1243" s="252">
        <f t="shared" si="62"/>
        <v>52500</v>
      </c>
      <c r="H1243" s="252">
        <f t="shared" si="62"/>
        <v>59050</v>
      </c>
      <c r="I1243" s="252">
        <f t="shared" si="62"/>
        <v>65600</v>
      </c>
      <c r="J1243" s="252">
        <f t="shared" si="62"/>
        <v>70850</v>
      </c>
      <c r="K1243" s="252">
        <f t="shared" si="62"/>
        <v>76100</v>
      </c>
      <c r="L1243" s="252">
        <f t="shared" si="62"/>
        <v>81350</v>
      </c>
      <c r="M1243" s="252">
        <f t="shared" si="62"/>
        <v>86600</v>
      </c>
    </row>
    <row r="1244" spans="1:13" ht="21.95" customHeight="1" x14ac:dyDescent="0.25">
      <c r="A1244" s="36" t="s">
        <v>2904</v>
      </c>
      <c r="B1244" s="36" t="str">
        <f t="shared" si="61"/>
        <v>MO_CLARK COUNTY, MO</v>
      </c>
      <c r="D1244" s="265" t="s">
        <v>80</v>
      </c>
      <c r="E1244" s="266" t="s">
        <v>4058</v>
      </c>
      <c r="F1244" s="252">
        <f t="shared" si="62"/>
        <v>43200</v>
      </c>
      <c r="G1244" s="252">
        <f t="shared" si="62"/>
        <v>49400</v>
      </c>
      <c r="H1244" s="252">
        <f t="shared" si="62"/>
        <v>55550</v>
      </c>
      <c r="I1244" s="252">
        <f t="shared" si="62"/>
        <v>61700</v>
      </c>
      <c r="J1244" s="252">
        <f t="shared" si="62"/>
        <v>66650</v>
      </c>
      <c r="K1244" s="252">
        <f t="shared" si="62"/>
        <v>71600</v>
      </c>
      <c r="L1244" s="252">
        <f t="shared" si="62"/>
        <v>76550</v>
      </c>
      <c r="M1244" s="252">
        <f t="shared" si="62"/>
        <v>81450</v>
      </c>
    </row>
    <row r="1245" spans="1:13" ht="21.95" customHeight="1" x14ac:dyDescent="0.25">
      <c r="A1245" s="36" t="s">
        <v>2904</v>
      </c>
      <c r="B1245" s="36" t="str">
        <f t="shared" si="61"/>
        <v>MO_COLUMBIA, MO HUD METRO FMR AREA</v>
      </c>
      <c r="D1245" s="265" t="s">
        <v>80</v>
      </c>
      <c r="E1245" s="266" t="s">
        <v>4059</v>
      </c>
      <c r="F1245" s="252">
        <f t="shared" si="62"/>
        <v>59300</v>
      </c>
      <c r="G1245" s="252">
        <f t="shared" si="62"/>
        <v>67750</v>
      </c>
      <c r="H1245" s="252">
        <f t="shared" si="62"/>
        <v>76200</v>
      </c>
      <c r="I1245" s="252">
        <f t="shared" si="62"/>
        <v>84650</v>
      </c>
      <c r="J1245" s="252">
        <f t="shared" si="62"/>
        <v>91450</v>
      </c>
      <c r="K1245" s="252">
        <f t="shared" si="62"/>
        <v>98200</v>
      </c>
      <c r="L1245" s="252">
        <f t="shared" si="62"/>
        <v>105000</v>
      </c>
      <c r="M1245" s="252">
        <f t="shared" si="62"/>
        <v>111750</v>
      </c>
    </row>
    <row r="1246" spans="1:13" ht="21.95" customHeight="1" x14ac:dyDescent="0.25">
      <c r="A1246" s="36" t="s">
        <v>2904</v>
      </c>
      <c r="B1246" s="36" t="str">
        <f t="shared" si="61"/>
        <v>MO_COOPER COUNTY, MO HUD METRO FMR AREA</v>
      </c>
      <c r="D1246" s="265" t="s">
        <v>80</v>
      </c>
      <c r="E1246" s="266" t="s">
        <v>4060</v>
      </c>
      <c r="F1246" s="252">
        <f t="shared" si="62"/>
        <v>49500</v>
      </c>
      <c r="G1246" s="252">
        <f t="shared" si="62"/>
        <v>56600</v>
      </c>
      <c r="H1246" s="252">
        <f t="shared" si="62"/>
        <v>63650</v>
      </c>
      <c r="I1246" s="252">
        <f t="shared" si="62"/>
        <v>70700</v>
      </c>
      <c r="J1246" s="252">
        <f t="shared" si="62"/>
        <v>76400</v>
      </c>
      <c r="K1246" s="252">
        <f t="shared" si="62"/>
        <v>82050</v>
      </c>
      <c r="L1246" s="252">
        <f t="shared" si="62"/>
        <v>87700</v>
      </c>
      <c r="M1246" s="252">
        <f t="shared" si="62"/>
        <v>93350</v>
      </c>
    </row>
    <row r="1247" spans="1:13" ht="21.95" customHeight="1" x14ac:dyDescent="0.25">
      <c r="A1247" s="36" t="s">
        <v>2904</v>
      </c>
      <c r="B1247" s="36" t="str">
        <f t="shared" si="61"/>
        <v>MO_CRAWFORD COUNTY, MO</v>
      </c>
      <c r="D1247" s="265" t="s">
        <v>80</v>
      </c>
      <c r="E1247" s="266" t="s">
        <v>4061</v>
      </c>
      <c r="F1247" s="252">
        <f t="shared" si="62"/>
        <v>43250</v>
      </c>
      <c r="G1247" s="252">
        <f t="shared" si="62"/>
        <v>49400</v>
      </c>
      <c r="H1247" s="252">
        <f t="shared" si="62"/>
        <v>55600</v>
      </c>
      <c r="I1247" s="252">
        <f t="shared" si="62"/>
        <v>61750</v>
      </c>
      <c r="J1247" s="252">
        <f t="shared" si="62"/>
        <v>66700</v>
      </c>
      <c r="K1247" s="252">
        <f t="shared" si="62"/>
        <v>71650</v>
      </c>
      <c r="L1247" s="252">
        <f t="shared" si="62"/>
        <v>76600</v>
      </c>
      <c r="M1247" s="252">
        <f t="shared" si="62"/>
        <v>81550</v>
      </c>
    </row>
    <row r="1248" spans="1:13" ht="21.95" customHeight="1" x14ac:dyDescent="0.25">
      <c r="A1248" s="36" t="s">
        <v>2904</v>
      </c>
      <c r="B1248" s="36" t="str">
        <f t="shared" si="61"/>
        <v>MO_DADE COUNTY, MO</v>
      </c>
      <c r="D1248" s="265" t="s">
        <v>80</v>
      </c>
      <c r="E1248" s="266" t="s">
        <v>4062</v>
      </c>
      <c r="F1248" s="252">
        <f t="shared" si="62"/>
        <v>43200</v>
      </c>
      <c r="G1248" s="252">
        <f t="shared" si="62"/>
        <v>49400</v>
      </c>
      <c r="H1248" s="252">
        <f t="shared" si="62"/>
        <v>55550</v>
      </c>
      <c r="I1248" s="252">
        <f t="shared" si="62"/>
        <v>61700</v>
      </c>
      <c r="J1248" s="252">
        <f t="shared" si="62"/>
        <v>66650</v>
      </c>
      <c r="K1248" s="252">
        <f t="shared" si="62"/>
        <v>71600</v>
      </c>
      <c r="L1248" s="252">
        <f t="shared" si="62"/>
        <v>76550</v>
      </c>
      <c r="M1248" s="252">
        <f t="shared" si="62"/>
        <v>81450</v>
      </c>
    </row>
    <row r="1249" spans="1:13" ht="21.95" customHeight="1" x14ac:dyDescent="0.25">
      <c r="A1249" s="36" t="s">
        <v>2904</v>
      </c>
      <c r="B1249" s="36" t="str">
        <f t="shared" si="61"/>
        <v>MO_DALLAS COUNTY, MO HUD METRO FMR AREA</v>
      </c>
      <c r="D1249" s="265" t="s">
        <v>80</v>
      </c>
      <c r="E1249" s="266" t="s">
        <v>4063</v>
      </c>
      <c r="F1249" s="252">
        <f t="shared" si="62"/>
        <v>43200</v>
      </c>
      <c r="G1249" s="252">
        <f t="shared" si="62"/>
        <v>49400</v>
      </c>
      <c r="H1249" s="252">
        <f t="shared" si="62"/>
        <v>55550</v>
      </c>
      <c r="I1249" s="252">
        <f t="shared" si="62"/>
        <v>61700</v>
      </c>
      <c r="J1249" s="252">
        <f t="shared" si="62"/>
        <v>66650</v>
      </c>
      <c r="K1249" s="252">
        <f t="shared" si="62"/>
        <v>71600</v>
      </c>
      <c r="L1249" s="252">
        <f t="shared" si="62"/>
        <v>76550</v>
      </c>
      <c r="M1249" s="252">
        <f t="shared" si="62"/>
        <v>81450</v>
      </c>
    </row>
    <row r="1250" spans="1:13" ht="21.95" customHeight="1" x14ac:dyDescent="0.25">
      <c r="A1250" s="36" t="s">
        <v>2904</v>
      </c>
      <c r="B1250" s="36" t="str">
        <f t="shared" si="61"/>
        <v>MO_DAVIESS COUNTY, MO</v>
      </c>
      <c r="D1250" s="265" t="s">
        <v>80</v>
      </c>
      <c r="E1250" s="266" t="s">
        <v>4064</v>
      </c>
      <c r="F1250" s="252">
        <f t="shared" si="62"/>
        <v>43900</v>
      </c>
      <c r="G1250" s="252">
        <f t="shared" si="62"/>
        <v>50150</v>
      </c>
      <c r="H1250" s="252">
        <f t="shared" si="62"/>
        <v>56400</v>
      </c>
      <c r="I1250" s="252">
        <f t="shared" si="62"/>
        <v>62650</v>
      </c>
      <c r="J1250" s="252">
        <f t="shared" si="62"/>
        <v>67700</v>
      </c>
      <c r="K1250" s="252">
        <f t="shared" si="62"/>
        <v>72700</v>
      </c>
      <c r="L1250" s="252">
        <f t="shared" si="62"/>
        <v>77700</v>
      </c>
      <c r="M1250" s="252">
        <f t="shared" si="62"/>
        <v>82700</v>
      </c>
    </row>
    <row r="1251" spans="1:13" ht="21.95" customHeight="1" x14ac:dyDescent="0.25">
      <c r="A1251" s="36" t="s">
        <v>2904</v>
      </c>
      <c r="B1251" s="36" t="str">
        <f t="shared" si="61"/>
        <v>MO_DENT COUNTY, MO</v>
      </c>
      <c r="D1251" s="265" t="s">
        <v>80</v>
      </c>
      <c r="E1251" s="266" t="s">
        <v>4065</v>
      </c>
      <c r="F1251" s="252">
        <f t="shared" si="62"/>
        <v>43200</v>
      </c>
      <c r="G1251" s="252">
        <f t="shared" si="62"/>
        <v>49400</v>
      </c>
      <c r="H1251" s="252">
        <f t="shared" si="62"/>
        <v>55550</v>
      </c>
      <c r="I1251" s="252">
        <f t="shared" si="62"/>
        <v>61700</v>
      </c>
      <c r="J1251" s="252">
        <f t="shared" si="62"/>
        <v>66650</v>
      </c>
      <c r="K1251" s="252">
        <f t="shared" si="62"/>
        <v>71600</v>
      </c>
      <c r="L1251" s="252">
        <f t="shared" si="62"/>
        <v>76550</v>
      </c>
      <c r="M1251" s="252">
        <f t="shared" si="62"/>
        <v>81450</v>
      </c>
    </row>
    <row r="1252" spans="1:13" ht="21.95" customHeight="1" x14ac:dyDescent="0.25">
      <c r="A1252" s="36" t="s">
        <v>2904</v>
      </c>
      <c r="B1252" s="36" t="str">
        <f t="shared" si="61"/>
        <v>MO_DOUGLAS COUNTY, MO</v>
      </c>
      <c r="D1252" s="265" t="s">
        <v>80</v>
      </c>
      <c r="E1252" s="266" t="s">
        <v>4066</v>
      </c>
      <c r="F1252" s="252">
        <f t="shared" si="62"/>
        <v>43200</v>
      </c>
      <c r="G1252" s="252">
        <f t="shared" si="62"/>
        <v>49400</v>
      </c>
      <c r="H1252" s="252">
        <f t="shared" si="62"/>
        <v>55550</v>
      </c>
      <c r="I1252" s="252">
        <f t="shared" si="62"/>
        <v>61700</v>
      </c>
      <c r="J1252" s="252">
        <f t="shared" si="62"/>
        <v>66650</v>
      </c>
      <c r="K1252" s="252">
        <f t="shared" si="62"/>
        <v>71600</v>
      </c>
      <c r="L1252" s="252">
        <f t="shared" si="62"/>
        <v>76550</v>
      </c>
      <c r="M1252" s="252">
        <f t="shared" si="62"/>
        <v>81450</v>
      </c>
    </row>
    <row r="1253" spans="1:13" ht="21.95" customHeight="1" x14ac:dyDescent="0.25">
      <c r="A1253" s="36" t="s">
        <v>2904</v>
      </c>
      <c r="B1253" s="36" t="str">
        <f t="shared" si="61"/>
        <v>MO_DUNKLIN COUNTY, MO</v>
      </c>
      <c r="D1253" s="265" t="s">
        <v>80</v>
      </c>
      <c r="E1253" s="266" t="s">
        <v>4067</v>
      </c>
      <c r="F1253" s="252">
        <f t="shared" si="62"/>
        <v>43200</v>
      </c>
      <c r="G1253" s="252">
        <f t="shared" si="62"/>
        <v>49400</v>
      </c>
      <c r="H1253" s="252">
        <f t="shared" si="62"/>
        <v>55550</v>
      </c>
      <c r="I1253" s="252">
        <f t="shared" ref="F1253:M1285" si="63">VLOOKUP($B1253,LOOKUP_AMI_TABLE,5+((I$7-1)),FALSE)</f>
        <v>61700</v>
      </c>
      <c r="J1253" s="252">
        <f t="shared" si="63"/>
        <v>66650</v>
      </c>
      <c r="K1253" s="252">
        <f t="shared" si="63"/>
        <v>71600</v>
      </c>
      <c r="L1253" s="252">
        <f t="shared" si="63"/>
        <v>76550</v>
      </c>
      <c r="M1253" s="252">
        <f t="shared" si="63"/>
        <v>81450</v>
      </c>
    </row>
    <row r="1254" spans="1:13" ht="21.95" customHeight="1" x14ac:dyDescent="0.25">
      <c r="A1254" s="36" t="s">
        <v>2904</v>
      </c>
      <c r="B1254" s="36" t="str">
        <f t="shared" si="61"/>
        <v>MO_GASCONADE COUNTY, MO</v>
      </c>
      <c r="D1254" s="265" t="s">
        <v>80</v>
      </c>
      <c r="E1254" s="266" t="s">
        <v>4068</v>
      </c>
      <c r="F1254" s="252">
        <f t="shared" si="63"/>
        <v>45750</v>
      </c>
      <c r="G1254" s="252">
        <f t="shared" si="63"/>
        <v>52250</v>
      </c>
      <c r="H1254" s="252">
        <f t="shared" si="63"/>
        <v>58800</v>
      </c>
      <c r="I1254" s="252">
        <f t="shared" si="63"/>
        <v>65300</v>
      </c>
      <c r="J1254" s="252">
        <f t="shared" si="63"/>
        <v>70550</v>
      </c>
      <c r="K1254" s="252">
        <f t="shared" si="63"/>
        <v>75750</v>
      </c>
      <c r="L1254" s="252">
        <f t="shared" si="63"/>
        <v>81000</v>
      </c>
      <c r="M1254" s="252">
        <f t="shared" si="63"/>
        <v>86200</v>
      </c>
    </row>
    <row r="1255" spans="1:13" ht="21.95" customHeight="1" x14ac:dyDescent="0.25">
      <c r="A1255" s="36" t="s">
        <v>2904</v>
      </c>
      <c r="B1255" s="36" t="str">
        <f t="shared" si="61"/>
        <v>MO_GENTRY COUNTY, MO</v>
      </c>
      <c r="D1255" s="265" t="s">
        <v>80</v>
      </c>
      <c r="E1255" s="266" t="s">
        <v>4069</v>
      </c>
      <c r="F1255" s="252">
        <f t="shared" si="63"/>
        <v>45300</v>
      </c>
      <c r="G1255" s="252">
        <f t="shared" si="63"/>
        <v>51750</v>
      </c>
      <c r="H1255" s="252">
        <f t="shared" si="63"/>
        <v>58200</v>
      </c>
      <c r="I1255" s="252">
        <f t="shared" si="63"/>
        <v>64650</v>
      </c>
      <c r="J1255" s="252">
        <f t="shared" si="63"/>
        <v>69850</v>
      </c>
      <c r="K1255" s="252">
        <f t="shared" si="63"/>
        <v>75000</v>
      </c>
      <c r="L1255" s="252">
        <f t="shared" si="63"/>
        <v>80200</v>
      </c>
      <c r="M1255" s="252">
        <f t="shared" si="63"/>
        <v>85350</v>
      </c>
    </row>
    <row r="1256" spans="1:13" ht="21.95" customHeight="1" x14ac:dyDescent="0.25">
      <c r="A1256" s="36" t="s">
        <v>2904</v>
      </c>
      <c r="B1256" s="36" t="str">
        <f t="shared" si="61"/>
        <v>MO_GRUNDY COUNTY, MO</v>
      </c>
      <c r="D1256" s="265" t="s">
        <v>80</v>
      </c>
      <c r="E1256" s="266" t="s">
        <v>4070</v>
      </c>
      <c r="F1256" s="252">
        <f t="shared" si="63"/>
        <v>43200</v>
      </c>
      <c r="G1256" s="252">
        <f t="shared" si="63"/>
        <v>49400</v>
      </c>
      <c r="H1256" s="252">
        <f t="shared" si="63"/>
        <v>55550</v>
      </c>
      <c r="I1256" s="252">
        <f t="shared" si="63"/>
        <v>61700</v>
      </c>
      <c r="J1256" s="252">
        <f t="shared" si="63"/>
        <v>66650</v>
      </c>
      <c r="K1256" s="252">
        <f t="shared" si="63"/>
        <v>71600</v>
      </c>
      <c r="L1256" s="252">
        <f t="shared" si="63"/>
        <v>76550</v>
      </c>
      <c r="M1256" s="252">
        <f t="shared" si="63"/>
        <v>81450</v>
      </c>
    </row>
    <row r="1257" spans="1:13" ht="21.95" customHeight="1" x14ac:dyDescent="0.25">
      <c r="A1257" s="36" t="s">
        <v>2904</v>
      </c>
      <c r="B1257" s="36" t="str">
        <f t="shared" si="61"/>
        <v>MO_HARRISON COUNTY, MO</v>
      </c>
      <c r="D1257" s="265" t="s">
        <v>80</v>
      </c>
      <c r="E1257" s="266" t="s">
        <v>4071</v>
      </c>
      <c r="F1257" s="252">
        <f t="shared" si="63"/>
        <v>43200</v>
      </c>
      <c r="G1257" s="252">
        <f t="shared" si="63"/>
        <v>49400</v>
      </c>
      <c r="H1257" s="252">
        <f t="shared" si="63"/>
        <v>55550</v>
      </c>
      <c r="I1257" s="252">
        <f t="shared" si="63"/>
        <v>61700</v>
      </c>
      <c r="J1257" s="252">
        <f t="shared" si="63"/>
        <v>66650</v>
      </c>
      <c r="K1257" s="252">
        <f t="shared" si="63"/>
        <v>71600</v>
      </c>
      <c r="L1257" s="252">
        <f t="shared" si="63"/>
        <v>76550</v>
      </c>
      <c r="M1257" s="252">
        <f t="shared" si="63"/>
        <v>81450</v>
      </c>
    </row>
    <row r="1258" spans="1:13" ht="21.95" customHeight="1" x14ac:dyDescent="0.25">
      <c r="A1258" s="36" t="s">
        <v>2904</v>
      </c>
      <c r="B1258" s="36" t="str">
        <f t="shared" si="61"/>
        <v>MO_HENRY COUNTY, MO</v>
      </c>
      <c r="D1258" s="265" t="s">
        <v>80</v>
      </c>
      <c r="E1258" s="266" t="s">
        <v>4072</v>
      </c>
      <c r="F1258" s="252">
        <f t="shared" si="63"/>
        <v>43200</v>
      </c>
      <c r="G1258" s="252">
        <f t="shared" si="63"/>
        <v>49400</v>
      </c>
      <c r="H1258" s="252">
        <f t="shared" si="63"/>
        <v>55550</v>
      </c>
      <c r="I1258" s="252">
        <f t="shared" si="63"/>
        <v>61700</v>
      </c>
      <c r="J1258" s="252">
        <f t="shared" si="63"/>
        <v>66650</v>
      </c>
      <c r="K1258" s="252">
        <f t="shared" si="63"/>
        <v>71600</v>
      </c>
      <c r="L1258" s="252">
        <f t="shared" si="63"/>
        <v>76550</v>
      </c>
      <c r="M1258" s="252">
        <f t="shared" si="63"/>
        <v>81450</v>
      </c>
    </row>
    <row r="1259" spans="1:13" ht="21.95" customHeight="1" x14ac:dyDescent="0.25">
      <c r="A1259" s="36" t="s">
        <v>2904</v>
      </c>
      <c r="B1259" s="36" t="str">
        <f t="shared" si="61"/>
        <v>MO_HICKORY COUNTY, MO</v>
      </c>
      <c r="D1259" s="265" t="s">
        <v>80</v>
      </c>
      <c r="E1259" s="266" t="s">
        <v>4073</v>
      </c>
      <c r="F1259" s="252">
        <f t="shared" si="63"/>
        <v>43200</v>
      </c>
      <c r="G1259" s="252">
        <f t="shared" si="63"/>
        <v>49400</v>
      </c>
      <c r="H1259" s="252">
        <f t="shared" si="63"/>
        <v>55550</v>
      </c>
      <c r="I1259" s="252">
        <f t="shared" si="63"/>
        <v>61700</v>
      </c>
      <c r="J1259" s="252">
        <f t="shared" si="63"/>
        <v>66650</v>
      </c>
      <c r="K1259" s="252">
        <f t="shared" si="63"/>
        <v>71600</v>
      </c>
      <c r="L1259" s="252">
        <f t="shared" si="63"/>
        <v>76550</v>
      </c>
      <c r="M1259" s="252">
        <f t="shared" si="63"/>
        <v>81450</v>
      </c>
    </row>
    <row r="1260" spans="1:13" ht="21.95" customHeight="1" x14ac:dyDescent="0.25">
      <c r="A1260" s="36" t="s">
        <v>2904</v>
      </c>
      <c r="B1260" s="36" t="str">
        <f t="shared" si="61"/>
        <v>MO_HOLT COUNTY, MO</v>
      </c>
      <c r="D1260" s="265" t="s">
        <v>80</v>
      </c>
      <c r="E1260" s="266" t="s">
        <v>4074</v>
      </c>
      <c r="F1260" s="252">
        <f t="shared" si="63"/>
        <v>44050</v>
      </c>
      <c r="G1260" s="252">
        <f t="shared" si="63"/>
        <v>50350</v>
      </c>
      <c r="H1260" s="252">
        <f t="shared" si="63"/>
        <v>56650</v>
      </c>
      <c r="I1260" s="252">
        <f t="shared" si="63"/>
        <v>62900</v>
      </c>
      <c r="J1260" s="252">
        <f t="shared" si="63"/>
        <v>67950</v>
      </c>
      <c r="K1260" s="252">
        <f t="shared" si="63"/>
        <v>73000</v>
      </c>
      <c r="L1260" s="252">
        <f t="shared" si="63"/>
        <v>78000</v>
      </c>
      <c r="M1260" s="252">
        <f t="shared" si="63"/>
        <v>83050</v>
      </c>
    </row>
    <row r="1261" spans="1:13" ht="21.95" customHeight="1" x14ac:dyDescent="0.25">
      <c r="A1261" s="36" t="s">
        <v>2904</v>
      </c>
      <c r="B1261" s="36" t="str">
        <f t="shared" si="61"/>
        <v>MO_HOWARD COUNTY, MO HUD METRO FMR AREA</v>
      </c>
      <c r="D1261" s="265" t="s">
        <v>80</v>
      </c>
      <c r="E1261" s="266" t="s">
        <v>4075</v>
      </c>
      <c r="F1261" s="252">
        <f t="shared" si="63"/>
        <v>46600</v>
      </c>
      <c r="G1261" s="252">
        <f t="shared" si="63"/>
        <v>53250</v>
      </c>
      <c r="H1261" s="252">
        <f t="shared" si="63"/>
        <v>59900</v>
      </c>
      <c r="I1261" s="252">
        <f t="shared" si="63"/>
        <v>66550</v>
      </c>
      <c r="J1261" s="252">
        <f t="shared" si="63"/>
        <v>71900</v>
      </c>
      <c r="K1261" s="252">
        <f t="shared" si="63"/>
        <v>77200</v>
      </c>
      <c r="L1261" s="252">
        <f t="shared" si="63"/>
        <v>82550</v>
      </c>
      <c r="M1261" s="252">
        <f t="shared" si="63"/>
        <v>87850</v>
      </c>
    </row>
    <row r="1262" spans="1:13" ht="21.95" customHeight="1" x14ac:dyDescent="0.25">
      <c r="A1262" s="36" t="s">
        <v>2904</v>
      </c>
      <c r="B1262" s="36" t="str">
        <f t="shared" si="61"/>
        <v>MO_HOWELL COUNTY, MO</v>
      </c>
      <c r="D1262" s="265" t="s">
        <v>80</v>
      </c>
      <c r="E1262" s="266" t="s">
        <v>4076</v>
      </c>
      <c r="F1262" s="252">
        <f t="shared" si="63"/>
        <v>43200</v>
      </c>
      <c r="G1262" s="252">
        <f t="shared" si="63"/>
        <v>49400</v>
      </c>
      <c r="H1262" s="252">
        <f t="shared" si="63"/>
        <v>55550</v>
      </c>
      <c r="I1262" s="252">
        <f t="shared" si="63"/>
        <v>61700</v>
      </c>
      <c r="J1262" s="252">
        <f t="shared" si="63"/>
        <v>66650</v>
      </c>
      <c r="K1262" s="252">
        <f t="shared" si="63"/>
        <v>71600</v>
      </c>
      <c r="L1262" s="252">
        <f t="shared" si="63"/>
        <v>76550</v>
      </c>
      <c r="M1262" s="252">
        <f t="shared" si="63"/>
        <v>81450</v>
      </c>
    </row>
    <row r="1263" spans="1:13" ht="21.95" customHeight="1" x14ac:dyDescent="0.25">
      <c r="A1263" s="36" t="s">
        <v>2904</v>
      </c>
      <c r="B1263" s="36" t="str">
        <f t="shared" si="61"/>
        <v>MO_IRON COUNTY, MO</v>
      </c>
      <c r="D1263" s="265" t="s">
        <v>80</v>
      </c>
      <c r="E1263" s="266" t="s">
        <v>4077</v>
      </c>
      <c r="F1263" s="252">
        <f t="shared" si="63"/>
        <v>43500</v>
      </c>
      <c r="G1263" s="252">
        <f t="shared" si="63"/>
        <v>49700</v>
      </c>
      <c r="H1263" s="252">
        <f t="shared" si="63"/>
        <v>55900</v>
      </c>
      <c r="I1263" s="252">
        <f t="shared" si="63"/>
        <v>62100</v>
      </c>
      <c r="J1263" s="252">
        <f t="shared" si="63"/>
        <v>67100</v>
      </c>
      <c r="K1263" s="252">
        <f t="shared" si="63"/>
        <v>72050</v>
      </c>
      <c r="L1263" s="252">
        <f t="shared" si="63"/>
        <v>77050</v>
      </c>
      <c r="M1263" s="252">
        <f t="shared" si="63"/>
        <v>82000</v>
      </c>
    </row>
    <row r="1264" spans="1:13" ht="21.95" customHeight="1" x14ac:dyDescent="0.25">
      <c r="A1264" s="36" t="s">
        <v>2904</v>
      </c>
      <c r="B1264" s="36" t="str">
        <f t="shared" si="61"/>
        <v>MO_JEFFERSON CITY, MO HUD METRO FMR AREA</v>
      </c>
      <c r="D1264" s="265" t="s">
        <v>80</v>
      </c>
      <c r="E1264" s="266" t="s">
        <v>4078</v>
      </c>
      <c r="F1264" s="252">
        <f t="shared" si="63"/>
        <v>58800</v>
      </c>
      <c r="G1264" s="252">
        <f t="shared" si="63"/>
        <v>67200</v>
      </c>
      <c r="H1264" s="252">
        <f t="shared" si="63"/>
        <v>75600</v>
      </c>
      <c r="I1264" s="252">
        <f t="shared" si="63"/>
        <v>84000</v>
      </c>
      <c r="J1264" s="252">
        <f t="shared" si="63"/>
        <v>90750</v>
      </c>
      <c r="K1264" s="252">
        <f t="shared" si="63"/>
        <v>97450</v>
      </c>
      <c r="L1264" s="252">
        <f t="shared" si="63"/>
        <v>104200</v>
      </c>
      <c r="M1264" s="252">
        <f t="shared" si="63"/>
        <v>110900</v>
      </c>
    </row>
    <row r="1265" spans="1:13" ht="21.95" customHeight="1" x14ac:dyDescent="0.25">
      <c r="A1265" s="36" t="s">
        <v>2904</v>
      </c>
      <c r="B1265" s="36" t="str">
        <f t="shared" si="61"/>
        <v>MO_JOHNSON COUNTY, MO</v>
      </c>
      <c r="D1265" s="265" t="s">
        <v>80</v>
      </c>
      <c r="E1265" s="266" t="s">
        <v>4079</v>
      </c>
      <c r="F1265" s="252">
        <f t="shared" si="63"/>
        <v>51350</v>
      </c>
      <c r="G1265" s="252">
        <f t="shared" si="63"/>
        <v>58700</v>
      </c>
      <c r="H1265" s="252">
        <f t="shared" si="63"/>
        <v>66050</v>
      </c>
      <c r="I1265" s="252">
        <f t="shared" si="63"/>
        <v>73350</v>
      </c>
      <c r="J1265" s="252">
        <f t="shared" si="63"/>
        <v>79250</v>
      </c>
      <c r="K1265" s="252">
        <f t="shared" si="63"/>
        <v>85100</v>
      </c>
      <c r="L1265" s="252">
        <f t="shared" si="63"/>
        <v>91000</v>
      </c>
      <c r="M1265" s="252">
        <f t="shared" si="63"/>
        <v>96850</v>
      </c>
    </row>
    <row r="1266" spans="1:13" ht="21.95" customHeight="1" x14ac:dyDescent="0.25">
      <c r="A1266" s="36" t="s">
        <v>2904</v>
      </c>
      <c r="B1266" s="36" t="str">
        <f t="shared" si="61"/>
        <v>MO_JOPLIN, MO HUD METRO FMR AREA</v>
      </c>
      <c r="D1266" s="265" t="s">
        <v>80</v>
      </c>
      <c r="E1266" s="266" t="s">
        <v>9210</v>
      </c>
      <c r="F1266" s="252">
        <f t="shared" si="63"/>
        <v>43200</v>
      </c>
      <c r="G1266" s="252">
        <f t="shared" si="63"/>
        <v>49400</v>
      </c>
      <c r="H1266" s="252">
        <f t="shared" si="63"/>
        <v>55550</v>
      </c>
      <c r="I1266" s="252">
        <f t="shared" si="63"/>
        <v>61700</v>
      </c>
      <c r="J1266" s="252">
        <f t="shared" si="63"/>
        <v>66650</v>
      </c>
      <c r="K1266" s="252">
        <f t="shared" si="63"/>
        <v>71600</v>
      </c>
      <c r="L1266" s="252">
        <f t="shared" si="63"/>
        <v>76550</v>
      </c>
      <c r="M1266" s="252">
        <f t="shared" si="63"/>
        <v>81450</v>
      </c>
    </row>
    <row r="1267" spans="1:13" ht="21.95" customHeight="1" x14ac:dyDescent="0.25">
      <c r="A1267" s="36" t="s">
        <v>2904</v>
      </c>
      <c r="B1267" s="36" t="str">
        <f t="shared" si="61"/>
        <v>MO_KANSAS CITY, MO-KS HUD METRO FMR AREA</v>
      </c>
      <c r="D1267" s="265" t="s">
        <v>80</v>
      </c>
      <c r="E1267" s="266" t="s">
        <v>3678</v>
      </c>
      <c r="F1267" s="252">
        <f t="shared" si="63"/>
        <v>62400</v>
      </c>
      <c r="G1267" s="252">
        <f t="shared" si="63"/>
        <v>71300</v>
      </c>
      <c r="H1267" s="252">
        <f t="shared" si="63"/>
        <v>80200</v>
      </c>
      <c r="I1267" s="252">
        <f t="shared" si="63"/>
        <v>89100</v>
      </c>
      <c r="J1267" s="252">
        <f t="shared" si="63"/>
        <v>96250</v>
      </c>
      <c r="K1267" s="252">
        <f t="shared" si="63"/>
        <v>103400</v>
      </c>
      <c r="L1267" s="252">
        <f t="shared" si="63"/>
        <v>110500</v>
      </c>
      <c r="M1267" s="252">
        <f t="shared" si="63"/>
        <v>117650</v>
      </c>
    </row>
    <row r="1268" spans="1:13" ht="21.95" customHeight="1" x14ac:dyDescent="0.25">
      <c r="A1268" s="36" t="s">
        <v>2904</v>
      </c>
      <c r="B1268" s="36" t="str">
        <f t="shared" si="61"/>
        <v>MO_KNOX COUNTY, MO</v>
      </c>
      <c r="D1268" s="265" t="s">
        <v>80</v>
      </c>
      <c r="E1268" s="266" t="s">
        <v>4080</v>
      </c>
      <c r="F1268" s="252">
        <f t="shared" si="63"/>
        <v>43200</v>
      </c>
      <c r="G1268" s="252">
        <f t="shared" si="63"/>
        <v>49400</v>
      </c>
      <c r="H1268" s="252">
        <f t="shared" si="63"/>
        <v>55550</v>
      </c>
      <c r="I1268" s="252">
        <f t="shared" si="63"/>
        <v>61700</v>
      </c>
      <c r="J1268" s="252">
        <f t="shared" si="63"/>
        <v>66650</v>
      </c>
      <c r="K1268" s="252">
        <f t="shared" si="63"/>
        <v>71600</v>
      </c>
      <c r="L1268" s="252">
        <f t="shared" si="63"/>
        <v>76550</v>
      </c>
      <c r="M1268" s="252">
        <f t="shared" si="63"/>
        <v>81450</v>
      </c>
    </row>
    <row r="1269" spans="1:13" ht="21.95" customHeight="1" x14ac:dyDescent="0.25">
      <c r="A1269" s="36" t="s">
        <v>2904</v>
      </c>
      <c r="B1269" s="36" t="str">
        <f t="shared" si="61"/>
        <v>MO_LACLEDE COUNTY, MO</v>
      </c>
      <c r="D1269" s="265" t="s">
        <v>80</v>
      </c>
      <c r="E1269" s="266" t="s">
        <v>4081</v>
      </c>
      <c r="F1269" s="252">
        <f t="shared" si="63"/>
        <v>43200</v>
      </c>
      <c r="G1269" s="252">
        <f t="shared" si="63"/>
        <v>49400</v>
      </c>
      <c r="H1269" s="252">
        <f t="shared" si="63"/>
        <v>55550</v>
      </c>
      <c r="I1269" s="252">
        <f t="shared" si="63"/>
        <v>61700</v>
      </c>
      <c r="J1269" s="252">
        <f t="shared" si="63"/>
        <v>66650</v>
      </c>
      <c r="K1269" s="252">
        <f t="shared" si="63"/>
        <v>71600</v>
      </c>
      <c r="L1269" s="252">
        <f t="shared" si="63"/>
        <v>76550</v>
      </c>
      <c r="M1269" s="252">
        <f t="shared" si="63"/>
        <v>81450</v>
      </c>
    </row>
    <row r="1270" spans="1:13" ht="21.95" customHeight="1" x14ac:dyDescent="0.25">
      <c r="A1270" s="36" t="s">
        <v>2904</v>
      </c>
      <c r="B1270" s="36" t="str">
        <f t="shared" si="61"/>
        <v>MO_LAWRENCE COUNTY, MO</v>
      </c>
      <c r="D1270" s="265" t="s">
        <v>80</v>
      </c>
      <c r="E1270" s="266" t="s">
        <v>4082</v>
      </c>
      <c r="F1270" s="252">
        <f t="shared" si="63"/>
        <v>43200</v>
      </c>
      <c r="G1270" s="252">
        <f t="shared" si="63"/>
        <v>49400</v>
      </c>
      <c r="H1270" s="252">
        <f t="shared" si="63"/>
        <v>55550</v>
      </c>
      <c r="I1270" s="252">
        <f t="shared" si="63"/>
        <v>61700</v>
      </c>
      <c r="J1270" s="252">
        <f t="shared" si="63"/>
        <v>66650</v>
      </c>
      <c r="K1270" s="252">
        <f t="shared" si="63"/>
        <v>71600</v>
      </c>
      <c r="L1270" s="252">
        <f t="shared" si="63"/>
        <v>76550</v>
      </c>
      <c r="M1270" s="252">
        <f t="shared" si="63"/>
        <v>81450</v>
      </c>
    </row>
    <row r="1271" spans="1:13" ht="21.95" customHeight="1" x14ac:dyDescent="0.25">
      <c r="A1271" s="36" t="s">
        <v>2904</v>
      </c>
      <c r="B1271" s="36" t="str">
        <f t="shared" si="61"/>
        <v>MO_LEWIS COUNTY, MO</v>
      </c>
      <c r="D1271" s="265" t="s">
        <v>80</v>
      </c>
      <c r="E1271" s="266" t="s">
        <v>4083</v>
      </c>
      <c r="F1271" s="252">
        <f t="shared" si="63"/>
        <v>43500</v>
      </c>
      <c r="G1271" s="252">
        <f t="shared" si="63"/>
        <v>49700</v>
      </c>
      <c r="H1271" s="252">
        <f t="shared" si="63"/>
        <v>55900</v>
      </c>
      <c r="I1271" s="252">
        <f t="shared" si="63"/>
        <v>62100</v>
      </c>
      <c r="J1271" s="252">
        <f t="shared" si="63"/>
        <v>67100</v>
      </c>
      <c r="K1271" s="252">
        <f t="shared" si="63"/>
        <v>72050</v>
      </c>
      <c r="L1271" s="252">
        <f t="shared" si="63"/>
        <v>77050</v>
      </c>
      <c r="M1271" s="252">
        <f t="shared" si="63"/>
        <v>82000</v>
      </c>
    </row>
    <row r="1272" spans="1:13" ht="21.95" customHeight="1" x14ac:dyDescent="0.25">
      <c r="A1272" s="36" t="s">
        <v>2904</v>
      </c>
      <c r="B1272" s="36" t="str">
        <f t="shared" si="61"/>
        <v>MO_LINN COUNTY, MO</v>
      </c>
      <c r="D1272" s="265" t="s">
        <v>80</v>
      </c>
      <c r="E1272" s="266" t="s">
        <v>4084</v>
      </c>
      <c r="F1272" s="252">
        <f t="shared" si="63"/>
        <v>44700</v>
      </c>
      <c r="G1272" s="252">
        <f t="shared" si="63"/>
        <v>51100</v>
      </c>
      <c r="H1272" s="252">
        <f t="shared" si="63"/>
        <v>57500</v>
      </c>
      <c r="I1272" s="252">
        <f t="shared" si="63"/>
        <v>63850</v>
      </c>
      <c r="J1272" s="252">
        <f t="shared" si="63"/>
        <v>69000</v>
      </c>
      <c r="K1272" s="252">
        <f t="shared" si="63"/>
        <v>74100</v>
      </c>
      <c r="L1272" s="252">
        <f t="shared" si="63"/>
        <v>79200</v>
      </c>
      <c r="M1272" s="252">
        <f t="shared" si="63"/>
        <v>84300</v>
      </c>
    </row>
    <row r="1273" spans="1:13" ht="21.95" customHeight="1" x14ac:dyDescent="0.25">
      <c r="A1273" s="36" t="s">
        <v>2904</v>
      </c>
      <c r="B1273" s="36" t="str">
        <f t="shared" si="61"/>
        <v>MO_LIVINGSTON COUNTY, MO</v>
      </c>
      <c r="D1273" s="265" t="s">
        <v>80</v>
      </c>
      <c r="E1273" s="266" t="s">
        <v>4085</v>
      </c>
      <c r="F1273" s="252">
        <f t="shared" si="63"/>
        <v>47350</v>
      </c>
      <c r="G1273" s="252">
        <f t="shared" si="63"/>
        <v>54100</v>
      </c>
      <c r="H1273" s="252">
        <f t="shared" si="63"/>
        <v>60850</v>
      </c>
      <c r="I1273" s="252">
        <f t="shared" si="63"/>
        <v>67600</v>
      </c>
      <c r="J1273" s="252">
        <f t="shared" si="63"/>
        <v>73050</v>
      </c>
      <c r="K1273" s="252">
        <f t="shared" si="63"/>
        <v>78450</v>
      </c>
      <c r="L1273" s="252">
        <f t="shared" si="63"/>
        <v>83850</v>
      </c>
      <c r="M1273" s="252">
        <f t="shared" si="63"/>
        <v>89250</v>
      </c>
    </row>
    <row r="1274" spans="1:13" ht="21.95" customHeight="1" x14ac:dyDescent="0.25">
      <c r="A1274" s="36" t="s">
        <v>2904</v>
      </c>
      <c r="B1274" s="36" t="str">
        <f t="shared" si="61"/>
        <v>MO_MACON COUNTY, MO</v>
      </c>
      <c r="D1274" s="265" t="s">
        <v>80</v>
      </c>
      <c r="E1274" s="266" t="s">
        <v>4086</v>
      </c>
      <c r="F1274" s="252">
        <f t="shared" si="63"/>
        <v>44750</v>
      </c>
      <c r="G1274" s="252">
        <f t="shared" si="63"/>
        <v>51150</v>
      </c>
      <c r="H1274" s="252">
        <f t="shared" si="63"/>
        <v>57550</v>
      </c>
      <c r="I1274" s="252">
        <f t="shared" si="63"/>
        <v>63900</v>
      </c>
      <c r="J1274" s="252">
        <f t="shared" si="63"/>
        <v>69050</v>
      </c>
      <c r="K1274" s="252">
        <f t="shared" si="63"/>
        <v>74150</v>
      </c>
      <c r="L1274" s="252">
        <f t="shared" si="63"/>
        <v>79250</v>
      </c>
      <c r="M1274" s="252">
        <f t="shared" si="63"/>
        <v>84350</v>
      </c>
    </row>
    <row r="1275" spans="1:13" ht="21.95" customHeight="1" x14ac:dyDescent="0.25">
      <c r="A1275" s="36" t="s">
        <v>2904</v>
      </c>
      <c r="B1275" s="36" t="str">
        <f t="shared" si="61"/>
        <v>MO_MADISON COUNTY, MO</v>
      </c>
      <c r="D1275" s="265" t="s">
        <v>80</v>
      </c>
      <c r="E1275" s="266" t="s">
        <v>4087</v>
      </c>
      <c r="F1275" s="252">
        <f t="shared" si="63"/>
        <v>43500</v>
      </c>
      <c r="G1275" s="252">
        <f t="shared" si="63"/>
        <v>49700</v>
      </c>
      <c r="H1275" s="252">
        <f t="shared" si="63"/>
        <v>55900</v>
      </c>
      <c r="I1275" s="252">
        <f t="shared" si="63"/>
        <v>62100</v>
      </c>
      <c r="J1275" s="252">
        <f t="shared" si="63"/>
        <v>67100</v>
      </c>
      <c r="K1275" s="252">
        <f t="shared" si="63"/>
        <v>72050</v>
      </c>
      <c r="L1275" s="252">
        <f t="shared" si="63"/>
        <v>77050</v>
      </c>
      <c r="M1275" s="252">
        <f t="shared" si="63"/>
        <v>82000</v>
      </c>
    </row>
    <row r="1276" spans="1:13" ht="21.95" customHeight="1" x14ac:dyDescent="0.25">
      <c r="A1276" s="36" t="s">
        <v>2904</v>
      </c>
      <c r="B1276" s="36" t="str">
        <f t="shared" ref="B1276:B1339" si="64">UPPER(TRIM(D1276)&amp;"_"&amp;TRIM(E1276))</f>
        <v>MO_MARIES COUNTY, MO</v>
      </c>
      <c r="D1276" s="265" t="s">
        <v>80</v>
      </c>
      <c r="E1276" s="266" t="s">
        <v>4088</v>
      </c>
      <c r="F1276" s="252">
        <f t="shared" si="63"/>
        <v>46200</v>
      </c>
      <c r="G1276" s="252">
        <f t="shared" si="63"/>
        <v>52800</v>
      </c>
      <c r="H1276" s="252">
        <f t="shared" si="63"/>
        <v>59400</v>
      </c>
      <c r="I1276" s="252">
        <f t="shared" si="63"/>
        <v>66000</v>
      </c>
      <c r="J1276" s="252">
        <f t="shared" si="63"/>
        <v>71300</v>
      </c>
      <c r="K1276" s="252">
        <f t="shared" si="63"/>
        <v>76600</v>
      </c>
      <c r="L1276" s="252">
        <f t="shared" si="63"/>
        <v>81850</v>
      </c>
      <c r="M1276" s="252">
        <f t="shared" si="63"/>
        <v>87150</v>
      </c>
    </row>
    <row r="1277" spans="1:13" ht="21.95" customHeight="1" x14ac:dyDescent="0.25">
      <c r="A1277" s="36" t="s">
        <v>2904</v>
      </c>
      <c r="B1277" s="36" t="str">
        <f t="shared" si="64"/>
        <v>MO_MARION COUNTY, MO</v>
      </c>
      <c r="D1277" s="265" t="s">
        <v>80</v>
      </c>
      <c r="E1277" s="266" t="s">
        <v>4089</v>
      </c>
      <c r="F1277" s="252">
        <f t="shared" si="63"/>
        <v>46850</v>
      </c>
      <c r="G1277" s="252">
        <f t="shared" si="63"/>
        <v>53550</v>
      </c>
      <c r="H1277" s="252">
        <f t="shared" si="63"/>
        <v>60250</v>
      </c>
      <c r="I1277" s="252">
        <f t="shared" si="63"/>
        <v>66900</v>
      </c>
      <c r="J1277" s="252">
        <f t="shared" si="63"/>
        <v>72300</v>
      </c>
      <c r="K1277" s="252">
        <f t="shared" si="63"/>
        <v>77650</v>
      </c>
      <c r="L1277" s="252">
        <f t="shared" si="63"/>
        <v>83000</v>
      </c>
      <c r="M1277" s="252">
        <f t="shared" si="63"/>
        <v>88350</v>
      </c>
    </row>
    <row r="1278" spans="1:13" ht="21.95" customHeight="1" x14ac:dyDescent="0.25">
      <c r="A1278" s="36" t="s">
        <v>2904</v>
      </c>
      <c r="B1278" s="36" t="str">
        <f t="shared" si="64"/>
        <v>MO_MCDONALD COUNTY, MO</v>
      </c>
      <c r="D1278" s="265" t="s">
        <v>80</v>
      </c>
      <c r="E1278" s="266" t="s">
        <v>4090</v>
      </c>
      <c r="F1278" s="252">
        <f t="shared" si="63"/>
        <v>43200</v>
      </c>
      <c r="G1278" s="252">
        <f t="shared" si="63"/>
        <v>49400</v>
      </c>
      <c r="H1278" s="252">
        <f t="shared" si="63"/>
        <v>55550</v>
      </c>
      <c r="I1278" s="252">
        <f t="shared" si="63"/>
        <v>61700</v>
      </c>
      <c r="J1278" s="252">
        <f t="shared" si="63"/>
        <v>66650</v>
      </c>
      <c r="K1278" s="252">
        <f t="shared" si="63"/>
        <v>71600</v>
      </c>
      <c r="L1278" s="252">
        <f t="shared" si="63"/>
        <v>76550</v>
      </c>
      <c r="M1278" s="252">
        <f t="shared" si="63"/>
        <v>81450</v>
      </c>
    </row>
    <row r="1279" spans="1:13" ht="21.95" customHeight="1" x14ac:dyDescent="0.25">
      <c r="A1279" s="36" t="s">
        <v>2904</v>
      </c>
      <c r="B1279" s="36" t="str">
        <f t="shared" si="64"/>
        <v>MO_MERCER COUNTY, MO</v>
      </c>
      <c r="D1279" s="265" t="s">
        <v>80</v>
      </c>
      <c r="E1279" s="266" t="s">
        <v>4091</v>
      </c>
      <c r="F1279" s="252">
        <f t="shared" si="63"/>
        <v>43200</v>
      </c>
      <c r="G1279" s="252">
        <f t="shared" si="63"/>
        <v>49400</v>
      </c>
      <c r="H1279" s="252">
        <f t="shared" si="63"/>
        <v>55550</v>
      </c>
      <c r="I1279" s="252">
        <f t="shared" si="63"/>
        <v>61700</v>
      </c>
      <c r="J1279" s="252">
        <f t="shared" si="63"/>
        <v>66650</v>
      </c>
      <c r="K1279" s="252">
        <f t="shared" si="63"/>
        <v>71600</v>
      </c>
      <c r="L1279" s="252">
        <f t="shared" si="63"/>
        <v>76550</v>
      </c>
      <c r="M1279" s="252">
        <f t="shared" si="63"/>
        <v>81450</v>
      </c>
    </row>
    <row r="1280" spans="1:13" ht="21.95" customHeight="1" x14ac:dyDescent="0.25">
      <c r="A1280" s="36" t="s">
        <v>2904</v>
      </c>
      <c r="B1280" s="36" t="str">
        <f t="shared" si="64"/>
        <v>MO_MILLER COUNTY, MO</v>
      </c>
      <c r="D1280" s="265" t="s">
        <v>80</v>
      </c>
      <c r="E1280" s="266" t="s">
        <v>4092</v>
      </c>
      <c r="F1280" s="252">
        <f t="shared" si="63"/>
        <v>44750</v>
      </c>
      <c r="G1280" s="252">
        <f t="shared" si="63"/>
        <v>51150</v>
      </c>
      <c r="H1280" s="252">
        <f t="shared" si="63"/>
        <v>57550</v>
      </c>
      <c r="I1280" s="252">
        <f t="shared" si="63"/>
        <v>63900</v>
      </c>
      <c r="J1280" s="252">
        <f t="shared" si="63"/>
        <v>69050</v>
      </c>
      <c r="K1280" s="252">
        <f t="shared" si="63"/>
        <v>74150</v>
      </c>
      <c r="L1280" s="252">
        <f t="shared" si="63"/>
        <v>79250</v>
      </c>
      <c r="M1280" s="252">
        <f t="shared" si="63"/>
        <v>84350</v>
      </c>
    </row>
    <row r="1281" spans="1:13" ht="21.95" customHeight="1" x14ac:dyDescent="0.25">
      <c r="A1281" s="36" t="s">
        <v>2904</v>
      </c>
      <c r="B1281" s="36" t="str">
        <f t="shared" si="64"/>
        <v>MO_MISSISSIPPI COUNTY, MO</v>
      </c>
      <c r="D1281" s="265" t="s">
        <v>80</v>
      </c>
      <c r="E1281" s="266" t="s">
        <v>4093</v>
      </c>
      <c r="F1281" s="252">
        <f t="shared" si="63"/>
        <v>43200</v>
      </c>
      <c r="G1281" s="252">
        <f t="shared" si="63"/>
        <v>49400</v>
      </c>
      <c r="H1281" s="252">
        <f t="shared" si="63"/>
        <v>55550</v>
      </c>
      <c r="I1281" s="252">
        <f t="shared" si="63"/>
        <v>61700</v>
      </c>
      <c r="J1281" s="252">
        <f t="shared" si="63"/>
        <v>66650</v>
      </c>
      <c r="K1281" s="252">
        <f t="shared" si="63"/>
        <v>71600</v>
      </c>
      <c r="L1281" s="252">
        <f t="shared" si="63"/>
        <v>76550</v>
      </c>
      <c r="M1281" s="252">
        <f t="shared" si="63"/>
        <v>81450</v>
      </c>
    </row>
    <row r="1282" spans="1:13" ht="21.95" customHeight="1" x14ac:dyDescent="0.25">
      <c r="A1282" s="36" t="s">
        <v>2904</v>
      </c>
      <c r="B1282" s="36" t="str">
        <f t="shared" si="64"/>
        <v>MO_MONITEAU COUNTY, MO HUD METRO FMR AREA</v>
      </c>
      <c r="D1282" s="265" t="s">
        <v>80</v>
      </c>
      <c r="E1282" s="266" t="s">
        <v>4094</v>
      </c>
      <c r="F1282" s="252">
        <f t="shared" si="63"/>
        <v>51800</v>
      </c>
      <c r="G1282" s="252">
        <f t="shared" si="63"/>
        <v>59200</v>
      </c>
      <c r="H1282" s="252">
        <f t="shared" si="63"/>
        <v>66600</v>
      </c>
      <c r="I1282" s="252">
        <f t="shared" si="63"/>
        <v>74000</v>
      </c>
      <c r="J1282" s="252">
        <f t="shared" si="63"/>
        <v>79950</v>
      </c>
      <c r="K1282" s="252">
        <f t="shared" si="63"/>
        <v>85850</v>
      </c>
      <c r="L1282" s="252">
        <f t="shared" si="63"/>
        <v>91800</v>
      </c>
      <c r="M1282" s="252">
        <f t="shared" si="63"/>
        <v>97700</v>
      </c>
    </row>
    <row r="1283" spans="1:13" ht="21.95" customHeight="1" x14ac:dyDescent="0.25">
      <c r="A1283" s="36" t="s">
        <v>2904</v>
      </c>
      <c r="B1283" s="36" t="str">
        <f t="shared" si="64"/>
        <v>MO_MONROE COUNTY, MO</v>
      </c>
      <c r="D1283" s="265" t="s">
        <v>80</v>
      </c>
      <c r="E1283" s="266" t="s">
        <v>4095</v>
      </c>
      <c r="F1283" s="252">
        <f t="shared" si="63"/>
        <v>44050</v>
      </c>
      <c r="G1283" s="252">
        <f t="shared" si="63"/>
        <v>50350</v>
      </c>
      <c r="H1283" s="252">
        <f t="shared" si="63"/>
        <v>56650</v>
      </c>
      <c r="I1283" s="252">
        <f t="shared" si="63"/>
        <v>62900</v>
      </c>
      <c r="J1283" s="252">
        <f t="shared" si="63"/>
        <v>67950</v>
      </c>
      <c r="K1283" s="252">
        <f t="shared" si="63"/>
        <v>73000</v>
      </c>
      <c r="L1283" s="252">
        <f t="shared" si="63"/>
        <v>78000</v>
      </c>
      <c r="M1283" s="252">
        <f t="shared" si="63"/>
        <v>83050</v>
      </c>
    </row>
    <row r="1284" spans="1:13" ht="21.95" customHeight="1" x14ac:dyDescent="0.25">
      <c r="A1284" s="36" t="s">
        <v>2904</v>
      </c>
      <c r="B1284" s="36" t="str">
        <f t="shared" si="64"/>
        <v>MO_MONTGOMERY COUNTY, MO</v>
      </c>
      <c r="D1284" s="265" t="s">
        <v>80</v>
      </c>
      <c r="E1284" s="266" t="s">
        <v>4096</v>
      </c>
      <c r="F1284" s="252">
        <f t="shared" si="63"/>
        <v>44900</v>
      </c>
      <c r="G1284" s="252">
        <f t="shared" si="63"/>
        <v>51300</v>
      </c>
      <c r="H1284" s="252">
        <f t="shared" si="63"/>
        <v>57700</v>
      </c>
      <c r="I1284" s="252">
        <f t="shared" si="63"/>
        <v>64100</v>
      </c>
      <c r="J1284" s="252">
        <f t="shared" si="63"/>
        <v>69250</v>
      </c>
      <c r="K1284" s="252">
        <f t="shared" si="63"/>
        <v>74400</v>
      </c>
      <c r="L1284" s="252">
        <f t="shared" si="63"/>
        <v>79500</v>
      </c>
      <c r="M1284" s="252">
        <f t="shared" si="63"/>
        <v>84650</v>
      </c>
    </row>
    <row r="1285" spans="1:13" ht="21.95" customHeight="1" x14ac:dyDescent="0.25">
      <c r="A1285" s="36" t="s">
        <v>2904</v>
      </c>
      <c r="B1285" s="36" t="str">
        <f t="shared" si="64"/>
        <v>MO_MORGAN COUNTY, MO</v>
      </c>
      <c r="D1285" s="265" t="s">
        <v>80</v>
      </c>
      <c r="E1285" s="266" t="s">
        <v>4097</v>
      </c>
      <c r="F1285" s="252">
        <f t="shared" si="63"/>
        <v>43200</v>
      </c>
      <c r="G1285" s="252">
        <f t="shared" si="63"/>
        <v>49400</v>
      </c>
      <c r="H1285" s="252">
        <f t="shared" ref="F1285:M1317" si="65">VLOOKUP($B1285,LOOKUP_AMI_TABLE,5+((H$7-1)),FALSE)</f>
        <v>55550</v>
      </c>
      <c r="I1285" s="252">
        <f t="shared" si="65"/>
        <v>61700</v>
      </c>
      <c r="J1285" s="252">
        <f t="shared" si="65"/>
        <v>66650</v>
      </c>
      <c r="K1285" s="252">
        <f t="shared" si="65"/>
        <v>71600</v>
      </c>
      <c r="L1285" s="252">
        <f t="shared" si="65"/>
        <v>76550</v>
      </c>
      <c r="M1285" s="252">
        <f t="shared" si="65"/>
        <v>81450</v>
      </c>
    </row>
    <row r="1286" spans="1:13" ht="21.95" customHeight="1" x14ac:dyDescent="0.25">
      <c r="A1286" s="36" t="s">
        <v>2904</v>
      </c>
      <c r="B1286" s="36" t="str">
        <f t="shared" si="64"/>
        <v>MO_NEW MADRID COUNTY, MO</v>
      </c>
      <c r="D1286" s="265" t="s">
        <v>80</v>
      </c>
      <c r="E1286" s="266" t="s">
        <v>4098</v>
      </c>
      <c r="F1286" s="252">
        <f t="shared" si="65"/>
        <v>43200</v>
      </c>
      <c r="G1286" s="252">
        <f t="shared" si="65"/>
        <v>49400</v>
      </c>
      <c r="H1286" s="252">
        <f t="shared" si="65"/>
        <v>55550</v>
      </c>
      <c r="I1286" s="252">
        <f t="shared" si="65"/>
        <v>61700</v>
      </c>
      <c r="J1286" s="252">
        <f t="shared" si="65"/>
        <v>66650</v>
      </c>
      <c r="K1286" s="252">
        <f t="shared" si="65"/>
        <v>71600</v>
      </c>
      <c r="L1286" s="252">
        <f t="shared" si="65"/>
        <v>76550</v>
      </c>
      <c r="M1286" s="252">
        <f t="shared" si="65"/>
        <v>81450</v>
      </c>
    </row>
    <row r="1287" spans="1:13" ht="21.95" customHeight="1" x14ac:dyDescent="0.25">
      <c r="A1287" s="36" t="s">
        <v>2904</v>
      </c>
      <c r="B1287" s="36" t="str">
        <f t="shared" si="64"/>
        <v>MO_NODAWAY COUNTY, MO</v>
      </c>
      <c r="D1287" s="265" t="s">
        <v>80</v>
      </c>
      <c r="E1287" s="266" t="s">
        <v>4099</v>
      </c>
      <c r="F1287" s="252">
        <f t="shared" si="65"/>
        <v>48800</v>
      </c>
      <c r="G1287" s="252">
        <f t="shared" si="65"/>
        <v>55800</v>
      </c>
      <c r="H1287" s="252">
        <f t="shared" si="65"/>
        <v>62750</v>
      </c>
      <c r="I1287" s="252">
        <f t="shared" si="65"/>
        <v>69700</v>
      </c>
      <c r="J1287" s="252">
        <f t="shared" si="65"/>
        <v>75300</v>
      </c>
      <c r="K1287" s="252">
        <f t="shared" si="65"/>
        <v>80900</v>
      </c>
      <c r="L1287" s="252">
        <f t="shared" si="65"/>
        <v>86450</v>
      </c>
      <c r="M1287" s="252">
        <f t="shared" si="65"/>
        <v>92050</v>
      </c>
    </row>
    <row r="1288" spans="1:13" ht="21.95" customHeight="1" x14ac:dyDescent="0.25">
      <c r="A1288" s="36" t="s">
        <v>2904</v>
      </c>
      <c r="B1288" s="36" t="str">
        <f t="shared" si="64"/>
        <v>MO_OREGON COUNTY, MO</v>
      </c>
      <c r="D1288" s="265" t="s">
        <v>80</v>
      </c>
      <c r="E1288" s="266" t="s">
        <v>4100</v>
      </c>
      <c r="F1288" s="252">
        <f t="shared" si="65"/>
        <v>43200</v>
      </c>
      <c r="G1288" s="252">
        <f t="shared" si="65"/>
        <v>49400</v>
      </c>
      <c r="H1288" s="252">
        <f t="shared" si="65"/>
        <v>55550</v>
      </c>
      <c r="I1288" s="252">
        <f t="shared" si="65"/>
        <v>61700</v>
      </c>
      <c r="J1288" s="252">
        <f t="shared" si="65"/>
        <v>66650</v>
      </c>
      <c r="K1288" s="252">
        <f t="shared" si="65"/>
        <v>71600</v>
      </c>
      <c r="L1288" s="252">
        <f t="shared" si="65"/>
        <v>76550</v>
      </c>
      <c r="M1288" s="252">
        <f t="shared" si="65"/>
        <v>81450</v>
      </c>
    </row>
    <row r="1289" spans="1:13" ht="21.95" customHeight="1" x14ac:dyDescent="0.25">
      <c r="A1289" s="36" t="s">
        <v>2904</v>
      </c>
      <c r="B1289" s="36" t="str">
        <f t="shared" si="64"/>
        <v>MO_OZARK COUNTY, MO</v>
      </c>
      <c r="D1289" s="265" t="s">
        <v>80</v>
      </c>
      <c r="E1289" s="266" t="s">
        <v>4101</v>
      </c>
      <c r="F1289" s="252">
        <f t="shared" si="65"/>
        <v>43200</v>
      </c>
      <c r="G1289" s="252">
        <f t="shared" si="65"/>
        <v>49400</v>
      </c>
      <c r="H1289" s="252">
        <f t="shared" si="65"/>
        <v>55550</v>
      </c>
      <c r="I1289" s="252">
        <f t="shared" si="65"/>
        <v>61700</v>
      </c>
      <c r="J1289" s="252">
        <f t="shared" si="65"/>
        <v>66650</v>
      </c>
      <c r="K1289" s="252">
        <f t="shared" si="65"/>
        <v>71600</v>
      </c>
      <c r="L1289" s="252">
        <f t="shared" si="65"/>
        <v>76550</v>
      </c>
      <c r="M1289" s="252">
        <f t="shared" si="65"/>
        <v>81450</v>
      </c>
    </row>
    <row r="1290" spans="1:13" ht="21.95" customHeight="1" x14ac:dyDescent="0.25">
      <c r="A1290" s="36" t="s">
        <v>2904</v>
      </c>
      <c r="B1290" s="36" t="str">
        <f t="shared" si="64"/>
        <v>MO_PEMISCOT COUNTY, MO</v>
      </c>
      <c r="D1290" s="265" t="s">
        <v>80</v>
      </c>
      <c r="E1290" s="266" t="s">
        <v>4102</v>
      </c>
      <c r="F1290" s="252">
        <f t="shared" si="65"/>
        <v>43200</v>
      </c>
      <c r="G1290" s="252">
        <f t="shared" si="65"/>
        <v>49400</v>
      </c>
      <c r="H1290" s="252">
        <f t="shared" si="65"/>
        <v>55550</v>
      </c>
      <c r="I1290" s="252">
        <f t="shared" si="65"/>
        <v>61700</v>
      </c>
      <c r="J1290" s="252">
        <f t="shared" si="65"/>
        <v>66650</v>
      </c>
      <c r="K1290" s="252">
        <f t="shared" si="65"/>
        <v>71600</v>
      </c>
      <c r="L1290" s="252">
        <f t="shared" si="65"/>
        <v>76550</v>
      </c>
      <c r="M1290" s="252">
        <f t="shared" si="65"/>
        <v>81450</v>
      </c>
    </row>
    <row r="1291" spans="1:13" ht="21.95" customHeight="1" x14ac:dyDescent="0.25">
      <c r="A1291" s="36" t="s">
        <v>2904</v>
      </c>
      <c r="B1291" s="36" t="str">
        <f t="shared" si="64"/>
        <v>MO_PERRY COUNTY, MO</v>
      </c>
      <c r="D1291" s="265" t="s">
        <v>80</v>
      </c>
      <c r="E1291" s="266" t="s">
        <v>4103</v>
      </c>
      <c r="F1291" s="252">
        <f t="shared" si="65"/>
        <v>49250</v>
      </c>
      <c r="G1291" s="252">
        <f t="shared" si="65"/>
        <v>56250</v>
      </c>
      <c r="H1291" s="252">
        <f t="shared" si="65"/>
        <v>63300</v>
      </c>
      <c r="I1291" s="252">
        <f t="shared" si="65"/>
        <v>70300</v>
      </c>
      <c r="J1291" s="252">
        <f t="shared" si="65"/>
        <v>75950</v>
      </c>
      <c r="K1291" s="252">
        <f t="shared" si="65"/>
        <v>81550</v>
      </c>
      <c r="L1291" s="252">
        <f t="shared" si="65"/>
        <v>87200</v>
      </c>
      <c r="M1291" s="252">
        <f t="shared" si="65"/>
        <v>92800</v>
      </c>
    </row>
    <row r="1292" spans="1:13" ht="21.95" customHeight="1" x14ac:dyDescent="0.25">
      <c r="A1292" s="36" t="s">
        <v>2904</v>
      </c>
      <c r="B1292" s="36" t="str">
        <f t="shared" si="64"/>
        <v>MO_PETTIS COUNTY, MO</v>
      </c>
      <c r="D1292" s="265" t="s">
        <v>80</v>
      </c>
      <c r="E1292" s="266" t="s">
        <v>4104</v>
      </c>
      <c r="F1292" s="252">
        <f t="shared" si="65"/>
        <v>44150</v>
      </c>
      <c r="G1292" s="252">
        <f t="shared" si="65"/>
        <v>50450</v>
      </c>
      <c r="H1292" s="252">
        <f t="shared" si="65"/>
        <v>56750</v>
      </c>
      <c r="I1292" s="252">
        <f t="shared" si="65"/>
        <v>63050</v>
      </c>
      <c r="J1292" s="252">
        <f t="shared" si="65"/>
        <v>68100</v>
      </c>
      <c r="K1292" s="252">
        <f t="shared" si="65"/>
        <v>73150</v>
      </c>
      <c r="L1292" s="252">
        <f t="shared" si="65"/>
        <v>78200</v>
      </c>
      <c r="M1292" s="252">
        <f t="shared" si="65"/>
        <v>83250</v>
      </c>
    </row>
    <row r="1293" spans="1:13" ht="21.95" customHeight="1" x14ac:dyDescent="0.25">
      <c r="A1293" s="36" t="s">
        <v>2904</v>
      </c>
      <c r="B1293" s="36" t="str">
        <f t="shared" si="64"/>
        <v>MO_PHELPS COUNTY, MO</v>
      </c>
      <c r="D1293" s="265" t="s">
        <v>80</v>
      </c>
      <c r="E1293" s="266" t="s">
        <v>4105</v>
      </c>
      <c r="F1293" s="252">
        <f t="shared" si="65"/>
        <v>43400</v>
      </c>
      <c r="G1293" s="252">
        <f t="shared" si="65"/>
        <v>49600</v>
      </c>
      <c r="H1293" s="252">
        <f t="shared" si="65"/>
        <v>55800</v>
      </c>
      <c r="I1293" s="252">
        <f t="shared" si="65"/>
        <v>62000</v>
      </c>
      <c r="J1293" s="252">
        <f t="shared" si="65"/>
        <v>67000</v>
      </c>
      <c r="K1293" s="252">
        <f t="shared" si="65"/>
        <v>71950</v>
      </c>
      <c r="L1293" s="252">
        <f t="shared" si="65"/>
        <v>76900</v>
      </c>
      <c r="M1293" s="252">
        <f t="shared" si="65"/>
        <v>81850</v>
      </c>
    </row>
    <row r="1294" spans="1:13" ht="21.95" customHeight="1" x14ac:dyDescent="0.25">
      <c r="A1294" s="36" t="s">
        <v>2904</v>
      </c>
      <c r="B1294" s="36" t="str">
        <f t="shared" si="64"/>
        <v>MO_PIKE COUNTY, MO</v>
      </c>
      <c r="D1294" s="265" t="s">
        <v>80</v>
      </c>
      <c r="E1294" s="266" t="s">
        <v>4106</v>
      </c>
      <c r="F1294" s="252">
        <f t="shared" si="65"/>
        <v>46700</v>
      </c>
      <c r="G1294" s="252">
        <f t="shared" si="65"/>
        <v>53350</v>
      </c>
      <c r="H1294" s="252">
        <f t="shared" si="65"/>
        <v>60000</v>
      </c>
      <c r="I1294" s="252">
        <f t="shared" si="65"/>
        <v>66650</v>
      </c>
      <c r="J1294" s="252">
        <f t="shared" si="65"/>
        <v>72000</v>
      </c>
      <c r="K1294" s="252">
        <f t="shared" si="65"/>
        <v>77350</v>
      </c>
      <c r="L1294" s="252">
        <f t="shared" si="65"/>
        <v>82650</v>
      </c>
      <c r="M1294" s="252">
        <f t="shared" si="65"/>
        <v>88000</v>
      </c>
    </row>
    <row r="1295" spans="1:13" ht="21.95" customHeight="1" x14ac:dyDescent="0.25">
      <c r="A1295" s="36" t="s">
        <v>2904</v>
      </c>
      <c r="B1295" s="36" t="str">
        <f t="shared" si="64"/>
        <v>MO_POLK COUNTY, MO HUD METRO FMR AREA</v>
      </c>
      <c r="D1295" s="265" t="s">
        <v>80</v>
      </c>
      <c r="E1295" s="266" t="s">
        <v>4107</v>
      </c>
      <c r="F1295" s="252">
        <f t="shared" si="65"/>
        <v>43200</v>
      </c>
      <c r="G1295" s="252">
        <f t="shared" si="65"/>
        <v>49400</v>
      </c>
      <c r="H1295" s="252">
        <f t="shared" si="65"/>
        <v>55550</v>
      </c>
      <c r="I1295" s="252">
        <f t="shared" si="65"/>
        <v>61700</v>
      </c>
      <c r="J1295" s="252">
        <f t="shared" si="65"/>
        <v>66650</v>
      </c>
      <c r="K1295" s="252">
        <f t="shared" si="65"/>
        <v>71600</v>
      </c>
      <c r="L1295" s="252">
        <f t="shared" si="65"/>
        <v>76550</v>
      </c>
      <c r="M1295" s="252">
        <f t="shared" si="65"/>
        <v>81450</v>
      </c>
    </row>
    <row r="1296" spans="1:13" ht="21.95" customHeight="1" x14ac:dyDescent="0.25">
      <c r="A1296" s="36" t="s">
        <v>2904</v>
      </c>
      <c r="B1296" s="36" t="str">
        <f t="shared" si="64"/>
        <v>MO_PULASKI COUNTY, MO</v>
      </c>
      <c r="D1296" s="265" t="s">
        <v>80</v>
      </c>
      <c r="E1296" s="266" t="s">
        <v>4108</v>
      </c>
      <c r="F1296" s="252">
        <f t="shared" si="65"/>
        <v>49400</v>
      </c>
      <c r="G1296" s="252">
        <f t="shared" si="65"/>
        <v>56450</v>
      </c>
      <c r="H1296" s="252">
        <f t="shared" si="65"/>
        <v>63500</v>
      </c>
      <c r="I1296" s="252">
        <f t="shared" si="65"/>
        <v>70550</v>
      </c>
      <c r="J1296" s="252">
        <f t="shared" si="65"/>
        <v>76200</v>
      </c>
      <c r="K1296" s="252">
        <f t="shared" si="65"/>
        <v>81850</v>
      </c>
      <c r="L1296" s="252">
        <f t="shared" si="65"/>
        <v>87500</v>
      </c>
      <c r="M1296" s="252">
        <f t="shared" si="65"/>
        <v>93150</v>
      </c>
    </row>
    <row r="1297" spans="1:13" ht="21.95" customHeight="1" x14ac:dyDescent="0.25">
      <c r="A1297" s="36" t="s">
        <v>2904</v>
      </c>
      <c r="B1297" s="36" t="str">
        <f t="shared" si="64"/>
        <v>MO_PUTNAM COUNTY, MO</v>
      </c>
      <c r="D1297" s="265" t="s">
        <v>80</v>
      </c>
      <c r="E1297" s="266" t="s">
        <v>4109</v>
      </c>
      <c r="F1297" s="252">
        <f t="shared" si="65"/>
        <v>44750</v>
      </c>
      <c r="G1297" s="252">
        <f t="shared" si="65"/>
        <v>51150</v>
      </c>
      <c r="H1297" s="252">
        <f t="shared" si="65"/>
        <v>57550</v>
      </c>
      <c r="I1297" s="252">
        <f t="shared" si="65"/>
        <v>63900</v>
      </c>
      <c r="J1297" s="252">
        <f t="shared" si="65"/>
        <v>69050</v>
      </c>
      <c r="K1297" s="252">
        <f t="shared" si="65"/>
        <v>74150</v>
      </c>
      <c r="L1297" s="252">
        <f t="shared" si="65"/>
        <v>79250</v>
      </c>
      <c r="M1297" s="252">
        <f t="shared" si="65"/>
        <v>84350</v>
      </c>
    </row>
    <row r="1298" spans="1:13" ht="21.95" customHeight="1" x14ac:dyDescent="0.25">
      <c r="A1298" s="36" t="s">
        <v>2904</v>
      </c>
      <c r="B1298" s="36" t="str">
        <f t="shared" si="64"/>
        <v>MO_RALLS COUNTY, MO</v>
      </c>
      <c r="D1298" s="265" t="s">
        <v>80</v>
      </c>
      <c r="E1298" s="266" t="s">
        <v>4110</v>
      </c>
      <c r="F1298" s="252">
        <f t="shared" si="65"/>
        <v>49600</v>
      </c>
      <c r="G1298" s="252">
        <f t="shared" si="65"/>
        <v>56650</v>
      </c>
      <c r="H1298" s="252">
        <f t="shared" si="65"/>
        <v>63750</v>
      </c>
      <c r="I1298" s="252">
        <f t="shared" si="65"/>
        <v>70800</v>
      </c>
      <c r="J1298" s="252">
        <f t="shared" si="65"/>
        <v>76500</v>
      </c>
      <c r="K1298" s="252">
        <f t="shared" si="65"/>
        <v>82150</v>
      </c>
      <c r="L1298" s="252">
        <f t="shared" si="65"/>
        <v>87800</v>
      </c>
      <c r="M1298" s="252">
        <f t="shared" si="65"/>
        <v>93500</v>
      </c>
    </row>
    <row r="1299" spans="1:13" ht="21.95" customHeight="1" x14ac:dyDescent="0.25">
      <c r="A1299" s="36" t="s">
        <v>2904</v>
      </c>
      <c r="B1299" s="36" t="str">
        <f t="shared" si="64"/>
        <v>MO_RANDOLPH COUNTY, MO</v>
      </c>
      <c r="D1299" s="265" t="s">
        <v>80</v>
      </c>
      <c r="E1299" s="266" t="s">
        <v>4111</v>
      </c>
      <c r="F1299" s="252">
        <f t="shared" si="65"/>
        <v>43300</v>
      </c>
      <c r="G1299" s="252">
        <f t="shared" si="65"/>
        <v>49500</v>
      </c>
      <c r="H1299" s="252">
        <f t="shared" si="65"/>
        <v>55700</v>
      </c>
      <c r="I1299" s="252">
        <f t="shared" si="65"/>
        <v>61850</v>
      </c>
      <c r="J1299" s="252">
        <f t="shared" si="65"/>
        <v>66800</v>
      </c>
      <c r="K1299" s="252">
        <f t="shared" si="65"/>
        <v>71750</v>
      </c>
      <c r="L1299" s="252">
        <f t="shared" si="65"/>
        <v>76700</v>
      </c>
      <c r="M1299" s="252">
        <f t="shared" si="65"/>
        <v>81650</v>
      </c>
    </row>
    <row r="1300" spans="1:13" ht="21.95" customHeight="1" x14ac:dyDescent="0.25">
      <c r="A1300" s="36" t="s">
        <v>2904</v>
      </c>
      <c r="B1300" s="36" t="str">
        <f t="shared" si="64"/>
        <v>MO_REYNOLDS COUNTY, MO</v>
      </c>
      <c r="D1300" s="265" t="s">
        <v>80</v>
      </c>
      <c r="E1300" s="266" t="s">
        <v>4112</v>
      </c>
      <c r="F1300" s="252">
        <f t="shared" si="65"/>
        <v>43200</v>
      </c>
      <c r="G1300" s="252">
        <f t="shared" si="65"/>
        <v>49400</v>
      </c>
      <c r="H1300" s="252">
        <f t="shared" si="65"/>
        <v>55550</v>
      </c>
      <c r="I1300" s="252">
        <f t="shared" si="65"/>
        <v>61700</v>
      </c>
      <c r="J1300" s="252">
        <f t="shared" si="65"/>
        <v>66650</v>
      </c>
      <c r="K1300" s="252">
        <f t="shared" si="65"/>
        <v>71600</v>
      </c>
      <c r="L1300" s="252">
        <f t="shared" si="65"/>
        <v>76550</v>
      </c>
      <c r="M1300" s="252">
        <f t="shared" si="65"/>
        <v>81450</v>
      </c>
    </row>
    <row r="1301" spans="1:13" ht="21.95" customHeight="1" x14ac:dyDescent="0.25">
      <c r="A1301" s="36" t="s">
        <v>2904</v>
      </c>
      <c r="B1301" s="36" t="str">
        <f t="shared" si="64"/>
        <v>MO_RIPLEY COUNTY, MO</v>
      </c>
      <c r="D1301" s="265" t="s">
        <v>80</v>
      </c>
      <c r="E1301" s="266" t="s">
        <v>4113</v>
      </c>
      <c r="F1301" s="252">
        <f t="shared" si="65"/>
        <v>43200</v>
      </c>
      <c r="G1301" s="252">
        <f t="shared" si="65"/>
        <v>49400</v>
      </c>
      <c r="H1301" s="252">
        <f t="shared" si="65"/>
        <v>55550</v>
      </c>
      <c r="I1301" s="252">
        <f t="shared" si="65"/>
        <v>61700</v>
      </c>
      <c r="J1301" s="252">
        <f t="shared" si="65"/>
        <v>66650</v>
      </c>
      <c r="K1301" s="252">
        <f t="shared" si="65"/>
        <v>71600</v>
      </c>
      <c r="L1301" s="252">
        <f t="shared" si="65"/>
        <v>76550</v>
      </c>
      <c r="M1301" s="252">
        <f t="shared" si="65"/>
        <v>81450</v>
      </c>
    </row>
    <row r="1302" spans="1:13" ht="21.95" customHeight="1" x14ac:dyDescent="0.25">
      <c r="A1302" s="36" t="s">
        <v>2904</v>
      </c>
      <c r="B1302" s="36" t="str">
        <f t="shared" si="64"/>
        <v>MO_SALINE COUNTY, MO</v>
      </c>
      <c r="D1302" s="265" t="s">
        <v>80</v>
      </c>
      <c r="E1302" s="266" t="s">
        <v>4114</v>
      </c>
      <c r="F1302" s="252">
        <f t="shared" si="65"/>
        <v>45300</v>
      </c>
      <c r="G1302" s="252">
        <f t="shared" si="65"/>
        <v>51800</v>
      </c>
      <c r="H1302" s="252">
        <f t="shared" si="65"/>
        <v>58250</v>
      </c>
      <c r="I1302" s="252">
        <f t="shared" si="65"/>
        <v>64700</v>
      </c>
      <c r="J1302" s="252">
        <f t="shared" si="65"/>
        <v>69900</v>
      </c>
      <c r="K1302" s="252">
        <f t="shared" si="65"/>
        <v>75100</v>
      </c>
      <c r="L1302" s="252">
        <f t="shared" si="65"/>
        <v>80250</v>
      </c>
      <c r="M1302" s="252">
        <f t="shared" si="65"/>
        <v>85450</v>
      </c>
    </row>
    <row r="1303" spans="1:13" ht="21.95" customHeight="1" x14ac:dyDescent="0.25">
      <c r="A1303" s="36" t="s">
        <v>2904</v>
      </c>
      <c r="B1303" s="36" t="str">
        <f t="shared" si="64"/>
        <v>MO_SCHUYLER COUNTY, MO</v>
      </c>
      <c r="D1303" s="265" t="s">
        <v>80</v>
      </c>
      <c r="E1303" s="266" t="s">
        <v>4115</v>
      </c>
      <c r="F1303" s="252">
        <f t="shared" si="65"/>
        <v>43200</v>
      </c>
      <c r="G1303" s="252">
        <f t="shared" si="65"/>
        <v>49400</v>
      </c>
      <c r="H1303" s="252">
        <f t="shared" si="65"/>
        <v>55550</v>
      </c>
      <c r="I1303" s="252">
        <f t="shared" si="65"/>
        <v>61700</v>
      </c>
      <c r="J1303" s="252">
        <f t="shared" si="65"/>
        <v>66650</v>
      </c>
      <c r="K1303" s="252">
        <f t="shared" si="65"/>
        <v>71600</v>
      </c>
      <c r="L1303" s="252">
        <f t="shared" si="65"/>
        <v>76550</v>
      </c>
      <c r="M1303" s="252">
        <f t="shared" si="65"/>
        <v>81450</v>
      </c>
    </row>
    <row r="1304" spans="1:13" ht="21.95" customHeight="1" x14ac:dyDescent="0.25">
      <c r="A1304" s="36" t="s">
        <v>2904</v>
      </c>
      <c r="B1304" s="36" t="str">
        <f t="shared" si="64"/>
        <v>MO_SCOTLAND COUNTY, MO</v>
      </c>
      <c r="D1304" s="265" t="s">
        <v>80</v>
      </c>
      <c r="E1304" s="266" t="s">
        <v>4116</v>
      </c>
      <c r="F1304" s="252">
        <f t="shared" si="65"/>
        <v>44050</v>
      </c>
      <c r="G1304" s="252">
        <f t="shared" si="65"/>
        <v>50350</v>
      </c>
      <c r="H1304" s="252">
        <f t="shared" si="65"/>
        <v>56650</v>
      </c>
      <c r="I1304" s="252">
        <f t="shared" si="65"/>
        <v>62900</v>
      </c>
      <c r="J1304" s="252">
        <f t="shared" si="65"/>
        <v>67950</v>
      </c>
      <c r="K1304" s="252">
        <f t="shared" si="65"/>
        <v>73000</v>
      </c>
      <c r="L1304" s="252">
        <f t="shared" si="65"/>
        <v>78000</v>
      </c>
      <c r="M1304" s="252">
        <f t="shared" si="65"/>
        <v>83050</v>
      </c>
    </row>
    <row r="1305" spans="1:13" ht="21.95" customHeight="1" x14ac:dyDescent="0.25">
      <c r="A1305" s="36" t="s">
        <v>2904</v>
      </c>
      <c r="B1305" s="36" t="str">
        <f t="shared" si="64"/>
        <v>MO_SCOTT COUNTY, MO</v>
      </c>
      <c r="D1305" s="265" t="s">
        <v>80</v>
      </c>
      <c r="E1305" s="266" t="s">
        <v>4117</v>
      </c>
      <c r="F1305" s="252">
        <f t="shared" si="65"/>
        <v>43200</v>
      </c>
      <c r="G1305" s="252">
        <f t="shared" si="65"/>
        <v>49400</v>
      </c>
      <c r="H1305" s="252">
        <f t="shared" si="65"/>
        <v>55550</v>
      </c>
      <c r="I1305" s="252">
        <f t="shared" si="65"/>
        <v>61700</v>
      </c>
      <c r="J1305" s="252">
        <f t="shared" si="65"/>
        <v>66650</v>
      </c>
      <c r="K1305" s="252">
        <f t="shared" si="65"/>
        <v>71600</v>
      </c>
      <c r="L1305" s="252">
        <f t="shared" si="65"/>
        <v>76550</v>
      </c>
      <c r="M1305" s="252">
        <f t="shared" si="65"/>
        <v>81450</v>
      </c>
    </row>
    <row r="1306" spans="1:13" ht="21.95" customHeight="1" x14ac:dyDescent="0.25">
      <c r="A1306" s="36" t="s">
        <v>2904</v>
      </c>
      <c r="B1306" s="36" t="str">
        <f t="shared" si="64"/>
        <v>MO_SHANNON COUNTY, MO</v>
      </c>
      <c r="D1306" s="265" t="s">
        <v>80</v>
      </c>
      <c r="E1306" s="266" t="s">
        <v>4118</v>
      </c>
      <c r="F1306" s="252">
        <f t="shared" si="65"/>
        <v>43200</v>
      </c>
      <c r="G1306" s="252">
        <f t="shared" si="65"/>
        <v>49400</v>
      </c>
      <c r="H1306" s="252">
        <f t="shared" si="65"/>
        <v>55550</v>
      </c>
      <c r="I1306" s="252">
        <f t="shared" si="65"/>
        <v>61700</v>
      </c>
      <c r="J1306" s="252">
        <f t="shared" si="65"/>
        <v>66650</v>
      </c>
      <c r="K1306" s="252">
        <f t="shared" si="65"/>
        <v>71600</v>
      </c>
      <c r="L1306" s="252">
        <f t="shared" si="65"/>
        <v>76550</v>
      </c>
      <c r="M1306" s="252">
        <f t="shared" si="65"/>
        <v>81450</v>
      </c>
    </row>
    <row r="1307" spans="1:13" ht="21.95" customHeight="1" x14ac:dyDescent="0.25">
      <c r="A1307" s="36" t="s">
        <v>2904</v>
      </c>
      <c r="B1307" s="36" t="str">
        <f t="shared" si="64"/>
        <v>MO_SHELBY COUNTY, MO</v>
      </c>
      <c r="D1307" s="265" t="s">
        <v>80</v>
      </c>
      <c r="E1307" s="266" t="s">
        <v>4119</v>
      </c>
      <c r="F1307" s="252">
        <f t="shared" si="65"/>
        <v>43200</v>
      </c>
      <c r="G1307" s="252">
        <f t="shared" si="65"/>
        <v>49400</v>
      </c>
      <c r="H1307" s="252">
        <f t="shared" si="65"/>
        <v>55550</v>
      </c>
      <c r="I1307" s="252">
        <f t="shared" si="65"/>
        <v>61700</v>
      </c>
      <c r="J1307" s="252">
        <f t="shared" si="65"/>
        <v>66650</v>
      </c>
      <c r="K1307" s="252">
        <f t="shared" si="65"/>
        <v>71600</v>
      </c>
      <c r="L1307" s="252">
        <f t="shared" si="65"/>
        <v>76550</v>
      </c>
      <c r="M1307" s="252">
        <f t="shared" si="65"/>
        <v>81450</v>
      </c>
    </row>
    <row r="1308" spans="1:13" ht="21.95" customHeight="1" x14ac:dyDescent="0.25">
      <c r="A1308" s="36" t="s">
        <v>2904</v>
      </c>
      <c r="B1308" s="36" t="str">
        <f t="shared" si="64"/>
        <v>MO_SPRINGFIELD, MO HUD METRO FMR AREA</v>
      </c>
      <c r="D1308" s="265" t="s">
        <v>80</v>
      </c>
      <c r="E1308" s="266" t="s">
        <v>4120</v>
      </c>
      <c r="F1308" s="252">
        <f t="shared" si="65"/>
        <v>49850</v>
      </c>
      <c r="G1308" s="252">
        <f t="shared" si="65"/>
        <v>57000</v>
      </c>
      <c r="H1308" s="252">
        <f t="shared" si="65"/>
        <v>64100</v>
      </c>
      <c r="I1308" s="252">
        <f t="shared" si="65"/>
        <v>71200</v>
      </c>
      <c r="J1308" s="252">
        <f t="shared" si="65"/>
        <v>76900</v>
      </c>
      <c r="K1308" s="252">
        <f t="shared" si="65"/>
        <v>82600</v>
      </c>
      <c r="L1308" s="252">
        <f t="shared" si="65"/>
        <v>88300</v>
      </c>
      <c r="M1308" s="252">
        <f t="shared" si="65"/>
        <v>94000</v>
      </c>
    </row>
    <row r="1309" spans="1:13" ht="21.95" customHeight="1" x14ac:dyDescent="0.25">
      <c r="A1309" s="36" t="s">
        <v>2904</v>
      </c>
      <c r="B1309" s="36" t="str">
        <f t="shared" si="64"/>
        <v>MO_ST. CLAIR COUNTY, MO</v>
      </c>
      <c r="D1309" s="265" t="s">
        <v>80</v>
      </c>
      <c r="E1309" s="266" t="s">
        <v>4121</v>
      </c>
      <c r="F1309" s="252">
        <f t="shared" si="65"/>
        <v>43200</v>
      </c>
      <c r="G1309" s="252">
        <f t="shared" si="65"/>
        <v>49400</v>
      </c>
      <c r="H1309" s="252">
        <f t="shared" si="65"/>
        <v>55550</v>
      </c>
      <c r="I1309" s="252">
        <f t="shared" si="65"/>
        <v>61700</v>
      </c>
      <c r="J1309" s="252">
        <f t="shared" si="65"/>
        <v>66650</v>
      </c>
      <c r="K1309" s="252">
        <f t="shared" si="65"/>
        <v>71600</v>
      </c>
      <c r="L1309" s="252">
        <f t="shared" si="65"/>
        <v>76550</v>
      </c>
      <c r="M1309" s="252">
        <f t="shared" si="65"/>
        <v>81450</v>
      </c>
    </row>
    <row r="1310" spans="1:13" ht="21.95" customHeight="1" x14ac:dyDescent="0.25">
      <c r="A1310" s="36" t="s">
        <v>2904</v>
      </c>
      <c r="B1310" s="36" t="str">
        <f t="shared" si="64"/>
        <v>MO_STE. GENEVIEVE COUNTY, MO</v>
      </c>
      <c r="D1310" s="265" t="s">
        <v>80</v>
      </c>
      <c r="E1310" s="266" t="s">
        <v>4123</v>
      </c>
      <c r="F1310" s="252">
        <f t="shared" si="65"/>
        <v>52000</v>
      </c>
      <c r="G1310" s="252">
        <f t="shared" si="65"/>
        <v>59400</v>
      </c>
      <c r="H1310" s="252">
        <f t="shared" si="65"/>
        <v>66850</v>
      </c>
      <c r="I1310" s="252">
        <f t="shared" si="65"/>
        <v>74250</v>
      </c>
      <c r="J1310" s="252">
        <f t="shared" si="65"/>
        <v>80200</v>
      </c>
      <c r="K1310" s="252">
        <f t="shared" si="65"/>
        <v>86150</v>
      </c>
      <c r="L1310" s="252">
        <f t="shared" si="65"/>
        <v>92100</v>
      </c>
      <c r="M1310" s="252">
        <f t="shared" si="65"/>
        <v>98050</v>
      </c>
    </row>
    <row r="1311" spans="1:13" ht="21.95" customHeight="1" x14ac:dyDescent="0.25">
      <c r="A1311" s="36" t="s">
        <v>2904</v>
      </c>
      <c r="B1311" s="36" t="str">
        <f t="shared" si="64"/>
        <v>MO_ST. FRANCOIS COUNTY, MO</v>
      </c>
      <c r="D1311" s="265" t="s">
        <v>80</v>
      </c>
      <c r="E1311" s="266" t="s">
        <v>4122</v>
      </c>
      <c r="F1311" s="252">
        <f t="shared" si="65"/>
        <v>43200</v>
      </c>
      <c r="G1311" s="252">
        <f t="shared" si="65"/>
        <v>49400</v>
      </c>
      <c r="H1311" s="252">
        <f t="shared" si="65"/>
        <v>55550</v>
      </c>
      <c r="I1311" s="252">
        <f t="shared" si="65"/>
        <v>61700</v>
      </c>
      <c r="J1311" s="252">
        <f t="shared" si="65"/>
        <v>66650</v>
      </c>
      <c r="K1311" s="252">
        <f t="shared" si="65"/>
        <v>71600</v>
      </c>
      <c r="L1311" s="252">
        <f t="shared" si="65"/>
        <v>76550</v>
      </c>
      <c r="M1311" s="252">
        <f t="shared" si="65"/>
        <v>81450</v>
      </c>
    </row>
    <row r="1312" spans="1:13" ht="21.95" customHeight="1" x14ac:dyDescent="0.25">
      <c r="A1312" s="36" t="s">
        <v>2904</v>
      </c>
      <c r="B1312" s="36" t="str">
        <f t="shared" si="64"/>
        <v>MO_ST. JOSEPH, MO-KS MSA</v>
      </c>
      <c r="D1312" s="265" t="s">
        <v>80</v>
      </c>
      <c r="E1312" s="266" t="s">
        <v>3719</v>
      </c>
      <c r="F1312" s="252">
        <f t="shared" si="65"/>
        <v>46700</v>
      </c>
      <c r="G1312" s="252">
        <f t="shared" si="65"/>
        <v>53400</v>
      </c>
      <c r="H1312" s="252">
        <f t="shared" si="65"/>
        <v>60050</v>
      </c>
      <c r="I1312" s="252">
        <f t="shared" si="65"/>
        <v>66700</v>
      </c>
      <c r="J1312" s="252">
        <f t="shared" si="65"/>
        <v>72050</v>
      </c>
      <c r="K1312" s="252">
        <f t="shared" si="65"/>
        <v>77400</v>
      </c>
      <c r="L1312" s="252">
        <f t="shared" si="65"/>
        <v>82750</v>
      </c>
      <c r="M1312" s="252">
        <f t="shared" si="65"/>
        <v>88050</v>
      </c>
    </row>
    <row r="1313" spans="1:13" ht="21.95" customHeight="1" x14ac:dyDescent="0.25">
      <c r="A1313" s="36" t="s">
        <v>2904</v>
      </c>
      <c r="B1313" s="36" t="str">
        <f t="shared" si="64"/>
        <v>MO_ST. LOUIS, MO-IL HUD METRO FMR AREA</v>
      </c>
      <c r="D1313" s="265" t="s">
        <v>80</v>
      </c>
      <c r="E1313" s="266" t="s">
        <v>3565</v>
      </c>
      <c r="F1313" s="252">
        <f t="shared" si="65"/>
        <v>62400</v>
      </c>
      <c r="G1313" s="252">
        <f t="shared" si="65"/>
        <v>71300</v>
      </c>
      <c r="H1313" s="252">
        <f t="shared" si="65"/>
        <v>80200</v>
      </c>
      <c r="I1313" s="252">
        <f t="shared" si="65"/>
        <v>89100</v>
      </c>
      <c r="J1313" s="252">
        <f t="shared" si="65"/>
        <v>96250</v>
      </c>
      <c r="K1313" s="252">
        <f t="shared" si="65"/>
        <v>103400</v>
      </c>
      <c r="L1313" s="252">
        <f t="shared" si="65"/>
        <v>110500</v>
      </c>
      <c r="M1313" s="252">
        <f t="shared" si="65"/>
        <v>117650</v>
      </c>
    </row>
    <row r="1314" spans="1:13" ht="21.95" customHeight="1" x14ac:dyDescent="0.25">
      <c r="A1314" s="36" t="s">
        <v>2904</v>
      </c>
      <c r="B1314" s="36" t="str">
        <f t="shared" si="64"/>
        <v>MO_STODDARD COUNTY, MO</v>
      </c>
      <c r="D1314" s="265" t="s">
        <v>80</v>
      </c>
      <c r="E1314" s="266" t="s">
        <v>4124</v>
      </c>
      <c r="F1314" s="252">
        <f t="shared" si="65"/>
        <v>43200</v>
      </c>
      <c r="G1314" s="252">
        <f t="shared" si="65"/>
        <v>49400</v>
      </c>
      <c r="H1314" s="252">
        <f t="shared" si="65"/>
        <v>55550</v>
      </c>
      <c r="I1314" s="252">
        <f t="shared" si="65"/>
        <v>61700</v>
      </c>
      <c r="J1314" s="252">
        <f t="shared" si="65"/>
        <v>66650</v>
      </c>
      <c r="K1314" s="252">
        <f t="shared" si="65"/>
        <v>71600</v>
      </c>
      <c r="L1314" s="252">
        <f t="shared" si="65"/>
        <v>76550</v>
      </c>
      <c r="M1314" s="252">
        <f t="shared" si="65"/>
        <v>81450</v>
      </c>
    </row>
    <row r="1315" spans="1:13" ht="21.95" customHeight="1" x14ac:dyDescent="0.25">
      <c r="A1315" s="36" t="s">
        <v>2904</v>
      </c>
      <c r="B1315" s="36" t="str">
        <f t="shared" si="64"/>
        <v>MO_STONE COUNTY, MO</v>
      </c>
      <c r="D1315" s="265" t="s">
        <v>80</v>
      </c>
      <c r="E1315" s="266" t="s">
        <v>4125</v>
      </c>
      <c r="F1315" s="252">
        <f t="shared" si="65"/>
        <v>43350</v>
      </c>
      <c r="G1315" s="252">
        <f t="shared" si="65"/>
        <v>49550</v>
      </c>
      <c r="H1315" s="252">
        <f t="shared" si="65"/>
        <v>55750</v>
      </c>
      <c r="I1315" s="252">
        <f t="shared" si="65"/>
        <v>61900</v>
      </c>
      <c r="J1315" s="252">
        <f t="shared" si="65"/>
        <v>66900</v>
      </c>
      <c r="K1315" s="252">
        <f t="shared" si="65"/>
        <v>71850</v>
      </c>
      <c r="L1315" s="252">
        <f t="shared" si="65"/>
        <v>76800</v>
      </c>
      <c r="M1315" s="252">
        <f t="shared" si="65"/>
        <v>81750</v>
      </c>
    </row>
    <row r="1316" spans="1:13" ht="21.95" customHeight="1" x14ac:dyDescent="0.25">
      <c r="A1316" s="36" t="s">
        <v>2904</v>
      </c>
      <c r="B1316" s="36" t="str">
        <f t="shared" si="64"/>
        <v>MO_SULLIVAN COUNTY, MO</v>
      </c>
      <c r="D1316" s="265" t="s">
        <v>80</v>
      </c>
      <c r="E1316" s="266" t="s">
        <v>4126</v>
      </c>
      <c r="F1316" s="252">
        <f t="shared" si="65"/>
        <v>43200</v>
      </c>
      <c r="G1316" s="252">
        <f t="shared" si="65"/>
        <v>49400</v>
      </c>
      <c r="H1316" s="252">
        <f t="shared" si="65"/>
        <v>55550</v>
      </c>
      <c r="I1316" s="252">
        <f t="shared" si="65"/>
        <v>61700</v>
      </c>
      <c r="J1316" s="252">
        <f t="shared" si="65"/>
        <v>66650</v>
      </c>
      <c r="K1316" s="252">
        <f t="shared" si="65"/>
        <v>71600</v>
      </c>
      <c r="L1316" s="252">
        <f t="shared" si="65"/>
        <v>76550</v>
      </c>
      <c r="M1316" s="252">
        <f t="shared" si="65"/>
        <v>81450</v>
      </c>
    </row>
    <row r="1317" spans="1:13" ht="21.95" customHeight="1" x14ac:dyDescent="0.25">
      <c r="A1317" s="36" t="s">
        <v>2904</v>
      </c>
      <c r="B1317" s="36" t="str">
        <f t="shared" si="64"/>
        <v>MO_TANEY COUNTY, MO</v>
      </c>
      <c r="D1317" s="265" t="s">
        <v>80</v>
      </c>
      <c r="E1317" s="266" t="s">
        <v>4127</v>
      </c>
      <c r="F1317" s="252">
        <f t="shared" si="65"/>
        <v>43200</v>
      </c>
      <c r="G1317" s="252">
        <f t="shared" ref="F1317:M1348" si="66">VLOOKUP($B1317,LOOKUP_AMI_TABLE,5+((G$7-1)),FALSE)</f>
        <v>49400</v>
      </c>
      <c r="H1317" s="252">
        <f t="shared" si="66"/>
        <v>55550</v>
      </c>
      <c r="I1317" s="252">
        <f t="shared" si="66"/>
        <v>61700</v>
      </c>
      <c r="J1317" s="252">
        <f t="shared" si="66"/>
        <v>66650</v>
      </c>
      <c r="K1317" s="252">
        <f t="shared" si="66"/>
        <v>71600</v>
      </c>
      <c r="L1317" s="252">
        <f t="shared" si="66"/>
        <v>76550</v>
      </c>
      <c r="M1317" s="252">
        <f t="shared" si="66"/>
        <v>81450</v>
      </c>
    </row>
    <row r="1318" spans="1:13" ht="21.95" customHeight="1" x14ac:dyDescent="0.25">
      <c r="A1318" s="36" t="s">
        <v>2904</v>
      </c>
      <c r="B1318" s="36" t="str">
        <f t="shared" si="64"/>
        <v>MO_TEXAS COUNTY, MO</v>
      </c>
      <c r="D1318" s="265" t="s">
        <v>80</v>
      </c>
      <c r="E1318" s="266" t="s">
        <v>4128</v>
      </c>
      <c r="F1318" s="252">
        <f t="shared" si="66"/>
        <v>43200</v>
      </c>
      <c r="G1318" s="252">
        <f t="shared" si="66"/>
        <v>49400</v>
      </c>
      <c r="H1318" s="252">
        <f t="shared" si="66"/>
        <v>55550</v>
      </c>
      <c r="I1318" s="252">
        <f t="shared" si="66"/>
        <v>61700</v>
      </c>
      <c r="J1318" s="252">
        <f t="shared" si="66"/>
        <v>66650</v>
      </c>
      <c r="K1318" s="252">
        <f t="shared" si="66"/>
        <v>71600</v>
      </c>
      <c r="L1318" s="252">
        <f t="shared" si="66"/>
        <v>76550</v>
      </c>
      <c r="M1318" s="252">
        <f t="shared" si="66"/>
        <v>81450</v>
      </c>
    </row>
    <row r="1319" spans="1:13" ht="21.95" customHeight="1" x14ac:dyDescent="0.25">
      <c r="A1319" s="36" t="s">
        <v>2904</v>
      </c>
      <c r="B1319" s="36" t="str">
        <f t="shared" si="64"/>
        <v>MO_VERNON COUNTY, MO</v>
      </c>
      <c r="D1319" s="265" t="s">
        <v>80</v>
      </c>
      <c r="E1319" s="266" t="s">
        <v>4129</v>
      </c>
      <c r="F1319" s="252">
        <f t="shared" si="66"/>
        <v>43200</v>
      </c>
      <c r="G1319" s="252">
        <f t="shared" si="66"/>
        <v>49400</v>
      </c>
      <c r="H1319" s="252">
        <f t="shared" si="66"/>
        <v>55550</v>
      </c>
      <c r="I1319" s="252">
        <f t="shared" si="66"/>
        <v>61700</v>
      </c>
      <c r="J1319" s="252">
        <f t="shared" si="66"/>
        <v>66650</v>
      </c>
      <c r="K1319" s="252">
        <f t="shared" si="66"/>
        <v>71600</v>
      </c>
      <c r="L1319" s="252">
        <f t="shared" si="66"/>
        <v>76550</v>
      </c>
      <c r="M1319" s="252">
        <f t="shared" si="66"/>
        <v>81450</v>
      </c>
    </row>
    <row r="1320" spans="1:13" ht="21.95" customHeight="1" x14ac:dyDescent="0.25">
      <c r="A1320" s="36" t="s">
        <v>2904</v>
      </c>
      <c r="B1320" s="36" t="str">
        <f t="shared" si="64"/>
        <v>MO_WASHINGTON COUNTY, MO</v>
      </c>
      <c r="D1320" s="265" t="s">
        <v>80</v>
      </c>
      <c r="E1320" s="266" t="s">
        <v>4130</v>
      </c>
      <c r="F1320" s="252">
        <f t="shared" si="66"/>
        <v>43200</v>
      </c>
      <c r="G1320" s="252">
        <f t="shared" si="66"/>
        <v>49400</v>
      </c>
      <c r="H1320" s="252">
        <f t="shared" si="66"/>
        <v>55550</v>
      </c>
      <c r="I1320" s="252">
        <f t="shared" si="66"/>
        <v>61700</v>
      </c>
      <c r="J1320" s="252">
        <f t="shared" si="66"/>
        <v>66650</v>
      </c>
      <c r="K1320" s="252">
        <f t="shared" si="66"/>
        <v>71600</v>
      </c>
      <c r="L1320" s="252">
        <f t="shared" si="66"/>
        <v>76550</v>
      </c>
      <c r="M1320" s="252">
        <f t="shared" si="66"/>
        <v>81450</v>
      </c>
    </row>
    <row r="1321" spans="1:13" ht="21.95" customHeight="1" x14ac:dyDescent="0.25">
      <c r="A1321" s="36" t="s">
        <v>2904</v>
      </c>
      <c r="B1321" s="36" t="str">
        <f t="shared" si="64"/>
        <v>MO_WAYNE COUNTY, MO</v>
      </c>
      <c r="D1321" s="265" t="s">
        <v>80</v>
      </c>
      <c r="E1321" s="266" t="s">
        <v>4131</v>
      </c>
      <c r="F1321" s="252">
        <f t="shared" si="66"/>
        <v>43200</v>
      </c>
      <c r="G1321" s="252">
        <f t="shared" si="66"/>
        <v>49400</v>
      </c>
      <c r="H1321" s="252">
        <f t="shared" si="66"/>
        <v>55550</v>
      </c>
      <c r="I1321" s="252">
        <f t="shared" si="66"/>
        <v>61700</v>
      </c>
      <c r="J1321" s="252">
        <f t="shared" si="66"/>
        <v>66650</v>
      </c>
      <c r="K1321" s="252">
        <f t="shared" si="66"/>
        <v>71600</v>
      </c>
      <c r="L1321" s="252">
        <f t="shared" si="66"/>
        <v>76550</v>
      </c>
      <c r="M1321" s="252">
        <f t="shared" si="66"/>
        <v>81450</v>
      </c>
    </row>
    <row r="1322" spans="1:13" ht="21.95" customHeight="1" x14ac:dyDescent="0.25">
      <c r="A1322" s="36" t="s">
        <v>2904</v>
      </c>
      <c r="B1322" s="36" t="str">
        <f t="shared" si="64"/>
        <v>MO_WORTH COUNTY, MO</v>
      </c>
      <c r="D1322" s="265" t="s">
        <v>80</v>
      </c>
      <c r="E1322" s="266" t="s">
        <v>4132</v>
      </c>
      <c r="F1322" s="252">
        <f t="shared" si="66"/>
        <v>43200</v>
      </c>
      <c r="G1322" s="252">
        <f t="shared" si="66"/>
        <v>49400</v>
      </c>
      <c r="H1322" s="252">
        <f t="shared" si="66"/>
        <v>55550</v>
      </c>
      <c r="I1322" s="252">
        <f t="shared" si="66"/>
        <v>61700</v>
      </c>
      <c r="J1322" s="252">
        <f t="shared" si="66"/>
        <v>66650</v>
      </c>
      <c r="K1322" s="252">
        <f t="shared" si="66"/>
        <v>71600</v>
      </c>
      <c r="L1322" s="252">
        <f t="shared" si="66"/>
        <v>76550</v>
      </c>
      <c r="M1322" s="252">
        <f t="shared" si="66"/>
        <v>81450</v>
      </c>
    </row>
    <row r="1323" spans="1:13" ht="21.95" customHeight="1" x14ac:dyDescent="0.25">
      <c r="A1323" s="36" t="s">
        <v>2904</v>
      </c>
      <c r="B1323" s="36" t="str">
        <f t="shared" si="64"/>
        <v>MO_WRIGHT COUNTY, MO</v>
      </c>
      <c r="D1323" s="265" t="s">
        <v>80</v>
      </c>
      <c r="E1323" s="266" t="s">
        <v>4133</v>
      </c>
      <c r="F1323" s="252">
        <f t="shared" si="66"/>
        <v>43200</v>
      </c>
      <c r="G1323" s="252">
        <f t="shared" si="66"/>
        <v>49400</v>
      </c>
      <c r="H1323" s="252">
        <f t="shared" si="66"/>
        <v>55550</v>
      </c>
      <c r="I1323" s="252">
        <f t="shared" si="66"/>
        <v>61700</v>
      </c>
      <c r="J1323" s="252">
        <f t="shared" si="66"/>
        <v>66650</v>
      </c>
      <c r="K1323" s="252">
        <f t="shared" si="66"/>
        <v>71600</v>
      </c>
      <c r="L1323" s="252">
        <f t="shared" si="66"/>
        <v>76550</v>
      </c>
      <c r="M1323" s="252">
        <f t="shared" si="66"/>
        <v>81450</v>
      </c>
    </row>
    <row r="1324" spans="1:13" ht="21.95" customHeight="1" x14ac:dyDescent="0.25">
      <c r="A1324" s="36" t="s">
        <v>2904</v>
      </c>
      <c r="B1324" s="36" t="str">
        <f t="shared" si="64"/>
        <v>MP_NORTHERN MARIANA ISLANDS</v>
      </c>
      <c r="D1324" s="265" t="s">
        <v>2948</v>
      </c>
      <c r="E1324" s="266" t="s">
        <v>4134</v>
      </c>
      <c r="F1324" s="252">
        <f t="shared" si="66"/>
        <v>32550</v>
      </c>
      <c r="G1324" s="252">
        <f t="shared" si="66"/>
        <v>37200</v>
      </c>
      <c r="H1324" s="252">
        <f t="shared" si="66"/>
        <v>41850</v>
      </c>
      <c r="I1324" s="252">
        <f t="shared" si="66"/>
        <v>46500</v>
      </c>
      <c r="J1324" s="252">
        <f t="shared" si="66"/>
        <v>50250</v>
      </c>
      <c r="K1324" s="252">
        <f t="shared" si="66"/>
        <v>53950</v>
      </c>
      <c r="L1324" s="252">
        <f t="shared" si="66"/>
        <v>57700</v>
      </c>
      <c r="M1324" s="252">
        <f t="shared" si="66"/>
        <v>61400</v>
      </c>
    </row>
    <row r="1325" spans="1:13" ht="21.95" customHeight="1" x14ac:dyDescent="0.25">
      <c r="A1325" s="36" t="s">
        <v>2904</v>
      </c>
      <c r="B1325" s="36" t="str">
        <f t="shared" si="64"/>
        <v>MS_ADAMS COUNTY, MS</v>
      </c>
      <c r="D1325" s="265" t="s">
        <v>81</v>
      </c>
      <c r="E1325" s="266" t="s">
        <v>4135</v>
      </c>
      <c r="F1325" s="252">
        <f t="shared" si="66"/>
        <v>38750</v>
      </c>
      <c r="G1325" s="252">
        <f t="shared" si="66"/>
        <v>44250</v>
      </c>
      <c r="H1325" s="252">
        <f t="shared" si="66"/>
        <v>49800</v>
      </c>
      <c r="I1325" s="252">
        <f t="shared" si="66"/>
        <v>55300</v>
      </c>
      <c r="J1325" s="252">
        <f t="shared" si="66"/>
        <v>59750</v>
      </c>
      <c r="K1325" s="252">
        <f t="shared" si="66"/>
        <v>64150</v>
      </c>
      <c r="L1325" s="252">
        <f t="shared" si="66"/>
        <v>68600</v>
      </c>
      <c r="M1325" s="252">
        <f t="shared" si="66"/>
        <v>73000</v>
      </c>
    </row>
    <row r="1326" spans="1:13" ht="21.95" customHeight="1" x14ac:dyDescent="0.25">
      <c r="A1326" s="36" t="s">
        <v>2904</v>
      </c>
      <c r="B1326" s="36" t="str">
        <f t="shared" si="64"/>
        <v>MS_ALCORN COUNTY, MS</v>
      </c>
      <c r="D1326" s="265" t="s">
        <v>81</v>
      </c>
      <c r="E1326" s="266" t="s">
        <v>4136</v>
      </c>
      <c r="F1326" s="252">
        <f t="shared" si="66"/>
        <v>39250</v>
      </c>
      <c r="G1326" s="252">
        <f t="shared" si="66"/>
        <v>44850</v>
      </c>
      <c r="H1326" s="252">
        <f t="shared" si="66"/>
        <v>50450</v>
      </c>
      <c r="I1326" s="252">
        <f t="shared" si="66"/>
        <v>56050</v>
      </c>
      <c r="J1326" s="252">
        <f t="shared" si="66"/>
        <v>60550</v>
      </c>
      <c r="K1326" s="252">
        <f t="shared" si="66"/>
        <v>65050</v>
      </c>
      <c r="L1326" s="252">
        <f t="shared" si="66"/>
        <v>69550</v>
      </c>
      <c r="M1326" s="252">
        <f t="shared" si="66"/>
        <v>74000</v>
      </c>
    </row>
    <row r="1327" spans="1:13" ht="21.95" customHeight="1" x14ac:dyDescent="0.25">
      <c r="A1327" s="36" t="s">
        <v>2904</v>
      </c>
      <c r="B1327" s="36" t="str">
        <f t="shared" si="64"/>
        <v>MS_AMITE COUNTY, MS</v>
      </c>
      <c r="D1327" s="265" t="s">
        <v>81</v>
      </c>
      <c r="E1327" s="266" t="s">
        <v>4137</v>
      </c>
      <c r="F1327" s="252">
        <f t="shared" si="66"/>
        <v>38750</v>
      </c>
      <c r="G1327" s="252">
        <f t="shared" si="66"/>
        <v>44250</v>
      </c>
      <c r="H1327" s="252">
        <f t="shared" si="66"/>
        <v>49800</v>
      </c>
      <c r="I1327" s="252">
        <f t="shared" si="66"/>
        <v>55300</v>
      </c>
      <c r="J1327" s="252">
        <f t="shared" si="66"/>
        <v>59750</v>
      </c>
      <c r="K1327" s="252">
        <f t="shared" si="66"/>
        <v>64150</v>
      </c>
      <c r="L1327" s="252">
        <f t="shared" si="66"/>
        <v>68600</v>
      </c>
      <c r="M1327" s="252">
        <f t="shared" si="66"/>
        <v>73000</v>
      </c>
    </row>
    <row r="1328" spans="1:13" ht="21.95" customHeight="1" x14ac:dyDescent="0.25">
      <c r="A1328" s="36" t="s">
        <v>2904</v>
      </c>
      <c r="B1328" s="36" t="str">
        <f t="shared" si="64"/>
        <v>MS_ATTALA COUNTY, MS</v>
      </c>
      <c r="D1328" s="265" t="s">
        <v>81</v>
      </c>
      <c r="E1328" s="266" t="s">
        <v>4138</v>
      </c>
      <c r="F1328" s="252">
        <f t="shared" si="66"/>
        <v>38750</v>
      </c>
      <c r="G1328" s="252">
        <f t="shared" si="66"/>
        <v>44250</v>
      </c>
      <c r="H1328" s="252">
        <f t="shared" si="66"/>
        <v>49800</v>
      </c>
      <c r="I1328" s="252">
        <f t="shared" si="66"/>
        <v>55300</v>
      </c>
      <c r="J1328" s="252">
        <f t="shared" si="66"/>
        <v>59750</v>
      </c>
      <c r="K1328" s="252">
        <f t="shared" si="66"/>
        <v>64150</v>
      </c>
      <c r="L1328" s="252">
        <f t="shared" si="66"/>
        <v>68600</v>
      </c>
      <c r="M1328" s="252">
        <f t="shared" si="66"/>
        <v>73000</v>
      </c>
    </row>
    <row r="1329" spans="1:13" ht="21.95" customHeight="1" x14ac:dyDescent="0.25">
      <c r="A1329" s="36" t="s">
        <v>2904</v>
      </c>
      <c r="B1329" s="36" t="str">
        <f t="shared" si="64"/>
        <v>MS_BENTON COUNTY, MS HUD METRO FMR AREA</v>
      </c>
      <c r="D1329" s="265" t="s">
        <v>81</v>
      </c>
      <c r="E1329" s="266" t="s">
        <v>9211</v>
      </c>
      <c r="F1329" s="252">
        <f t="shared" si="66"/>
        <v>38750</v>
      </c>
      <c r="G1329" s="252">
        <f t="shared" si="66"/>
        <v>44250</v>
      </c>
      <c r="H1329" s="252">
        <f t="shared" si="66"/>
        <v>49800</v>
      </c>
      <c r="I1329" s="252">
        <f t="shared" si="66"/>
        <v>55300</v>
      </c>
      <c r="J1329" s="252">
        <f t="shared" si="66"/>
        <v>59750</v>
      </c>
      <c r="K1329" s="252">
        <f t="shared" si="66"/>
        <v>64150</v>
      </c>
      <c r="L1329" s="252">
        <f t="shared" si="66"/>
        <v>68600</v>
      </c>
      <c r="M1329" s="252">
        <f t="shared" si="66"/>
        <v>73000</v>
      </c>
    </row>
    <row r="1330" spans="1:13" ht="21.95" customHeight="1" x14ac:dyDescent="0.25">
      <c r="A1330" s="36" t="s">
        <v>2904</v>
      </c>
      <c r="B1330" s="36" t="str">
        <f t="shared" si="64"/>
        <v>MS_BOLIVAR COUNTY, MS</v>
      </c>
      <c r="D1330" s="265" t="s">
        <v>81</v>
      </c>
      <c r="E1330" s="266" t="s">
        <v>4139</v>
      </c>
      <c r="F1330" s="252">
        <f t="shared" si="66"/>
        <v>38750</v>
      </c>
      <c r="G1330" s="252">
        <f t="shared" si="66"/>
        <v>44250</v>
      </c>
      <c r="H1330" s="252">
        <f t="shared" si="66"/>
        <v>49800</v>
      </c>
      <c r="I1330" s="252">
        <f t="shared" si="66"/>
        <v>55300</v>
      </c>
      <c r="J1330" s="252">
        <f t="shared" si="66"/>
        <v>59750</v>
      </c>
      <c r="K1330" s="252">
        <f t="shared" si="66"/>
        <v>64150</v>
      </c>
      <c r="L1330" s="252">
        <f t="shared" si="66"/>
        <v>68600</v>
      </c>
      <c r="M1330" s="252">
        <f t="shared" si="66"/>
        <v>73000</v>
      </c>
    </row>
    <row r="1331" spans="1:13" ht="21.95" customHeight="1" x14ac:dyDescent="0.25">
      <c r="A1331" s="36" t="s">
        <v>2904</v>
      </c>
      <c r="B1331" s="36" t="str">
        <f t="shared" si="64"/>
        <v>MS_CALHOUN COUNTY, MS</v>
      </c>
      <c r="D1331" s="265" t="s">
        <v>81</v>
      </c>
      <c r="E1331" s="266" t="s">
        <v>4140</v>
      </c>
      <c r="F1331" s="252">
        <f t="shared" si="66"/>
        <v>38750</v>
      </c>
      <c r="G1331" s="252">
        <f t="shared" si="66"/>
        <v>44250</v>
      </c>
      <c r="H1331" s="252">
        <f t="shared" si="66"/>
        <v>49800</v>
      </c>
      <c r="I1331" s="252">
        <f t="shared" si="66"/>
        <v>55300</v>
      </c>
      <c r="J1331" s="252">
        <f t="shared" si="66"/>
        <v>59750</v>
      </c>
      <c r="K1331" s="252">
        <f t="shared" si="66"/>
        <v>64150</v>
      </c>
      <c r="L1331" s="252">
        <f t="shared" si="66"/>
        <v>68600</v>
      </c>
      <c r="M1331" s="252">
        <f t="shared" si="66"/>
        <v>73000</v>
      </c>
    </row>
    <row r="1332" spans="1:13" ht="21.95" customHeight="1" x14ac:dyDescent="0.25">
      <c r="A1332" s="36" t="s">
        <v>2904</v>
      </c>
      <c r="B1332" s="36" t="str">
        <f t="shared" si="64"/>
        <v>MS_CARROLL COUNTY, MS</v>
      </c>
      <c r="D1332" s="265" t="s">
        <v>81</v>
      </c>
      <c r="E1332" s="266" t="s">
        <v>4141</v>
      </c>
      <c r="F1332" s="252">
        <f t="shared" si="66"/>
        <v>43050</v>
      </c>
      <c r="G1332" s="252">
        <f t="shared" si="66"/>
        <v>49200</v>
      </c>
      <c r="H1332" s="252">
        <f t="shared" si="66"/>
        <v>55350</v>
      </c>
      <c r="I1332" s="252">
        <f t="shared" si="66"/>
        <v>61450</v>
      </c>
      <c r="J1332" s="252">
        <f t="shared" si="66"/>
        <v>66400</v>
      </c>
      <c r="K1332" s="252">
        <f t="shared" si="66"/>
        <v>71300</v>
      </c>
      <c r="L1332" s="252">
        <f t="shared" si="66"/>
        <v>76200</v>
      </c>
      <c r="M1332" s="252">
        <f t="shared" si="66"/>
        <v>81150</v>
      </c>
    </row>
    <row r="1333" spans="1:13" ht="21.95" customHeight="1" x14ac:dyDescent="0.25">
      <c r="A1333" s="36" t="s">
        <v>2904</v>
      </c>
      <c r="B1333" s="36" t="str">
        <f t="shared" si="64"/>
        <v>MS_CHICKASAW COUNTY, MS</v>
      </c>
      <c r="D1333" s="265" t="s">
        <v>81</v>
      </c>
      <c r="E1333" s="266" t="s">
        <v>4142</v>
      </c>
      <c r="F1333" s="252">
        <f t="shared" si="66"/>
        <v>38750</v>
      </c>
      <c r="G1333" s="252">
        <f t="shared" si="66"/>
        <v>44250</v>
      </c>
      <c r="H1333" s="252">
        <f t="shared" si="66"/>
        <v>49800</v>
      </c>
      <c r="I1333" s="252">
        <f t="shared" si="66"/>
        <v>55300</v>
      </c>
      <c r="J1333" s="252">
        <f t="shared" si="66"/>
        <v>59750</v>
      </c>
      <c r="K1333" s="252">
        <f t="shared" si="66"/>
        <v>64150</v>
      </c>
      <c r="L1333" s="252">
        <f t="shared" si="66"/>
        <v>68600</v>
      </c>
      <c r="M1333" s="252">
        <f t="shared" si="66"/>
        <v>73000</v>
      </c>
    </row>
    <row r="1334" spans="1:13" ht="21.95" customHeight="1" x14ac:dyDescent="0.25">
      <c r="A1334" s="36" t="s">
        <v>2904</v>
      </c>
      <c r="B1334" s="36" t="str">
        <f t="shared" si="64"/>
        <v>MS_CHOCTAW COUNTY, MS</v>
      </c>
      <c r="D1334" s="265" t="s">
        <v>81</v>
      </c>
      <c r="E1334" s="266" t="s">
        <v>4143</v>
      </c>
      <c r="F1334" s="252">
        <f t="shared" si="66"/>
        <v>38750</v>
      </c>
      <c r="G1334" s="252">
        <f t="shared" si="66"/>
        <v>44250</v>
      </c>
      <c r="H1334" s="252">
        <f t="shared" si="66"/>
        <v>49800</v>
      </c>
      <c r="I1334" s="252">
        <f t="shared" si="66"/>
        <v>55300</v>
      </c>
      <c r="J1334" s="252">
        <f t="shared" si="66"/>
        <v>59750</v>
      </c>
      <c r="K1334" s="252">
        <f t="shared" si="66"/>
        <v>64150</v>
      </c>
      <c r="L1334" s="252">
        <f t="shared" si="66"/>
        <v>68600</v>
      </c>
      <c r="M1334" s="252">
        <f t="shared" si="66"/>
        <v>73000</v>
      </c>
    </row>
    <row r="1335" spans="1:13" ht="21.95" customHeight="1" x14ac:dyDescent="0.25">
      <c r="A1335" s="36" t="s">
        <v>2904</v>
      </c>
      <c r="B1335" s="36" t="str">
        <f t="shared" si="64"/>
        <v>MS_CLAIBORNE COUNTY, MS</v>
      </c>
      <c r="D1335" s="265" t="s">
        <v>81</v>
      </c>
      <c r="E1335" s="266" t="s">
        <v>4144</v>
      </c>
      <c r="F1335" s="252">
        <f t="shared" si="66"/>
        <v>38750</v>
      </c>
      <c r="G1335" s="252">
        <f t="shared" si="66"/>
        <v>44250</v>
      </c>
      <c r="H1335" s="252">
        <f t="shared" si="66"/>
        <v>49800</v>
      </c>
      <c r="I1335" s="252">
        <f t="shared" si="66"/>
        <v>55300</v>
      </c>
      <c r="J1335" s="252">
        <f t="shared" si="66"/>
        <v>59750</v>
      </c>
      <c r="K1335" s="252">
        <f t="shared" si="66"/>
        <v>64150</v>
      </c>
      <c r="L1335" s="252">
        <f t="shared" si="66"/>
        <v>68600</v>
      </c>
      <c r="M1335" s="252">
        <f t="shared" si="66"/>
        <v>73000</v>
      </c>
    </row>
    <row r="1336" spans="1:13" ht="21.95" customHeight="1" x14ac:dyDescent="0.25">
      <c r="A1336" s="36" t="s">
        <v>2904</v>
      </c>
      <c r="B1336" s="36" t="str">
        <f t="shared" si="64"/>
        <v>MS_CLARKE COUNTY, MS</v>
      </c>
      <c r="D1336" s="265" t="s">
        <v>81</v>
      </c>
      <c r="E1336" s="266" t="s">
        <v>4145</v>
      </c>
      <c r="F1336" s="252">
        <f t="shared" si="66"/>
        <v>38750</v>
      </c>
      <c r="G1336" s="252">
        <f t="shared" si="66"/>
        <v>44250</v>
      </c>
      <c r="H1336" s="252">
        <f t="shared" si="66"/>
        <v>49800</v>
      </c>
      <c r="I1336" s="252">
        <f t="shared" si="66"/>
        <v>55300</v>
      </c>
      <c r="J1336" s="252">
        <f t="shared" si="66"/>
        <v>59750</v>
      </c>
      <c r="K1336" s="252">
        <f t="shared" si="66"/>
        <v>64150</v>
      </c>
      <c r="L1336" s="252">
        <f t="shared" si="66"/>
        <v>68600</v>
      </c>
      <c r="M1336" s="252">
        <f t="shared" si="66"/>
        <v>73000</v>
      </c>
    </row>
    <row r="1337" spans="1:13" ht="21.95" customHeight="1" x14ac:dyDescent="0.25">
      <c r="A1337" s="36" t="s">
        <v>2904</v>
      </c>
      <c r="B1337" s="36" t="str">
        <f t="shared" si="64"/>
        <v>MS_CLAY COUNTY, MS</v>
      </c>
      <c r="D1337" s="265" t="s">
        <v>81</v>
      </c>
      <c r="E1337" s="266" t="s">
        <v>4146</v>
      </c>
      <c r="F1337" s="252">
        <f t="shared" si="66"/>
        <v>38750</v>
      </c>
      <c r="G1337" s="252">
        <f t="shared" si="66"/>
        <v>44250</v>
      </c>
      <c r="H1337" s="252">
        <f t="shared" si="66"/>
        <v>49800</v>
      </c>
      <c r="I1337" s="252">
        <f t="shared" si="66"/>
        <v>55300</v>
      </c>
      <c r="J1337" s="252">
        <f t="shared" si="66"/>
        <v>59750</v>
      </c>
      <c r="K1337" s="252">
        <f t="shared" si="66"/>
        <v>64150</v>
      </c>
      <c r="L1337" s="252">
        <f t="shared" si="66"/>
        <v>68600</v>
      </c>
      <c r="M1337" s="252">
        <f t="shared" si="66"/>
        <v>73000</v>
      </c>
    </row>
    <row r="1338" spans="1:13" ht="21.95" customHeight="1" x14ac:dyDescent="0.25">
      <c r="A1338" s="36" t="s">
        <v>2904</v>
      </c>
      <c r="B1338" s="36" t="str">
        <f t="shared" si="64"/>
        <v>MS_COAHOMA COUNTY, MS</v>
      </c>
      <c r="D1338" s="265" t="s">
        <v>81</v>
      </c>
      <c r="E1338" s="266" t="s">
        <v>4147</v>
      </c>
      <c r="F1338" s="252">
        <f t="shared" si="66"/>
        <v>38750</v>
      </c>
      <c r="G1338" s="252">
        <f t="shared" si="66"/>
        <v>44250</v>
      </c>
      <c r="H1338" s="252">
        <f t="shared" si="66"/>
        <v>49800</v>
      </c>
      <c r="I1338" s="252">
        <f t="shared" si="66"/>
        <v>55300</v>
      </c>
      <c r="J1338" s="252">
        <f t="shared" si="66"/>
        <v>59750</v>
      </c>
      <c r="K1338" s="252">
        <f t="shared" si="66"/>
        <v>64150</v>
      </c>
      <c r="L1338" s="252">
        <f t="shared" si="66"/>
        <v>68600</v>
      </c>
      <c r="M1338" s="252">
        <f t="shared" si="66"/>
        <v>73000</v>
      </c>
    </row>
    <row r="1339" spans="1:13" ht="21.95" customHeight="1" x14ac:dyDescent="0.25">
      <c r="A1339" s="36" t="s">
        <v>2904</v>
      </c>
      <c r="B1339" s="36" t="str">
        <f t="shared" si="64"/>
        <v>MS_COVINGTON COUNTY, MS</v>
      </c>
      <c r="D1339" s="265" t="s">
        <v>81</v>
      </c>
      <c r="E1339" s="266" t="s">
        <v>9212</v>
      </c>
      <c r="F1339" s="252">
        <f t="shared" si="66"/>
        <v>38750</v>
      </c>
      <c r="G1339" s="252">
        <f t="shared" si="66"/>
        <v>44250</v>
      </c>
      <c r="H1339" s="252">
        <f t="shared" si="66"/>
        <v>49800</v>
      </c>
      <c r="I1339" s="252">
        <f t="shared" si="66"/>
        <v>55300</v>
      </c>
      <c r="J1339" s="252">
        <f t="shared" si="66"/>
        <v>59750</v>
      </c>
      <c r="K1339" s="252">
        <f t="shared" si="66"/>
        <v>64150</v>
      </c>
      <c r="L1339" s="252">
        <f t="shared" si="66"/>
        <v>68600</v>
      </c>
      <c r="M1339" s="252">
        <f t="shared" si="66"/>
        <v>73000</v>
      </c>
    </row>
    <row r="1340" spans="1:13" ht="21.95" customHeight="1" x14ac:dyDescent="0.25">
      <c r="A1340" s="36" t="s">
        <v>2904</v>
      </c>
      <c r="B1340" s="36" t="str">
        <f t="shared" ref="B1340:B1403" si="67">UPPER(TRIM(D1340)&amp;"_"&amp;TRIM(E1340))</f>
        <v>MS_FRANKLIN COUNTY, MS</v>
      </c>
      <c r="D1340" s="265" t="s">
        <v>81</v>
      </c>
      <c r="E1340" s="266" t="s">
        <v>4148</v>
      </c>
      <c r="F1340" s="252">
        <f t="shared" si="66"/>
        <v>38750</v>
      </c>
      <c r="G1340" s="252">
        <f t="shared" si="66"/>
        <v>44250</v>
      </c>
      <c r="H1340" s="252">
        <f t="shared" si="66"/>
        <v>49800</v>
      </c>
      <c r="I1340" s="252">
        <f t="shared" si="66"/>
        <v>55300</v>
      </c>
      <c r="J1340" s="252">
        <f t="shared" si="66"/>
        <v>59750</v>
      </c>
      <c r="K1340" s="252">
        <f t="shared" si="66"/>
        <v>64150</v>
      </c>
      <c r="L1340" s="252">
        <f t="shared" si="66"/>
        <v>68600</v>
      </c>
      <c r="M1340" s="252">
        <f t="shared" si="66"/>
        <v>73000</v>
      </c>
    </row>
    <row r="1341" spans="1:13" ht="21.95" customHeight="1" x14ac:dyDescent="0.25">
      <c r="A1341" s="36" t="s">
        <v>2904</v>
      </c>
      <c r="B1341" s="36" t="str">
        <f t="shared" si="67"/>
        <v>MS_GEORGE COUNTY, MS</v>
      </c>
      <c r="D1341" s="265" t="s">
        <v>81</v>
      </c>
      <c r="E1341" s="266" t="s">
        <v>4149</v>
      </c>
      <c r="F1341" s="252">
        <f t="shared" si="66"/>
        <v>40850</v>
      </c>
      <c r="G1341" s="252">
        <f t="shared" si="66"/>
        <v>46650</v>
      </c>
      <c r="H1341" s="252">
        <f t="shared" si="66"/>
        <v>52500</v>
      </c>
      <c r="I1341" s="252">
        <f t="shared" si="66"/>
        <v>58300</v>
      </c>
      <c r="J1341" s="252">
        <f t="shared" si="66"/>
        <v>63000</v>
      </c>
      <c r="K1341" s="252">
        <f t="shared" si="66"/>
        <v>67650</v>
      </c>
      <c r="L1341" s="252">
        <f t="shared" si="66"/>
        <v>72300</v>
      </c>
      <c r="M1341" s="252">
        <f t="shared" si="66"/>
        <v>77000</v>
      </c>
    </row>
    <row r="1342" spans="1:13" ht="21.95" customHeight="1" x14ac:dyDescent="0.25">
      <c r="A1342" s="36" t="s">
        <v>2904</v>
      </c>
      <c r="B1342" s="36" t="str">
        <f t="shared" si="67"/>
        <v>MS_GREENE COUNTY, MS</v>
      </c>
      <c r="D1342" s="265" t="s">
        <v>81</v>
      </c>
      <c r="E1342" s="266" t="s">
        <v>4150</v>
      </c>
      <c r="F1342" s="252">
        <f t="shared" si="66"/>
        <v>41350</v>
      </c>
      <c r="G1342" s="252">
        <f t="shared" si="66"/>
        <v>47250</v>
      </c>
      <c r="H1342" s="252">
        <f t="shared" si="66"/>
        <v>53150</v>
      </c>
      <c r="I1342" s="252">
        <f t="shared" si="66"/>
        <v>59050</v>
      </c>
      <c r="J1342" s="252">
        <f t="shared" si="66"/>
        <v>63800</v>
      </c>
      <c r="K1342" s="252">
        <f t="shared" si="66"/>
        <v>68500</v>
      </c>
      <c r="L1342" s="252">
        <f t="shared" si="66"/>
        <v>73250</v>
      </c>
      <c r="M1342" s="252">
        <f t="shared" si="66"/>
        <v>77950</v>
      </c>
    </row>
    <row r="1343" spans="1:13" ht="21.95" customHeight="1" x14ac:dyDescent="0.25">
      <c r="A1343" s="36" t="s">
        <v>2904</v>
      </c>
      <c r="B1343" s="36" t="str">
        <f t="shared" si="67"/>
        <v>MS_GRENADA COUNTY, MS</v>
      </c>
      <c r="D1343" s="265" t="s">
        <v>81</v>
      </c>
      <c r="E1343" s="266" t="s">
        <v>4151</v>
      </c>
      <c r="F1343" s="252">
        <f t="shared" si="66"/>
        <v>38750</v>
      </c>
      <c r="G1343" s="252">
        <f t="shared" si="66"/>
        <v>44250</v>
      </c>
      <c r="H1343" s="252">
        <f t="shared" si="66"/>
        <v>49800</v>
      </c>
      <c r="I1343" s="252">
        <f t="shared" si="66"/>
        <v>55300</v>
      </c>
      <c r="J1343" s="252">
        <f t="shared" si="66"/>
        <v>59750</v>
      </c>
      <c r="K1343" s="252">
        <f t="shared" si="66"/>
        <v>64150</v>
      </c>
      <c r="L1343" s="252">
        <f t="shared" si="66"/>
        <v>68600</v>
      </c>
      <c r="M1343" s="252">
        <f t="shared" si="66"/>
        <v>73000</v>
      </c>
    </row>
    <row r="1344" spans="1:13" ht="21.95" customHeight="1" x14ac:dyDescent="0.25">
      <c r="A1344" s="36" t="s">
        <v>2904</v>
      </c>
      <c r="B1344" s="36" t="str">
        <f t="shared" si="67"/>
        <v>MS_GULFPORT-BILOXI, MS HUD METRO FMR AREA</v>
      </c>
      <c r="D1344" s="265" t="s">
        <v>81</v>
      </c>
      <c r="E1344" s="266" t="s">
        <v>4152</v>
      </c>
      <c r="F1344" s="252">
        <f t="shared" si="66"/>
        <v>45150</v>
      </c>
      <c r="G1344" s="252">
        <f t="shared" si="66"/>
        <v>51600</v>
      </c>
      <c r="H1344" s="252">
        <f t="shared" si="66"/>
        <v>58050</v>
      </c>
      <c r="I1344" s="252">
        <f t="shared" si="66"/>
        <v>64500</v>
      </c>
      <c r="J1344" s="252">
        <f t="shared" si="66"/>
        <v>69700</v>
      </c>
      <c r="K1344" s="252">
        <f t="shared" si="66"/>
        <v>74850</v>
      </c>
      <c r="L1344" s="252">
        <f t="shared" si="66"/>
        <v>80000</v>
      </c>
      <c r="M1344" s="252">
        <f t="shared" si="66"/>
        <v>85150</v>
      </c>
    </row>
    <row r="1345" spans="1:13" ht="21.95" customHeight="1" x14ac:dyDescent="0.25">
      <c r="A1345" s="36" t="s">
        <v>2904</v>
      </c>
      <c r="B1345" s="36" t="str">
        <f t="shared" si="67"/>
        <v>MS_HATTIESBURG, MS MSA</v>
      </c>
      <c r="D1345" s="265" t="s">
        <v>81</v>
      </c>
      <c r="E1345" s="266" t="s">
        <v>9213</v>
      </c>
      <c r="F1345" s="252">
        <f t="shared" si="66"/>
        <v>44700</v>
      </c>
      <c r="G1345" s="252">
        <f t="shared" si="66"/>
        <v>51100</v>
      </c>
      <c r="H1345" s="252">
        <f t="shared" si="66"/>
        <v>57500</v>
      </c>
      <c r="I1345" s="252">
        <f t="shared" si="66"/>
        <v>63850</v>
      </c>
      <c r="J1345" s="252">
        <f t="shared" si="66"/>
        <v>69000</v>
      </c>
      <c r="K1345" s="252">
        <f t="shared" si="66"/>
        <v>74100</v>
      </c>
      <c r="L1345" s="252">
        <f t="shared" si="66"/>
        <v>79200</v>
      </c>
      <c r="M1345" s="252">
        <f t="shared" si="66"/>
        <v>84300</v>
      </c>
    </row>
    <row r="1346" spans="1:13" ht="21.95" customHeight="1" x14ac:dyDescent="0.25">
      <c r="A1346" s="36" t="s">
        <v>2904</v>
      </c>
      <c r="B1346" s="36" t="str">
        <f t="shared" si="67"/>
        <v>MS_HOLMES COUNTY, MS HUD METRO FMR AREA</v>
      </c>
      <c r="D1346" s="265" t="s">
        <v>81</v>
      </c>
      <c r="E1346" s="266" t="s">
        <v>4153</v>
      </c>
      <c r="F1346" s="252">
        <f t="shared" si="66"/>
        <v>38750</v>
      </c>
      <c r="G1346" s="252">
        <f t="shared" si="66"/>
        <v>44250</v>
      </c>
      <c r="H1346" s="252">
        <f t="shared" si="66"/>
        <v>49800</v>
      </c>
      <c r="I1346" s="252">
        <f t="shared" si="66"/>
        <v>55300</v>
      </c>
      <c r="J1346" s="252">
        <f t="shared" si="66"/>
        <v>59750</v>
      </c>
      <c r="K1346" s="252">
        <f t="shared" si="66"/>
        <v>64150</v>
      </c>
      <c r="L1346" s="252">
        <f t="shared" si="66"/>
        <v>68600</v>
      </c>
      <c r="M1346" s="252">
        <f t="shared" si="66"/>
        <v>73000</v>
      </c>
    </row>
    <row r="1347" spans="1:13" ht="21.95" customHeight="1" x14ac:dyDescent="0.25">
      <c r="A1347" s="36" t="s">
        <v>2904</v>
      </c>
      <c r="B1347" s="36" t="str">
        <f t="shared" si="67"/>
        <v>MS_HUMPHREYS COUNTY, MS</v>
      </c>
      <c r="D1347" s="265" t="s">
        <v>81</v>
      </c>
      <c r="E1347" s="266" t="s">
        <v>4154</v>
      </c>
      <c r="F1347" s="252">
        <f t="shared" si="66"/>
        <v>38750</v>
      </c>
      <c r="G1347" s="252">
        <f t="shared" si="66"/>
        <v>44250</v>
      </c>
      <c r="H1347" s="252">
        <f t="shared" si="66"/>
        <v>49800</v>
      </c>
      <c r="I1347" s="252">
        <f t="shared" si="66"/>
        <v>55300</v>
      </c>
      <c r="J1347" s="252">
        <f t="shared" si="66"/>
        <v>59750</v>
      </c>
      <c r="K1347" s="252">
        <f t="shared" si="66"/>
        <v>64150</v>
      </c>
      <c r="L1347" s="252">
        <f t="shared" si="66"/>
        <v>68600</v>
      </c>
      <c r="M1347" s="252">
        <f t="shared" si="66"/>
        <v>73000</v>
      </c>
    </row>
    <row r="1348" spans="1:13" ht="21.95" customHeight="1" x14ac:dyDescent="0.25">
      <c r="A1348" s="36" t="s">
        <v>2904</v>
      </c>
      <c r="B1348" s="36" t="str">
        <f t="shared" si="67"/>
        <v>MS_ISSAQUENA COUNTY, MS</v>
      </c>
      <c r="D1348" s="265" t="s">
        <v>81</v>
      </c>
      <c r="E1348" s="266" t="s">
        <v>4155</v>
      </c>
      <c r="F1348" s="252">
        <f t="shared" si="66"/>
        <v>39450</v>
      </c>
      <c r="G1348" s="252">
        <f t="shared" si="66"/>
        <v>45050</v>
      </c>
      <c r="H1348" s="252">
        <f t="shared" si="66"/>
        <v>50700</v>
      </c>
      <c r="I1348" s="252">
        <f t="shared" si="66"/>
        <v>56300</v>
      </c>
      <c r="J1348" s="252">
        <f t="shared" si="66"/>
        <v>60850</v>
      </c>
      <c r="K1348" s="252">
        <f t="shared" si="66"/>
        <v>65350</v>
      </c>
      <c r="L1348" s="252">
        <f t="shared" si="66"/>
        <v>69850</v>
      </c>
      <c r="M1348" s="252">
        <f t="shared" si="66"/>
        <v>74350</v>
      </c>
    </row>
    <row r="1349" spans="1:13" ht="21.95" customHeight="1" x14ac:dyDescent="0.25">
      <c r="A1349" s="36" t="s">
        <v>2904</v>
      </c>
      <c r="B1349" s="36" t="str">
        <f t="shared" si="67"/>
        <v>MS_ITAWAMBA COUNTY, MS</v>
      </c>
      <c r="D1349" s="265" t="s">
        <v>81</v>
      </c>
      <c r="E1349" s="266" t="s">
        <v>4156</v>
      </c>
      <c r="F1349" s="252">
        <f t="shared" ref="F1349:M1380" si="68">VLOOKUP($B1349,LOOKUP_AMI_TABLE,5+((F$7-1)),FALSE)</f>
        <v>42000</v>
      </c>
      <c r="G1349" s="252">
        <f t="shared" si="68"/>
        <v>48000</v>
      </c>
      <c r="H1349" s="252">
        <f t="shared" si="68"/>
        <v>54000</v>
      </c>
      <c r="I1349" s="252">
        <f t="shared" si="68"/>
        <v>60000</v>
      </c>
      <c r="J1349" s="252">
        <f t="shared" si="68"/>
        <v>64800</v>
      </c>
      <c r="K1349" s="252">
        <f t="shared" si="68"/>
        <v>69600</v>
      </c>
      <c r="L1349" s="252">
        <f t="shared" si="68"/>
        <v>74400</v>
      </c>
      <c r="M1349" s="252">
        <f t="shared" si="68"/>
        <v>79200</v>
      </c>
    </row>
    <row r="1350" spans="1:13" ht="21.95" customHeight="1" x14ac:dyDescent="0.25">
      <c r="A1350" s="36" t="s">
        <v>2904</v>
      </c>
      <c r="B1350" s="36" t="str">
        <f t="shared" si="67"/>
        <v>MS_JACKSON, MS HUD METRO FMR AREA</v>
      </c>
      <c r="D1350" s="265" t="s">
        <v>81</v>
      </c>
      <c r="E1350" s="266" t="s">
        <v>4157</v>
      </c>
      <c r="F1350" s="252">
        <f t="shared" si="68"/>
        <v>49950</v>
      </c>
      <c r="G1350" s="252">
        <f t="shared" si="68"/>
        <v>57050</v>
      </c>
      <c r="H1350" s="252">
        <f t="shared" si="68"/>
        <v>64200</v>
      </c>
      <c r="I1350" s="252">
        <f t="shared" si="68"/>
        <v>71300</v>
      </c>
      <c r="J1350" s="252">
        <f t="shared" si="68"/>
        <v>77050</v>
      </c>
      <c r="K1350" s="252">
        <f t="shared" si="68"/>
        <v>82750</v>
      </c>
      <c r="L1350" s="252">
        <f t="shared" si="68"/>
        <v>88450</v>
      </c>
      <c r="M1350" s="252">
        <f t="shared" si="68"/>
        <v>94150</v>
      </c>
    </row>
    <row r="1351" spans="1:13" ht="21.95" customHeight="1" x14ac:dyDescent="0.25">
      <c r="A1351" s="36" t="s">
        <v>2904</v>
      </c>
      <c r="B1351" s="36" t="str">
        <f t="shared" si="67"/>
        <v>MS_JASPER COUNTY, MS</v>
      </c>
      <c r="D1351" s="265" t="s">
        <v>81</v>
      </c>
      <c r="E1351" s="266" t="s">
        <v>4158</v>
      </c>
      <c r="F1351" s="252">
        <f t="shared" si="68"/>
        <v>38750</v>
      </c>
      <c r="G1351" s="252">
        <f t="shared" si="68"/>
        <v>44250</v>
      </c>
      <c r="H1351" s="252">
        <f t="shared" si="68"/>
        <v>49800</v>
      </c>
      <c r="I1351" s="252">
        <f t="shared" si="68"/>
        <v>55300</v>
      </c>
      <c r="J1351" s="252">
        <f t="shared" si="68"/>
        <v>59750</v>
      </c>
      <c r="K1351" s="252">
        <f t="shared" si="68"/>
        <v>64150</v>
      </c>
      <c r="L1351" s="252">
        <f t="shared" si="68"/>
        <v>68600</v>
      </c>
      <c r="M1351" s="252">
        <f t="shared" si="68"/>
        <v>73000</v>
      </c>
    </row>
    <row r="1352" spans="1:13" ht="21.95" customHeight="1" x14ac:dyDescent="0.25">
      <c r="A1352" s="36" t="s">
        <v>2904</v>
      </c>
      <c r="B1352" s="36" t="str">
        <f t="shared" si="67"/>
        <v>MS_JEFFERSON COUNTY, MS</v>
      </c>
      <c r="D1352" s="265" t="s">
        <v>81</v>
      </c>
      <c r="E1352" s="266" t="s">
        <v>4159</v>
      </c>
      <c r="F1352" s="252">
        <f t="shared" si="68"/>
        <v>38750</v>
      </c>
      <c r="G1352" s="252">
        <f t="shared" si="68"/>
        <v>44250</v>
      </c>
      <c r="H1352" s="252">
        <f t="shared" si="68"/>
        <v>49800</v>
      </c>
      <c r="I1352" s="252">
        <f t="shared" si="68"/>
        <v>55300</v>
      </c>
      <c r="J1352" s="252">
        <f t="shared" si="68"/>
        <v>59750</v>
      </c>
      <c r="K1352" s="252">
        <f t="shared" si="68"/>
        <v>64150</v>
      </c>
      <c r="L1352" s="252">
        <f t="shared" si="68"/>
        <v>68600</v>
      </c>
      <c r="M1352" s="252">
        <f t="shared" si="68"/>
        <v>73000</v>
      </c>
    </row>
    <row r="1353" spans="1:13" ht="21.95" customHeight="1" x14ac:dyDescent="0.25">
      <c r="A1353" s="36" t="s">
        <v>2904</v>
      </c>
      <c r="B1353" s="36" t="str">
        <f t="shared" si="67"/>
        <v>MS_JEFFERSON DAVIS COUNTY, MS</v>
      </c>
      <c r="D1353" s="265" t="s">
        <v>81</v>
      </c>
      <c r="E1353" s="266" t="s">
        <v>4160</v>
      </c>
      <c r="F1353" s="252">
        <f t="shared" si="68"/>
        <v>38750</v>
      </c>
      <c r="G1353" s="252">
        <f t="shared" si="68"/>
        <v>44250</v>
      </c>
      <c r="H1353" s="252">
        <f t="shared" si="68"/>
        <v>49800</v>
      </c>
      <c r="I1353" s="252">
        <f t="shared" si="68"/>
        <v>55300</v>
      </c>
      <c r="J1353" s="252">
        <f t="shared" si="68"/>
        <v>59750</v>
      </c>
      <c r="K1353" s="252">
        <f t="shared" si="68"/>
        <v>64150</v>
      </c>
      <c r="L1353" s="252">
        <f t="shared" si="68"/>
        <v>68600</v>
      </c>
      <c r="M1353" s="252">
        <f t="shared" si="68"/>
        <v>73000</v>
      </c>
    </row>
    <row r="1354" spans="1:13" ht="21.95" customHeight="1" x14ac:dyDescent="0.25">
      <c r="A1354" s="36" t="s">
        <v>2904</v>
      </c>
      <c r="B1354" s="36" t="str">
        <f t="shared" si="67"/>
        <v>MS_JONES COUNTY, MS</v>
      </c>
      <c r="D1354" s="265" t="s">
        <v>81</v>
      </c>
      <c r="E1354" s="266" t="s">
        <v>4161</v>
      </c>
      <c r="F1354" s="252">
        <f t="shared" si="68"/>
        <v>41800</v>
      </c>
      <c r="G1354" s="252">
        <f t="shared" si="68"/>
        <v>47800</v>
      </c>
      <c r="H1354" s="252">
        <f t="shared" si="68"/>
        <v>53750</v>
      </c>
      <c r="I1354" s="252">
        <f t="shared" si="68"/>
        <v>59700</v>
      </c>
      <c r="J1354" s="252">
        <f t="shared" si="68"/>
        <v>64500</v>
      </c>
      <c r="K1354" s="252">
        <f t="shared" si="68"/>
        <v>69300</v>
      </c>
      <c r="L1354" s="252">
        <f t="shared" si="68"/>
        <v>74050</v>
      </c>
      <c r="M1354" s="252">
        <f t="shared" si="68"/>
        <v>78850</v>
      </c>
    </row>
    <row r="1355" spans="1:13" ht="21.95" customHeight="1" x14ac:dyDescent="0.25">
      <c r="A1355" s="36" t="s">
        <v>2904</v>
      </c>
      <c r="B1355" s="36" t="str">
        <f t="shared" si="67"/>
        <v>MS_KEMPER COUNTY, MS</v>
      </c>
      <c r="D1355" s="265" t="s">
        <v>81</v>
      </c>
      <c r="E1355" s="266" t="s">
        <v>4162</v>
      </c>
      <c r="F1355" s="252">
        <f t="shared" si="68"/>
        <v>38750</v>
      </c>
      <c r="G1355" s="252">
        <f t="shared" si="68"/>
        <v>44250</v>
      </c>
      <c r="H1355" s="252">
        <f t="shared" si="68"/>
        <v>49800</v>
      </c>
      <c r="I1355" s="252">
        <f t="shared" si="68"/>
        <v>55300</v>
      </c>
      <c r="J1355" s="252">
        <f t="shared" si="68"/>
        <v>59750</v>
      </c>
      <c r="K1355" s="252">
        <f t="shared" si="68"/>
        <v>64150</v>
      </c>
      <c r="L1355" s="252">
        <f t="shared" si="68"/>
        <v>68600</v>
      </c>
      <c r="M1355" s="252">
        <f t="shared" si="68"/>
        <v>73000</v>
      </c>
    </row>
    <row r="1356" spans="1:13" ht="21.95" customHeight="1" x14ac:dyDescent="0.25">
      <c r="A1356" s="36" t="s">
        <v>2904</v>
      </c>
      <c r="B1356" s="36" t="str">
        <f t="shared" si="67"/>
        <v>MS_LAFAYETTE COUNTY, MS</v>
      </c>
      <c r="D1356" s="265" t="s">
        <v>81</v>
      </c>
      <c r="E1356" s="266" t="s">
        <v>4163</v>
      </c>
      <c r="F1356" s="252">
        <f t="shared" si="68"/>
        <v>51200</v>
      </c>
      <c r="G1356" s="252">
        <f t="shared" si="68"/>
        <v>58500</v>
      </c>
      <c r="H1356" s="252">
        <f t="shared" si="68"/>
        <v>65800</v>
      </c>
      <c r="I1356" s="252">
        <f t="shared" si="68"/>
        <v>73100</v>
      </c>
      <c r="J1356" s="252">
        <f t="shared" si="68"/>
        <v>78950</v>
      </c>
      <c r="K1356" s="252">
        <f t="shared" si="68"/>
        <v>84800</v>
      </c>
      <c r="L1356" s="252">
        <f t="shared" si="68"/>
        <v>90650</v>
      </c>
      <c r="M1356" s="252">
        <f t="shared" si="68"/>
        <v>96500</v>
      </c>
    </row>
    <row r="1357" spans="1:13" ht="21.95" customHeight="1" x14ac:dyDescent="0.25">
      <c r="A1357" s="36" t="s">
        <v>2904</v>
      </c>
      <c r="B1357" s="36" t="str">
        <f t="shared" si="67"/>
        <v>MS_LAUDERDALE COUNTY, MS</v>
      </c>
      <c r="D1357" s="265" t="s">
        <v>81</v>
      </c>
      <c r="E1357" s="266" t="s">
        <v>4164</v>
      </c>
      <c r="F1357" s="252">
        <f t="shared" si="68"/>
        <v>41800</v>
      </c>
      <c r="G1357" s="252">
        <f t="shared" si="68"/>
        <v>47800</v>
      </c>
      <c r="H1357" s="252">
        <f t="shared" si="68"/>
        <v>53750</v>
      </c>
      <c r="I1357" s="252">
        <f t="shared" si="68"/>
        <v>59700</v>
      </c>
      <c r="J1357" s="252">
        <f t="shared" si="68"/>
        <v>64500</v>
      </c>
      <c r="K1357" s="252">
        <f t="shared" si="68"/>
        <v>69300</v>
      </c>
      <c r="L1357" s="252">
        <f t="shared" si="68"/>
        <v>74050</v>
      </c>
      <c r="M1357" s="252">
        <f t="shared" si="68"/>
        <v>78850</v>
      </c>
    </row>
    <row r="1358" spans="1:13" ht="21.95" customHeight="1" x14ac:dyDescent="0.25">
      <c r="A1358" s="36" t="s">
        <v>2904</v>
      </c>
      <c r="B1358" s="36" t="str">
        <f t="shared" si="67"/>
        <v>MS_LAWRENCE COUNTY, MS</v>
      </c>
      <c r="D1358" s="265" t="s">
        <v>81</v>
      </c>
      <c r="E1358" s="266" t="s">
        <v>4165</v>
      </c>
      <c r="F1358" s="252">
        <f t="shared" si="68"/>
        <v>38750</v>
      </c>
      <c r="G1358" s="252">
        <f t="shared" si="68"/>
        <v>44250</v>
      </c>
      <c r="H1358" s="252">
        <f t="shared" si="68"/>
        <v>49800</v>
      </c>
      <c r="I1358" s="252">
        <f t="shared" si="68"/>
        <v>55300</v>
      </c>
      <c r="J1358" s="252">
        <f t="shared" si="68"/>
        <v>59750</v>
      </c>
      <c r="K1358" s="252">
        <f t="shared" si="68"/>
        <v>64150</v>
      </c>
      <c r="L1358" s="252">
        <f t="shared" si="68"/>
        <v>68600</v>
      </c>
      <c r="M1358" s="252">
        <f t="shared" si="68"/>
        <v>73000</v>
      </c>
    </row>
    <row r="1359" spans="1:13" ht="21.95" customHeight="1" x14ac:dyDescent="0.25">
      <c r="A1359" s="36" t="s">
        <v>2904</v>
      </c>
      <c r="B1359" s="36" t="str">
        <f t="shared" si="67"/>
        <v>MS_LEAKE COUNTY, MS</v>
      </c>
      <c r="D1359" s="265" t="s">
        <v>81</v>
      </c>
      <c r="E1359" s="266" t="s">
        <v>4166</v>
      </c>
      <c r="F1359" s="252">
        <f t="shared" si="68"/>
        <v>38750</v>
      </c>
      <c r="G1359" s="252">
        <f t="shared" si="68"/>
        <v>44250</v>
      </c>
      <c r="H1359" s="252">
        <f t="shared" si="68"/>
        <v>49800</v>
      </c>
      <c r="I1359" s="252">
        <f t="shared" si="68"/>
        <v>55300</v>
      </c>
      <c r="J1359" s="252">
        <f t="shared" si="68"/>
        <v>59750</v>
      </c>
      <c r="K1359" s="252">
        <f t="shared" si="68"/>
        <v>64150</v>
      </c>
      <c r="L1359" s="252">
        <f t="shared" si="68"/>
        <v>68600</v>
      </c>
      <c r="M1359" s="252">
        <f t="shared" si="68"/>
        <v>73000</v>
      </c>
    </row>
    <row r="1360" spans="1:13" ht="21.95" customHeight="1" x14ac:dyDescent="0.25">
      <c r="A1360" s="36" t="s">
        <v>2904</v>
      </c>
      <c r="B1360" s="36" t="str">
        <f t="shared" si="67"/>
        <v>MS_LEE COUNTY, MS</v>
      </c>
      <c r="D1360" s="265" t="s">
        <v>81</v>
      </c>
      <c r="E1360" s="266" t="s">
        <v>4167</v>
      </c>
      <c r="F1360" s="252">
        <f t="shared" si="68"/>
        <v>46200</v>
      </c>
      <c r="G1360" s="252">
        <f t="shared" si="68"/>
        <v>52800</v>
      </c>
      <c r="H1360" s="252">
        <f t="shared" si="68"/>
        <v>59400</v>
      </c>
      <c r="I1360" s="252">
        <f t="shared" si="68"/>
        <v>66000</v>
      </c>
      <c r="J1360" s="252">
        <f t="shared" si="68"/>
        <v>71300</v>
      </c>
      <c r="K1360" s="252">
        <f t="shared" si="68"/>
        <v>76600</v>
      </c>
      <c r="L1360" s="252">
        <f t="shared" si="68"/>
        <v>81850</v>
      </c>
      <c r="M1360" s="252">
        <f t="shared" si="68"/>
        <v>87150</v>
      </c>
    </row>
    <row r="1361" spans="1:13" ht="21.95" customHeight="1" x14ac:dyDescent="0.25">
      <c r="A1361" s="36" t="s">
        <v>2904</v>
      </c>
      <c r="B1361" s="36" t="str">
        <f t="shared" si="67"/>
        <v>MS_LEFLORE COUNTY, MS</v>
      </c>
      <c r="D1361" s="265" t="s">
        <v>81</v>
      </c>
      <c r="E1361" s="266" t="s">
        <v>4168</v>
      </c>
      <c r="F1361" s="252">
        <f t="shared" si="68"/>
        <v>38750</v>
      </c>
      <c r="G1361" s="252">
        <f t="shared" si="68"/>
        <v>44250</v>
      </c>
      <c r="H1361" s="252">
        <f t="shared" si="68"/>
        <v>49800</v>
      </c>
      <c r="I1361" s="252">
        <f t="shared" si="68"/>
        <v>55300</v>
      </c>
      <c r="J1361" s="252">
        <f t="shared" si="68"/>
        <v>59750</v>
      </c>
      <c r="K1361" s="252">
        <f t="shared" si="68"/>
        <v>64150</v>
      </c>
      <c r="L1361" s="252">
        <f t="shared" si="68"/>
        <v>68600</v>
      </c>
      <c r="M1361" s="252">
        <f t="shared" si="68"/>
        <v>73000</v>
      </c>
    </row>
    <row r="1362" spans="1:13" ht="21.95" customHeight="1" x14ac:dyDescent="0.25">
      <c r="A1362" s="36" t="s">
        <v>2904</v>
      </c>
      <c r="B1362" s="36" t="str">
        <f t="shared" si="67"/>
        <v>MS_LINCOLN COUNTY, MS</v>
      </c>
      <c r="D1362" s="265" t="s">
        <v>81</v>
      </c>
      <c r="E1362" s="266" t="s">
        <v>4169</v>
      </c>
      <c r="F1362" s="252">
        <f t="shared" si="68"/>
        <v>41800</v>
      </c>
      <c r="G1362" s="252">
        <f t="shared" si="68"/>
        <v>47800</v>
      </c>
      <c r="H1362" s="252">
        <f t="shared" si="68"/>
        <v>53750</v>
      </c>
      <c r="I1362" s="252">
        <f t="shared" si="68"/>
        <v>59700</v>
      </c>
      <c r="J1362" s="252">
        <f t="shared" si="68"/>
        <v>64500</v>
      </c>
      <c r="K1362" s="252">
        <f t="shared" si="68"/>
        <v>69300</v>
      </c>
      <c r="L1362" s="252">
        <f t="shared" si="68"/>
        <v>74050</v>
      </c>
      <c r="M1362" s="252">
        <f t="shared" si="68"/>
        <v>78850</v>
      </c>
    </row>
    <row r="1363" spans="1:13" ht="21.95" customHeight="1" x14ac:dyDescent="0.25">
      <c r="A1363" s="36" t="s">
        <v>2904</v>
      </c>
      <c r="B1363" s="36" t="str">
        <f t="shared" si="67"/>
        <v>MS_LOWNDES COUNTY, MS</v>
      </c>
      <c r="D1363" s="265" t="s">
        <v>81</v>
      </c>
      <c r="E1363" s="266" t="s">
        <v>4170</v>
      </c>
      <c r="F1363" s="252">
        <f t="shared" si="68"/>
        <v>44650</v>
      </c>
      <c r="G1363" s="252">
        <f t="shared" si="68"/>
        <v>51000</v>
      </c>
      <c r="H1363" s="252">
        <f t="shared" si="68"/>
        <v>57400</v>
      </c>
      <c r="I1363" s="252">
        <f t="shared" si="68"/>
        <v>63750</v>
      </c>
      <c r="J1363" s="252">
        <f t="shared" si="68"/>
        <v>68850</v>
      </c>
      <c r="K1363" s="252">
        <f t="shared" si="68"/>
        <v>73950</v>
      </c>
      <c r="L1363" s="252">
        <f t="shared" si="68"/>
        <v>79050</v>
      </c>
      <c r="M1363" s="252">
        <f t="shared" si="68"/>
        <v>84150</v>
      </c>
    </row>
    <row r="1364" spans="1:13" ht="21.95" customHeight="1" x14ac:dyDescent="0.25">
      <c r="A1364" s="36" t="s">
        <v>2904</v>
      </c>
      <c r="B1364" s="36" t="str">
        <f t="shared" si="67"/>
        <v>MS_MARION COUNTY, MS</v>
      </c>
      <c r="D1364" s="265" t="s">
        <v>81</v>
      </c>
      <c r="E1364" s="266" t="s">
        <v>4171</v>
      </c>
      <c r="F1364" s="252">
        <f t="shared" si="68"/>
        <v>38750</v>
      </c>
      <c r="G1364" s="252">
        <f t="shared" si="68"/>
        <v>44250</v>
      </c>
      <c r="H1364" s="252">
        <f t="shared" si="68"/>
        <v>49800</v>
      </c>
      <c r="I1364" s="252">
        <f t="shared" si="68"/>
        <v>55300</v>
      </c>
      <c r="J1364" s="252">
        <f t="shared" si="68"/>
        <v>59750</v>
      </c>
      <c r="K1364" s="252">
        <f t="shared" si="68"/>
        <v>64150</v>
      </c>
      <c r="L1364" s="252">
        <f t="shared" si="68"/>
        <v>68600</v>
      </c>
      <c r="M1364" s="252">
        <f t="shared" si="68"/>
        <v>73000</v>
      </c>
    </row>
    <row r="1365" spans="1:13" ht="21.95" customHeight="1" x14ac:dyDescent="0.25">
      <c r="A1365" s="36" t="s">
        <v>2904</v>
      </c>
      <c r="B1365" s="36" t="str">
        <f t="shared" si="67"/>
        <v>MS_MARSHALL COUNTY, MS HUD METRO FMR AREA</v>
      </c>
      <c r="D1365" s="265" t="s">
        <v>81</v>
      </c>
      <c r="E1365" s="266" t="s">
        <v>4172</v>
      </c>
      <c r="F1365" s="252">
        <f t="shared" si="68"/>
        <v>38750</v>
      </c>
      <c r="G1365" s="252">
        <f t="shared" si="68"/>
        <v>44250</v>
      </c>
      <c r="H1365" s="252">
        <f t="shared" si="68"/>
        <v>49800</v>
      </c>
      <c r="I1365" s="252">
        <f t="shared" si="68"/>
        <v>55300</v>
      </c>
      <c r="J1365" s="252">
        <f t="shared" si="68"/>
        <v>59750</v>
      </c>
      <c r="K1365" s="252">
        <f t="shared" si="68"/>
        <v>64150</v>
      </c>
      <c r="L1365" s="252">
        <f t="shared" si="68"/>
        <v>68600</v>
      </c>
      <c r="M1365" s="252">
        <f t="shared" si="68"/>
        <v>73000</v>
      </c>
    </row>
    <row r="1366" spans="1:13" ht="21.95" customHeight="1" x14ac:dyDescent="0.25">
      <c r="A1366" s="36" t="s">
        <v>2904</v>
      </c>
      <c r="B1366" s="36" t="str">
        <f t="shared" si="67"/>
        <v>MS_MEMPHIS, TN-MS-AR HUD METRO FMR AREA</v>
      </c>
      <c r="D1366" s="265" t="s">
        <v>81</v>
      </c>
      <c r="E1366" s="266" t="s">
        <v>3074</v>
      </c>
      <c r="F1366" s="252">
        <f t="shared" si="68"/>
        <v>51050</v>
      </c>
      <c r="G1366" s="252">
        <f t="shared" si="68"/>
        <v>58350</v>
      </c>
      <c r="H1366" s="252">
        <f t="shared" si="68"/>
        <v>65650</v>
      </c>
      <c r="I1366" s="252">
        <f t="shared" si="68"/>
        <v>72900</v>
      </c>
      <c r="J1366" s="252">
        <f t="shared" si="68"/>
        <v>78750</v>
      </c>
      <c r="K1366" s="252">
        <f t="shared" si="68"/>
        <v>84600</v>
      </c>
      <c r="L1366" s="252">
        <f t="shared" si="68"/>
        <v>90400</v>
      </c>
      <c r="M1366" s="252">
        <f t="shared" si="68"/>
        <v>96250</v>
      </c>
    </row>
    <row r="1367" spans="1:13" ht="21.95" customHeight="1" x14ac:dyDescent="0.25">
      <c r="A1367" s="36" t="s">
        <v>2904</v>
      </c>
      <c r="B1367" s="36" t="str">
        <f t="shared" si="67"/>
        <v>MS_MONROE COUNTY, MS</v>
      </c>
      <c r="D1367" s="265" t="s">
        <v>81</v>
      </c>
      <c r="E1367" s="266" t="s">
        <v>4173</v>
      </c>
      <c r="F1367" s="252">
        <f t="shared" si="68"/>
        <v>40700</v>
      </c>
      <c r="G1367" s="252">
        <f t="shared" si="68"/>
        <v>46500</v>
      </c>
      <c r="H1367" s="252">
        <f t="shared" si="68"/>
        <v>52300</v>
      </c>
      <c r="I1367" s="252">
        <f t="shared" si="68"/>
        <v>58100</v>
      </c>
      <c r="J1367" s="252">
        <f t="shared" si="68"/>
        <v>62750</v>
      </c>
      <c r="K1367" s="252">
        <f t="shared" si="68"/>
        <v>67400</v>
      </c>
      <c r="L1367" s="252">
        <f t="shared" si="68"/>
        <v>72050</v>
      </c>
      <c r="M1367" s="252">
        <f t="shared" si="68"/>
        <v>76700</v>
      </c>
    </row>
    <row r="1368" spans="1:13" ht="21.95" customHeight="1" x14ac:dyDescent="0.25">
      <c r="A1368" s="36" t="s">
        <v>2904</v>
      </c>
      <c r="B1368" s="36" t="str">
        <f t="shared" si="67"/>
        <v>MS_MONTGOMERY COUNTY, MS</v>
      </c>
      <c r="D1368" s="265" t="s">
        <v>81</v>
      </c>
      <c r="E1368" s="266" t="s">
        <v>4174</v>
      </c>
      <c r="F1368" s="252">
        <f t="shared" si="68"/>
        <v>38750</v>
      </c>
      <c r="G1368" s="252">
        <f t="shared" si="68"/>
        <v>44250</v>
      </c>
      <c r="H1368" s="252">
        <f t="shared" si="68"/>
        <v>49800</v>
      </c>
      <c r="I1368" s="252">
        <f t="shared" si="68"/>
        <v>55300</v>
      </c>
      <c r="J1368" s="252">
        <f t="shared" si="68"/>
        <v>59750</v>
      </c>
      <c r="K1368" s="252">
        <f t="shared" si="68"/>
        <v>64150</v>
      </c>
      <c r="L1368" s="252">
        <f t="shared" si="68"/>
        <v>68600</v>
      </c>
      <c r="M1368" s="252">
        <f t="shared" si="68"/>
        <v>73000</v>
      </c>
    </row>
    <row r="1369" spans="1:13" ht="21.95" customHeight="1" x14ac:dyDescent="0.25">
      <c r="A1369" s="36" t="s">
        <v>2904</v>
      </c>
      <c r="B1369" s="36" t="str">
        <f t="shared" si="67"/>
        <v>MS_NESHOBA COUNTY, MS</v>
      </c>
      <c r="D1369" s="265" t="s">
        <v>81</v>
      </c>
      <c r="E1369" s="266" t="s">
        <v>4175</v>
      </c>
      <c r="F1369" s="252">
        <f t="shared" si="68"/>
        <v>38750</v>
      </c>
      <c r="G1369" s="252">
        <f t="shared" si="68"/>
        <v>44250</v>
      </c>
      <c r="H1369" s="252">
        <f t="shared" si="68"/>
        <v>49800</v>
      </c>
      <c r="I1369" s="252">
        <f t="shared" si="68"/>
        <v>55300</v>
      </c>
      <c r="J1369" s="252">
        <f t="shared" si="68"/>
        <v>59750</v>
      </c>
      <c r="K1369" s="252">
        <f t="shared" si="68"/>
        <v>64150</v>
      </c>
      <c r="L1369" s="252">
        <f t="shared" si="68"/>
        <v>68600</v>
      </c>
      <c r="M1369" s="252">
        <f t="shared" si="68"/>
        <v>73000</v>
      </c>
    </row>
    <row r="1370" spans="1:13" ht="21.95" customHeight="1" x14ac:dyDescent="0.25">
      <c r="A1370" s="36" t="s">
        <v>2904</v>
      </c>
      <c r="B1370" s="36" t="str">
        <f t="shared" si="67"/>
        <v>MS_NEWTON COUNTY, MS</v>
      </c>
      <c r="D1370" s="265" t="s">
        <v>81</v>
      </c>
      <c r="E1370" s="266" t="s">
        <v>4176</v>
      </c>
      <c r="F1370" s="252">
        <f t="shared" si="68"/>
        <v>39400</v>
      </c>
      <c r="G1370" s="252">
        <f t="shared" si="68"/>
        <v>45000</v>
      </c>
      <c r="H1370" s="252">
        <f t="shared" si="68"/>
        <v>50650</v>
      </c>
      <c r="I1370" s="252">
        <f t="shared" si="68"/>
        <v>56250</v>
      </c>
      <c r="J1370" s="252">
        <f t="shared" si="68"/>
        <v>60750</v>
      </c>
      <c r="K1370" s="252">
        <f t="shared" si="68"/>
        <v>65250</v>
      </c>
      <c r="L1370" s="252">
        <f t="shared" si="68"/>
        <v>69750</v>
      </c>
      <c r="M1370" s="252">
        <f t="shared" si="68"/>
        <v>74250</v>
      </c>
    </row>
    <row r="1371" spans="1:13" ht="21.95" customHeight="1" x14ac:dyDescent="0.25">
      <c r="A1371" s="36" t="s">
        <v>2904</v>
      </c>
      <c r="B1371" s="36" t="str">
        <f t="shared" si="67"/>
        <v>MS_NOXUBEE COUNTY, MS</v>
      </c>
      <c r="D1371" s="265" t="s">
        <v>81</v>
      </c>
      <c r="E1371" s="266" t="s">
        <v>4177</v>
      </c>
      <c r="F1371" s="252">
        <f t="shared" si="68"/>
        <v>38750</v>
      </c>
      <c r="G1371" s="252">
        <f t="shared" si="68"/>
        <v>44250</v>
      </c>
      <c r="H1371" s="252">
        <f t="shared" si="68"/>
        <v>49800</v>
      </c>
      <c r="I1371" s="252">
        <f t="shared" si="68"/>
        <v>55300</v>
      </c>
      <c r="J1371" s="252">
        <f t="shared" si="68"/>
        <v>59750</v>
      </c>
      <c r="K1371" s="252">
        <f t="shared" si="68"/>
        <v>64150</v>
      </c>
      <c r="L1371" s="252">
        <f t="shared" si="68"/>
        <v>68600</v>
      </c>
      <c r="M1371" s="252">
        <f t="shared" si="68"/>
        <v>73000</v>
      </c>
    </row>
    <row r="1372" spans="1:13" ht="21.95" customHeight="1" x14ac:dyDescent="0.25">
      <c r="A1372" s="36" t="s">
        <v>2904</v>
      </c>
      <c r="B1372" s="36" t="str">
        <f t="shared" si="67"/>
        <v>MS_OKTIBBEHA COUNTY, MS</v>
      </c>
      <c r="D1372" s="265" t="s">
        <v>81</v>
      </c>
      <c r="E1372" s="266" t="s">
        <v>4178</v>
      </c>
      <c r="F1372" s="252">
        <f t="shared" si="68"/>
        <v>45850</v>
      </c>
      <c r="G1372" s="252">
        <f t="shared" si="68"/>
        <v>52400</v>
      </c>
      <c r="H1372" s="252">
        <f t="shared" si="68"/>
        <v>58950</v>
      </c>
      <c r="I1372" s="252">
        <f t="shared" si="68"/>
        <v>65450</v>
      </c>
      <c r="J1372" s="252">
        <f t="shared" si="68"/>
        <v>70700</v>
      </c>
      <c r="K1372" s="252">
        <f t="shared" si="68"/>
        <v>75950</v>
      </c>
      <c r="L1372" s="252">
        <f t="shared" si="68"/>
        <v>81200</v>
      </c>
      <c r="M1372" s="252">
        <f t="shared" si="68"/>
        <v>86400</v>
      </c>
    </row>
    <row r="1373" spans="1:13" ht="21.95" customHeight="1" x14ac:dyDescent="0.25">
      <c r="A1373" s="36" t="s">
        <v>2904</v>
      </c>
      <c r="B1373" s="36" t="str">
        <f t="shared" si="67"/>
        <v>MS_PANOLA COUNTY, MS</v>
      </c>
      <c r="D1373" s="265" t="s">
        <v>81</v>
      </c>
      <c r="E1373" s="266" t="s">
        <v>4179</v>
      </c>
      <c r="F1373" s="252">
        <f t="shared" si="68"/>
        <v>38750</v>
      </c>
      <c r="G1373" s="252">
        <f t="shared" si="68"/>
        <v>44250</v>
      </c>
      <c r="H1373" s="252">
        <f t="shared" si="68"/>
        <v>49800</v>
      </c>
      <c r="I1373" s="252">
        <f t="shared" si="68"/>
        <v>55300</v>
      </c>
      <c r="J1373" s="252">
        <f t="shared" si="68"/>
        <v>59750</v>
      </c>
      <c r="K1373" s="252">
        <f t="shared" si="68"/>
        <v>64150</v>
      </c>
      <c r="L1373" s="252">
        <f t="shared" si="68"/>
        <v>68600</v>
      </c>
      <c r="M1373" s="252">
        <f t="shared" si="68"/>
        <v>73000</v>
      </c>
    </row>
    <row r="1374" spans="1:13" ht="21.95" customHeight="1" x14ac:dyDescent="0.25">
      <c r="A1374" s="36" t="s">
        <v>2904</v>
      </c>
      <c r="B1374" s="36" t="str">
        <f t="shared" si="67"/>
        <v>MS_PASCAGOULA, MS HUD METRO FMR AREA</v>
      </c>
      <c r="D1374" s="265" t="s">
        <v>81</v>
      </c>
      <c r="E1374" s="266" t="s">
        <v>4180</v>
      </c>
      <c r="F1374" s="252">
        <f t="shared" si="68"/>
        <v>48650</v>
      </c>
      <c r="G1374" s="252">
        <f t="shared" si="68"/>
        <v>55600</v>
      </c>
      <c r="H1374" s="252">
        <f t="shared" si="68"/>
        <v>62550</v>
      </c>
      <c r="I1374" s="252">
        <f t="shared" si="68"/>
        <v>69450</v>
      </c>
      <c r="J1374" s="252">
        <f t="shared" si="68"/>
        <v>75050</v>
      </c>
      <c r="K1374" s="252">
        <f t="shared" si="68"/>
        <v>80600</v>
      </c>
      <c r="L1374" s="252">
        <f t="shared" si="68"/>
        <v>86150</v>
      </c>
      <c r="M1374" s="252">
        <f t="shared" si="68"/>
        <v>91700</v>
      </c>
    </row>
    <row r="1375" spans="1:13" ht="21.95" customHeight="1" x14ac:dyDescent="0.25">
      <c r="A1375" s="36" t="s">
        <v>2904</v>
      </c>
      <c r="B1375" s="36" t="str">
        <f t="shared" si="67"/>
        <v>MS_PEARL RIVER COUNTY, MS</v>
      </c>
      <c r="D1375" s="265" t="s">
        <v>81</v>
      </c>
      <c r="E1375" s="266" t="s">
        <v>4181</v>
      </c>
      <c r="F1375" s="252">
        <f t="shared" si="68"/>
        <v>43900</v>
      </c>
      <c r="G1375" s="252">
        <f t="shared" si="68"/>
        <v>50150</v>
      </c>
      <c r="H1375" s="252">
        <f t="shared" si="68"/>
        <v>56400</v>
      </c>
      <c r="I1375" s="252">
        <f t="shared" si="68"/>
        <v>62650</v>
      </c>
      <c r="J1375" s="252">
        <f t="shared" si="68"/>
        <v>67700</v>
      </c>
      <c r="K1375" s="252">
        <f t="shared" si="68"/>
        <v>72700</v>
      </c>
      <c r="L1375" s="252">
        <f t="shared" si="68"/>
        <v>77700</v>
      </c>
      <c r="M1375" s="252">
        <f t="shared" si="68"/>
        <v>82700</v>
      </c>
    </row>
    <row r="1376" spans="1:13" ht="21.95" customHeight="1" x14ac:dyDescent="0.25">
      <c r="A1376" s="36" t="s">
        <v>2904</v>
      </c>
      <c r="B1376" s="36" t="str">
        <f t="shared" si="67"/>
        <v>MS_PIKE COUNTY, MS</v>
      </c>
      <c r="D1376" s="265" t="s">
        <v>81</v>
      </c>
      <c r="E1376" s="266" t="s">
        <v>4182</v>
      </c>
      <c r="F1376" s="252">
        <f t="shared" si="68"/>
        <v>38750</v>
      </c>
      <c r="G1376" s="252">
        <f t="shared" si="68"/>
        <v>44250</v>
      </c>
      <c r="H1376" s="252">
        <f t="shared" si="68"/>
        <v>49800</v>
      </c>
      <c r="I1376" s="252">
        <f t="shared" si="68"/>
        <v>55300</v>
      </c>
      <c r="J1376" s="252">
        <f t="shared" si="68"/>
        <v>59750</v>
      </c>
      <c r="K1376" s="252">
        <f t="shared" si="68"/>
        <v>64150</v>
      </c>
      <c r="L1376" s="252">
        <f t="shared" si="68"/>
        <v>68600</v>
      </c>
      <c r="M1376" s="252">
        <f t="shared" si="68"/>
        <v>73000</v>
      </c>
    </row>
    <row r="1377" spans="1:13" ht="21.95" customHeight="1" x14ac:dyDescent="0.25">
      <c r="A1377" s="36" t="s">
        <v>2904</v>
      </c>
      <c r="B1377" s="36" t="str">
        <f t="shared" si="67"/>
        <v>MS_PONTOTOC COUNTY, MS</v>
      </c>
      <c r="D1377" s="265" t="s">
        <v>81</v>
      </c>
      <c r="E1377" s="266" t="s">
        <v>4183</v>
      </c>
      <c r="F1377" s="252">
        <f t="shared" si="68"/>
        <v>42250</v>
      </c>
      <c r="G1377" s="252">
        <f t="shared" si="68"/>
        <v>48250</v>
      </c>
      <c r="H1377" s="252">
        <f t="shared" si="68"/>
        <v>54300</v>
      </c>
      <c r="I1377" s="252">
        <f t="shared" si="68"/>
        <v>60300</v>
      </c>
      <c r="J1377" s="252">
        <f t="shared" si="68"/>
        <v>65150</v>
      </c>
      <c r="K1377" s="252">
        <f t="shared" si="68"/>
        <v>69950</v>
      </c>
      <c r="L1377" s="252">
        <f t="shared" si="68"/>
        <v>74800</v>
      </c>
      <c r="M1377" s="252">
        <f t="shared" si="68"/>
        <v>79600</v>
      </c>
    </row>
    <row r="1378" spans="1:13" ht="21.95" customHeight="1" x14ac:dyDescent="0.25">
      <c r="A1378" s="36" t="s">
        <v>2904</v>
      </c>
      <c r="B1378" s="36" t="str">
        <f t="shared" si="67"/>
        <v>MS_PRENTISS COUNTY, MS</v>
      </c>
      <c r="D1378" s="265" t="s">
        <v>81</v>
      </c>
      <c r="E1378" s="266" t="s">
        <v>4184</v>
      </c>
      <c r="F1378" s="252">
        <f t="shared" si="68"/>
        <v>39600</v>
      </c>
      <c r="G1378" s="252">
        <f t="shared" si="68"/>
        <v>45250</v>
      </c>
      <c r="H1378" s="252">
        <f t="shared" si="68"/>
        <v>50900</v>
      </c>
      <c r="I1378" s="252">
        <f t="shared" si="68"/>
        <v>56550</v>
      </c>
      <c r="J1378" s="252">
        <f t="shared" si="68"/>
        <v>61100</v>
      </c>
      <c r="K1378" s="252">
        <f t="shared" si="68"/>
        <v>65600</v>
      </c>
      <c r="L1378" s="252">
        <f t="shared" si="68"/>
        <v>70150</v>
      </c>
      <c r="M1378" s="252">
        <f t="shared" si="68"/>
        <v>74650</v>
      </c>
    </row>
    <row r="1379" spans="1:13" ht="21.95" customHeight="1" x14ac:dyDescent="0.25">
      <c r="A1379" s="36" t="s">
        <v>2904</v>
      </c>
      <c r="B1379" s="36" t="str">
        <f t="shared" si="67"/>
        <v>MS_QUITMAN COUNTY, MS</v>
      </c>
      <c r="D1379" s="265" t="s">
        <v>81</v>
      </c>
      <c r="E1379" s="266" t="s">
        <v>4185</v>
      </c>
      <c r="F1379" s="252">
        <f t="shared" si="68"/>
        <v>38750</v>
      </c>
      <c r="G1379" s="252">
        <f t="shared" si="68"/>
        <v>44250</v>
      </c>
      <c r="H1379" s="252">
        <f t="shared" si="68"/>
        <v>49800</v>
      </c>
      <c r="I1379" s="252">
        <f t="shared" si="68"/>
        <v>55300</v>
      </c>
      <c r="J1379" s="252">
        <f t="shared" si="68"/>
        <v>59750</v>
      </c>
      <c r="K1379" s="252">
        <f t="shared" si="68"/>
        <v>64150</v>
      </c>
      <c r="L1379" s="252">
        <f t="shared" si="68"/>
        <v>68600</v>
      </c>
      <c r="M1379" s="252">
        <f t="shared" si="68"/>
        <v>73000</v>
      </c>
    </row>
    <row r="1380" spans="1:13" ht="21.95" customHeight="1" x14ac:dyDescent="0.25">
      <c r="A1380" s="36" t="s">
        <v>2904</v>
      </c>
      <c r="B1380" s="36" t="str">
        <f t="shared" si="67"/>
        <v>MS_SCOTT COUNTY, MS HUD METRO FMR AREA</v>
      </c>
      <c r="D1380" s="265" t="s">
        <v>81</v>
      </c>
      <c r="E1380" s="266" t="s">
        <v>9214</v>
      </c>
      <c r="F1380" s="252">
        <f t="shared" si="68"/>
        <v>38750</v>
      </c>
      <c r="G1380" s="252">
        <f t="shared" si="68"/>
        <v>44250</v>
      </c>
      <c r="H1380" s="252">
        <f t="shared" si="68"/>
        <v>49800</v>
      </c>
      <c r="I1380" s="252">
        <f t="shared" si="68"/>
        <v>55300</v>
      </c>
      <c r="J1380" s="252">
        <f t="shared" si="68"/>
        <v>59750</v>
      </c>
      <c r="K1380" s="252">
        <f t="shared" si="68"/>
        <v>64150</v>
      </c>
      <c r="L1380" s="252">
        <f t="shared" si="68"/>
        <v>68600</v>
      </c>
      <c r="M1380" s="252">
        <f t="shared" ref="F1380:M1412" si="69">VLOOKUP($B1380,LOOKUP_AMI_TABLE,5+((M$7-1)),FALSE)</f>
        <v>73000</v>
      </c>
    </row>
    <row r="1381" spans="1:13" ht="21.95" customHeight="1" x14ac:dyDescent="0.25">
      <c r="A1381" s="36" t="s">
        <v>2904</v>
      </c>
      <c r="B1381" s="36" t="str">
        <f t="shared" si="67"/>
        <v>MS_SHARKEY COUNTY, MS</v>
      </c>
      <c r="D1381" s="265" t="s">
        <v>81</v>
      </c>
      <c r="E1381" s="266" t="s">
        <v>4186</v>
      </c>
      <c r="F1381" s="252">
        <f t="shared" si="69"/>
        <v>38750</v>
      </c>
      <c r="G1381" s="252">
        <f t="shared" si="69"/>
        <v>44250</v>
      </c>
      <c r="H1381" s="252">
        <f t="shared" si="69"/>
        <v>49800</v>
      </c>
      <c r="I1381" s="252">
        <f t="shared" si="69"/>
        <v>55300</v>
      </c>
      <c r="J1381" s="252">
        <f t="shared" si="69"/>
        <v>59750</v>
      </c>
      <c r="K1381" s="252">
        <f t="shared" si="69"/>
        <v>64150</v>
      </c>
      <c r="L1381" s="252">
        <f t="shared" si="69"/>
        <v>68600</v>
      </c>
      <c r="M1381" s="252">
        <f t="shared" si="69"/>
        <v>73000</v>
      </c>
    </row>
    <row r="1382" spans="1:13" ht="21.95" customHeight="1" x14ac:dyDescent="0.25">
      <c r="A1382" s="36" t="s">
        <v>2904</v>
      </c>
      <c r="B1382" s="36" t="str">
        <f t="shared" si="67"/>
        <v>MS_SIMPSON COUNTY, MS HUD METRO FMR AREA</v>
      </c>
      <c r="D1382" s="265" t="s">
        <v>81</v>
      </c>
      <c r="E1382" s="266" t="s">
        <v>4187</v>
      </c>
      <c r="F1382" s="252">
        <f t="shared" si="69"/>
        <v>39400</v>
      </c>
      <c r="G1382" s="252">
        <f t="shared" si="69"/>
        <v>45000</v>
      </c>
      <c r="H1382" s="252">
        <f t="shared" si="69"/>
        <v>50650</v>
      </c>
      <c r="I1382" s="252">
        <f t="shared" si="69"/>
        <v>56250</v>
      </c>
      <c r="J1382" s="252">
        <f t="shared" si="69"/>
        <v>60750</v>
      </c>
      <c r="K1382" s="252">
        <f t="shared" si="69"/>
        <v>65250</v>
      </c>
      <c r="L1382" s="252">
        <f t="shared" si="69"/>
        <v>69750</v>
      </c>
      <c r="M1382" s="252">
        <f t="shared" si="69"/>
        <v>74250</v>
      </c>
    </row>
    <row r="1383" spans="1:13" ht="21.95" customHeight="1" x14ac:dyDescent="0.25">
      <c r="A1383" s="36" t="s">
        <v>2904</v>
      </c>
      <c r="B1383" s="36" t="str">
        <f t="shared" si="67"/>
        <v>MS_SMITH COUNTY, MS</v>
      </c>
      <c r="D1383" s="265" t="s">
        <v>81</v>
      </c>
      <c r="E1383" s="266" t="s">
        <v>4188</v>
      </c>
      <c r="F1383" s="252">
        <f t="shared" si="69"/>
        <v>41550</v>
      </c>
      <c r="G1383" s="252">
        <f t="shared" si="69"/>
        <v>47450</v>
      </c>
      <c r="H1383" s="252">
        <f t="shared" si="69"/>
        <v>53400</v>
      </c>
      <c r="I1383" s="252">
        <f t="shared" si="69"/>
        <v>59300</v>
      </c>
      <c r="J1383" s="252">
        <f t="shared" si="69"/>
        <v>64050</v>
      </c>
      <c r="K1383" s="252">
        <f t="shared" si="69"/>
        <v>68800</v>
      </c>
      <c r="L1383" s="252">
        <f t="shared" si="69"/>
        <v>73550</v>
      </c>
      <c r="M1383" s="252">
        <f t="shared" si="69"/>
        <v>78300</v>
      </c>
    </row>
    <row r="1384" spans="1:13" ht="21.95" customHeight="1" x14ac:dyDescent="0.25">
      <c r="A1384" s="36" t="s">
        <v>2904</v>
      </c>
      <c r="B1384" s="36" t="str">
        <f t="shared" si="67"/>
        <v>MS_STONE COUNTY, MS HUD METRO FMR AREA</v>
      </c>
      <c r="D1384" s="265" t="s">
        <v>81</v>
      </c>
      <c r="E1384" s="266" t="s">
        <v>4189</v>
      </c>
      <c r="F1384" s="252">
        <f t="shared" si="69"/>
        <v>42500</v>
      </c>
      <c r="G1384" s="252">
        <f t="shared" si="69"/>
        <v>48600</v>
      </c>
      <c r="H1384" s="252">
        <f t="shared" si="69"/>
        <v>54650</v>
      </c>
      <c r="I1384" s="252">
        <f t="shared" si="69"/>
        <v>60700</v>
      </c>
      <c r="J1384" s="252">
        <f t="shared" si="69"/>
        <v>65600</v>
      </c>
      <c r="K1384" s="252">
        <f t="shared" si="69"/>
        <v>70450</v>
      </c>
      <c r="L1384" s="252">
        <f t="shared" si="69"/>
        <v>75300</v>
      </c>
      <c r="M1384" s="252">
        <f t="shared" si="69"/>
        <v>80150</v>
      </c>
    </row>
    <row r="1385" spans="1:13" ht="21.95" customHeight="1" x14ac:dyDescent="0.25">
      <c r="A1385" s="36" t="s">
        <v>2904</v>
      </c>
      <c r="B1385" s="36" t="str">
        <f t="shared" si="67"/>
        <v>MS_SUNFLOWER COUNTY, MS</v>
      </c>
      <c r="D1385" s="265" t="s">
        <v>81</v>
      </c>
      <c r="E1385" s="266" t="s">
        <v>4190</v>
      </c>
      <c r="F1385" s="252">
        <f t="shared" si="69"/>
        <v>38750</v>
      </c>
      <c r="G1385" s="252">
        <f t="shared" si="69"/>
        <v>44250</v>
      </c>
      <c r="H1385" s="252">
        <f t="shared" si="69"/>
        <v>49800</v>
      </c>
      <c r="I1385" s="252">
        <f t="shared" si="69"/>
        <v>55300</v>
      </c>
      <c r="J1385" s="252">
        <f t="shared" si="69"/>
        <v>59750</v>
      </c>
      <c r="K1385" s="252">
        <f t="shared" si="69"/>
        <v>64150</v>
      </c>
      <c r="L1385" s="252">
        <f t="shared" si="69"/>
        <v>68600</v>
      </c>
      <c r="M1385" s="252">
        <f t="shared" si="69"/>
        <v>73000</v>
      </c>
    </row>
    <row r="1386" spans="1:13" ht="21.95" customHeight="1" x14ac:dyDescent="0.25">
      <c r="A1386" s="36" t="s">
        <v>2904</v>
      </c>
      <c r="B1386" s="36" t="str">
        <f t="shared" si="67"/>
        <v>MS_TALLAHATCHIE COUNTY, MS</v>
      </c>
      <c r="D1386" s="265" t="s">
        <v>81</v>
      </c>
      <c r="E1386" s="266" t="s">
        <v>4191</v>
      </c>
      <c r="F1386" s="252">
        <f t="shared" si="69"/>
        <v>38750</v>
      </c>
      <c r="G1386" s="252">
        <f t="shared" si="69"/>
        <v>44250</v>
      </c>
      <c r="H1386" s="252">
        <f t="shared" si="69"/>
        <v>49800</v>
      </c>
      <c r="I1386" s="252">
        <f t="shared" si="69"/>
        <v>55300</v>
      </c>
      <c r="J1386" s="252">
        <f t="shared" si="69"/>
        <v>59750</v>
      </c>
      <c r="K1386" s="252">
        <f t="shared" si="69"/>
        <v>64150</v>
      </c>
      <c r="L1386" s="252">
        <f t="shared" si="69"/>
        <v>68600</v>
      </c>
      <c r="M1386" s="252">
        <f t="shared" si="69"/>
        <v>73000</v>
      </c>
    </row>
    <row r="1387" spans="1:13" ht="21.95" customHeight="1" x14ac:dyDescent="0.25">
      <c r="A1387" s="36" t="s">
        <v>2904</v>
      </c>
      <c r="B1387" s="36" t="str">
        <f t="shared" si="67"/>
        <v>MS_TATE COUNTY, MS HUD METRO FMR AREA</v>
      </c>
      <c r="D1387" s="265" t="s">
        <v>81</v>
      </c>
      <c r="E1387" s="266" t="s">
        <v>4192</v>
      </c>
      <c r="F1387" s="252">
        <f t="shared" si="69"/>
        <v>43350</v>
      </c>
      <c r="G1387" s="252">
        <f t="shared" si="69"/>
        <v>49550</v>
      </c>
      <c r="H1387" s="252">
        <f t="shared" si="69"/>
        <v>55750</v>
      </c>
      <c r="I1387" s="252">
        <f t="shared" si="69"/>
        <v>61900</v>
      </c>
      <c r="J1387" s="252">
        <f t="shared" si="69"/>
        <v>66900</v>
      </c>
      <c r="K1387" s="252">
        <f t="shared" si="69"/>
        <v>71850</v>
      </c>
      <c r="L1387" s="252">
        <f t="shared" si="69"/>
        <v>76800</v>
      </c>
      <c r="M1387" s="252">
        <f t="shared" si="69"/>
        <v>81750</v>
      </c>
    </row>
    <row r="1388" spans="1:13" ht="21.95" customHeight="1" x14ac:dyDescent="0.25">
      <c r="A1388" s="36" t="s">
        <v>2904</v>
      </c>
      <c r="B1388" s="36" t="str">
        <f t="shared" si="67"/>
        <v>MS_TIPPAH COUNTY, MS</v>
      </c>
      <c r="D1388" s="265" t="s">
        <v>81</v>
      </c>
      <c r="E1388" s="266" t="s">
        <v>4193</v>
      </c>
      <c r="F1388" s="252">
        <f t="shared" si="69"/>
        <v>38750</v>
      </c>
      <c r="G1388" s="252">
        <f t="shared" si="69"/>
        <v>44250</v>
      </c>
      <c r="H1388" s="252">
        <f t="shared" si="69"/>
        <v>49800</v>
      </c>
      <c r="I1388" s="252">
        <f t="shared" si="69"/>
        <v>55300</v>
      </c>
      <c r="J1388" s="252">
        <f t="shared" si="69"/>
        <v>59750</v>
      </c>
      <c r="K1388" s="252">
        <f t="shared" si="69"/>
        <v>64150</v>
      </c>
      <c r="L1388" s="252">
        <f t="shared" si="69"/>
        <v>68600</v>
      </c>
      <c r="M1388" s="252">
        <f t="shared" si="69"/>
        <v>73000</v>
      </c>
    </row>
    <row r="1389" spans="1:13" ht="21.95" customHeight="1" x14ac:dyDescent="0.25">
      <c r="A1389" s="36" t="s">
        <v>2904</v>
      </c>
      <c r="B1389" s="36" t="str">
        <f t="shared" si="67"/>
        <v>MS_TISHOMINGO COUNTY, MS</v>
      </c>
      <c r="D1389" s="265" t="s">
        <v>81</v>
      </c>
      <c r="E1389" s="266" t="s">
        <v>4194</v>
      </c>
      <c r="F1389" s="252">
        <f t="shared" si="69"/>
        <v>41800</v>
      </c>
      <c r="G1389" s="252">
        <f t="shared" si="69"/>
        <v>47800</v>
      </c>
      <c r="H1389" s="252">
        <f t="shared" si="69"/>
        <v>53750</v>
      </c>
      <c r="I1389" s="252">
        <f t="shared" si="69"/>
        <v>59700</v>
      </c>
      <c r="J1389" s="252">
        <f t="shared" si="69"/>
        <v>64500</v>
      </c>
      <c r="K1389" s="252">
        <f t="shared" si="69"/>
        <v>69300</v>
      </c>
      <c r="L1389" s="252">
        <f t="shared" si="69"/>
        <v>74050</v>
      </c>
      <c r="M1389" s="252">
        <f t="shared" si="69"/>
        <v>78850</v>
      </c>
    </row>
    <row r="1390" spans="1:13" ht="21.95" customHeight="1" x14ac:dyDescent="0.25">
      <c r="A1390" s="36" t="s">
        <v>2904</v>
      </c>
      <c r="B1390" s="36" t="str">
        <f t="shared" si="67"/>
        <v>MS_TUNICA COUNTY, MS HUD METRO FMR AREA</v>
      </c>
      <c r="D1390" s="265" t="s">
        <v>81</v>
      </c>
      <c r="E1390" s="266" t="s">
        <v>4195</v>
      </c>
      <c r="F1390" s="252">
        <f t="shared" si="69"/>
        <v>40250</v>
      </c>
      <c r="G1390" s="252">
        <f t="shared" si="69"/>
        <v>46000</v>
      </c>
      <c r="H1390" s="252">
        <f t="shared" si="69"/>
        <v>51750</v>
      </c>
      <c r="I1390" s="252">
        <f t="shared" si="69"/>
        <v>57500</v>
      </c>
      <c r="J1390" s="252">
        <f t="shared" si="69"/>
        <v>62100</v>
      </c>
      <c r="K1390" s="252">
        <f t="shared" si="69"/>
        <v>66700</v>
      </c>
      <c r="L1390" s="252">
        <f t="shared" si="69"/>
        <v>71300</v>
      </c>
      <c r="M1390" s="252">
        <f t="shared" si="69"/>
        <v>75900</v>
      </c>
    </row>
    <row r="1391" spans="1:13" ht="21.95" customHeight="1" x14ac:dyDescent="0.25">
      <c r="A1391" s="36" t="s">
        <v>2904</v>
      </c>
      <c r="B1391" s="36" t="str">
        <f t="shared" si="67"/>
        <v>MS_UNION COUNTY, MS</v>
      </c>
      <c r="D1391" s="265" t="s">
        <v>81</v>
      </c>
      <c r="E1391" s="266" t="s">
        <v>4196</v>
      </c>
      <c r="F1391" s="252">
        <f t="shared" si="69"/>
        <v>42750</v>
      </c>
      <c r="G1391" s="252">
        <f t="shared" si="69"/>
        <v>48850</v>
      </c>
      <c r="H1391" s="252">
        <f t="shared" si="69"/>
        <v>54950</v>
      </c>
      <c r="I1391" s="252">
        <f t="shared" si="69"/>
        <v>61050</v>
      </c>
      <c r="J1391" s="252">
        <f t="shared" si="69"/>
        <v>65950</v>
      </c>
      <c r="K1391" s="252">
        <f t="shared" si="69"/>
        <v>70850</v>
      </c>
      <c r="L1391" s="252">
        <f t="shared" si="69"/>
        <v>75750</v>
      </c>
      <c r="M1391" s="252">
        <f t="shared" si="69"/>
        <v>80600</v>
      </c>
    </row>
    <row r="1392" spans="1:13" ht="21.95" customHeight="1" x14ac:dyDescent="0.25">
      <c r="A1392" s="36" t="s">
        <v>2904</v>
      </c>
      <c r="B1392" s="36" t="str">
        <f t="shared" si="67"/>
        <v>MS_WALTHALL COUNTY, MS</v>
      </c>
      <c r="D1392" s="265" t="s">
        <v>81</v>
      </c>
      <c r="E1392" s="266" t="s">
        <v>4197</v>
      </c>
      <c r="F1392" s="252">
        <f t="shared" si="69"/>
        <v>38950</v>
      </c>
      <c r="G1392" s="252">
        <f t="shared" si="69"/>
        <v>44500</v>
      </c>
      <c r="H1392" s="252">
        <f t="shared" si="69"/>
        <v>50050</v>
      </c>
      <c r="I1392" s="252">
        <f t="shared" si="69"/>
        <v>55600</v>
      </c>
      <c r="J1392" s="252">
        <f t="shared" si="69"/>
        <v>60050</v>
      </c>
      <c r="K1392" s="252">
        <f t="shared" si="69"/>
        <v>64500</v>
      </c>
      <c r="L1392" s="252">
        <f t="shared" si="69"/>
        <v>68950</v>
      </c>
      <c r="M1392" s="252">
        <f t="shared" si="69"/>
        <v>73400</v>
      </c>
    </row>
    <row r="1393" spans="1:13" ht="21.95" customHeight="1" x14ac:dyDescent="0.25">
      <c r="A1393" s="36" t="s">
        <v>2904</v>
      </c>
      <c r="B1393" s="36" t="str">
        <f t="shared" si="67"/>
        <v>MS_WARREN COUNTY, MS</v>
      </c>
      <c r="D1393" s="265" t="s">
        <v>81</v>
      </c>
      <c r="E1393" s="266" t="s">
        <v>4198</v>
      </c>
      <c r="F1393" s="252">
        <f t="shared" si="69"/>
        <v>44600</v>
      </c>
      <c r="G1393" s="252">
        <f t="shared" si="69"/>
        <v>50950</v>
      </c>
      <c r="H1393" s="252">
        <f t="shared" si="69"/>
        <v>57300</v>
      </c>
      <c r="I1393" s="252">
        <f t="shared" si="69"/>
        <v>63650</v>
      </c>
      <c r="J1393" s="252">
        <f t="shared" si="69"/>
        <v>68750</v>
      </c>
      <c r="K1393" s="252">
        <f t="shared" si="69"/>
        <v>73850</v>
      </c>
      <c r="L1393" s="252">
        <f t="shared" si="69"/>
        <v>78950</v>
      </c>
      <c r="M1393" s="252">
        <f t="shared" si="69"/>
        <v>84050</v>
      </c>
    </row>
    <row r="1394" spans="1:13" ht="21.95" customHeight="1" x14ac:dyDescent="0.25">
      <c r="A1394" s="36" t="s">
        <v>2904</v>
      </c>
      <c r="B1394" s="36" t="str">
        <f t="shared" si="67"/>
        <v>MS_WASHINGTON COUNTY, MS</v>
      </c>
      <c r="D1394" s="265" t="s">
        <v>81</v>
      </c>
      <c r="E1394" s="266" t="s">
        <v>4199</v>
      </c>
      <c r="F1394" s="252">
        <f t="shared" si="69"/>
        <v>38750</v>
      </c>
      <c r="G1394" s="252">
        <f t="shared" si="69"/>
        <v>44250</v>
      </c>
      <c r="H1394" s="252">
        <f t="shared" si="69"/>
        <v>49800</v>
      </c>
      <c r="I1394" s="252">
        <f t="shared" si="69"/>
        <v>55300</v>
      </c>
      <c r="J1394" s="252">
        <f t="shared" si="69"/>
        <v>59750</v>
      </c>
      <c r="K1394" s="252">
        <f t="shared" si="69"/>
        <v>64150</v>
      </c>
      <c r="L1394" s="252">
        <f t="shared" si="69"/>
        <v>68600</v>
      </c>
      <c r="M1394" s="252">
        <f t="shared" si="69"/>
        <v>73000</v>
      </c>
    </row>
    <row r="1395" spans="1:13" ht="21.95" customHeight="1" x14ac:dyDescent="0.25">
      <c r="A1395" s="36" t="s">
        <v>2904</v>
      </c>
      <c r="B1395" s="36" t="str">
        <f t="shared" si="67"/>
        <v>MS_WAYNE COUNTY, MS</v>
      </c>
      <c r="D1395" s="265" t="s">
        <v>81</v>
      </c>
      <c r="E1395" s="266" t="s">
        <v>4200</v>
      </c>
      <c r="F1395" s="252">
        <f t="shared" si="69"/>
        <v>38750</v>
      </c>
      <c r="G1395" s="252">
        <f t="shared" si="69"/>
        <v>44250</v>
      </c>
      <c r="H1395" s="252">
        <f t="shared" si="69"/>
        <v>49800</v>
      </c>
      <c r="I1395" s="252">
        <f t="shared" si="69"/>
        <v>55300</v>
      </c>
      <c r="J1395" s="252">
        <f t="shared" si="69"/>
        <v>59750</v>
      </c>
      <c r="K1395" s="252">
        <f t="shared" si="69"/>
        <v>64150</v>
      </c>
      <c r="L1395" s="252">
        <f t="shared" si="69"/>
        <v>68600</v>
      </c>
      <c r="M1395" s="252">
        <f t="shared" si="69"/>
        <v>73000</v>
      </c>
    </row>
    <row r="1396" spans="1:13" ht="21.95" customHeight="1" x14ac:dyDescent="0.25">
      <c r="A1396" s="36" t="s">
        <v>2904</v>
      </c>
      <c r="B1396" s="36" t="str">
        <f t="shared" si="67"/>
        <v>MS_WEBSTER COUNTY, MS</v>
      </c>
      <c r="D1396" s="265" t="s">
        <v>81</v>
      </c>
      <c r="E1396" s="266" t="s">
        <v>4201</v>
      </c>
      <c r="F1396" s="252">
        <f t="shared" si="69"/>
        <v>44000</v>
      </c>
      <c r="G1396" s="252">
        <f t="shared" si="69"/>
        <v>50250</v>
      </c>
      <c r="H1396" s="252">
        <f t="shared" si="69"/>
        <v>56550</v>
      </c>
      <c r="I1396" s="252">
        <f t="shared" si="69"/>
        <v>62800</v>
      </c>
      <c r="J1396" s="252">
        <f t="shared" si="69"/>
        <v>67850</v>
      </c>
      <c r="K1396" s="252">
        <f t="shared" si="69"/>
        <v>72850</v>
      </c>
      <c r="L1396" s="252">
        <f t="shared" si="69"/>
        <v>77900</v>
      </c>
      <c r="M1396" s="252">
        <f t="shared" si="69"/>
        <v>82900</v>
      </c>
    </row>
    <row r="1397" spans="1:13" ht="21.95" customHeight="1" x14ac:dyDescent="0.25">
      <c r="A1397" s="36" t="s">
        <v>2904</v>
      </c>
      <c r="B1397" s="36" t="str">
        <f t="shared" si="67"/>
        <v>MS_WILKINSON COUNTY, MS</v>
      </c>
      <c r="D1397" s="265" t="s">
        <v>81</v>
      </c>
      <c r="E1397" s="266" t="s">
        <v>4202</v>
      </c>
      <c r="F1397" s="252">
        <f t="shared" si="69"/>
        <v>38750</v>
      </c>
      <c r="G1397" s="252">
        <f t="shared" si="69"/>
        <v>44250</v>
      </c>
      <c r="H1397" s="252">
        <f t="shared" si="69"/>
        <v>49800</v>
      </c>
      <c r="I1397" s="252">
        <f t="shared" si="69"/>
        <v>55300</v>
      </c>
      <c r="J1397" s="252">
        <f t="shared" si="69"/>
        <v>59750</v>
      </c>
      <c r="K1397" s="252">
        <f t="shared" si="69"/>
        <v>64150</v>
      </c>
      <c r="L1397" s="252">
        <f t="shared" si="69"/>
        <v>68600</v>
      </c>
      <c r="M1397" s="252">
        <f t="shared" si="69"/>
        <v>73000</v>
      </c>
    </row>
    <row r="1398" spans="1:13" ht="21.95" customHeight="1" x14ac:dyDescent="0.25">
      <c r="A1398" s="36" t="s">
        <v>2904</v>
      </c>
      <c r="B1398" s="36" t="str">
        <f t="shared" si="67"/>
        <v>MS_WINSTON COUNTY, MS</v>
      </c>
      <c r="D1398" s="265" t="s">
        <v>81</v>
      </c>
      <c r="E1398" s="266" t="s">
        <v>4203</v>
      </c>
      <c r="F1398" s="252">
        <f t="shared" si="69"/>
        <v>38750</v>
      </c>
      <c r="G1398" s="252">
        <f t="shared" si="69"/>
        <v>44250</v>
      </c>
      <c r="H1398" s="252">
        <f t="shared" si="69"/>
        <v>49800</v>
      </c>
      <c r="I1398" s="252">
        <f t="shared" si="69"/>
        <v>55300</v>
      </c>
      <c r="J1398" s="252">
        <f t="shared" si="69"/>
        <v>59750</v>
      </c>
      <c r="K1398" s="252">
        <f t="shared" si="69"/>
        <v>64150</v>
      </c>
      <c r="L1398" s="252">
        <f t="shared" si="69"/>
        <v>68600</v>
      </c>
      <c r="M1398" s="252">
        <f t="shared" si="69"/>
        <v>73000</v>
      </c>
    </row>
    <row r="1399" spans="1:13" ht="21.95" customHeight="1" x14ac:dyDescent="0.25">
      <c r="A1399" s="36" t="s">
        <v>2904</v>
      </c>
      <c r="B1399" s="36" t="str">
        <f t="shared" si="67"/>
        <v>MS_YALOBUSHA COUNTY, MS</v>
      </c>
      <c r="D1399" s="265" t="s">
        <v>81</v>
      </c>
      <c r="E1399" s="266" t="s">
        <v>4204</v>
      </c>
      <c r="F1399" s="252">
        <f t="shared" si="69"/>
        <v>38750</v>
      </c>
      <c r="G1399" s="252">
        <f t="shared" si="69"/>
        <v>44250</v>
      </c>
      <c r="H1399" s="252">
        <f t="shared" si="69"/>
        <v>49800</v>
      </c>
      <c r="I1399" s="252">
        <f t="shared" si="69"/>
        <v>55300</v>
      </c>
      <c r="J1399" s="252">
        <f t="shared" si="69"/>
        <v>59750</v>
      </c>
      <c r="K1399" s="252">
        <f t="shared" si="69"/>
        <v>64150</v>
      </c>
      <c r="L1399" s="252">
        <f t="shared" si="69"/>
        <v>68600</v>
      </c>
      <c r="M1399" s="252">
        <f t="shared" si="69"/>
        <v>73000</v>
      </c>
    </row>
    <row r="1400" spans="1:13" ht="21.95" customHeight="1" x14ac:dyDescent="0.25">
      <c r="A1400" s="36" t="s">
        <v>2904</v>
      </c>
      <c r="B1400" s="36" t="str">
        <f t="shared" si="67"/>
        <v>MS_YAZOO COUNTY, MS HUD METRO FMR AREA</v>
      </c>
      <c r="D1400" s="265" t="s">
        <v>81</v>
      </c>
      <c r="E1400" s="266" t="s">
        <v>4205</v>
      </c>
      <c r="F1400" s="252">
        <f t="shared" si="69"/>
        <v>38750</v>
      </c>
      <c r="G1400" s="252">
        <f t="shared" si="69"/>
        <v>44250</v>
      </c>
      <c r="H1400" s="252">
        <f t="shared" si="69"/>
        <v>49800</v>
      </c>
      <c r="I1400" s="252">
        <f t="shared" si="69"/>
        <v>55300</v>
      </c>
      <c r="J1400" s="252">
        <f t="shared" si="69"/>
        <v>59750</v>
      </c>
      <c r="K1400" s="252">
        <f t="shared" si="69"/>
        <v>64150</v>
      </c>
      <c r="L1400" s="252">
        <f t="shared" si="69"/>
        <v>68600</v>
      </c>
      <c r="M1400" s="252">
        <f t="shared" si="69"/>
        <v>73000</v>
      </c>
    </row>
    <row r="1401" spans="1:13" ht="21.95" customHeight="1" x14ac:dyDescent="0.25">
      <c r="A1401" s="36" t="s">
        <v>2904</v>
      </c>
      <c r="B1401" s="36" t="str">
        <f t="shared" si="67"/>
        <v>MT_BEAVERHEAD COUNTY, MT</v>
      </c>
      <c r="D1401" s="265" t="s">
        <v>79</v>
      </c>
      <c r="E1401" s="266" t="s">
        <v>4206</v>
      </c>
      <c r="F1401" s="252">
        <f t="shared" si="69"/>
        <v>48900</v>
      </c>
      <c r="G1401" s="252">
        <f t="shared" si="69"/>
        <v>55900</v>
      </c>
      <c r="H1401" s="252">
        <f t="shared" si="69"/>
        <v>62900</v>
      </c>
      <c r="I1401" s="252">
        <f t="shared" si="69"/>
        <v>69850</v>
      </c>
      <c r="J1401" s="252">
        <f t="shared" si="69"/>
        <v>75450</v>
      </c>
      <c r="K1401" s="252">
        <f t="shared" si="69"/>
        <v>81050</v>
      </c>
      <c r="L1401" s="252">
        <f t="shared" si="69"/>
        <v>86650</v>
      </c>
      <c r="M1401" s="252">
        <f t="shared" si="69"/>
        <v>92250</v>
      </c>
    </row>
    <row r="1402" spans="1:13" ht="21.95" customHeight="1" x14ac:dyDescent="0.25">
      <c r="A1402" s="36" t="s">
        <v>2904</v>
      </c>
      <c r="B1402" s="36" t="str">
        <f t="shared" si="67"/>
        <v>MT_BIG HORN COUNTY, MT</v>
      </c>
      <c r="D1402" s="265" t="s">
        <v>79</v>
      </c>
      <c r="E1402" s="266" t="s">
        <v>4207</v>
      </c>
      <c r="F1402" s="252">
        <f t="shared" si="69"/>
        <v>48900</v>
      </c>
      <c r="G1402" s="252">
        <f t="shared" si="69"/>
        <v>55900</v>
      </c>
      <c r="H1402" s="252">
        <f t="shared" si="69"/>
        <v>62900</v>
      </c>
      <c r="I1402" s="252">
        <f t="shared" si="69"/>
        <v>69850</v>
      </c>
      <c r="J1402" s="252">
        <f t="shared" si="69"/>
        <v>75450</v>
      </c>
      <c r="K1402" s="252">
        <f t="shared" si="69"/>
        <v>81050</v>
      </c>
      <c r="L1402" s="252">
        <f t="shared" si="69"/>
        <v>86650</v>
      </c>
      <c r="M1402" s="252">
        <f t="shared" si="69"/>
        <v>92250</v>
      </c>
    </row>
    <row r="1403" spans="1:13" ht="21.95" customHeight="1" x14ac:dyDescent="0.25">
      <c r="A1403" s="36" t="s">
        <v>2904</v>
      </c>
      <c r="B1403" s="36" t="str">
        <f t="shared" si="67"/>
        <v>MT_BILLINGS, MT HUD METRO FMR AREA</v>
      </c>
      <c r="D1403" s="265" t="s">
        <v>79</v>
      </c>
      <c r="E1403" s="266" t="s">
        <v>4208</v>
      </c>
      <c r="F1403" s="252">
        <f t="shared" si="69"/>
        <v>54400</v>
      </c>
      <c r="G1403" s="252">
        <f t="shared" si="69"/>
        <v>62200</v>
      </c>
      <c r="H1403" s="252">
        <f t="shared" si="69"/>
        <v>69950</v>
      </c>
      <c r="I1403" s="252">
        <f t="shared" si="69"/>
        <v>77700</v>
      </c>
      <c r="J1403" s="252">
        <f t="shared" si="69"/>
        <v>83950</v>
      </c>
      <c r="K1403" s="252">
        <f t="shared" si="69"/>
        <v>90150</v>
      </c>
      <c r="L1403" s="252">
        <f t="shared" si="69"/>
        <v>96350</v>
      </c>
      <c r="M1403" s="252">
        <f t="shared" si="69"/>
        <v>102600</v>
      </c>
    </row>
    <row r="1404" spans="1:13" ht="21.95" customHeight="1" x14ac:dyDescent="0.25">
      <c r="A1404" s="36" t="s">
        <v>2904</v>
      </c>
      <c r="B1404" s="36" t="str">
        <f t="shared" ref="B1404:B1467" si="70">UPPER(TRIM(D1404)&amp;"_"&amp;TRIM(E1404))</f>
        <v>MT_BLAINE COUNTY, MT</v>
      </c>
      <c r="D1404" s="265" t="s">
        <v>79</v>
      </c>
      <c r="E1404" s="266" t="s">
        <v>4209</v>
      </c>
      <c r="F1404" s="252">
        <f t="shared" si="69"/>
        <v>48900</v>
      </c>
      <c r="G1404" s="252">
        <f t="shared" si="69"/>
        <v>55900</v>
      </c>
      <c r="H1404" s="252">
        <f t="shared" si="69"/>
        <v>62900</v>
      </c>
      <c r="I1404" s="252">
        <f t="shared" si="69"/>
        <v>69850</v>
      </c>
      <c r="J1404" s="252">
        <f t="shared" si="69"/>
        <v>75450</v>
      </c>
      <c r="K1404" s="252">
        <f t="shared" si="69"/>
        <v>81050</v>
      </c>
      <c r="L1404" s="252">
        <f t="shared" si="69"/>
        <v>86650</v>
      </c>
      <c r="M1404" s="252">
        <f t="shared" si="69"/>
        <v>92250</v>
      </c>
    </row>
    <row r="1405" spans="1:13" ht="21.95" customHeight="1" x14ac:dyDescent="0.25">
      <c r="A1405" s="36" t="s">
        <v>2904</v>
      </c>
      <c r="B1405" s="36" t="str">
        <f t="shared" si="70"/>
        <v>MT_BOZEMAN, MT MSA</v>
      </c>
      <c r="D1405" s="265" t="s">
        <v>79</v>
      </c>
      <c r="E1405" s="266" t="s">
        <v>9216</v>
      </c>
      <c r="F1405" s="252">
        <f t="shared" si="69"/>
        <v>66650</v>
      </c>
      <c r="G1405" s="252">
        <f t="shared" si="69"/>
        <v>76200</v>
      </c>
      <c r="H1405" s="252">
        <f t="shared" si="69"/>
        <v>85700</v>
      </c>
      <c r="I1405" s="252">
        <f t="shared" si="69"/>
        <v>95200</v>
      </c>
      <c r="J1405" s="252">
        <f t="shared" si="69"/>
        <v>102850</v>
      </c>
      <c r="K1405" s="252">
        <f t="shared" si="69"/>
        <v>110450</v>
      </c>
      <c r="L1405" s="252">
        <f t="shared" si="69"/>
        <v>118050</v>
      </c>
      <c r="M1405" s="252">
        <f t="shared" si="69"/>
        <v>125700</v>
      </c>
    </row>
    <row r="1406" spans="1:13" ht="21.95" customHeight="1" x14ac:dyDescent="0.25">
      <c r="A1406" s="36" t="s">
        <v>2904</v>
      </c>
      <c r="B1406" s="36" t="str">
        <f t="shared" si="70"/>
        <v>MT_BROADWATER COUNTY, MT HUD METRO FMR AREA</v>
      </c>
      <c r="D1406" s="265" t="s">
        <v>79</v>
      </c>
      <c r="E1406" s="266" t="s">
        <v>9215</v>
      </c>
      <c r="F1406" s="252">
        <f t="shared" si="69"/>
        <v>52500</v>
      </c>
      <c r="G1406" s="252">
        <f t="shared" si="69"/>
        <v>60000</v>
      </c>
      <c r="H1406" s="252">
        <f t="shared" si="69"/>
        <v>67500</v>
      </c>
      <c r="I1406" s="252">
        <f t="shared" si="69"/>
        <v>75000</v>
      </c>
      <c r="J1406" s="252">
        <f t="shared" si="69"/>
        <v>81000</v>
      </c>
      <c r="K1406" s="252">
        <f t="shared" si="69"/>
        <v>87000</v>
      </c>
      <c r="L1406" s="252">
        <f t="shared" si="69"/>
        <v>93000</v>
      </c>
      <c r="M1406" s="252">
        <f t="shared" si="69"/>
        <v>99000</v>
      </c>
    </row>
    <row r="1407" spans="1:13" ht="21.95" customHeight="1" x14ac:dyDescent="0.25">
      <c r="A1407" s="36" t="s">
        <v>2904</v>
      </c>
      <c r="B1407" s="36" t="str">
        <f t="shared" si="70"/>
        <v>MT_CARTER COUNTY, MT</v>
      </c>
      <c r="D1407" s="265" t="s">
        <v>79</v>
      </c>
      <c r="E1407" s="266" t="s">
        <v>4210</v>
      </c>
      <c r="F1407" s="252">
        <f t="shared" si="69"/>
        <v>48900</v>
      </c>
      <c r="G1407" s="252">
        <f t="shared" si="69"/>
        <v>55900</v>
      </c>
      <c r="H1407" s="252">
        <f t="shared" si="69"/>
        <v>62900</v>
      </c>
      <c r="I1407" s="252">
        <f t="shared" si="69"/>
        <v>69850</v>
      </c>
      <c r="J1407" s="252">
        <f t="shared" si="69"/>
        <v>75450</v>
      </c>
      <c r="K1407" s="252">
        <f t="shared" si="69"/>
        <v>81050</v>
      </c>
      <c r="L1407" s="252">
        <f t="shared" si="69"/>
        <v>86650</v>
      </c>
      <c r="M1407" s="252">
        <f t="shared" si="69"/>
        <v>92250</v>
      </c>
    </row>
    <row r="1408" spans="1:13" ht="21.95" customHeight="1" x14ac:dyDescent="0.25">
      <c r="A1408" s="36" t="s">
        <v>2904</v>
      </c>
      <c r="B1408" s="36" t="str">
        <f t="shared" si="70"/>
        <v>MT_CHOUTEAU COUNTY, MT</v>
      </c>
      <c r="D1408" s="265" t="s">
        <v>79</v>
      </c>
      <c r="E1408" s="266" t="s">
        <v>4211</v>
      </c>
      <c r="F1408" s="252">
        <f t="shared" si="69"/>
        <v>50050</v>
      </c>
      <c r="G1408" s="252">
        <f t="shared" si="69"/>
        <v>57200</v>
      </c>
      <c r="H1408" s="252">
        <f t="shared" si="69"/>
        <v>64350</v>
      </c>
      <c r="I1408" s="252">
        <f t="shared" si="69"/>
        <v>71500</v>
      </c>
      <c r="J1408" s="252">
        <f t="shared" si="69"/>
        <v>77250</v>
      </c>
      <c r="K1408" s="252">
        <f t="shared" si="69"/>
        <v>82950</v>
      </c>
      <c r="L1408" s="252">
        <f t="shared" si="69"/>
        <v>88700</v>
      </c>
      <c r="M1408" s="252">
        <f t="shared" si="69"/>
        <v>94400</v>
      </c>
    </row>
    <row r="1409" spans="1:13" ht="21.95" customHeight="1" x14ac:dyDescent="0.25">
      <c r="A1409" s="36" t="s">
        <v>2904</v>
      </c>
      <c r="B1409" s="36" t="str">
        <f t="shared" si="70"/>
        <v>MT_CUSTER COUNTY, MT</v>
      </c>
      <c r="D1409" s="265" t="s">
        <v>79</v>
      </c>
      <c r="E1409" s="266" t="s">
        <v>4212</v>
      </c>
      <c r="F1409" s="252">
        <f t="shared" si="69"/>
        <v>52950</v>
      </c>
      <c r="G1409" s="252">
        <f t="shared" si="69"/>
        <v>60500</v>
      </c>
      <c r="H1409" s="252">
        <f t="shared" si="69"/>
        <v>68050</v>
      </c>
      <c r="I1409" s="252">
        <f t="shared" si="69"/>
        <v>75600</v>
      </c>
      <c r="J1409" s="252">
        <f t="shared" si="69"/>
        <v>81650</v>
      </c>
      <c r="K1409" s="252">
        <f t="shared" si="69"/>
        <v>87700</v>
      </c>
      <c r="L1409" s="252">
        <f t="shared" si="69"/>
        <v>93750</v>
      </c>
      <c r="M1409" s="252">
        <f t="shared" si="69"/>
        <v>99800</v>
      </c>
    </row>
    <row r="1410" spans="1:13" ht="21.95" customHeight="1" x14ac:dyDescent="0.25">
      <c r="A1410" s="36" t="s">
        <v>2904</v>
      </c>
      <c r="B1410" s="36" t="str">
        <f t="shared" si="70"/>
        <v>MT_DANIELS COUNTY, MT</v>
      </c>
      <c r="D1410" s="265" t="s">
        <v>79</v>
      </c>
      <c r="E1410" s="266" t="s">
        <v>4213</v>
      </c>
      <c r="F1410" s="252">
        <f t="shared" si="69"/>
        <v>51650</v>
      </c>
      <c r="G1410" s="252">
        <f t="shared" si="69"/>
        <v>59000</v>
      </c>
      <c r="H1410" s="252">
        <f t="shared" si="69"/>
        <v>66400</v>
      </c>
      <c r="I1410" s="252">
        <f t="shared" si="69"/>
        <v>73750</v>
      </c>
      <c r="J1410" s="252">
        <f t="shared" si="69"/>
        <v>79650</v>
      </c>
      <c r="K1410" s="252">
        <f t="shared" si="69"/>
        <v>85550</v>
      </c>
      <c r="L1410" s="252">
        <f t="shared" si="69"/>
        <v>91450</v>
      </c>
      <c r="M1410" s="252">
        <f t="shared" si="69"/>
        <v>97350</v>
      </c>
    </row>
    <row r="1411" spans="1:13" ht="21.95" customHeight="1" x14ac:dyDescent="0.25">
      <c r="A1411" s="36" t="s">
        <v>2904</v>
      </c>
      <c r="B1411" s="36" t="str">
        <f t="shared" si="70"/>
        <v>MT_DAWSON COUNTY, MT</v>
      </c>
      <c r="D1411" s="265" t="s">
        <v>79</v>
      </c>
      <c r="E1411" s="266" t="s">
        <v>4214</v>
      </c>
      <c r="F1411" s="252">
        <f t="shared" si="69"/>
        <v>51350</v>
      </c>
      <c r="G1411" s="252">
        <f t="shared" si="69"/>
        <v>58650</v>
      </c>
      <c r="H1411" s="252">
        <f t="shared" si="69"/>
        <v>66000</v>
      </c>
      <c r="I1411" s="252">
        <f t="shared" si="69"/>
        <v>73300</v>
      </c>
      <c r="J1411" s="252">
        <f t="shared" si="69"/>
        <v>79200</v>
      </c>
      <c r="K1411" s="252">
        <f t="shared" si="69"/>
        <v>85050</v>
      </c>
      <c r="L1411" s="252">
        <f t="shared" si="69"/>
        <v>90900</v>
      </c>
      <c r="M1411" s="252">
        <f t="shared" si="69"/>
        <v>96800</v>
      </c>
    </row>
    <row r="1412" spans="1:13" ht="21.95" customHeight="1" x14ac:dyDescent="0.25">
      <c r="A1412" s="36" t="s">
        <v>2904</v>
      </c>
      <c r="B1412" s="36" t="str">
        <f t="shared" si="70"/>
        <v>MT_DEER LODGE COUNTY, MT</v>
      </c>
      <c r="D1412" s="265" t="s">
        <v>79</v>
      </c>
      <c r="E1412" s="266" t="s">
        <v>4215</v>
      </c>
      <c r="F1412" s="252">
        <f t="shared" si="69"/>
        <v>48900</v>
      </c>
      <c r="G1412" s="252">
        <f t="shared" si="69"/>
        <v>55900</v>
      </c>
      <c r="H1412" s="252">
        <f t="shared" si="69"/>
        <v>62900</v>
      </c>
      <c r="I1412" s="252">
        <f t="shared" si="69"/>
        <v>69850</v>
      </c>
      <c r="J1412" s="252">
        <f t="shared" si="69"/>
        <v>75450</v>
      </c>
      <c r="K1412" s="252">
        <f t="shared" si="69"/>
        <v>81050</v>
      </c>
      <c r="L1412" s="252">
        <f t="shared" ref="F1412:M1444" si="71">VLOOKUP($B1412,LOOKUP_AMI_TABLE,5+((L$7-1)),FALSE)</f>
        <v>86650</v>
      </c>
      <c r="M1412" s="252">
        <f t="shared" si="71"/>
        <v>92250</v>
      </c>
    </row>
    <row r="1413" spans="1:13" ht="21.95" customHeight="1" x14ac:dyDescent="0.25">
      <c r="A1413" s="36" t="s">
        <v>2904</v>
      </c>
      <c r="B1413" s="36" t="str">
        <f t="shared" si="70"/>
        <v>MT_FALLON COUNTY, MT</v>
      </c>
      <c r="D1413" s="265" t="s">
        <v>79</v>
      </c>
      <c r="E1413" s="266" t="s">
        <v>4216</v>
      </c>
      <c r="F1413" s="252">
        <f t="shared" si="71"/>
        <v>64400</v>
      </c>
      <c r="G1413" s="252">
        <f t="shared" si="71"/>
        <v>73600</v>
      </c>
      <c r="H1413" s="252">
        <f t="shared" si="71"/>
        <v>82800</v>
      </c>
      <c r="I1413" s="252">
        <f t="shared" si="71"/>
        <v>92000</v>
      </c>
      <c r="J1413" s="252">
        <f t="shared" si="71"/>
        <v>99400</v>
      </c>
      <c r="K1413" s="252">
        <f t="shared" si="71"/>
        <v>106750</v>
      </c>
      <c r="L1413" s="252">
        <f t="shared" si="71"/>
        <v>114100</v>
      </c>
      <c r="M1413" s="252">
        <f t="shared" si="71"/>
        <v>121450</v>
      </c>
    </row>
    <row r="1414" spans="1:13" ht="21.95" customHeight="1" x14ac:dyDescent="0.25">
      <c r="A1414" s="36" t="s">
        <v>2904</v>
      </c>
      <c r="B1414" s="36" t="str">
        <f t="shared" si="70"/>
        <v>MT_FERGUS COUNTY, MT</v>
      </c>
      <c r="D1414" s="265" t="s">
        <v>79</v>
      </c>
      <c r="E1414" s="266" t="s">
        <v>4217</v>
      </c>
      <c r="F1414" s="252">
        <f t="shared" si="71"/>
        <v>50600</v>
      </c>
      <c r="G1414" s="252">
        <f t="shared" si="71"/>
        <v>57800</v>
      </c>
      <c r="H1414" s="252">
        <f t="shared" si="71"/>
        <v>65050</v>
      </c>
      <c r="I1414" s="252">
        <f t="shared" si="71"/>
        <v>72250</v>
      </c>
      <c r="J1414" s="252">
        <f t="shared" si="71"/>
        <v>78050</v>
      </c>
      <c r="K1414" s="252">
        <f t="shared" si="71"/>
        <v>83850</v>
      </c>
      <c r="L1414" s="252">
        <f t="shared" si="71"/>
        <v>89600</v>
      </c>
      <c r="M1414" s="252">
        <f t="shared" si="71"/>
        <v>95400</v>
      </c>
    </row>
    <row r="1415" spans="1:13" ht="21.95" customHeight="1" x14ac:dyDescent="0.25">
      <c r="A1415" s="36" t="s">
        <v>2904</v>
      </c>
      <c r="B1415" s="36" t="str">
        <f t="shared" si="70"/>
        <v>MT_FLATHEAD COUNTY, MT</v>
      </c>
      <c r="D1415" s="265" t="s">
        <v>79</v>
      </c>
      <c r="E1415" s="266" t="s">
        <v>4218</v>
      </c>
      <c r="F1415" s="252">
        <f t="shared" si="71"/>
        <v>54050</v>
      </c>
      <c r="G1415" s="252">
        <f t="shared" si="71"/>
        <v>61800</v>
      </c>
      <c r="H1415" s="252">
        <f t="shared" si="71"/>
        <v>69500</v>
      </c>
      <c r="I1415" s="252">
        <f t="shared" si="71"/>
        <v>77200</v>
      </c>
      <c r="J1415" s="252">
        <f t="shared" si="71"/>
        <v>83400</v>
      </c>
      <c r="K1415" s="252">
        <f t="shared" si="71"/>
        <v>89600</v>
      </c>
      <c r="L1415" s="252">
        <f t="shared" si="71"/>
        <v>95750</v>
      </c>
      <c r="M1415" s="252">
        <f t="shared" si="71"/>
        <v>101950</v>
      </c>
    </row>
    <row r="1416" spans="1:13" ht="21.95" customHeight="1" x14ac:dyDescent="0.25">
      <c r="A1416" s="36" t="s">
        <v>2904</v>
      </c>
      <c r="B1416" s="36" t="str">
        <f t="shared" si="70"/>
        <v>MT_GARFIELD COUNTY, MT</v>
      </c>
      <c r="D1416" s="265" t="s">
        <v>79</v>
      </c>
      <c r="E1416" s="266" t="s">
        <v>4219</v>
      </c>
      <c r="F1416" s="252">
        <f t="shared" si="71"/>
        <v>50250</v>
      </c>
      <c r="G1416" s="252">
        <f t="shared" si="71"/>
        <v>57400</v>
      </c>
      <c r="H1416" s="252">
        <f t="shared" si="71"/>
        <v>64600</v>
      </c>
      <c r="I1416" s="252">
        <f t="shared" si="71"/>
        <v>71750</v>
      </c>
      <c r="J1416" s="252">
        <f t="shared" si="71"/>
        <v>77500</v>
      </c>
      <c r="K1416" s="252">
        <f t="shared" si="71"/>
        <v>83250</v>
      </c>
      <c r="L1416" s="252">
        <f t="shared" si="71"/>
        <v>89000</v>
      </c>
      <c r="M1416" s="252">
        <f t="shared" si="71"/>
        <v>94750</v>
      </c>
    </row>
    <row r="1417" spans="1:13" ht="21.95" customHeight="1" x14ac:dyDescent="0.25">
      <c r="A1417" s="36" t="s">
        <v>2904</v>
      </c>
      <c r="B1417" s="36" t="str">
        <f t="shared" si="70"/>
        <v>MT_GLACIER COUNTY, MT</v>
      </c>
      <c r="D1417" s="265" t="s">
        <v>79</v>
      </c>
      <c r="E1417" s="266" t="s">
        <v>4220</v>
      </c>
      <c r="F1417" s="252">
        <f t="shared" si="71"/>
        <v>48900</v>
      </c>
      <c r="G1417" s="252">
        <f t="shared" si="71"/>
        <v>55900</v>
      </c>
      <c r="H1417" s="252">
        <f t="shared" si="71"/>
        <v>62900</v>
      </c>
      <c r="I1417" s="252">
        <f t="shared" si="71"/>
        <v>69850</v>
      </c>
      <c r="J1417" s="252">
        <f t="shared" si="71"/>
        <v>75450</v>
      </c>
      <c r="K1417" s="252">
        <f t="shared" si="71"/>
        <v>81050</v>
      </c>
      <c r="L1417" s="252">
        <f t="shared" si="71"/>
        <v>86650</v>
      </c>
      <c r="M1417" s="252">
        <f t="shared" si="71"/>
        <v>92250</v>
      </c>
    </row>
    <row r="1418" spans="1:13" ht="21.95" customHeight="1" x14ac:dyDescent="0.25">
      <c r="A1418" s="36" t="s">
        <v>2904</v>
      </c>
      <c r="B1418" s="36" t="str">
        <f t="shared" si="70"/>
        <v>MT_GOLDEN VALLEY COUNTY, MT</v>
      </c>
      <c r="D1418" s="265" t="s">
        <v>79</v>
      </c>
      <c r="E1418" s="266" t="s">
        <v>4221</v>
      </c>
      <c r="F1418" s="252">
        <f t="shared" si="71"/>
        <v>48900</v>
      </c>
      <c r="G1418" s="252">
        <f t="shared" si="71"/>
        <v>55900</v>
      </c>
      <c r="H1418" s="252">
        <f t="shared" si="71"/>
        <v>62900</v>
      </c>
      <c r="I1418" s="252">
        <f t="shared" si="71"/>
        <v>69850</v>
      </c>
      <c r="J1418" s="252">
        <f t="shared" si="71"/>
        <v>75450</v>
      </c>
      <c r="K1418" s="252">
        <f t="shared" si="71"/>
        <v>81050</v>
      </c>
      <c r="L1418" s="252">
        <f t="shared" si="71"/>
        <v>86650</v>
      </c>
      <c r="M1418" s="252">
        <f t="shared" si="71"/>
        <v>92250</v>
      </c>
    </row>
    <row r="1419" spans="1:13" ht="21.95" customHeight="1" x14ac:dyDescent="0.25">
      <c r="A1419" s="36" t="s">
        <v>2904</v>
      </c>
      <c r="B1419" s="36" t="str">
        <f t="shared" si="70"/>
        <v>MT_GRANITE COUNTY, MT</v>
      </c>
      <c r="D1419" s="265" t="s">
        <v>79</v>
      </c>
      <c r="E1419" s="266" t="s">
        <v>4222</v>
      </c>
      <c r="F1419" s="252">
        <f t="shared" si="71"/>
        <v>48900</v>
      </c>
      <c r="G1419" s="252">
        <f t="shared" si="71"/>
        <v>55900</v>
      </c>
      <c r="H1419" s="252">
        <f t="shared" si="71"/>
        <v>62900</v>
      </c>
      <c r="I1419" s="252">
        <f t="shared" si="71"/>
        <v>69850</v>
      </c>
      <c r="J1419" s="252">
        <f t="shared" si="71"/>
        <v>75450</v>
      </c>
      <c r="K1419" s="252">
        <f t="shared" si="71"/>
        <v>81050</v>
      </c>
      <c r="L1419" s="252">
        <f t="shared" si="71"/>
        <v>86650</v>
      </c>
      <c r="M1419" s="252">
        <f t="shared" si="71"/>
        <v>92250</v>
      </c>
    </row>
    <row r="1420" spans="1:13" ht="21.95" customHeight="1" x14ac:dyDescent="0.25">
      <c r="A1420" s="36" t="s">
        <v>2904</v>
      </c>
      <c r="B1420" s="36" t="str">
        <f t="shared" si="70"/>
        <v>MT_GREAT FALLS, MT MSA</v>
      </c>
      <c r="D1420" s="265" t="s">
        <v>79</v>
      </c>
      <c r="E1420" s="266" t="s">
        <v>4223</v>
      </c>
      <c r="F1420" s="252">
        <f t="shared" si="71"/>
        <v>50900</v>
      </c>
      <c r="G1420" s="252">
        <f t="shared" si="71"/>
        <v>58150</v>
      </c>
      <c r="H1420" s="252">
        <f t="shared" si="71"/>
        <v>65400</v>
      </c>
      <c r="I1420" s="252">
        <f t="shared" si="71"/>
        <v>72650</v>
      </c>
      <c r="J1420" s="252">
        <f t="shared" si="71"/>
        <v>78500</v>
      </c>
      <c r="K1420" s="252">
        <f t="shared" si="71"/>
        <v>84300</v>
      </c>
      <c r="L1420" s="252">
        <f t="shared" si="71"/>
        <v>90100</v>
      </c>
      <c r="M1420" s="252">
        <f t="shared" si="71"/>
        <v>95900</v>
      </c>
    </row>
    <row r="1421" spans="1:13" ht="21.95" customHeight="1" x14ac:dyDescent="0.25">
      <c r="A1421" s="36" t="s">
        <v>2904</v>
      </c>
      <c r="B1421" s="36" t="str">
        <f t="shared" si="70"/>
        <v>MT_HILL COUNTY, MT</v>
      </c>
      <c r="D1421" s="265" t="s">
        <v>79</v>
      </c>
      <c r="E1421" s="266" t="s">
        <v>4224</v>
      </c>
      <c r="F1421" s="252">
        <f t="shared" si="71"/>
        <v>48900</v>
      </c>
      <c r="G1421" s="252">
        <f t="shared" si="71"/>
        <v>55900</v>
      </c>
      <c r="H1421" s="252">
        <f t="shared" si="71"/>
        <v>62900</v>
      </c>
      <c r="I1421" s="252">
        <f t="shared" si="71"/>
        <v>69850</v>
      </c>
      <c r="J1421" s="252">
        <f t="shared" si="71"/>
        <v>75450</v>
      </c>
      <c r="K1421" s="252">
        <f t="shared" si="71"/>
        <v>81050</v>
      </c>
      <c r="L1421" s="252">
        <f t="shared" si="71"/>
        <v>86650</v>
      </c>
      <c r="M1421" s="252">
        <f t="shared" si="71"/>
        <v>92250</v>
      </c>
    </row>
    <row r="1422" spans="1:13" ht="21.95" customHeight="1" x14ac:dyDescent="0.25">
      <c r="A1422" s="36" t="s">
        <v>2904</v>
      </c>
      <c r="B1422" s="36" t="str">
        <f t="shared" si="70"/>
        <v>MT_JEFFERSON COUNTY, MT HUD METRO FMR AREA</v>
      </c>
      <c r="D1422" s="265" t="s">
        <v>79</v>
      </c>
      <c r="E1422" s="266" t="s">
        <v>9217</v>
      </c>
      <c r="F1422" s="252">
        <f t="shared" si="71"/>
        <v>58450</v>
      </c>
      <c r="G1422" s="252">
        <f t="shared" si="71"/>
        <v>66800</v>
      </c>
      <c r="H1422" s="252">
        <f t="shared" si="71"/>
        <v>75150</v>
      </c>
      <c r="I1422" s="252">
        <f t="shared" si="71"/>
        <v>83450</v>
      </c>
      <c r="J1422" s="252">
        <f t="shared" si="71"/>
        <v>90150</v>
      </c>
      <c r="K1422" s="252">
        <f t="shared" si="71"/>
        <v>96850</v>
      </c>
      <c r="L1422" s="252">
        <f t="shared" si="71"/>
        <v>103500</v>
      </c>
      <c r="M1422" s="252">
        <f t="shared" si="71"/>
        <v>110200</v>
      </c>
    </row>
    <row r="1423" spans="1:13" ht="21.95" customHeight="1" x14ac:dyDescent="0.25">
      <c r="A1423" s="36" t="s">
        <v>2904</v>
      </c>
      <c r="B1423" s="36" t="str">
        <f t="shared" si="70"/>
        <v>MT_JUDITH BASIN COUNTY, MT</v>
      </c>
      <c r="D1423" s="265" t="s">
        <v>79</v>
      </c>
      <c r="E1423" s="266" t="s">
        <v>4225</v>
      </c>
      <c r="F1423" s="252">
        <f t="shared" si="71"/>
        <v>49950</v>
      </c>
      <c r="G1423" s="252">
        <f t="shared" si="71"/>
        <v>57050</v>
      </c>
      <c r="H1423" s="252">
        <f t="shared" si="71"/>
        <v>64200</v>
      </c>
      <c r="I1423" s="252">
        <f t="shared" si="71"/>
        <v>71300</v>
      </c>
      <c r="J1423" s="252">
        <f t="shared" si="71"/>
        <v>77050</v>
      </c>
      <c r="K1423" s="252">
        <f t="shared" si="71"/>
        <v>82750</v>
      </c>
      <c r="L1423" s="252">
        <f t="shared" si="71"/>
        <v>88450</v>
      </c>
      <c r="M1423" s="252">
        <f t="shared" si="71"/>
        <v>94150</v>
      </c>
    </row>
    <row r="1424" spans="1:13" ht="21.95" customHeight="1" x14ac:dyDescent="0.25">
      <c r="A1424" s="36" t="s">
        <v>2904</v>
      </c>
      <c r="B1424" s="36" t="str">
        <f t="shared" si="70"/>
        <v>MT_LAKE COUNTY, MT</v>
      </c>
      <c r="D1424" s="265" t="s">
        <v>79</v>
      </c>
      <c r="E1424" s="266" t="s">
        <v>4226</v>
      </c>
      <c r="F1424" s="252">
        <f t="shared" si="71"/>
        <v>48900</v>
      </c>
      <c r="G1424" s="252">
        <f t="shared" si="71"/>
        <v>55900</v>
      </c>
      <c r="H1424" s="252">
        <f t="shared" si="71"/>
        <v>62900</v>
      </c>
      <c r="I1424" s="252">
        <f t="shared" si="71"/>
        <v>69850</v>
      </c>
      <c r="J1424" s="252">
        <f t="shared" si="71"/>
        <v>75450</v>
      </c>
      <c r="K1424" s="252">
        <f t="shared" si="71"/>
        <v>81050</v>
      </c>
      <c r="L1424" s="252">
        <f t="shared" si="71"/>
        <v>86650</v>
      </c>
      <c r="M1424" s="252">
        <f t="shared" si="71"/>
        <v>92250</v>
      </c>
    </row>
    <row r="1425" spans="1:13" ht="21.95" customHeight="1" x14ac:dyDescent="0.25">
      <c r="A1425" s="36" t="s">
        <v>2904</v>
      </c>
      <c r="B1425" s="36" t="str">
        <f t="shared" si="70"/>
        <v>MT_LEWIS AND CLARK COUNTY, MT HUD METRO FMR AREA</v>
      </c>
      <c r="D1425" s="265" t="s">
        <v>79</v>
      </c>
      <c r="E1425" s="266" t="s">
        <v>9218</v>
      </c>
      <c r="F1425" s="252">
        <f t="shared" si="71"/>
        <v>59950</v>
      </c>
      <c r="G1425" s="252">
        <f t="shared" si="71"/>
        <v>68500</v>
      </c>
      <c r="H1425" s="252">
        <f t="shared" si="71"/>
        <v>77050</v>
      </c>
      <c r="I1425" s="252">
        <f t="shared" si="71"/>
        <v>85600</v>
      </c>
      <c r="J1425" s="252">
        <f t="shared" si="71"/>
        <v>92450</v>
      </c>
      <c r="K1425" s="252">
        <f t="shared" si="71"/>
        <v>99300</v>
      </c>
      <c r="L1425" s="252">
        <f t="shared" si="71"/>
        <v>106150</v>
      </c>
      <c r="M1425" s="252">
        <f t="shared" si="71"/>
        <v>113000</v>
      </c>
    </row>
    <row r="1426" spans="1:13" ht="21.95" customHeight="1" x14ac:dyDescent="0.25">
      <c r="A1426" s="36" t="s">
        <v>2904</v>
      </c>
      <c r="B1426" s="36" t="str">
        <f t="shared" si="70"/>
        <v>MT_LIBERTY COUNTY, MT</v>
      </c>
      <c r="D1426" s="265" t="s">
        <v>79</v>
      </c>
      <c r="E1426" s="266" t="s">
        <v>4227</v>
      </c>
      <c r="F1426" s="252">
        <f t="shared" si="71"/>
        <v>48900</v>
      </c>
      <c r="G1426" s="252">
        <f t="shared" si="71"/>
        <v>55900</v>
      </c>
      <c r="H1426" s="252">
        <f t="shared" si="71"/>
        <v>62900</v>
      </c>
      <c r="I1426" s="252">
        <f t="shared" si="71"/>
        <v>69850</v>
      </c>
      <c r="J1426" s="252">
        <f t="shared" si="71"/>
        <v>75450</v>
      </c>
      <c r="K1426" s="252">
        <f t="shared" si="71"/>
        <v>81050</v>
      </c>
      <c r="L1426" s="252">
        <f t="shared" si="71"/>
        <v>86650</v>
      </c>
      <c r="M1426" s="252">
        <f t="shared" si="71"/>
        <v>92250</v>
      </c>
    </row>
    <row r="1427" spans="1:13" ht="21.95" customHeight="1" x14ac:dyDescent="0.25">
      <c r="A1427" s="36" t="s">
        <v>2904</v>
      </c>
      <c r="B1427" s="36" t="str">
        <f t="shared" si="70"/>
        <v>MT_LINCOLN COUNTY, MT</v>
      </c>
      <c r="D1427" s="265" t="s">
        <v>79</v>
      </c>
      <c r="E1427" s="266" t="s">
        <v>4228</v>
      </c>
      <c r="F1427" s="252">
        <f t="shared" si="71"/>
        <v>48900</v>
      </c>
      <c r="G1427" s="252">
        <f t="shared" si="71"/>
        <v>55900</v>
      </c>
      <c r="H1427" s="252">
        <f t="shared" si="71"/>
        <v>62900</v>
      </c>
      <c r="I1427" s="252">
        <f t="shared" si="71"/>
        <v>69850</v>
      </c>
      <c r="J1427" s="252">
        <f t="shared" si="71"/>
        <v>75450</v>
      </c>
      <c r="K1427" s="252">
        <f t="shared" si="71"/>
        <v>81050</v>
      </c>
      <c r="L1427" s="252">
        <f t="shared" si="71"/>
        <v>86650</v>
      </c>
      <c r="M1427" s="252">
        <f t="shared" si="71"/>
        <v>92250</v>
      </c>
    </row>
    <row r="1428" spans="1:13" ht="21.95" customHeight="1" x14ac:dyDescent="0.25">
      <c r="A1428" s="36" t="s">
        <v>2904</v>
      </c>
      <c r="B1428" s="36" t="str">
        <f t="shared" si="70"/>
        <v>MT_MADISON COUNTY, MT</v>
      </c>
      <c r="D1428" s="265" t="s">
        <v>79</v>
      </c>
      <c r="E1428" s="266" t="s">
        <v>4229</v>
      </c>
      <c r="F1428" s="252">
        <f t="shared" si="71"/>
        <v>48900</v>
      </c>
      <c r="G1428" s="252">
        <f t="shared" si="71"/>
        <v>55900</v>
      </c>
      <c r="H1428" s="252">
        <f t="shared" si="71"/>
        <v>62900</v>
      </c>
      <c r="I1428" s="252">
        <f t="shared" si="71"/>
        <v>69850</v>
      </c>
      <c r="J1428" s="252">
        <f t="shared" si="71"/>
        <v>75450</v>
      </c>
      <c r="K1428" s="252">
        <f t="shared" si="71"/>
        <v>81050</v>
      </c>
      <c r="L1428" s="252">
        <f t="shared" si="71"/>
        <v>86650</v>
      </c>
      <c r="M1428" s="252">
        <f t="shared" si="71"/>
        <v>92250</v>
      </c>
    </row>
    <row r="1429" spans="1:13" ht="21.95" customHeight="1" x14ac:dyDescent="0.25">
      <c r="A1429" s="36" t="s">
        <v>2904</v>
      </c>
      <c r="B1429" s="36" t="str">
        <f t="shared" si="70"/>
        <v>MT_MCCONE COUNTY, MT</v>
      </c>
      <c r="D1429" s="265" t="s">
        <v>79</v>
      </c>
      <c r="E1429" s="266" t="s">
        <v>4230</v>
      </c>
      <c r="F1429" s="252">
        <f t="shared" si="71"/>
        <v>53800</v>
      </c>
      <c r="G1429" s="252">
        <f t="shared" si="71"/>
        <v>61450</v>
      </c>
      <c r="H1429" s="252">
        <f t="shared" si="71"/>
        <v>69150</v>
      </c>
      <c r="I1429" s="252">
        <f t="shared" si="71"/>
        <v>76800</v>
      </c>
      <c r="J1429" s="252">
        <f t="shared" si="71"/>
        <v>82950</v>
      </c>
      <c r="K1429" s="252">
        <f t="shared" si="71"/>
        <v>89100</v>
      </c>
      <c r="L1429" s="252">
        <f t="shared" si="71"/>
        <v>95250</v>
      </c>
      <c r="M1429" s="252">
        <f t="shared" si="71"/>
        <v>101400</v>
      </c>
    </row>
    <row r="1430" spans="1:13" ht="21.95" customHeight="1" x14ac:dyDescent="0.25">
      <c r="A1430" s="36" t="s">
        <v>2904</v>
      </c>
      <c r="B1430" s="36" t="str">
        <f t="shared" si="70"/>
        <v>MT_MEAGHER COUNTY, MT</v>
      </c>
      <c r="D1430" s="265" t="s">
        <v>79</v>
      </c>
      <c r="E1430" s="266" t="s">
        <v>4231</v>
      </c>
      <c r="F1430" s="252">
        <f t="shared" si="71"/>
        <v>48900</v>
      </c>
      <c r="G1430" s="252">
        <f t="shared" si="71"/>
        <v>55900</v>
      </c>
      <c r="H1430" s="252">
        <f t="shared" si="71"/>
        <v>62900</v>
      </c>
      <c r="I1430" s="252">
        <f t="shared" si="71"/>
        <v>69850</v>
      </c>
      <c r="J1430" s="252">
        <f t="shared" si="71"/>
        <v>75450</v>
      </c>
      <c r="K1430" s="252">
        <f t="shared" si="71"/>
        <v>81050</v>
      </c>
      <c r="L1430" s="252">
        <f t="shared" si="71"/>
        <v>86650</v>
      </c>
      <c r="M1430" s="252">
        <f t="shared" si="71"/>
        <v>92250</v>
      </c>
    </row>
    <row r="1431" spans="1:13" ht="21.95" customHeight="1" x14ac:dyDescent="0.25">
      <c r="A1431" s="36" t="s">
        <v>2904</v>
      </c>
      <c r="B1431" s="36" t="str">
        <f t="shared" si="70"/>
        <v>MT_MINERAL COUNTY, MT HUD METRO FMR AREA</v>
      </c>
      <c r="D1431" s="265" t="s">
        <v>79</v>
      </c>
      <c r="E1431" s="266" t="s">
        <v>9219</v>
      </c>
      <c r="F1431" s="252">
        <f t="shared" si="71"/>
        <v>48900</v>
      </c>
      <c r="G1431" s="252">
        <f t="shared" si="71"/>
        <v>55900</v>
      </c>
      <c r="H1431" s="252">
        <f t="shared" si="71"/>
        <v>62900</v>
      </c>
      <c r="I1431" s="252">
        <f t="shared" si="71"/>
        <v>69850</v>
      </c>
      <c r="J1431" s="252">
        <f t="shared" si="71"/>
        <v>75450</v>
      </c>
      <c r="K1431" s="252">
        <f t="shared" si="71"/>
        <v>81050</v>
      </c>
      <c r="L1431" s="252">
        <f t="shared" si="71"/>
        <v>86650</v>
      </c>
      <c r="M1431" s="252">
        <f t="shared" si="71"/>
        <v>92250</v>
      </c>
    </row>
    <row r="1432" spans="1:13" ht="21.95" customHeight="1" x14ac:dyDescent="0.25">
      <c r="A1432" s="36" t="s">
        <v>2904</v>
      </c>
      <c r="B1432" s="36" t="str">
        <f t="shared" si="70"/>
        <v>MT_MISSOULA, MT HUD METRO FMR AREA</v>
      </c>
      <c r="D1432" s="265" t="s">
        <v>79</v>
      </c>
      <c r="E1432" s="266" t="s">
        <v>9220</v>
      </c>
      <c r="F1432" s="252">
        <f t="shared" si="71"/>
        <v>55200</v>
      </c>
      <c r="G1432" s="252">
        <f t="shared" si="71"/>
        <v>63050</v>
      </c>
      <c r="H1432" s="252">
        <f t="shared" si="71"/>
        <v>70950</v>
      </c>
      <c r="I1432" s="252">
        <f t="shared" si="71"/>
        <v>78800</v>
      </c>
      <c r="J1432" s="252">
        <f t="shared" si="71"/>
        <v>85150</v>
      </c>
      <c r="K1432" s="252">
        <f t="shared" si="71"/>
        <v>91450</v>
      </c>
      <c r="L1432" s="252">
        <f t="shared" si="71"/>
        <v>97750</v>
      </c>
      <c r="M1432" s="252">
        <f t="shared" si="71"/>
        <v>104050</v>
      </c>
    </row>
    <row r="1433" spans="1:13" ht="21.95" customHeight="1" x14ac:dyDescent="0.25">
      <c r="A1433" s="36" t="s">
        <v>2904</v>
      </c>
      <c r="B1433" s="36" t="str">
        <f t="shared" si="70"/>
        <v>MT_MUSSELSHELL COUNTY, MT</v>
      </c>
      <c r="D1433" s="265" t="s">
        <v>79</v>
      </c>
      <c r="E1433" s="266" t="s">
        <v>4232</v>
      </c>
      <c r="F1433" s="252">
        <f t="shared" si="71"/>
        <v>48900</v>
      </c>
      <c r="G1433" s="252">
        <f t="shared" si="71"/>
        <v>55900</v>
      </c>
      <c r="H1433" s="252">
        <f t="shared" si="71"/>
        <v>62900</v>
      </c>
      <c r="I1433" s="252">
        <f t="shared" si="71"/>
        <v>69850</v>
      </c>
      <c r="J1433" s="252">
        <f t="shared" si="71"/>
        <v>75450</v>
      </c>
      <c r="K1433" s="252">
        <f t="shared" si="71"/>
        <v>81050</v>
      </c>
      <c r="L1433" s="252">
        <f t="shared" si="71"/>
        <v>86650</v>
      </c>
      <c r="M1433" s="252">
        <f t="shared" si="71"/>
        <v>92250</v>
      </c>
    </row>
    <row r="1434" spans="1:13" ht="21.95" customHeight="1" x14ac:dyDescent="0.25">
      <c r="A1434" s="36" t="s">
        <v>2904</v>
      </c>
      <c r="B1434" s="36" t="str">
        <f t="shared" si="70"/>
        <v>MT_PARK COUNTY, MT</v>
      </c>
      <c r="D1434" s="265" t="s">
        <v>79</v>
      </c>
      <c r="E1434" s="266" t="s">
        <v>4233</v>
      </c>
      <c r="F1434" s="252">
        <f t="shared" si="71"/>
        <v>56350</v>
      </c>
      <c r="G1434" s="252">
        <f t="shared" si="71"/>
        <v>64400</v>
      </c>
      <c r="H1434" s="252">
        <f t="shared" si="71"/>
        <v>72450</v>
      </c>
      <c r="I1434" s="252">
        <f t="shared" si="71"/>
        <v>80500</v>
      </c>
      <c r="J1434" s="252">
        <f t="shared" si="71"/>
        <v>86950</v>
      </c>
      <c r="K1434" s="252">
        <f t="shared" si="71"/>
        <v>93400</v>
      </c>
      <c r="L1434" s="252">
        <f t="shared" si="71"/>
        <v>99850</v>
      </c>
      <c r="M1434" s="252">
        <f t="shared" si="71"/>
        <v>106300</v>
      </c>
    </row>
    <row r="1435" spans="1:13" ht="21.95" customHeight="1" x14ac:dyDescent="0.25">
      <c r="A1435" s="36" t="s">
        <v>2904</v>
      </c>
      <c r="B1435" s="36" t="str">
        <f t="shared" si="70"/>
        <v>MT_PETROLEUM COUNTY, MT</v>
      </c>
      <c r="D1435" s="265" t="s">
        <v>79</v>
      </c>
      <c r="E1435" s="266" t="s">
        <v>4234</v>
      </c>
      <c r="F1435" s="252">
        <f t="shared" si="71"/>
        <v>51650</v>
      </c>
      <c r="G1435" s="252">
        <f t="shared" si="71"/>
        <v>59000</v>
      </c>
      <c r="H1435" s="252">
        <f t="shared" si="71"/>
        <v>66400</v>
      </c>
      <c r="I1435" s="252">
        <f t="shared" si="71"/>
        <v>73750</v>
      </c>
      <c r="J1435" s="252">
        <f t="shared" si="71"/>
        <v>79650</v>
      </c>
      <c r="K1435" s="252">
        <f t="shared" si="71"/>
        <v>85550</v>
      </c>
      <c r="L1435" s="252">
        <f t="shared" si="71"/>
        <v>91450</v>
      </c>
      <c r="M1435" s="252">
        <f t="shared" si="71"/>
        <v>97350</v>
      </c>
    </row>
    <row r="1436" spans="1:13" ht="21.95" customHeight="1" x14ac:dyDescent="0.25">
      <c r="A1436" s="36" t="s">
        <v>2904</v>
      </c>
      <c r="B1436" s="36" t="str">
        <f t="shared" si="70"/>
        <v>MT_PHILLIPS COUNTY, MT</v>
      </c>
      <c r="D1436" s="265" t="s">
        <v>79</v>
      </c>
      <c r="E1436" s="266" t="s">
        <v>4235</v>
      </c>
      <c r="F1436" s="252">
        <f t="shared" si="71"/>
        <v>48900</v>
      </c>
      <c r="G1436" s="252">
        <f t="shared" si="71"/>
        <v>55900</v>
      </c>
      <c r="H1436" s="252">
        <f t="shared" si="71"/>
        <v>62900</v>
      </c>
      <c r="I1436" s="252">
        <f t="shared" si="71"/>
        <v>69850</v>
      </c>
      <c r="J1436" s="252">
        <f t="shared" si="71"/>
        <v>75450</v>
      </c>
      <c r="K1436" s="252">
        <f t="shared" si="71"/>
        <v>81050</v>
      </c>
      <c r="L1436" s="252">
        <f t="shared" si="71"/>
        <v>86650</v>
      </c>
      <c r="M1436" s="252">
        <f t="shared" si="71"/>
        <v>92250</v>
      </c>
    </row>
    <row r="1437" spans="1:13" ht="21.95" customHeight="1" x14ac:dyDescent="0.25">
      <c r="A1437" s="36" t="s">
        <v>2904</v>
      </c>
      <c r="B1437" s="36" t="str">
        <f t="shared" si="70"/>
        <v>MT_PONDERA COUNTY, MT</v>
      </c>
      <c r="D1437" s="265" t="s">
        <v>79</v>
      </c>
      <c r="E1437" s="266" t="s">
        <v>4236</v>
      </c>
      <c r="F1437" s="252">
        <f t="shared" si="71"/>
        <v>48900</v>
      </c>
      <c r="G1437" s="252">
        <f t="shared" si="71"/>
        <v>55900</v>
      </c>
      <c r="H1437" s="252">
        <f t="shared" si="71"/>
        <v>62900</v>
      </c>
      <c r="I1437" s="252">
        <f t="shared" si="71"/>
        <v>69850</v>
      </c>
      <c r="J1437" s="252">
        <f t="shared" si="71"/>
        <v>75450</v>
      </c>
      <c r="K1437" s="252">
        <f t="shared" si="71"/>
        <v>81050</v>
      </c>
      <c r="L1437" s="252">
        <f t="shared" si="71"/>
        <v>86650</v>
      </c>
      <c r="M1437" s="252">
        <f t="shared" si="71"/>
        <v>92250</v>
      </c>
    </row>
    <row r="1438" spans="1:13" ht="21.95" customHeight="1" x14ac:dyDescent="0.25">
      <c r="A1438" s="36" t="s">
        <v>2904</v>
      </c>
      <c r="B1438" s="36" t="str">
        <f t="shared" si="70"/>
        <v>MT_POWDER RIVER COUNTY, MT</v>
      </c>
      <c r="D1438" s="265" t="s">
        <v>79</v>
      </c>
      <c r="E1438" s="266" t="s">
        <v>4237</v>
      </c>
      <c r="F1438" s="252">
        <f t="shared" si="71"/>
        <v>51950</v>
      </c>
      <c r="G1438" s="252">
        <f t="shared" si="71"/>
        <v>59350</v>
      </c>
      <c r="H1438" s="252">
        <f t="shared" si="71"/>
        <v>66750</v>
      </c>
      <c r="I1438" s="252">
        <f t="shared" si="71"/>
        <v>74150</v>
      </c>
      <c r="J1438" s="252">
        <f t="shared" si="71"/>
        <v>80100</v>
      </c>
      <c r="K1438" s="252">
        <f t="shared" si="71"/>
        <v>86050</v>
      </c>
      <c r="L1438" s="252">
        <f t="shared" si="71"/>
        <v>91950</v>
      </c>
      <c r="M1438" s="252">
        <f t="shared" si="71"/>
        <v>97900</v>
      </c>
    </row>
    <row r="1439" spans="1:13" ht="21.95" customHeight="1" x14ac:dyDescent="0.25">
      <c r="A1439" s="36" t="s">
        <v>2904</v>
      </c>
      <c r="B1439" s="36" t="str">
        <f t="shared" si="70"/>
        <v>MT_POWELL COUNTY, MT</v>
      </c>
      <c r="D1439" s="265" t="s">
        <v>79</v>
      </c>
      <c r="E1439" s="266" t="s">
        <v>4238</v>
      </c>
      <c r="F1439" s="252">
        <f t="shared" si="71"/>
        <v>48900</v>
      </c>
      <c r="G1439" s="252">
        <f t="shared" si="71"/>
        <v>55900</v>
      </c>
      <c r="H1439" s="252">
        <f t="shared" si="71"/>
        <v>62900</v>
      </c>
      <c r="I1439" s="252">
        <f t="shared" si="71"/>
        <v>69850</v>
      </c>
      <c r="J1439" s="252">
        <f t="shared" si="71"/>
        <v>75450</v>
      </c>
      <c r="K1439" s="252">
        <f t="shared" si="71"/>
        <v>81050</v>
      </c>
      <c r="L1439" s="252">
        <f t="shared" si="71"/>
        <v>86650</v>
      </c>
      <c r="M1439" s="252">
        <f t="shared" si="71"/>
        <v>92250</v>
      </c>
    </row>
    <row r="1440" spans="1:13" ht="21.95" customHeight="1" x14ac:dyDescent="0.25">
      <c r="A1440" s="36" t="s">
        <v>2904</v>
      </c>
      <c r="B1440" s="36" t="str">
        <f t="shared" si="70"/>
        <v>MT_PRAIRIE COUNTY, MT</v>
      </c>
      <c r="D1440" s="265" t="s">
        <v>79</v>
      </c>
      <c r="E1440" s="266" t="s">
        <v>4239</v>
      </c>
      <c r="F1440" s="252">
        <f t="shared" si="71"/>
        <v>48950</v>
      </c>
      <c r="G1440" s="252">
        <f t="shared" si="71"/>
        <v>55950</v>
      </c>
      <c r="H1440" s="252">
        <f t="shared" si="71"/>
        <v>62950</v>
      </c>
      <c r="I1440" s="252">
        <f t="shared" si="71"/>
        <v>69900</v>
      </c>
      <c r="J1440" s="252">
        <f t="shared" si="71"/>
        <v>75500</v>
      </c>
      <c r="K1440" s="252">
        <f t="shared" si="71"/>
        <v>81100</v>
      </c>
      <c r="L1440" s="252">
        <f t="shared" si="71"/>
        <v>86700</v>
      </c>
      <c r="M1440" s="252">
        <f t="shared" si="71"/>
        <v>92300</v>
      </c>
    </row>
    <row r="1441" spans="1:13" ht="21.95" customHeight="1" x14ac:dyDescent="0.25">
      <c r="A1441" s="36" t="s">
        <v>2904</v>
      </c>
      <c r="B1441" s="36" t="str">
        <f t="shared" si="70"/>
        <v>MT_RAVALLI COUNTY, MT</v>
      </c>
      <c r="D1441" s="265" t="s">
        <v>79</v>
      </c>
      <c r="E1441" s="266" t="s">
        <v>4240</v>
      </c>
      <c r="F1441" s="252">
        <f t="shared" si="71"/>
        <v>52200</v>
      </c>
      <c r="G1441" s="252">
        <f t="shared" si="71"/>
        <v>59650</v>
      </c>
      <c r="H1441" s="252">
        <f t="shared" si="71"/>
        <v>67100</v>
      </c>
      <c r="I1441" s="252">
        <f t="shared" si="71"/>
        <v>74550</v>
      </c>
      <c r="J1441" s="252">
        <f t="shared" si="71"/>
        <v>80550</v>
      </c>
      <c r="K1441" s="252">
        <f t="shared" si="71"/>
        <v>86500</v>
      </c>
      <c r="L1441" s="252">
        <f t="shared" si="71"/>
        <v>92450</v>
      </c>
      <c r="M1441" s="252">
        <f t="shared" si="71"/>
        <v>98450</v>
      </c>
    </row>
    <row r="1442" spans="1:13" ht="21.95" customHeight="1" x14ac:dyDescent="0.25">
      <c r="A1442" s="36" t="s">
        <v>2904</v>
      </c>
      <c r="B1442" s="36" t="str">
        <f t="shared" si="70"/>
        <v>MT_RICHLAND COUNTY, MT</v>
      </c>
      <c r="D1442" s="265" t="s">
        <v>79</v>
      </c>
      <c r="E1442" s="266" t="s">
        <v>4241</v>
      </c>
      <c r="F1442" s="252">
        <f t="shared" si="71"/>
        <v>52850</v>
      </c>
      <c r="G1442" s="252">
        <f t="shared" si="71"/>
        <v>60400</v>
      </c>
      <c r="H1442" s="252">
        <f t="shared" si="71"/>
        <v>67950</v>
      </c>
      <c r="I1442" s="252">
        <f t="shared" si="71"/>
        <v>75500</v>
      </c>
      <c r="J1442" s="252">
        <f t="shared" si="71"/>
        <v>81550</v>
      </c>
      <c r="K1442" s="252">
        <f t="shared" si="71"/>
        <v>87600</v>
      </c>
      <c r="L1442" s="252">
        <f t="shared" si="71"/>
        <v>93650</v>
      </c>
      <c r="M1442" s="252">
        <f t="shared" si="71"/>
        <v>99700</v>
      </c>
    </row>
    <row r="1443" spans="1:13" ht="21.95" customHeight="1" x14ac:dyDescent="0.25">
      <c r="A1443" s="36" t="s">
        <v>2904</v>
      </c>
      <c r="B1443" s="36" t="str">
        <f t="shared" si="70"/>
        <v>MT_ROOSEVELT COUNTY, MT</v>
      </c>
      <c r="D1443" s="265" t="s">
        <v>79</v>
      </c>
      <c r="E1443" s="266" t="s">
        <v>4242</v>
      </c>
      <c r="F1443" s="252">
        <f t="shared" si="71"/>
        <v>48900</v>
      </c>
      <c r="G1443" s="252">
        <f t="shared" si="71"/>
        <v>55900</v>
      </c>
      <c r="H1443" s="252">
        <f t="shared" si="71"/>
        <v>62900</v>
      </c>
      <c r="I1443" s="252">
        <f t="shared" si="71"/>
        <v>69850</v>
      </c>
      <c r="J1443" s="252">
        <f t="shared" si="71"/>
        <v>75450</v>
      </c>
      <c r="K1443" s="252">
        <f t="shared" si="71"/>
        <v>81050</v>
      </c>
      <c r="L1443" s="252">
        <f t="shared" si="71"/>
        <v>86650</v>
      </c>
      <c r="M1443" s="252">
        <f t="shared" si="71"/>
        <v>92250</v>
      </c>
    </row>
    <row r="1444" spans="1:13" ht="21.95" customHeight="1" x14ac:dyDescent="0.25">
      <c r="A1444" s="36" t="s">
        <v>2904</v>
      </c>
      <c r="B1444" s="36" t="str">
        <f t="shared" si="70"/>
        <v>MT_ROSEBUD COUNTY, MT</v>
      </c>
      <c r="D1444" s="265" t="s">
        <v>79</v>
      </c>
      <c r="E1444" s="266" t="s">
        <v>4243</v>
      </c>
      <c r="F1444" s="252">
        <f t="shared" si="71"/>
        <v>48900</v>
      </c>
      <c r="G1444" s="252">
        <f t="shared" si="71"/>
        <v>55900</v>
      </c>
      <c r="H1444" s="252">
        <f t="shared" si="71"/>
        <v>62900</v>
      </c>
      <c r="I1444" s="252">
        <f t="shared" si="71"/>
        <v>69850</v>
      </c>
      <c r="J1444" s="252">
        <f t="shared" si="71"/>
        <v>75450</v>
      </c>
      <c r="K1444" s="252">
        <f t="shared" ref="F1444:M1476" si="72">VLOOKUP($B1444,LOOKUP_AMI_TABLE,5+((K$7-1)),FALSE)</f>
        <v>81050</v>
      </c>
      <c r="L1444" s="252">
        <f t="shared" si="72"/>
        <v>86650</v>
      </c>
      <c r="M1444" s="252">
        <f t="shared" si="72"/>
        <v>92250</v>
      </c>
    </row>
    <row r="1445" spans="1:13" ht="21.95" customHeight="1" x14ac:dyDescent="0.25">
      <c r="A1445" s="36" t="s">
        <v>2904</v>
      </c>
      <c r="B1445" s="36" t="str">
        <f t="shared" si="70"/>
        <v>MT_SANDERS COUNTY, MT</v>
      </c>
      <c r="D1445" s="265" t="s">
        <v>79</v>
      </c>
      <c r="E1445" s="266" t="s">
        <v>4244</v>
      </c>
      <c r="F1445" s="252">
        <f t="shared" si="72"/>
        <v>48900</v>
      </c>
      <c r="G1445" s="252">
        <f t="shared" si="72"/>
        <v>55900</v>
      </c>
      <c r="H1445" s="252">
        <f t="shared" si="72"/>
        <v>62900</v>
      </c>
      <c r="I1445" s="252">
        <f t="shared" si="72"/>
        <v>69850</v>
      </c>
      <c r="J1445" s="252">
        <f t="shared" si="72"/>
        <v>75450</v>
      </c>
      <c r="K1445" s="252">
        <f t="shared" si="72"/>
        <v>81050</v>
      </c>
      <c r="L1445" s="252">
        <f t="shared" si="72"/>
        <v>86650</v>
      </c>
      <c r="M1445" s="252">
        <f t="shared" si="72"/>
        <v>92250</v>
      </c>
    </row>
    <row r="1446" spans="1:13" ht="21.95" customHeight="1" x14ac:dyDescent="0.25">
      <c r="A1446" s="36" t="s">
        <v>2904</v>
      </c>
      <c r="B1446" s="36" t="str">
        <f t="shared" si="70"/>
        <v>MT_SHERIDAN COUNTY, MT</v>
      </c>
      <c r="D1446" s="265" t="s">
        <v>79</v>
      </c>
      <c r="E1446" s="266" t="s">
        <v>4245</v>
      </c>
      <c r="F1446" s="252">
        <f t="shared" si="72"/>
        <v>55200</v>
      </c>
      <c r="G1446" s="252">
        <f t="shared" si="72"/>
        <v>63050</v>
      </c>
      <c r="H1446" s="252">
        <f t="shared" si="72"/>
        <v>70950</v>
      </c>
      <c r="I1446" s="252">
        <f t="shared" si="72"/>
        <v>78800</v>
      </c>
      <c r="J1446" s="252">
        <f t="shared" si="72"/>
        <v>85150</v>
      </c>
      <c r="K1446" s="252">
        <f t="shared" si="72"/>
        <v>91450</v>
      </c>
      <c r="L1446" s="252">
        <f t="shared" si="72"/>
        <v>97750</v>
      </c>
      <c r="M1446" s="252">
        <f t="shared" si="72"/>
        <v>104050</v>
      </c>
    </row>
    <row r="1447" spans="1:13" ht="21.95" customHeight="1" x14ac:dyDescent="0.25">
      <c r="A1447" s="36" t="s">
        <v>2904</v>
      </c>
      <c r="B1447" s="36" t="str">
        <f t="shared" si="70"/>
        <v>MT_SILVER BOW COUNTY, MT</v>
      </c>
      <c r="D1447" s="265" t="s">
        <v>79</v>
      </c>
      <c r="E1447" s="266" t="s">
        <v>4246</v>
      </c>
      <c r="F1447" s="252">
        <f t="shared" si="72"/>
        <v>48900</v>
      </c>
      <c r="G1447" s="252">
        <f t="shared" si="72"/>
        <v>55900</v>
      </c>
      <c r="H1447" s="252">
        <f t="shared" si="72"/>
        <v>62900</v>
      </c>
      <c r="I1447" s="252">
        <f t="shared" si="72"/>
        <v>69850</v>
      </c>
      <c r="J1447" s="252">
        <f t="shared" si="72"/>
        <v>75450</v>
      </c>
      <c r="K1447" s="252">
        <f t="shared" si="72"/>
        <v>81050</v>
      </c>
      <c r="L1447" s="252">
        <f t="shared" si="72"/>
        <v>86650</v>
      </c>
      <c r="M1447" s="252">
        <f t="shared" si="72"/>
        <v>92250</v>
      </c>
    </row>
    <row r="1448" spans="1:13" ht="21.95" customHeight="1" x14ac:dyDescent="0.25">
      <c r="A1448" s="36" t="s">
        <v>2904</v>
      </c>
      <c r="B1448" s="36" t="str">
        <f t="shared" si="70"/>
        <v>MT_STILLWATER COUNTY, MT HUD METRO FMR AREA</v>
      </c>
      <c r="D1448" s="265" t="s">
        <v>79</v>
      </c>
      <c r="E1448" s="266" t="s">
        <v>4247</v>
      </c>
      <c r="F1448" s="252">
        <f t="shared" si="72"/>
        <v>61550</v>
      </c>
      <c r="G1448" s="252">
        <f t="shared" si="72"/>
        <v>70350</v>
      </c>
      <c r="H1448" s="252">
        <f t="shared" si="72"/>
        <v>79150</v>
      </c>
      <c r="I1448" s="252">
        <f t="shared" si="72"/>
        <v>87900</v>
      </c>
      <c r="J1448" s="252">
        <f t="shared" si="72"/>
        <v>94950</v>
      </c>
      <c r="K1448" s="252">
        <f t="shared" si="72"/>
        <v>102000</v>
      </c>
      <c r="L1448" s="252">
        <f t="shared" si="72"/>
        <v>109000</v>
      </c>
      <c r="M1448" s="252">
        <f t="shared" si="72"/>
        <v>116050</v>
      </c>
    </row>
    <row r="1449" spans="1:13" ht="21.95" customHeight="1" x14ac:dyDescent="0.25">
      <c r="A1449" s="36" t="s">
        <v>2904</v>
      </c>
      <c r="B1449" s="36" t="str">
        <f t="shared" si="70"/>
        <v>MT_SWEET GRASS COUNTY, MT</v>
      </c>
      <c r="D1449" s="265" t="s">
        <v>79</v>
      </c>
      <c r="E1449" s="266" t="s">
        <v>4248</v>
      </c>
      <c r="F1449" s="252">
        <f t="shared" si="72"/>
        <v>53450</v>
      </c>
      <c r="G1449" s="252">
        <f t="shared" si="72"/>
        <v>61050</v>
      </c>
      <c r="H1449" s="252">
        <f t="shared" si="72"/>
        <v>68700</v>
      </c>
      <c r="I1449" s="252">
        <f t="shared" si="72"/>
        <v>76300</v>
      </c>
      <c r="J1449" s="252">
        <f t="shared" si="72"/>
        <v>82450</v>
      </c>
      <c r="K1449" s="252">
        <f t="shared" si="72"/>
        <v>88550</v>
      </c>
      <c r="L1449" s="252">
        <f t="shared" si="72"/>
        <v>94650</v>
      </c>
      <c r="M1449" s="252">
        <f t="shared" si="72"/>
        <v>100750</v>
      </c>
    </row>
    <row r="1450" spans="1:13" ht="21.95" customHeight="1" x14ac:dyDescent="0.25">
      <c r="A1450" s="36" t="s">
        <v>2904</v>
      </c>
      <c r="B1450" s="36" t="str">
        <f t="shared" si="70"/>
        <v>MT_TETON COUNTY, MT</v>
      </c>
      <c r="D1450" s="265" t="s">
        <v>79</v>
      </c>
      <c r="E1450" s="266" t="s">
        <v>4249</v>
      </c>
      <c r="F1450" s="252">
        <f t="shared" si="72"/>
        <v>50150</v>
      </c>
      <c r="G1450" s="252">
        <f t="shared" si="72"/>
        <v>57300</v>
      </c>
      <c r="H1450" s="252">
        <f t="shared" si="72"/>
        <v>64450</v>
      </c>
      <c r="I1450" s="252">
        <f t="shared" si="72"/>
        <v>71600</v>
      </c>
      <c r="J1450" s="252">
        <f t="shared" si="72"/>
        <v>77350</v>
      </c>
      <c r="K1450" s="252">
        <f t="shared" si="72"/>
        <v>83100</v>
      </c>
      <c r="L1450" s="252">
        <f t="shared" si="72"/>
        <v>88800</v>
      </c>
      <c r="M1450" s="252">
        <f t="shared" si="72"/>
        <v>94550</v>
      </c>
    </row>
    <row r="1451" spans="1:13" ht="21.95" customHeight="1" x14ac:dyDescent="0.25">
      <c r="A1451" s="36" t="s">
        <v>2904</v>
      </c>
      <c r="B1451" s="36" t="str">
        <f t="shared" si="70"/>
        <v>MT_TOOLE COUNTY, MT</v>
      </c>
      <c r="D1451" s="265" t="s">
        <v>79</v>
      </c>
      <c r="E1451" s="266" t="s">
        <v>4250</v>
      </c>
      <c r="F1451" s="252">
        <f t="shared" si="72"/>
        <v>48900</v>
      </c>
      <c r="G1451" s="252">
        <f t="shared" si="72"/>
        <v>55900</v>
      </c>
      <c r="H1451" s="252">
        <f t="shared" si="72"/>
        <v>62900</v>
      </c>
      <c r="I1451" s="252">
        <f t="shared" si="72"/>
        <v>69850</v>
      </c>
      <c r="J1451" s="252">
        <f t="shared" si="72"/>
        <v>75450</v>
      </c>
      <c r="K1451" s="252">
        <f t="shared" si="72"/>
        <v>81050</v>
      </c>
      <c r="L1451" s="252">
        <f t="shared" si="72"/>
        <v>86650</v>
      </c>
      <c r="M1451" s="252">
        <f t="shared" si="72"/>
        <v>92250</v>
      </c>
    </row>
    <row r="1452" spans="1:13" ht="21.95" customHeight="1" x14ac:dyDescent="0.25">
      <c r="A1452" s="36" t="s">
        <v>2904</v>
      </c>
      <c r="B1452" s="36" t="str">
        <f t="shared" si="70"/>
        <v>MT_TREASURE COUNTY, MT</v>
      </c>
      <c r="D1452" s="265" t="s">
        <v>79</v>
      </c>
      <c r="E1452" s="266" t="s">
        <v>4251</v>
      </c>
      <c r="F1452" s="252">
        <f t="shared" si="72"/>
        <v>49400</v>
      </c>
      <c r="G1452" s="252">
        <f t="shared" si="72"/>
        <v>56450</v>
      </c>
      <c r="H1452" s="252">
        <f t="shared" si="72"/>
        <v>63500</v>
      </c>
      <c r="I1452" s="252">
        <f t="shared" si="72"/>
        <v>70550</v>
      </c>
      <c r="J1452" s="252">
        <f t="shared" si="72"/>
        <v>76200</v>
      </c>
      <c r="K1452" s="252">
        <f t="shared" si="72"/>
        <v>81850</v>
      </c>
      <c r="L1452" s="252">
        <f t="shared" si="72"/>
        <v>87500</v>
      </c>
      <c r="M1452" s="252">
        <f t="shared" si="72"/>
        <v>93150</v>
      </c>
    </row>
    <row r="1453" spans="1:13" ht="21.95" customHeight="1" x14ac:dyDescent="0.25">
      <c r="A1453" s="36" t="s">
        <v>2904</v>
      </c>
      <c r="B1453" s="36" t="str">
        <f t="shared" si="70"/>
        <v>MT_VALLEY COUNTY, MT</v>
      </c>
      <c r="D1453" s="265" t="s">
        <v>79</v>
      </c>
      <c r="E1453" s="266" t="s">
        <v>4252</v>
      </c>
      <c r="F1453" s="252">
        <f t="shared" si="72"/>
        <v>53200</v>
      </c>
      <c r="G1453" s="252">
        <f t="shared" si="72"/>
        <v>60800</v>
      </c>
      <c r="H1453" s="252">
        <f t="shared" si="72"/>
        <v>68400</v>
      </c>
      <c r="I1453" s="252">
        <f t="shared" si="72"/>
        <v>76000</v>
      </c>
      <c r="J1453" s="252">
        <f t="shared" si="72"/>
        <v>82100</v>
      </c>
      <c r="K1453" s="252">
        <f t="shared" si="72"/>
        <v>88200</v>
      </c>
      <c r="L1453" s="252">
        <f t="shared" si="72"/>
        <v>94250</v>
      </c>
      <c r="M1453" s="252">
        <f t="shared" si="72"/>
        <v>100350</v>
      </c>
    </row>
    <row r="1454" spans="1:13" ht="21.95" customHeight="1" x14ac:dyDescent="0.25">
      <c r="A1454" s="36" t="s">
        <v>2904</v>
      </c>
      <c r="B1454" s="36" t="str">
        <f t="shared" si="70"/>
        <v>MT_WHEATLAND COUNTY, MT</v>
      </c>
      <c r="D1454" s="265" t="s">
        <v>79</v>
      </c>
      <c r="E1454" s="266" t="s">
        <v>4253</v>
      </c>
      <c r="F1454" s="252">
        <f t="shared" si="72"/>
        <v>48900</v>
      </c>
      <c r="G1454" s="252">
        <f t="shared" si="72"/>
        <v>55900</v>
      </c>
      <c r="H1454" s="252">
        <f t="shared" si="72"/>
        <v>62900</v>
      </c>
      <c r="I1454" s="252">
        <f t="shared" si="72"/>
        <v>69850</v>
      </c>
      <c r="J1454" s="252">
        <f t="shared" si="72"/>
        <v>75450</v>
      </c>
      <c r="K1454" s="252">
        <f t="shared" si="72"/>
        <v>81050</v>
      </c>
      <c r="L1454" s="252">
        <f t="shared" si="72"/>
        <v>86650</v>
      </c>
      <c r="M1454" s="252">
        <f t="shared" si="72"/>
        <v>92250</v>
      </c>
    </row>
    <row r="1455" spans="1:13" ht="21.95" customHeight="1" x14ac:dyDescent="0.25">
      <c r="A1455" s="36" t="s">
        <v>2904</v>
      </c>
      <c r="B1455" s="36" t="str">
        <f t="shared" si="70"/>
        <v>MT_WIBAUX COUNTY, MT</v>
      </c>
      <c r="D1455" s="265" t="s">
        <v>79</v>
      </c>
      <c r="E1455" s="266" t="s">
        <v>4254</v>
      </c>
      <c r="F1455" s="252">
        <f t="shared" si="72"/>
        <v>56500</v>
      </c>
      <c r="G1455" s="252">
        <f t="shared" si="72"/>
        <v>64600</v>
      </c>
      <c r="H1455" s="252">
        <f t="shared" si="72"/>
        <v>72650</v>
      </c>
      <c r="I1455" s="252">
        <f t="shared" si="72"/>
        <v>80700</v>
      </c>
      <c r="J1455" s="252">
        <f t="shared" si="72"/>
        <v>87200</v>
      </c>
      <c r="K1455" s="252">
        <f t="shared" si="72"/>
        <v>93650</v>
      </c>
      <c r="L1455" s="252">
        <f t="shared" si="72"/>
        <v>100100</v>
      </c>
      <c r="M1455" s="252">
        <f t="shared" si="72"/>
        <v>106550</v>
      </c>
    </row>
    <row r="1456" spans="1:13" ht="21.95" customHeight="1" x14ac:dyDescent="0.25">
      <c r="A1456" s="36" t="s">
        <v>2904</v>
      </c>
      <c r="B1456" s="36" t="str">
        <f t="shared" si="70"/>
        <v>NC_ALLEGHANY COUNTY, NC</v>
      </c>
      <c r="D1456" s="265" t="s">
        <v>73</v>
      </c>
      <c r="E1456" s="266" t="s">
        <v>4255</v>
      </c>
      <c r="F1456" s="252">
        <f t="shared" si="72"/>
        <v>42800</v>
      </c>
      <c r="G1456" s="252">
        <f t="shared" si="72"/>
        <v>48900</v>
      </c>
      <c r="H1456" s="252">
        <f t="shared" si="72"/>
        <v>55000</v>
      </c>
      <c r="I1456" s="252">
        <f t="shared" si="72"/>
        <v>61100</v>
      </c>
      <c r="J1456" s="252">
        <f t="shared" si="72"/>
        <v>66000</v>
      </c>
      <c r="K1456" s="252">
        <f t="shared" si="72"/>
        <v>70900</v>
      </c>
      <c r="L1456" s="252">
        <f t="shared" si="72"/>
        <v>75800</v>
      </c>
      <c r="M1456" s="252">
        <f t="shared" si="72"/>
        <v>80700</v>
      </c>
    </row>
    <row r="1457" spans="1:13" ht="21.95" customHeight="1" x14ac:dyDescent="0.25">
      <c r="A1457" s="36" t="s">
        <v>2904</v>
      </c>
      <c r="B1457" s="36" t="str">
        <f t="shared" si="70"/>
        <v>NC_ANSON COUNTY, NC HUD METRO FMR AREA</v>
      </c>
      <c r="D1457" s="265" t="s">
        <v>73</v>
      </c>
      <c r="E1457" s="266" t="s">
        <v>4256</v>
      </c>
      <c r="F1457" s="252">
        <f t="shared" si="72"/>
        <v>42800</v>
      </c>
      <c r="G1457" s="252">
        <f t="shared" si="72"/>
        <v>48900</v>
      </c>
      <c r="H1457" s="252">
        <f t="shared" si="72"/>
        <v>55000</v>
      </c>
      <c r="I1457" s="252">
        <f t="shared" si="72"/>
        <v>61100</v>
      </c>
      <c r="J1457" s="252">
        <f t="shared" si="72"/>
        <v>66000</v>
      </c>
      <c r="K1457" s="252">
        <f t="shared" si="72"/>
        <v>70900</v>
      </c>
      <c r="L1457" s="252">
        <f t="shared" si="72"/>
        <v>75800</v>
      </c>
      <c r="M1457" s="252">
        <f t="shared" si="72"/>
        <v>80700</v>
      </c>
    </row>
    <row r="1458" spans="1:13" ht="21.95" customHeight="1" x14ac:dyDescent="0.25">
      <c r="A1458" s="36" t="s">
        <v>2904</v>
      </c>
      <c r="B1458" s="36" t="str">
        <f t="shared" si="70"/>
        <v>NC_ASHE COUNTY, NC</v>
      </c>
      <c r="D1458" s="265" t="s">
        <v>73</v>
      </c>
      <c r="E1458" s="266" t="s">
        <v>4257</v>
      </c>
      <c r="F1458" s="252">
        <f t="shared" si="72"/>
        <v>42800</v>
      </c>
      <c r="G1458" s="252">
        <f t="shared" si="72"/>
        <v>48900</v>
      </c>
      <c r="H1458" s="252">
        <f t="shared" si="72"/>
        <v>55000</v>
      </c>
      <c r="I1458" s="252">
        <f t="shared" si="72"/>
        <v>61100</v>
      </c>
      <c r="J1458" s="252">
        <f t="shared" si="72"/>
        <v>66000</v>
      </c>
      <c r="K1458" s="252">
        <f t="shared" si="72"/>
        <v>70900</v>
      </c>
      <c r="L1458" s="252">
        <f t="shared" si="72"/>
        <v>75800</v>
      </c>
      <c r="M1458" s="252">
        <f t="shared" si="72"/>
        <v>80700</v>
      </c>
    </row>
    <row r="1459" spans="1:13" ht="21.95" customHeight="1" x14ac:dyDescent="0.25">
      <c r="A1459" s="36" t="s">
        <v>2904</v>
      </c>
      <c r="B1459" s="36" t="str">
        <f t="shared" si="70"/>
        <v>NC_ASHEVILLE, NC MSA</v>
      </c>
      <c r="D1459" s="265" t="s">
        <v>73</v>
      </c>
      <c r="E1459" s="266" t="s">
        <v>9221</v>
      </c>
      <c r="F1459" s="252">
        <f t="shared" si="72"/>
        <v>52150</v>
      </c>
      <c r="G1459" s="252">
        <f t="shared" si="72"/>
        <v>59600</v>
      </c>
      <c r="H1459" s="252">
        <f t="shared" si="72"/>
        <v>67050</v>
      </c>
      <c r="I1459" s="252">
        <f t="shared" si="72"/>
        <v>74500</v>
      </c>
      <c r="J1459" s="252">
        <f t="shared" si="72"/>
        <v>80500</v>
      </c>
      <c r="K1459" s="252">
        <f t="shared" si="72"/>
        <v>86450</v>
      </c>
      <c r="L1459" s="252">
        <f t="shared" si="72"/>
        <v>92400</v>
      </c>
      <c r="M1459" s="252">
        <f t="shared" si="72"/>
        <v>98350</v>
      </c>
    </row>
    <row r="1460" spans="1:13" ht="21.95" customHeight="1" x14ac:dyDescent="0.25">
      <c r="A1460" s="36" t="s">
        <v>2904</v>
      </c>
      <c r="B1460" s="36" t="str">
        <f t="shared" si="70"/>
        <v>NC_AVERY COUNTY, NC</v>
      </c>
      <c r="D1460" s="265" t="s">
        <v>73</v>
      </c>
      <c r="E1460" s="266" t="s">
        <v>4258</v>
      </c>
      <c r="F1460" s="252">
        <f t="shared" si="72"/>
        <v>46100</v>
      </c>
      <c r="G1460" s="252">
        <f t="shared" si="72"/>
        <v>52700</v>
      </c>
      <c r="H1460" s="252">
        <f t="shared" si="72"/>
        <v>59300</v>
      </c>
      <c r="I1460" s="252">
        <f t="shared" si="72"/>
        <v>65850</v>
      </c>
      <c r="J1460" s="252">
        <f t="shared" si="72"/>
        <v>71150</v>
      </c>
      <c r="K1460" s="252">
        <f t="shared" si="72"/>
        <v>76400</v>
      </c>
      <c r="L1460" s="252">
        <f t="shared" si="72"/>
        <v>81700</v>
      </c>
      <c r="M1460" s="252">
        <f t="shared" si="72"/>
        <v>86950</v>
      </c>
    </row>
    <row r="1461" spans="1:13" ht="21.95" customHeight="1" x14ac:dyDescent="0.25">
      <c r="A1461" s="36" t="s">
        <v>2904</v>
      </c>
      <c r="B1461" s="36" t="str">
        <f t="shared" si="70"/>
        <v>NC_BEAUFORT COUNTY, NC</v>
      </c>
      <c r="D1461" s="265" t="s">
        <v>73</v>
      </c>
      <c r="E1461" s="266" t="s">
        <v>4259</v>
      </c>
      <c r="F1461" s="252">
        <f t="shared" si="72"/>
        <v>43800</v>
      </c>
      <c r="G1461" s="252">
        <f t="shared" si="72"/>
        <v>50050</v>
      </c>
      <c r="H1461" s="252">
        <f t="shared" si="72"/>
        <v>56300</v>
      </c>
      <c r="I1461" s="252">
        <f t="shared" si="72"/>
        <v>62550</v>
      </c>
      <c r="J1461" s="252">
        <f t="shared" si="72"/>
        <v>67600</v>
      </c>
      <c r="K1461" s="252">
        <f t="shared" si="72"/>
        <v>72600</v>
      </c>
      <c r="L1461" s="252">
        <f t="shared" si="72"/>
        <v>77600</v>
      </c>
      <c r="M1461" s="252">
        <f t="shared" si="72"/>
        <v>82600</v>
      </c>
    </row>
    <row r="1462" spans="1:13" ht="21.95" customHeight="1" x14ac:dyDescent="0.25">
      <c r="A1462" s="36" t="s">
        <v>2904</v>
      </c>
      <c r="B1462" s="36" t="str">
        <f t="shared" si="70"/>
        <v>NC_BERTIE COUNTY, NC</v>
      </c>
      <c r="D1462" s="265" t="s">
        <v>73</v>
      </c>
      <c r="E1462" s="266" t="s">
        <v>4260</v>
      </c>
      <c r="F1462" s="252">
        <f t="shared" si="72"/>
        <v>42800</v>
      </c>
      <c r="G1462" s="252">
        <f t="shared" si="72"/>
        <v>48900</v>
      </c>
      <c r="H1462" s="252">
        <f t="shared" si="72"/>
        <v>55000</v>
      </c>
      <c r="I1462" s="252">
        <f t="shared" si="72"/>
        <v>61100</v>
      </c>
      <c r="J1462" s="252">
        <f t="shared" si="72"/>
        <v>66000</v>
      </c>
      <c r="K1462" s="252">
        <f t="shared" si="72"/>
        <v>70900</v>
      </c>
      <c r="L1462" s="252">
        <f t="shared" si="72"/>
        <v>75800</v>
      </c>
      <c r="M1462" s="252">
        <f t="shared" si="72"/>
        <v>80700</v>
      </c>
    </row>
    <row r="1463" spans="1:13" ht="21.95" customHeight="1" x14ac:dyDescent="0.25">
      <c r="A1463" s="36" t="s">
        <v>2904</v>
      </c>
      <c r="B1463" s="36" t="str">
        <f t="shared" si="70"/>
        <v>NC_BLADEN COUNTY, NC</v>
      </c>
      <c r="D1463" s="265" t="s">
        <v>73</v>
      </c>
      <c r="E1463" s="266" t="s">
        <v>4261</v>
      </c>
      <c r="F1463" s="252">
        <f t="shared" si="72"/>
        <v>42800</v>
      </c>
      <c r="G1463" s="252">
        <f t="shared" si="72"/>
        <v>48900</v>
      </c>
      <c r="H1463" s="252">
        <f t="shared" si="72"/>
        <v>55000</v>
      </c>
      <c r="I1463" s="252">
        <f t="shared" si="72"/>
        <v>61100</v>
      </c>
      <c r="J1463" s="252">
        <f t="shared" si="72"/>
        <v>66000</v>
      </c>
      <c r="K1463" s="252">
        <f t="shared" si="72"/>
        <v>70900</v>
      </c>
      <c r="L1463" s="252">
        <f t="shared" si="72"/>
        <v>75800</v>
      </c>
      <c r="M1463" s="252">
        <f t="shared" si="72"/>
        <v>80700</v>
      </c>
    </row>
    <row r="1464" spans="1:13" ht="21.95" customHeight="1" x14ac:dyDescent="0.25">
      <c r="A1464" s="36" t="s">
        <v>2904</v>
      </c>
      <c r="B1464" s="36" t="str">
        <f t="shared" si="70"/>
        <v>NC_BRUNSWICK COUNTY, NC HUD METRO FMR AREA</v>
      </c>
      <c r="D1464" s="265" t="s">
        <v>73</v>
      </c>
      <c r="E1464" s="266" t="s">
        <v>4262</v>
      </c>
      <c r="F1464" s="252">
        <f t="shared" si="72"/>
        <v>53200</v>
      </c>
      <c r="G1464" s="252">
        <f t="shared" si="72"/>
        <v>60800</v>
      </c>
      <c r="H1464" s="252">
        <f t="shared" si="72"/>
        <v>68400</v>
      </c>
      <c r="I1464" s="252">
        <f t="shared" si="72"/>
        <v>76000</v>
      </c>
      <c r="J1464" s="252">
        <f t="shared" si="72"/>
        <v>82100</v>
      </c>
      <c r="K1464" s="252">
        <f t="shared" si="72"/>
        <v>88200</v>
      </c>
      <c r="L1464" s="252">
        <f t="shared" si="72"/>
        <v>94250</v>
      </c>
      <c r="M1464" s="252">
        <f t="shared" si="72"/>
        <v>100350</v>
      </c>
    </row>
    <row r="1465" spans="1:13" ht="21.95" customHeight="1" x14ac:dyDescent="0.25">
      <c r="A1465" s="36" t="s">
        <v>2904</v>
      </c>
      <c r="B1465" s="36" t="str">
        <f t="shared" si="70"/>
        <v>NC_BURLINGTON, NC MSA</v>
      </c>
      <c r="D1465" s="265" t="s">
        <v>73</v>
      </c>
      <c r="E1465" s="266" t="s">
        <v>4263</v>
      </c>
      <c r="F1465" s="252">
        <f t="shared" si="72"/>
        <v>47600</v>
      </c>
      <c r="G1465" s="252">
        <f t="shared" si="72"/>
        <v>54400</v>
      </c>
      <c r="H1465" s="252">
        <f t="shared" si="72"/>
        <v>61200</v>
      </c>
      <c r="I1465" s="252">
        <f t="shared" si="72"/>
        <v>68000</v>
      </c>
      <c r="J1465" s="252">
        <f t="shared" si="72"/>
        <v>73450</v>
      </c>
      <c r="K1465" s="252">
        <f t="shared" si="72"/>
        <v>78900</v>
      </c>
      <c r="L1465" s="252">
        <f t="shared" si="72"/>
        <v>84350</v>
      </c>
      <c r="M1465" s="252">
        <f t="shared" si="72"/>
        <v>89800</v>
      </c>
    </row>
    <row r="1466" spans="1:13" ht="21.95" customHeight="1" x14ac:dyDescent="0.25">
      <c r="A1466" s="36" t="s">
        <v>2904</v>
      </c>
      <c r="B1466" s="36" t="str">
        <f t="shared" si="70"/>
        <v>NC_CAMDEN COUNTY, NC HUD METRO FMR AREA</v>
      </c>
      <c r="D1466" s="265" t="s">
        <v>73</v>
      </c>
      <c r="E1466" s="266" t="s">
        <v>4264</v>
      </c>
      <c r="F1466" s="252">
        <f t="shared" si="72"/>
        <v>57250</v>
      </c>
      <c r="G1466" s="252">
        <f t="shared" si="72"/>
        <v>65400</v>
      </c>
      <c r="H1466" s="252">
        <f t="shared" si="72"/>
        <v>73600</v>
      </c>
      <c r="I1466" s="252">
        <f t="shared" si="72"/>
        <v>81750</v>
      </c>
      <c r="J1466" s="252">
        <f t="shared" si="72"/>
        <v>88300</v>
      </c>
      <c r="K1466" s="252">
        <f t="shared" si="72"/>
        <v>94850</v>
      </c>
      <c r="L1466" s="252">
        <f t="shared" si="72"/>
        <v>101400</v>
      </c>
      <c r="M1466" s="252">
        <f t="shared" si="72"/>
        <v>107950</v>
      </c>
    </row>
    <row r="1467" spans="1:13" ht="21.95" customHeight="1" x14ac:dyDescent="0.25">
      <c r="A1467" s="36" t="s">
        <v>2904</v>
      </c>
      <c r="B1467" s="36" t="str">
        <f t="shared" si="70"/>
        <v>NC_CARTERET COUNTY, NC</v>
      </c>
      <c r="D1467" s="265" t="s">
        <v>73</v>
      </c>
      <c r="E1467" s="266" t="s">
        <v>4265</v>
      </c>
      <c r="F1467" s="252">
        <f t="shared" si="72"/>
        <v>54150</v>
      </c>
      <c r="G1467" s="252">
        <f t="shared" si="72"/>
        <v>61900</v>
      </c>
      <c r="H1467" s="252">
        <f t="shared" si="72"/>
        <v>69650</v>
      </c>
      <c r="I1467" s="252">
        <f t="shared" si="72"/>
        <v>77350</v>
      </c>
      <c r="J1467" s="252">
        <f t="shared" si="72"/>
        <v>83550</v>
      </c>
      <c r="K1467" s="252">
        <f t="shared" si="72"/>
        <v>89750</v>
      </c>
      <c r="L1467" s="252">
        <f t="shared" si="72"/>
        <v>95950</v>
      </c>
      <c r="M1467" s="252">
        <f t="shared" si="72"/>
        <v>102150</v>
      </c>
    </row>
    <row r="1468" spans="1:13" ht="21.95" customHeight="1" x14ac:dyDescent="0.25">
      <c r="A1468" s="36" t="s">
        <v>2904</v>
      </c>
      <c r="B1468" s="36" t="str">
        <f t="shared" ref="B1468:B1531" si="73">UPPER(TRIM(D1468)&amp;"_"&amp;TRIM(E1468))</f>
        <v>NC_CASWELL COUNTY, NC</v>
      </c>
      <c r="D1468" s="265" t="s">
        <v>73</v>
      </c>
      <c r="E1468" s="266" t="s">
        <v>4266</v>
      </c>
      <c r="F1468" s="252">
        <f t="shared" si="72"/>
        <v>44000</v>
      </c>
      <c r="G1468" s="252">
        <f t="shared" si="72"/>
        <v>50250</v>
      </c>
      <c r="H1468" s="252">
        <f t="shared" si="72"/>
        <v>56550</v>
      </c>
      <c r="I1468" s="252">
        <f t="shared" si="72"/>
        <v>62800</v>
      </c>
      <c r="J1468" s="252">
        <f t="shared" si="72"/>
        <v>67850</v>
      </c>
      <c r="K1468" s="252">
        <f t="shared" si="72"/>
        <v>72850</v>
      </c>
      <c r="L1468" s="252">
        <f t="shared" si="72"/>
        <v>77900</v>
      </c>
      <c r="M1468" s="252">
        <f t="shared" si="72"/>
        <v>82900</v>
      </c>
    </row>
    <row r="1469" spans="1:13" ht="21.95" customHeight="1" x14ac:dyDescent="0.25">
      <c r="A1469" s="36" t="s">
        <v>2904</v>
      </c>
      <c r="B1469" s="36" t="str">
        <f t="shared" si="73"/>
        <v>NC_CHARLOTTE-CONCORD-GASTONIA, NC-SC HUD METRO FMR AREA</v>
      </c>
      <c r="D1469" s="265" t="s">
        <v>73</v>
      </c>
      <c r="E1469" s="266" t="s">
        <v>4267</v>
      </c>
      <c r="F1469" s="252">
        <f t="shared" si="72"/>
        <v>62850</v>
      </c>
      <c r="G1469" s="252">
        <f t="shared" si="72"/>
        <v>71800</v>
      </c>
      <c r="H1469" s="252">
        <f t="shared" si="72"/>
        <v>80800</v>
      </c>
      <c r="I1469" s="252">
        <f t="shared" si="72"/>
        <v>89750</v>
      </c>
      <c r="J1469" s="252">
        <f t="shared" si="72"/>
        <v>96950</v>
      </c>
      <c r="K1469" s="252">
        <f t="shared" si="72"/>
        <v>104150</v>
      </c>
      <c r="L1469" s="252">
        <f t="shared" si="72"/>
        <v>111300</v>
      </c>
      <c r="M1469" s="252">
        <f t="shared" si="72"/>
        <v>118500</v>
      </c>
    </row>
    <row r="1470" spans="1:13" ht="21.95" customHeight="1" x14ac:dyDescent="0.25">
      <c r="A1470" s="36" t="s">
        <v>2904</v>
      </c>
      <c r="B1470" s="36" t="str">
        <f t="shared" si="73"/>
        <v>NC_CHEROKEE COUNTY, NC</v>
      </c>
      <c r="D1470" s="265" t="s">
        <v>73</v>
      </c>
      <c r="E1470" s="266" t="s">
        <v>4268</v>
      </c>
      <c r="F1470" s="252">
        <f t="shared" si="72"/>
        <v>42800</v>
      </c>
      <c r="G1470" s="252">
        <f t="shared" si="72"/>
        <v>48900</v>
      </c>
      <c r="H1470" s="252">
        <f t="shared" si="72"/>
        <v>55000</v>
      </c>
      <c r="I1470" s="252">
        <f t="shared" si="72"/>
        <v>61100</v>
      </c>
      <c r="J1470" s="252">
        <f t="shared" si="72"/>
        <v>66000</v>
      </c>
      <c r="K1470" s="252">
        <f t="shared" si="72"/>
        <v>70900</v>
      </c>
      <c r="L1470" s="252">
        <f t="shared" si="72"/>
        <v>75800</v>
      </c>
      <c r="M1470" s="252">
        <f t="shared" si="72"/>
        <v>80700</v>
      </c>
    </row>
    <row r="1471" spans="1:13" ht="21.95" customHeight="1" x14ac:dyDescent="0.25">
      <c r="A1471" s="36" t="s">
        <v>2904</v>
      </c>
      <c r="B1471" s="36" t="str">
        <f t="shared" si="73"/>
        <v>NC_CHOWAN COUNTY, NC</v>
      </c>
      <c r="D1471" s="265" t="s">
        <v>73</v>
      </c>
      <c r="E1471" s="266" t="s">
        <v>4269</v>
      </c>
      <c r="F1471" s="252">
        <f t="shared" si="72"/>
        <v>42800</v>
      </c>
      <c r="G1471" s="252">
        <f t="shared" si="72"/>
        <v>48900</v>
      </c>
      <c r="H1471" s="252">
        <f t="shared" si="72"/>
        <v>55000</v>
      </c>
      <c r="I1471" s="252">
        <f t="shared" si="72"/>
        <v>61100</v>
      </c>
      <c r="J1471" s="252">
        <f t="shared" si="72"/>
        <v>66000</v>
      </c>
      <c r="K1471" s="252">
        <f t="shared" si="72"/>
        <v>70900</v>
      </c>
      <c r="L1471" s="252">
        <f t="shared" si="72"/>
        <v>75800</v>
      </c>
      <c r="M1471" s="252">
        <f t="shared" si="72"/>
        <v>80700</v>
      </c>
    </row>
    <row r="1472" spans="1:13" ht="21.95" customHeight="1" x14ac:dyDescent="0.25">
      <c r="A1472" s="36" t="s">
        <v>2904</v>
      </c>
      <c r="B1472" s="36" t="str">
        <f t="shared" si="73"/>
        <v>NC_CLAY COUNTY, NC</v>
      </c>
      <c r="D1472" s="265" t="s">
        <v>73</v>
      </c>
      <c r="E1472" s="266" t="s">
        <v>4270</v>
      </c>
      <c r="F1472" s="252">
        <f t="shared" si="72"/>
        <v>46550</v>
      </c>
      <c r="G1472" s="252">
        <f t="shared" si="72"/>
        <v>53200</v>
      </c>
      <c r="H1472" s="252">
        <f t="shared" si="72"/>
        <v>59850</v>
      </c>
      <c r="I1472" s="252">
        <f t="shared" si="72"/>
        <v>66450</v>
      </c>
      <c r="J1472" s="252">
        <f t="shared" si="72"/>
        <v>71800</v>
      </c>
      <c r="K1472" s="252">
        <f t="shared" si="72"/>
        <v>77100</v>
      </c>
      <c r="L1472" s="252">
        <f t="shared" si="72"/>
        <v>82400</v>
      </c>
      <c r="M1472" s="252">
        <f t="shared" si="72"/>
        <v>87750</v>
      </c>
    </row>
    <row r="1473" spans="1:13" ht="21.95" customHeight="1" x14ac:dyDescent="0.25">
      <c r="A1473" s="36" t="s">
        <v>2904</v>
      </c>
      <c r="B1473" s="36" t="str">
        <f t="shared" si="73"/>
        <v>NC_CLEVELAND COUNTY, NC</v>
      </c>
      <c r="D1473" s="265" t="s">
        <v>73</v>
      </c>
      <c r="E1473" s="266" t="s">
        <v>4271</v>
      </c>
      <c r="F1473" s="252">
        <f t="shared" si="72"/>
        <v>42950</v>
      </c>
      <c r="G1473" s="252">
        <f t="shared" si="72"/>
        <v>49050</v>
      </c>
      <c r="H1473" s="252">
        <f t="shared" si="72"/>
        <v>55200</v>
      </c>
      <c r="I1473" s="252">
        <f t="shared" si="72"/>
        <v>61300</v>
      </c>
      <c r="J1473" s="252">
        <f t="shared" si="72"/>
        <v>66250</v>
      </c>
      <c r="K1473" s="252">
        <f t="shared" si="72"/>
        <v>71150</v>
      </c>
      <c r="L1473" s="252">
        <f t="shared" si="72"/>
        <v>76050</v>
      </c>
      <c r="M1473" s="252">
        <f t="shared" si="72"/>
        <v>80950</v>
      </c>
    </row>
    <row r="1474" spans="1:13" ht="21.95" customHeight="1" x14ac:dyDescent="0.25">
      <c r="A1474" s="36" t="s">
        <v>2904</v>
      </c>
      <c r="B1474" s="36" t="str">
        <f t="shared" si="73"/>
        <v>NC_COLUMBUS COUNTY, NC</v>
      </c>
      <c r="D1474" s="265" t="s">
        <v>73</v>
      </c>
      <c r="E1474" s="266" t="s">
        <v>4272</v>
      </c>
      <c r="F1474" s="252">
        <f t="shared" si="72"/>
        <v>42800</v>
      </c>
      <c r="G1474" s="252">
        <f t="shared" si="72"/>
        <v>48900</v>
      </c>
      <c r="H1474" s="252">
        <f t="shared" si="72"/>
        <v>55000</v>
      </c>
      <c r="I1474" s="252">
        <f t="shared" si="72"/>
        <v>61100</v>
      </c>
      <c r="J1474" s="252">
        <f t="shared" si="72"/>
        <v>66000</v>
      </c>
      <c r="K1474" s="252">
        <f t="shared" si="72"/>
        <v>70900</v>
      </c>
      <c r="L1474" s="252">
        <f t="shared" si="72"/>
        <v>75800</v>
      </c>
      <c r="M1474" s="252">
        <f t="shared" si="72"/>
        <v>80700</v>
      </c>
    </row>
    <row r="1475" spans="1:13" ht="21.95" customHeight="1" x14ac:dyDescent="0.25">
      <c r="A1475" s="36" t="s">
        <v>2904</v>
      </c>
      <c r="B1475" s="36" t="str">
        <f t="shared" si="73"/>
        <v>NC_CRAVEN COUNTY, NC</v>
      </c>
      <c r="D1475" s="265" t="s">
        <v>73</v>
      </c>
      <c r="E1475" s="266" t="s">
        <v>9222</v>
      </c>
      <c r="F1475" s="252">
        <f t="shared" si="72"/>
        <v>49500</v>
      </c>
      <c r="G1475" s="252">
        <f t="shared" si="72"/>
        <v>56550</v>
      </c>
      <c r="H1475" s="252">
        <f t="shared" si="72"/>
        <v>63600</v>
      </c>
      <c r="I1475" s="252">
        <f t="shared" si="72"/>
        <v>70650</v>
      </c>
      <c r="J1475" s="252">
        <f t="shared" si="72"/>
        <v>76350</v>
      </c>
      <c r="K1475" s="252">
        <f t="shared" si="72"/>
        <v>82000</v>
      </c>
      <c r="L1475" s="252">
        <f t="shared" si="72"/>
        <v>87650</v>
      </c>
      <c r="M1475" s="252">
        <f t="shared" si="72"/>
        <v>93300</v>
      </c>
    </row>
    <row r="1476" spans="1:13" ht="21.95" customHeight="1" x14ac:dyDescent="0.25">
      <c r="A1476" s="36" t="s">
        <v>2904</v>
      </c>
      <c r="B1476" s="36" t="str">
        <f t="shared" si="73"/>
        <v>NC_DARE COUNTY, NC</v>
      </c>
      <c r="D1476" s="265" t="s">
        <v>73</v>
      </c>
      <c r="E1476" s="266" t="s">
        <v>4273</v>
      </c>
      <c r="F1476" s="252">
        <f t="shared" si="72"/>
        <v>56150</v>
      </c>
      <c r="G1476" s="252">
        <f t="shared" si="72"/>
        <v>64150</v>
      </c>
      <c r="H1476" s="252">
        <f t="shared" si="72"/>
        <v>72150</v>
      </c>
      <c r="I1476" s="252">
        <f t="shared" si="72"/>
        <v>80150</v>
      </c>
      <c r="J1476" s="252">
        <f t="shared" ref="F1476:M1508" si="74">VLOOKUP($B1476,LOOKUP_AMI_TABLE,5+((J$7-1)),FALSE)</f>
        <v>86600</v>
      </c>
      <c r="K1476" s="252">
        <f t="shared" si="74"/>
        <v>93000</v>
      </c>
      <c r="L1476" s="252">
        <f t="shared" si="74"/>
        <v>99400</v>
      </c>
      <c r="M1476" s="252">
        <f t="shared" si="74"/>
        <v>105800</v>
      </c>
    </row>
    <row r="1477" spans="1:13" ht="21.95" customHeight="1" x14ac:dyDescent="0.25">
      <c r="A1477" s="36" t="s">
        <v>2904</v>
      </c>
      <c r="B1477" s="36" t="str">
        <f t="shared" si="73"/>
        <v>NC_DAVIDSON COUNTY, NC HUD METRO FMR AREA</v>
      </c>
      <c r="D1477" s="265" t="s">
        <v>73</v>
      </c>
      <c r="E1477" s="266" t="s">
        <v>4274</v>
      </c>
      <c r="F1477" s="252">
        <f t="shared" si="74"/>
        <v>45000</v>
      </c>
      <c r="G1477" s="252">
        <f t="shared" si="74"/>
        <v>51400</v>
      </c>
      <c r="H1477" s="252">
        <f t="shared" si="74"/>
        <v>57850</v>
      </c>
      <c r="I1477" s="252">
        <f t="shared" si="74"/>
        <v>64250</v>
      </c>
      <c r="J1477" s="252">
        <f t="shared" si="74"/>
        <v>69400</v>
      </c>
      <c r="K1477" s="252">
        <f t="shared" si="74"/>
        <v>74550</v>
      </c>
      <c r="L1477" s="252">
        <f t="shared" si="74"/>
        <v>79700</v>
      </c>
      <c r="M1477" s="252">
        <f t="shared" si="74"/>
        <v>84850</v>
      </c>
    </row>
    <row r="1478" spans="1:13" ht="21.95" customHeight="1" x14ac:dyDescent="0.25">
      <c r="A1478" s="36" t="s">
        <v>2904</v>
      </c>
      <c r="B1478" s="36" t="str">
        <f t="shared" si="73"/>
        <v>NC_DUPLIN COUNTY, NC</v>
      </c>
      <c r="D1478" s="265" t="s">
        <v>73</v>
      </c>
      <c r="E1478" s="266" t="s">
        <v>4275</v>
      </c>
      <c r="F1478" s="252">
        <f t="shared" si="74"/>
        <v>42800</v>
      </c>
      <c r="G1478" s="252">
        <f t="shared" si="74"/>
        <v>48900</v>
      </c>
      <c r="H1478" s="252">
        <f t="shared" si="74"/>
        <v>55000</v>
      </c>
      <c r="I1478" s="252">
        <f t="shared" si="74"/>
        <v>61100</v>
      </c>
      <c r="J1478" s="252">
        <f t="shared" si="74"/>
        <v>66000</v>
      </c>
      <c r="K1478" s="252">
        <f t="shared" si="74"/>
        <v>70900</v>
      </c>
      <c r="L1478" s="252">
        <f t="shared" si="74"/>
        <v>75800</v>
      </c>
      <c r="M1478" s="252">
        <f t="shared" si="74"/>
        <v>80700</v>
      </c>
    </row>
    <row r="1479" spans="1:13" ht="21.95" customHeight="1" x14ac:dyDescent="0.25">
      <c r="A1479" s="36" t="s">
        <v>2904</v>
      </c>
      <c r="B1479" s="36" t="str">
        <f t="shared" si="73"/>
        <v>NC_DURHAM-CHAPEL HILL, NC HUD METRO FMR AREA</v>
      </c>
      <c r="D1479" s="265" t="s">
        <v>73</v>
      </c>
      <c r="E1479" s="266" t="s">
        <v>4276</v>
      </c>
      <c r="F1479" s="252">
        <f t="shared" si="74"/>
        <v>64750</v>
      </c>
      <c r="G1479" s="252">
        <f t="shared" si="74"/>
        <v>74000</v>
      </c>
      <c r="H1479" s="252">
        <f t="shared" si="74"/>
        <v>83250</v>
      </c>
      <c r="I1479" s="252">
        <f t="shared" si="74"/>
        <v>92500</v>
      </c>
      <c r="J1479" s="252">
        <f t="shared" si="74"/>
        <v>99900</v>
      </c>
      <c r="K1479" s="252">
        <f t="shared" si="74"/>
        <v>107300</v>
      </c>
      <c r="L1479" s="252">
        <f t="shared" si="74"/>
        <v>114700</v>
      </c>
      <c r="M1479" s="252">
        <f t="shared" si="74"/>
        <v>122100</v>
      </c>
    </row>
    <row r="1480" spans="1:13" ht="21.95" customHeight="1" x14ac:dyDescent="0.25">
      <c r="A1480" s="36" t="s">
        <v>2904</v>
      </c>
      <c r="B1480" s="36" t="str">
        <f t="shared" si="73"/>
        <v>NC_FAYETTEVILLE, NC HUD METRO FMR AREA</v>
      </c>
      <c r="D1480" s="265" t="s">
        <v>73</v>
      </c>
      <c r="E1480" s="266" t="s">
        <v>4277</v>
      </c>
      <c r="F1480" s="252">
        <f t="shared" si="74"/>
        <v>44250</v>
      </c>
      <c r="G1480" s="252">
        <f t="shared" si="74"/>
        <v>50600</v>
      </c>
      <c r="H1480" s="252">
        <f t="shared" si="74"/>
        <v>56900</v>
      </c>
      <c r="I1480" s="252">
        <f t="shared" si="74"/>
        <v>63200</v>
      </c>
      <c r="J1480" s="252">
        <f t="shared" si="74"/>
        <v>68300</v>
      </c>
      <c r="K1480" s="252">
        <f t="shared" si="74"/>
        <v>73350</v>
      </c>
      <c r="L1480" s="252">
        <f t="shared" si="74"/>
        <v>78400</v>
      </c>
      <c r="M1480" s="252">
        <f t="shared" si="74"/>
        <v>83450</v>
      </c>
    </row>
    <row r="1481" spans="1:13" ht="21.95" customHeight="1" x14ac:dyDescent="0.25">
      <c r="A1481" s="36" t="s">
        <v>2904</v>
      </c>
      <c r="B1481" s="36" t="str">
        <f t="shared" si="73"/>
        <v>NC_GATES COUNTY, NC HUD METRO FMR AREA</v>
      </c>
      <c r="D1481" s="265" t="s">
        <v>73</v>
      </c>
      <c r="E1481" s="266" t="s">
        <v>4278</v>
      </c>
      <c r="F1481" s="252">
        <f t="shared" si="74"/>
        <v>45150</v>
      </c>
      <c r="G1481" s="252">
        <f t="shared" si="74"/>
        <v>51600</v>
      </c>
      <c r="H1481" s="252">
        <f t="shared" si="74"/>
        <v>58050</v>
      </c>
      <c r="I1481" s="252">
        <f t="shared" si="74"/>
        <v>64500</v>
      </c>
      <c r="J1481" s="252">
        <f t="shared" si="74"/>
        <v>69700</v>
      </c>
      <c r="K1481" s="252">
        <f t="shared" si="74"/>
        <v>74850</v>
      </c>
      <c r="L1481" s="252">
        <f t="shared" si="74"/>
        <v>80000</v>
      </c>
      <c r="M1481" s="252">
        <f t="shared" si="74"/>
        <v>85150</v>
      </c>
    </row>
    <row r="1482" spans="1:13" ht="21.95" customHeight="1" x14ac:dyDescent="0.25">
      <c r="A1482" s="36" t="s">
        <v>2904</v>
      </c>
      <c r="B1482" s="36" t="str">
        <f t="shared" si="73"/>
        <v>NC_GOLDSBORO, NC MSA</v>
      </c>
      <c r="D1482" s="265" t="s">
        <v>73</v>
      </c>
      <c r="E1482" s="266" t="s">
        <v>4279</v>
      </c>
      <c r="F1482" s="252">
        <f t="shared" si="74"/>
        <v>42800</v>
      </c>
      <c r="G1482" s="252">
        <f t="shared" si="74"/>
        <v>48900</v>
      </c>
      <c r="H1482" s="252">
        <f t="shared" si="74"/>
        <v>55000</v>
      </c>
      <c r="I1482" s="252">
        <f t="shared" si="74"/>
        <v>61100</v>
      </c>
      <c r="J1482" s="252">
        <f t="shared" si="74"/>
        <v>66000</v>
      </c>
      <c r="K1482" s="252">
        <f t="shared" si="74"/>
        <v>70900</v>
      </c>
      <c r="L1482" s="252">
        <f t="shared" si="74"/>
        <v>75800</v>
      </c>
      <c r="M1482" s="252">
        <f t="shared" si="74"/>
        <v>80700</v>
      </c>
    </row>
    <row r="1483" spans="1:13" ht="21.95" customHeight="1" x14ac:dyDescent="0.25">
      <c r="A1483" s="36" t="s">
        <v>2904</v>
      </c>
      <c r="B1483" s="36" t="str">
        <f t="shared" si="73"/>
        <v>NC_GRAHAM COUNTY, NC</v>
      </c>
      <c r="D1483" s="265" t="s">
        <v>73</v>
      </c>
      <c r="E1483" s="266" t="s">
        <v>4280</v>
      </c>
      <c r="F1483" s="252">
        <f t="shared" si="74"/>
        <v>42800</v>
      </c>
      <c r="G1483" s="252">
        <f t="shared" si="74"/>
        <v>48900</v>
      </c>
      <c r="H1483" s="252">
        <f t="shared" si="74"/>
        <v>55000</v>
      </c>
      <c r="I1483" s="252">
        <f t="shared" si="74"/>
        <v>61100</v>
      </c>
      <c r="J1483" s="252">
        <f t="shared" si="74"/>
        <v>66000</v>
      </c>
      <c r="K1483" s="252">
        <f t="shared" si="74"/>
        <v>70900</v>
      </c>
      <c r="L1483" s="252">
        <f t="shared" si="74"/>
        <v>75800</v>
      </c>
      <c r="M1483" s="252">
        <f t="shared" si="74"/>
        <v>80700</v>
      </c>
    </row>
    <row r="1484" spans="1:13" ht="21.95" customHeight="1" x14ac:dyDescent="0.25">
      <c r="A1484" s="36" t="s">
        <v>2904</v>
      </c>
      <c r="B1484" s="36" t="str">
        <f t="shared" si="73"/>
        <v>NC_GRANVILLE COUNTY, NC</v>
      </c>
      <c r="D1484" s="265" t="s">
        <v>73</v>
      </c>
      <c r="E1484" s="266" t="s">
        <v>9224</v>
      </c>
      <c r="F1484" s="252">
        <f t="shared" si="74"/>
        <v>51050</v>
      </c>
      <c r="G1484" s="252">
        <f t="shared" si="74"/>
        <v>58350</v>
      </c>
      <c r="H1484" s="252">
        <f t="shared" si="74"/>
        <v>65650</v>
      </c>
      <c r="I1484" s="252">
        <f t="shared" si="74"/>
        <v>72900</v>
      </c>
      <c r="J1484" s="252">
        <f t="shared" si="74"/>
        <v>78750</v>
      </c>
      <c r="K1484" s="252">
        <f t="shared" si="74"/>
        <v>84600</v>
      </c>
      <c r="L1484" s="252">
        <f t="shared" si="74"/>
        <v>90400</v>
      </c>
      <c r="M1484" s="252">
        <f t="shared" si="74"/>
        <v>96250</v>
      </c>
    </row>
    <row r="1485" spans="1:13" ht="21.95" customHeight="1" x14ac:dyDescent="0.25">
      <c r="A1485" s="36" t="s">
        <v>2904</v>
      </c>
      <c r="B1485" s="36" t="str">
        <f t="shared" si="73"/>
        <v>NC_GREENE COUNTY, NC</v>
      </c>
      <c r="D1485" s="265" t="s">
        <v>73</v>
      </c>
      <c r="E1485" s="266" t="s">
        <v>4281</v>
      </c>
      <c r="F1485" s="252">
        <f t="shared" si="74"/>
        <v>42800</v>
      </c>
      <c r="G1485" s="252">
        <f t="shared" si="74"/>
        <v>48900</v>
      </c>
      <c r="H1485" s="252">
        <f t="shared" si="74"/>
        <v>55000</v>
      </c>
      <c r="I1485" s="252">
        <f t="shared" si="74"/>
        <v>61100</v>
      </c>
      <c r="J1485" s="252">
        <f t="shared" si="74"/>
        <v>66000</v>
      </c>
      <c r="K1485" s="252">
        <f t="shared" si="74"/>
        <v>70900</v>
      </c>
      <c r="L1485" s="252">
        <f t="shared" si="74"/>
        <v>75800</v>
      </c>
      <c r="M1485" s="252">
        <f t="shared" si="74"/>
        <v>80700</v>
      </c>
    </row>
    <row r="1486" spans="1:13" ht="21.95" customHeight="1" x14ac:dyDescent="0.25">
      <c r="A1486" s="36" t="s">
        <v>2904</v>
      </c>
      <c r="B1486" s="36" t="str">
        <f t="shared" si="73"/>
        <v>NC_GREENSBORO-HIGH POINT, NC HUD METRO FMR AREA</v>
      </c>
      <c r="D1486" s="265" t="s">
        <v>73</v>
      </c>
      <c r="E1486" s="266" t="s">
        <v>4282</v>
      </c>
      <c r="F1486" s="252">
        <f t="shared" si="74"/>
        <v>47950</v>
      </c>
      <c r="G1486" s="252">
        <f t="shared" si="74"/>
        <v>54800</v>
      </c>
      <c r="H1486" s="252">
        <f t="shared" si="74"/>
        <v>61650</v>
      </c>
      <c r="I1486" s="252">
        <f t="shared" si="74"/>
        <v>68500</v>
      </c>
      <c r="J1486" s="252">
        <f t="shared" si="74"/>
        <v>74000</v>
      </c>
      <c r="K1486" s="252">
        <f t="shared" si="74"/>
        <v>79500</v>
      </c>
      <c r="L1486" s="252">
        <f t="shared" si="74"/>
        <v>84950</v>
      </c>
      <c r="M1486" s="252">
        <f t="shared" si="74"/>
        <v>90450</v>
      </c>
    </row>
    <row r="1487" spans="1:13" ht="21.95" customHeight="1" x14ac:dyDescent="0.25">
      <c r="A1487" s="36" t="s">
        <v>2904</v>
      </c>
      <c r="B1487" s="36" t="str">
        <f t="shared" si="73"/>
        <v>NC_GREENVILLE, NC MSA</v>
      </c>
      <c r="D1487" s="265" t="s">
        <v>73</v>
      </c>
      <c r="E1487" s="266" t="s">
        <v>4283</v>
      </c>
      <c r="F1487" s="252">
        <f t="shared" si="74"/>
        <v>46000</v>
      </c>
      <c r="G1487" s="252">
        <f t="shared" si="74"/>
        <v>52600</v>
      </c>
      <c r="H1487" s="252">
        <f t="shared" si="74"/>
        <v>59150</v>
      </c>
      <c r="I1487" s="252">
        <f t="shared" si="74"/>
        <v>65700</v>
      </c>
      <c r="J1487" s="252">
        <f t="shared" si="74"/>
        <v>71000</v>
      </c>
      <c r="K1487" s="252">
        <f t="shared" si="74"/>
        <v>76250</v>
      </c>
      <c r="L1487" s="252">
        <f t="shared" si="74"/>
        <v>81500</v>
      </c>
      <c r="M1487" s="252">
        <f t="shared" si="74"/>
        <v>86750</v>
      </c>
    </row>
    <row r="1488" spans="1:13" ht="21.95" customHeight="1" x14ac:dyDescent="0.25">
      <c r="A1488" s="36" t="s">
        <v>2904</v>
      </c>
      <c r="B1488" s="36" t="str">
        <f t="shared" si="73"/>
        <v>NC_HALIFAX COUNTY, NC</v>
      </c>
      <c r="D1488" s="265" t="s">
        <v>73</v>
      </c>
      <c r="E1488" s="266" t="s">
        <v>4284</v>
      </c>
      <c r="F1488" s="252">
        <f t="shared" si="74"/>
        <v>42800</v>
      </c>
      <c r="G1488" s="252">
        <f t="shared" si="74"/>
        <v>48900</v>
      </c>
      <c r="H1488" s="252">
        <f t="shared" si="74"/>
        <v>55000</v>
      </c>
      <c r="I1488" s="252">
        <f t="shared" si="74"/>
        <v>61100</v>
      </c>
      <c r="J1488" s="252">
        <f t="shared" si="74"/>
        <v>66000</v>
      </c>
      <c r="K1488" s="252">
        <f t="shared" si="74"/>
        <v>70900</v>
      </c>
      <c r="L1488" s="252">
        <f t="shared" si="74"/>
        <v>75800</v>
      </c>
      <c r="M1488" s="252">
        <f t="shared" si="74"/>
        <v>80700</v>
      </c>
    </row>
    <row r="1489" spans="1:13" ht="21.95" customHeight="1" x14ac:dyDescent="0.25">
      <c r="A1489" s="36" t="s">
        <v>2904</v>
      </c>
      <c r="B1489" s="36" t="str">
        <f t="shared" si="73"/>
        <v>NC_HARNETT COUNTY, NC</v>
      </c>
      <c r="D1489" s="265" t="s">
        <v>73</v>
      </c>
      <c r="E1489" s="266" t="s">
        <v>9225</v>
      </c>
      <c r="F1489" s="252">
        <f t="shared" si="74"/>
        <v>50050</v>
      </c>
      <c r="G1489" s="252">
        <f t="shared" si="74"/>
        <v>57200</v>
      </c>
      <c r="H1489" s="252">
        <f t="shared" si="74"/>
        <v>64350</v>
      </c>
      <c r="I1489" s="252">
        <f t="shared" si="74"/>
        <v>71500</v>
      </c>
      <c r="J1489" s="252">
        <f t="shared" si="74"/>
        <v>77250</v>
      </c>
      <c r="K1489" s="252">
        <f t="shared" si="74"/>
        <v>82950</v>
      </c>
      <c r="L1489" s="252">
        <f t="shared" si="74"/>
        <v>88700</v>
      </c>
      <c r="M1489" s="252">
        <f t="shared" si="74"/>
        <v>94400</v>
      </c>
    </row>
    <row r="1490" spans="1:13" ht="21.95" customHeight="1" x14ac:dyDescent="0.25">
      <c r="A1490" s="36" t="s">
        <v>2904</v>
      </c>
      <c r="B1490" s="36" t="str">
        <f t="shared" si="73"/>
        <v>NC_HAYWOOD COUNTY, NC</v>
      </c>
      <c r="D1490" s="265" t="s">
        <v>73</v>
      </c>
      <c r="E1490" s="266" t="s">
        <v>9226</v>
      </c>
      <c r="F1490" s="252">
        <f t="shared" si="74"/>
        <v>49600</v>
      </c>
      <c r="G1490" s="252">
        <f t="shared" si="74"/>
        <v>56650</v>
      </c>
      <c r="H1490" s="252">
        <f t="shared" si="74"/>
        <v>63750</v>
      </c>
      <c r="I1490" s="252">
        <f t="shared" si="74"/>
        <v>70800</v>
      </c>
      <c r="J1490" s="252">
        <f t="shared" si="74"/>
        <v>76500</v>
      </c>
      <c r="K1490" s="252">
        <f t="shared" si="74"/>
        <v>82150</v>
      </c>
      <c r="L1490" s="252">
        <f t="shared" si="74"/>
        <v>87800</v>
      </c>
      <c r="M1490" s="252">
        <f t="shared" si="74"/>
        <v>93500</v>
      </c>
    </row>
    <row r="1491" spans="1:13" ht="21.95" customHeight="1" x14ac:dyDescent="0.25">
      <c r="A1491" s="36" t="s">
        <v>2904</v>
      </c>
      <c r="B1491" s="36" t="str">
        <f t="shared" si="73"/>
        <v>NC_HERTFORD COUNTY, NC</v>
      </c>
      <c r="D1491" s="265" t="s">
        <v>73</v>
      </c>
      <c r="E1491" s="266" t="s">
        <v>4285</v>
      </c>
      <c r="F1491" s="252">
        <f t="shared" si="74"/>
        <v>42800</v>
      </c>
      <c r="G1491" s="252">
        <f t="shared" si="74"/>
        <v>48900</v>
      </c>
      <c r="H1491" s="252">
        <f t="shared" si="74"/>
        <v>55000</v>
      </c>
      <c r="I1491" s="252">
        <f t="shared" si="74"/>
        <v>61100</v>
      </c>
      <c r="J1491" s="252">
        <f t="shared" si="74"/>
        <v>66000</v>
      </c>
      <c r="K1491" s="252">
        <f t="shared" si="74"/>
        <v>70900</v>
      </c>
      <c r="L1491" s="252">
        <f t="shared" si="74"/>
        <v>75800</v>
      </c>
      <c r="M1491" s="252">
        <f t="shared" si="74"/>
        <v>80700</v>
      </c>
    </row>
    <row r="1492" spans="1:13" ht="21.95" customHeight="1" x14ac:dyDescent="0.25">
      <c r="A1492" s="36" t="s">
        <v>2904</v>
      </c>
      <c r="B1492" s="36" t="str">
        <f t="shared" si="73"/>
        <v>NC_HICKORY-LENOIR-MORGANTON, NC MSA</v>
      </c>
      <c r="D1492" s="265" t="s">
        <v>73</v>
      </c>
      <c r="E1492" s="266" t="s">
        <v>4286</v>
      </c>
      <c r="F1492" s="252">
        <f t="shared" si="74"/>
        <v>43500</v>
      </c>
      <c r="G1492" s="252">
        <f t="shared" si="74"/>
        <v>49700</v>
      </c>
      <c r="H1492" s="252">
        <f t="shared" si="74"/>
        <v>55900</v>
      </c>
      <c r="I1492" s="252">
        <f t="shared" si="74"/>
        <v>62100</v>
      </c>
      <c r="J1492" s="252">
        <f t="shared" si="74"/>
        <v>67100</v>
      </c>
      <c r="K1492" s="252">
        <f t="shared" si="74"/>
        <v>72050</v>
      </c>
      <c r="L1492" s="252">
        <f t="shared" si="74"/>
        <v>77050</v>
      </c>
      <c r="M1492" s="252">
        <f t="shared" si="74"/>
        <v>82000</v>
      </c>
    </row>
    <row r="1493" spans="1:13" ht="21.95" customHeight="1" x14ac:dyDescent="0.25">
      <c r="A1493" s="36" t="s">
        <v>2904</v>
      </c>
      <c r="B1493" s="36" t="str">
        <f t="shared" si="73"/>
        <v>NC_HOKE COUNTY, NC HUD METRO FMR AREA</v>
      </c>
      <c r="D1493" s="265" t="s">
        <v>73</v>
      </c>
      <c r="E1493" s="266" t="s">
        <v>4287</v>
      </c>
      <c r="F1493" s="252">
        <f t="shared" si="74"/>
        <v>44200</v>
      </c>
      <c r="G1493" s="252">
        <f t="shared" si="74"/>
        <v>50500</v>
      </c>
      <c r="H1493" s="252">
        <f t="shared" si="74"/>
        <v>56800</v>
      </c>
      <c r="I1493" s="252">
        <f t="shared" si="74"/>
        <v>63100</v>
      </c>
      <c r="J1493" s="252">
        <f t="shared" si="74"/>
        <v>68150</v>
      </c>
      <c r="K1493" s="252">
        <f t="shared" si="74"/>
        <v>73200</v>
      </c>
      <c r="L1493" s="252">
        <f t="shared" si="74"/>
        <v>78250</v>
      </c>
      <c r="M1493" s="252">
        <f t="shared" si="74"/>
        <v>83300</v>
      </c>
    </row>
    <row r="1494" spans="1:13" ht="21.95" customHeight="1" x14ac:dyDescent="0.25">
      <c r="A1494" s="36" t="s">
        <v>2904</v>
      </c>
      <c r="B1494" s="36" t="str">
        <f t="shared" si="73"/>
        <v>NC_HYDE COUNTY, NC</v>
      </c>
      <c r="D1494" s="265" t="s">
        <v>73</v>
      </c>
      <c r="E1494" s="266" t="s">
        <v>4288</v>
      </c>
      <c r="F1494" s="252">
        <f t="shared" si="74"/>
        <v>42800</v>
      </c>
      <c r="G1494" s="252">
        <f t="shared" si="74"/>
        <v>48900</v>
      </c>
      <c r="H1494" s="252">
        <f t="shared" si="74"/>
        <v>55000</v>
      </c>
      <c r="I1494" s="252">
        <f t="shared" si="74"/>
        <v>61100</v>
      </c>
      <c r="J1494" s="252">
        <f t="shared" si="74"/>
        <v>66000</v>
      </c>
      <c r="K1494" s="252">
        <f t="shared" si="74"/>
        <v>70900</v>
      </c>
      <c r="L1494" s="252">
        <f t="shared" si="74"/>
        <v>75800</v>
      </c>
      <c r="M1494" s="252">
        <f t="shared" si="74"/>
        <v>80700</v>
      </c>
    </row>
    <row r="1495" spans="1:13" ht="21.95" customHeight="1" x14ac:dyDescent="0.25">
      <c r="A1495" s="36" t="s">
        <v>2904</v>
      </c>
      <c r="B1495" s="36" t="str">
        <f t="shared" si="73"/>
        <v>NC_IREDELL COUNTY, NC HUD METRO FMR AREA</v>
      </c>
      <c r="D1495" s="265" t="s">
        <v>73</v>
      </c>
      <c r="E1495" s="266" t="s">
        <v>4289</v>
      </c>
      <c r="F1495" s="252">
        <f t="shared" si="74"/>
        <v>55450</v>
      </c>
      <c r="G1495" s="252">
        <f t="shared" si="74"/>
        <v>63350</v>
      </c>
      <c r="H1495" s="252">
        <f t="shared" si="74"/>
        <v>71250</v>
      </c>
      <c r="I1495" s="252">
        <f t="shared" si="74"/>
        <v>79150</v>
      </c>
      <c r="J1495" s="252">
        <f t="shared" si="74"/>
        <v>85500</v>
      </c>
      <c r="K1495" s="252">
        <f t="shared" si="74"/>
        <v>91850</v>
      </c>
      <c r="L1495" s="252">
        <f t="shared" si="74"/>
        <v>98150</v>
      </c>
      <c r="M1495" s="252">
        <f t="shared" si="74"/>
        <v>104500</v>
      </c>
    </row>
    <row r="1496" spans="1:13" ht="21.95" customHeight="1" x14ac:dyDescent="0.25">
      <c r="A1496" s="36" t="s">
        <v>2904</v>
      </c>
      <c r="B1496" s="36" t="str">
        <f t="shared" si="73"/>
        <v>NC_JACKSON COUNTY, NC</v>
      </c>
      <c r="D1496" s="265" t="s">
        <v>73</v>
      </c>
      <c r="E1496" s="266" t="s">
        <v>4290</v>
      </c>
      <c r="F1496" s="252">
        <f t="shared" si="74"/>
        <v>45300</v>
      </c>
      <c r="G1496" s="252">
        <f t="shared" si="74"/>
        <v>51750</v>
      </c>
      <c r="H1496" s="252">
        <f t="shared" si="74"/>
        <v>58200</v>
      </c>
      <c r="I1496" s="252">
        <f t="shared" si="74"/>
        <v>64650</v>
      </c>
      <c r="J1496" s="252">
        <f t="shared" si="74"/>
        <v>69850</v>
      </c>
      <c r="K1496" s="252">
        <f t="shared" si="74"/>
        <v>75000</v>
      </c>
      <c r="L1496" s="252">
        <f t="shared" si="74"/>
        <v>80200</v>
      </c>
      <c r="M1496" s="252">
        <f t="shared" si="74"/>
        <v>85350</v>
      </c>
    </row>
    <row r="1497" spans="1:13" ht="21.95" customHeight="1" x14ac:dyDescent="0.25">
      <c r="A1497" s="36" t="s">
        <v>2904</v>
      </c>
      <c r="B1497" s="36" t="str">
        <f t="shared" si="73"/>
        <v>NC_JACKSONVILLE, NC MSA</v>
      </c>
      <c r="D1497" s="265" t="s">
        <v>73</v>
      </c>
      <c r="E1497" s="266" t="s">
        <v>4291</v>
      </c>
      <c r="F1497" s="252">
        <f t="shared" si="74"/>
        <v>45300</v>
      </c>
      <c r="G1497" s="252">
        <f t="shared" si="74"/>
        <v>51750</v>
      </c>
      <c r="H1497" s="252">
        <f t="shared" si="74"/>
        <v>58200</v>
      </c>
      <c r="I1497" s="252">
        <f t="shared" si="74"/>
        <v>64650</v>
      </c>
      <c r="J1497" s="252">
        <f t="shared" si="74"/>
        <v>69850</v>
      </c>
      <c r="K1497" s="252">
        <f t="shared" si="74"/>
        <v>75000</v>
      </c>
      <c r="L1497" s="252">
        <f t="shared" si="74"/>
        <v>80200</v>
      </c>
      <c r="M1497" s="252">
        <f t="shared" si="74"/>
        <v>85350</v>
      </c>
    </row>
    <row r="1498" spans="1:13" ht="21.95" customHeight="1" x14ac:dyDescent="0.25">
      <c r="A1498" s="36" t="s">
        <v>2904</v>
      </c>
      <c r="B1498" s="36" t="str">
        <f t="shared" si="73"/>
        <v>NC_JONES COUNTY, NC</v>
      </c>
      <c r="D1498" s="265" t="s">
        <v>73</v>
      </c>
      <c r="E1498" s="266" t="s">
        <v>9227</v>
      </c>
      <c r="F1498" s="252">
        <f t="shared" si="74"/>
        <v>42800</v>
      </c>
      <c r="G1498" s="252">
        <f t="shared" si="74"/>
        <v>48900</v>
      </c>
      <c r="H1498" s="252">
        <f t="shared" si="74"/>
        <v>55000</v>
      </c>
      <c r="I1498" s="252">
        <f t="shared" si="74"/>
        <v>61100</v>
      </c>
      <c r="J1498" s="252">
        <f t="shared" si="74"/>
        <v>66000</v>
      </c>
      <c r="K1498" s="252">
        <f t="shared" si="74"/>
        <v>70900</v>
      </c>
      <c r="L1498" s="252">
        <f t="shared" si="74"/>
        <v>75800</v>
      </c>
      <c r="M1498" s="252">
        <f t="shared" si="74"/>
        <v>80700</v>
      </c>
    </row>
    <row r="1499" spans="1:13" ht="21.95" customHeight="1" x14ac:dyDescent="0.25">
      <c r="A1499" s="36" t="s">
        <v>2904</v>
      </c>
      <c r="B1499" s="36" t="str">
        <f t="shared" si="73"/>
        <v>NC_LEE COUNTY, NC</v>
      </c>
      <c r="D1499" s="265" t="s">
        <v>73</v>
      </c>
      <c r="E1499" s="266" t="s">
        <v>4292</v>
      </c>
      <c r="F1499" s="252">
        <f t="shared" si="74"/>
        <v>42800</v>
      </c>
      <c r="G1499" s="252">
        <f t="shared" si="74"/>
        <v>48900</v>
      </c>
      <c r="H1499" s="252">
        <f t="shared" si="74"/>
        <v>55000</v>
      </c>
      <c r="I1499" s="252">
        <f t="shared" si="74"/>
        <v>61100</v>
      </c>
      <c r="J1499" s="252">
        <f t="shared" si="74"/>
        <v>66000</v>
      </c>
      <c r="K1499" s="252">
        <f t="shared" si="74"/>
        <v>70900</v>
      </c>
      <c r="L1499" s="252">
        <f t="shared" si="74"/>
        <v>75800</v>
      </c>
      <c r="M1499" s="252">
        <f t="shared" si="74"/>
        <v>80700</v>
      </c>
    </row>
    <row r="1500" spans="1:13" ht="21.95" customHeight="1" x14ac:dyDescent="0.25">
      <c r="A1500" s="36" t="s">
        <v>2904</v>
      </c>
      <c r="B1500" s="36" t="str">
        <f t="shared" si="73"/>
        <v>NC_LENOIR COUNTY, NC</v>
      </c>
      <c r="D1500" s="265" t="s">
        <v>73</v>
      </c>
      <c r="E1500" s="266" t="s">
        <v>4293</v>
      </c>
      <c r="F1500" s="252">
        <f t="shared" si="74"/>
        <v>42800</v>
      </c>
      <c r="G1500" s="252">
        <f t="shared" si="74"/>
        <v>48900</v>
      </c>
      <c r="H1500" s="252">
        <f t="shared" si="74"/>
        <v>55000</v>
      </c>
      <c r="I1500" s="252">
        <f t="shared" si="74"/>
        <v>61100</v>
      </c>
      <c r="J1500" s="252">
        <f t="shared" si="74"/>
        <v>66000</v>
      </c>
      <c r="K1500" s="252">
        <f t="shared" si="74"/>
        <v>70900</v>
      </c>
      <c r="L1500" s="252">
        <f t="shared" si="74"/>
        <v>75800</v>
      </c>
      <c r="M1500" s="252">
        <f t="shared" si="74"/>
        <v>80700</v>
      </c>
    </row>
    <row r="1501" spans="1:13" ht="21.95" customHeight="1" x14ac:dyDescent="0.25">
      <c r="A1501" s="36" t="s">
        <v>2904</v>
      </c>
      <c r="B1501" s="36" t="str">
        <f t="shared" si="73"/>
        <v>NC_LINCOLN COUNTY, NC HUD METRO FMR AREA</v>
      </c>
      <c r="D1501" s="265" t="s">
        <v>73</v>
      </c>
      <c r="E1501" s="266" t="s">
        <v>4294</v>
      </c>
      <c r="F1501" s="252">
        <f t="shared" si="74"/>
        <v>54700</v>
      </c>
      <c r="G1501" s="252">
        <f t="shared" si="74"/>
        <v>62500</v>
      </c>
      <c r="H1501" s="252">
        <f t="shared" si="74"/>
        <v>70300</v>
      </c>
      <c r="I1501" s="252">
        <f t="shared" si="74"/>
        <v>78100</v>
      </c>
      <c r="J1501" s="252">
        <f t="shared" si="74"/>
        <v>84350</v>
      </c>
      <c r="K1501" s="252">
        <f t="shared" si="74"/>
        <v>90600</v>
      </c>
      <c r="L1501" s="252">
        <f t="shared" si="74"/>
        <v>96850</v>
      </c>
      <c r="M1501" s="252">
        <f t="shared" si="74"/>
        <v>103100</v>
      </c>
    </row>
    <row r="1502" spans="1:13" ht="21.95" customHeight="1" x14ac:dyDescent="0.25">
      <c r="A1502" s="36" t="s">
        <v>2904</v>
      </c>
      <c r="B1502" s="36" t="str">
        <f t="shared" si="73"/>
        <v>NC_MACON COUNTY, NC</v>
      </c>
      <c r="D1502" s="265" t="s">
        <v>73</v>
      </c>
      <c r="E1502" s="266" t="s">
        <v>4295</v>
      </c>
      <c r="F1502" s="252">
        <f t="shared" si="74"/>
        <v>43150</v>
      </c>
      <c r="G1502" s="252">
        <f t="shared" si="74"/>
        <v>49300</v>
      </c>
      <c r="H1502" s="252">
        <f t="shared" si="74"/>
        <v>55450</v>
      </c>
      <c r="I1502" s="252">
        <f t="shared" si="74"/>
        <v>61600</v>
      </c>
      <c r="J1502" s="252">
        <f t="shared" si="74"/>
        <v>66550</v>
      </c>
      <c r="K1502" s="252">
        <f t="shared" si="74"/>
        <v>71500</v>
      </c>
      <c r="L1502" s="252">
        <f t="shared" si="74"/>
        <v>76400</v>
      </c>
      <c r="M1502" s="252">
        <f t="shared" si="74"/>
        <v>81350</v>
      </c>
    </row>
    <row r="1503" spans="1:13" ht="21.95" customHeight="1" x14ac:dyDescent="0.25">
      <c r="A1503" s="36" t="s">
        <v>2904</v>
      </c>
      <c r="B1503" s="36" t="str">
        <f t="shared" si="73"/>
        <v>NC_MARTIN COUNTY, NC</v>
      </c>
      <c r="D1503" s="265" t="s">
        <v>73</v>
      </c>
      <c r="E1503" s="266" t="s">
        <v>4296</v>
      </c>
      <c r="F1503" s="252">
        <f t="shared" si="74"/>
        <v>42800</v>
      </c>
      <c r="G1503" s="252">
        <f t="shared" si="74"/>
        <v>48900</v>
      </c>
      <c r="H1503" s="252">
        <f t="shared" si="74"/>
        <v>55000</v>
      </c>
      <c r="I1503" s="252">
        <f t="shared" si="74"/>
        <v>61100</v>
      </c>
      <c r="J1503" s="252">
        <f t="shared" si="74"/>
        <v>66000</v>
      </c>
      <c r="K1503" s="252">
        <f t="shared" si="74"/>
        <v>70900</v>
      </c>
      <c r="L1503" s="252">
        <f t="shared" si="74"/>
        <v>75800</v>
      </c>
      <c r="M1503" s="252">
        <f t="shared" si="74"/>
        <v>80700</v>
      </c>
    </row>
    <row r="1504" spans="1:13" ht="21.95" customHeight="1" x14ac:dyDescent="0.25">
      <c r="A1504" s="36" t="s">
        <v>2904</v>
      </c>
      <c r="B1504" s="36" t="str">
        <f t="shared" si="73"/>
        <v>NC_MCDOWELL COUNTY, NC</v>
      </c>
      <c r="D1504" s="265" t="s">
        <v>73</v>
      </c>
      <c r="E1504" s="266" t="s">
        <v>4297</v>
      </c>
      <c r="F1504" s="252">
        <f t="shared" si="74"/>
        <v>42800</v>
      </c>
      <c r="G1504" s="252">
        <f t="shared" si="74"/>
        <v>48900</v>
      </c>
      <c r="H1504" s="252">
        <f t="shared" si="74"/>
        <v>55000</v>
      </c>
      <c r="I1504" s="252">
        <f t="shared" si="74"/>
        <v>61100</v>
      </c>
      <c r="J1504" s="252">
        <f t="shared" si="74"/>
        <v>66000</v>
      </c>
      <c r="K1504" s="252">
        <f t="shared" si="74"/>
        <v>70900</v>
      </c>
      <c r="L1504" s="252">
        <f t="shared" si="74"/>
        <v>75800</v>
      </c>
      <c r="M1504" s="252">
        <f t="shared" si="74"/>
        <v>80700</v>
      </c>
    </row>
    <row r="1505" spans="1:13" ht="21.95" customHeight="1" x14ac:dyDescent="0.25">
      <c r="A1505" s="36" t="s">
        <v>2904</v>
      </c>
      <c r="B1505" s="36" t="str">
        <f t="shared" si="73"/>
        <v>NC_MITCHELL COUNTY, NC</v>
      </c>
      <c r="D1505" s="265" t="s">
        <v>73</v>
      </c>
      <c r="E1505" s="266" t="s">
        <v>4298</v>
      </c>
      <c r="F1505" s="252">
        <f t="shared" si="74"/>
        <v>43750</v>
      </c>
      <c r="G1505" s="252">
        <f t="shared" si="74"/>
        <v>50000</v>
      </c>
      <c r="H1505" s="252">
        <f t="shared" si="74"/>
        <v>56250</v>
      </c>
      <c r="I1505" s="252">
        <f t="shared" si="74"/>
        <v>62500</v>
      </c>
      <c r="J1505" s="252">
        <f t="shared" si="74"/>
        <v>67500</v>
      </c>
      <c r="K1505" s="252">
        <f t="shared" si="74"/>
        <v>72500</v>
      </c>
      <c r="L1505" s="252">
        <f t="shared" si="74"/>
        <v>77500</v>
      </c>
      <c r="M1505" s="252">
        <f t="shared" si="74"/>
        <v>82500</v>
      </c>
    </row>
    <row r="1506" spans="1:13" ht="21.95" customHeight="1" x14ac:dyDescent="0.25">
      <c r="A1506" s="36" t="s">
        <v>2904</v>
      </c>
      <c r="B1506" s="36" t="str">
        <f t="shared" si="73"/>
        <v>NC_MONTGOMERY COUNTY, NC</v>
      </c>
      <c r="D1506" s="265" t="s">
        <v>73</v>
      </c>
      <c r="E1506" s="266" t="s">
        <v>4299</v>
      </c>
      <c r="F1506" s="252">
        <f t="shared" si="74"/>
        <v>42800</v>
      </c>
      <c r="G1506" s="252">
        <f t="shared" si="74"/>
        <v>48900</v>
      </c>
      <c r="H1506" s="252">
        <f t="shared" si="74"/>
        <v>55000</v>
      </c>
      <c r="I1506" s="252">
        <f t="shared" si="74"/>
        <v>61100</v>
      </c>
      <c r="J1506" s="252">
        <f t="shared" si="74"/>
        <v>66000</v>
      </c>
      <c r="K1506" s="252">
        <f t="shared" si="74"/>
        <v>70900</v>
      </c>
      <c r="L1506" s="252">
        <f t="shared" si="74"/>
        <v>75800</v>
      </c>
      <c r="M1506" s="252">
        <f t="shared" si="74"/>
        <v>80700</v>
      </c>
    </row>
    <row r="1507" spans="1:13" ht="21.95" customHeight="1" x14ac:dyDescent="0.25">
      <c r="A1507" s="36" t="s">
        <v>2904</v>
      </c>
      <c r="B1507" s="36" t="str">
        <f t="shared" si="73"/>
        <v>NC_NORTHAMPTON COUNTY, NC</v>
      </c>
      <c r="D1507" s="265" t="s">
        <v>73</v>
      </c>
      <c r="E1507" s="266" t="s">
        <v>4300</v>
      </c>
      <c r="F1507" s="252">
        <f t="shared" si="74"/>
        <v>42800</v>
      </c>
      <c r="G1507" s="252">
        <f t="shared" si="74"/>
        <v>48900</v>
      </c>
      <c r="H1507" s="252">
        <f t="shared" si="74"/>
        <v>55000</v>
      </c>
      <c r="I1507" s="252">
        <f t="shared" si="74"/>
        <v>61100</v>
      </c>
      <c r="J1507" s="252">
        <f t="shared" si="74"/>
        <v>66000</v>
      </c>
      <c r="K1507" s="252">
        <f t="shared" si="74"/>
        <v>70900</v>
      </c>
      <c r="L1507" s="252">
        <f t="shared" si="74"/>
        <v>75800</v>
      </c>
      <c r="M1507" s="252">
        <f t="shared" si="74"/>
        <v>80700</v>
      </c>
    </row>
    <row r="1508" spans="1:13" ht="21.95" customHeight="1" x14ac:dyDescent="0.25">
      <c r="A1508" s="36" t="s">
        <v>2904</v>
      </c>
      <c r="B1508" s="36" t="str">
        <f t="shared" si="73"/>
        <v>NC_PAMLICO COUNTY, NC</v>
      </c>
      <c r="D1508" s="265" t="s">
        <v>73</v>
      </c>
      <c r="E1508" s="266" t="s">
        <v>9229</v>
      </c>
      <c r="F1508" s="252">
        <f t="shared" si="74"/>
        <v>48300</v>
      </c>
      <c r="G1508" s="252">
        <f t="shared" si="74"/>
        <v>55200</v>
      </c>
      <c r="H1508" s="252">
        <f t="shared" si="74"/>
        <v>62100</v>
      </c>
      <c r="I1508" s="252">
        <f t="shared" ref="F1508:M1540" si="75">VLOOKUP($B1508,LOOKUP_AMI_TABLE,5+((I$7-1)),FALSE)</f>
        <v>68950</v>
      </c>
      <c r="J1508" s="252">
        <f t="shared" si="75"/>
        <v>74500</v>
      </c>
      <c r="K1508" s="252">
        <f t="shared" si="75"/>
        <v>80000</v>
      </c>
      <c r="L1508" s="252">
        <f t="shared" si="75"/>
        <v>85500</v>
      </c>
      <c r="M1508" s="252">
        <f t="shared" si="75"/>
        <v>91050</v>
      </c>
    </row>
    <row r="1509" spans="1:13" ht="21.95" customHeight="1" x14ac:dyDescent="0.25">
      <c r="A1509" s="36" t="s">
        <v>2904</v>
      </c>
      <c r="B1509" s="36" t="str">
        <f t="shared" si="73"/>
        <v>NC_PASQUOTANK COUNTY, NC</v>
      </c>
      <c r="D1509" s="265" t="s">
        <v>73</v>
      </c>
      <c r="E1509" s="266" t="s">
        <v>4301</v>
      </c>
      <c r="F1509" s="252">
        <f t="shared" si="75"/>
        <v>47600</v>
      </c>
      <c r="G1509" s="252">
        <f t="shared" si="75"/>
        <v>54400</v>
      </c>
      <c r="H1509" s="252">
        <f t="shared" si="75"/>
        <v>61200</v>
      </c>
      <c r="I1509" s="252">
        <f t="shared" si="75"/>
        <v>68000</v>
      </c>
      <c r="J1509" s="252">
        <f t="shared" si="75"/>
        <v>73450</v>
      </c>
      <c r="K1509" s="252">
        <f t="shared" si="75"/>
        <v>78900</v>
      </c>
      <c r="L1509" s="252">
        <f t="shared" si="75"/>
        <v>84350</v>
      </c>
      <c r="M1509" s="252">
        <f t="shared" si="75"/>
        <v>89800</v>
      </c>
    </row>
    <row r="1510" spans="1:13" ht="21.95" customHeight="1" x14ac:dyDescent="0.25">
      <c r="A1510" s="36" t="s">
        <v>2904</v>
      </c>
      <c r="B1510" s="36" t="str">
        <f t="shared" si="73"/>
        <v>NC_PENDER COUNTY, NC HUD METRO FMR AREA</v>
      </c>
      <c r="D1510" s="265" t="s">
        <v>73</v>
      </c>
      <c r="E1510" s="266" t="s">
        <v>4302</v>
      </c>
      <c r="F1510" s="252">
        <f t="shared" si="75"/>
        <v>55800</v>
      </c>
      <c r="G1510" s="252">
        <f t="shared" si="75"/>
        <v>63800</v>
      </c>
      <c r="H1510" s="252">
        <f t="shared" si="75"/>
        <v>71750</v>
      </c>
      <c r="I1510" s="252">
        <f t="shared" si="75"/>
        <v>79700</v>
      </c>
      <c r="J1510" s="252">
        <f t="shared" si="75"/>
        <v>86100</v>
      </c>
      <c r="K1510" s="252">
        <f t="shared" si="75"/>
        <v>92500</v>
      </c>
      <c r="L1510" s="252">
        <f t="shared" si="75"/>
        <v>98850</v>
      </c>
      <c r="M1510" s="252">
        <f t="shared" si="75"/>
        <v>105250</v>
      </c>
    </row>
    <row r="1511" spans="1:13" ht="21.95" customHeight="1" x14ac:dyDescent="0.25">
      <c r="A1511" s="36" t="s">
        <v>2904</v>
      </c>
      <c r="B1511" s="36" t="str">
        <f t="shared" si="73"/>
        <v>NC_PERQUIMANS COUNTY, NC</v>
      </c>
      <c r="D1511" s="265" t="s">
        <v>73</v>
      </c>
      <c r="E1511" s="266" t="s">
        <v>4303</v>
      </c>
      <c r="F1511" s="252">
        <f t="shared" si="75"/>
        <v>46550</v>
      </c>
      <c r="G1511" s="252">
        <f t="shared" si="75"/>
        <v>53200</v>
      </c>
      <c r="H1511" s="252">
        <f t="shared" si="75"/>
        <v>59850</v>
      </c>
      <c r="I1511" s="252">
        <f t="shared" si="75"/>
        <v>66450</v>
      </c>
      <c r="J1511" s="252">
        <f t="shared" si="75"/>
        <v>71800</v>
      </c>
      <c r="K1511" s="252">
        <f t="shared" si="75"/>
        <v>77100</v>
      </c>
      <c r="L1511" s="252">
        <f t="shared" si="75"/>
        <v>82400</v>
      </c>
      <c r="M1511" s="252">
        <f t="shared" si="75"/>
        <v>87750</v>
      </c>
    </row>
    <row r="1512" spans="1:13" ht="21.95" customHeight="1" x14ac:dyDescent="0.25">
      <c r="A1512" s="36" t="s">
        <v>2904</v>
      </c>
      <c r="B1512" s="36" t="str">
        <f t="shared" si="73"/>
        <v>NC_PERSON COUNTY, NC HUD METRO FMR AREA</v>
      </c>
      <c r="D1512" s="265" t="s">
        <v>73</v>
      </c>
      <c r="E1512" s="266" t="s">
        <v>4304</v>
      </c>
      <c r="F1512" s="252">
        <f t="shared" si="75"/>
        <v>47800</v>
      </c>
      <c r="G1512" s="252">
        <f t="shared" si="75"/>
        <v>54600</v>
      </c>
      <c r="H1512" s="252">
        <f t="shared" si="75"/>
        <v>61450</v>
      </c>
      <c r="I1512" s="252">
        <f t="shared" si="75"/>
        <v>68250</v>
      </c>
      <c r="J1512" s="252">
        <f t="shared" si="75"/>
        <v>73750</v>
      </c>
      <c r="K1512" s="252">
        <f t="shared" si="75"/>
        <v>79200</v>
      </c>
      <c r="L1512" s="252">
        <f t="shared" si="75"/>
        <v>84650</v>
      </c>
      <c r="M1512" s="252">
        <f t="shared" si="75"/>
        <v>90100</v>
      </c>
    </row>
    <row r="1513" spans="1:13" ht="21.95" customHeight="1" x14ac:dyDescent="0.25">
      <c r="A1513" s="36" t="s">
        <v>2904</v>
      </c>
      <c r="B1513" s="36" t="str">
        <f t="shared" si="73"/>
        <v>NC_PINEHURST-SOUTHERN PINES, NC MSA</v>
      </c>
      <c r="D1513" s="265" t="s">
        <v>73</v>
      </c>
      <c r="E1513" s="266" t="s">
        <v>9228</v>
      </c>
      <c r="F1513" s="252">
        <f t="shared" si="75"/>
        <v>60850</v>
      </c>
      <c r="G1513" s="252">
        <f t="shared" si="75"/>
        <v>69550</v>
      </c>
      <c r="H1513" s="252">
        <f t="shared" si="75"/>
        <v>78250</v>
      </c>
      <c r="I1513" s="252">
        <f t="shared" si="75"/>
        <v>86900</v>
      </c>
      <c r="J1513" s="252">
        <f t="shared" si="75"/>
        <v>93900</v>
      </c>
      <c r="K1513" s="252">
        <f t="shared" si="75"/>
        <v>100850</v>
      </c>
      <c r="L1513" s="252">
        <f t="shared" si="75"/>
        <v>107800</v>
      </c>
      <c r="M1513" s="252">
        <f t="shared" si="75"/>
        <v>114750</v>
      </c>
    </row>
    <row r="1514" spans="1:13" ht="21.95" customHeight="1" x14ac:dyDescent="0.25">
      <c r="A1514" s="36" t="s">
        <v>2904</v>
      </c>
      <c r="B1514" s="36" t="str">
        <f t="shared" si="73"/>
        <v>NC_POLK COUNTY, NC</v>
      </c>
      <c r="D1514" s="265" t="s">
        <v>73</v>
      </c>
      <c r="E1514" s="266" t="s">
        <v>4305</v>
      </c>
      <c r="F1514" s="252">
        <f t="shared" si="75"/>
        <v>47550</v>
      </c>
      <c r="G1514" s="252">
        <f t="shared" si="75"/>
        <v>54350</v>
      </c>
      <c r="H1514" s="252">
        <f t="shared" si="75"/>
        <v>61150</v>
      </c>
      <c r="I1514" s="252">
        <f t="shared" si="75"/>
        <v>67900</v>
      </c>
      <c r="J1514" s="252">
        <f t="shared" si="75"/>
        <v>73350</v>
      </c>
      <c r="K1514" s="252">
        <f t="shared" si="75"/>
        <v>78800</v>
      </c>
      <c r="L1514" s="252">
        <f t="shared" si="75"/>
        <v>84200</v>
      </c>
      <c r="M1514" s="252">
        <f t="shared" si="75"/>
        <v>89650</v>
      </c>
    </row>
    <row r="1515" spans="1:13" ht="21.95" customHeight="1" x14ac:dyDescent="0.25">
      <c r="A1515" s="36" t="s">
        <v>2904</v>
      </c>
      <c r="B1515" s="36" t="str">
        <f t="shared" si="73"/>
        <v>NC_RALEIGH-CARY, NC MSA</v>
      </c>
      <c r="D1515" s="265" t="s">
        <v>73</v>
      </c>
      <c r="E1515" s="266" t="s">
        <v>9223</v>
      </c>
      <c r="F1515" s="252">
        <f t="shared" si="75"/>
        <v>72950</v>
      </c>
      <c r="G1515" s="252">
        <f t="shared" si="75"/>
        <v>83400</v>
      </c>
      <c r="H1515" s="252">
        <f t="shared" si="75"/>
        <v>93800</v>
      </c>
      <c r="I1515" s="252">
        <f t="shared" si="75"/>
        <v>104200</v>
      </c>
      <c r="J1515" s="252">
        <f t="shared" si="75"/>
        <v>112550</v>
      </c>
      <c r="K1515" s="252">
        <f t="shared" si="75"/>
        <v>120900</v>
      </c>
      <c r="L1515" s="252">
        <f t="shared" si="75"/>
        <v>129250</v>
      </c>
      <c r="M1515" s="252">
        <f t="shared" si="75"/>
        <v>137550</v>
      </c>
    </row>
    <row r="1516" spans="1:13" ht="21.95" customHeight="1" x14ac:dyDescent="0.25">
      <c r="A1516" s="36" t="s">
        <v>2904</v>
      </c>
      <c r="B1516" s="36" t="str">
        <f t="shared" si="73"/>
        <v>NC_RICHMOND COUNTY, NC</v>
      </c>
      <c r="D1516" s="265" t="s">
        <v>73</v>
      </c>
      <c r="E1516" s="266" t="s">
        <v>4306</v>
      </c>
      <c r="F1516" s="252">
        <f t="shared" si="75"/>
        <v>42800</v>
      </c>
      <c r="G1516" s="252">
        <f t="shared" si="75"/>
        <v>48900</v>
      </c>
      <c r="H1516" s="252">
        <f t="shared" si="75"/>
        <v>55000</v>
      </c>
      <c r="I1516" s="252">
        <f t="shared" si="75"/>
        <v>61100</v>
      </c>
      <c r="J1516" s="252">
        <f t="shared" si="75"/>
        <v>66000</v>
      </c>
      <c r="K1516" s="252">
        <f t="shared" si="75"/>
        <v>70900</v>
      </c>
      <c r="L1516" s="252">
        <f t="shared" si="75"/>
        <v>75800</v>
      </c>
      <c r="M1516" s="252">
        <f t="shared" si="75"/>
        <v>80700</v>
      </c>
    </row>
    <row r="1517" spans="1:13" ht="21.95" customHeight="1" x14ac:dyDescent="0.25">
      <c r="A1517" s="36" t="s">
        <v>2904</v>
      </c>
      <c r="B1517" s="36" t="str">
        <f t="shared" si="73"/>
        <v>NC_ROBESON COUNTY, NC</v>
      </c>
      <c r="D1517" s="265" t="s">
        <v>73</v>
      </c>
      <c r="E1517" s="266" t="s">
        <v>4307</v>
      </c>
      <c r="F1517" s="252">
        <f t="shared" si="75"/>
        <v>42800</v>
      </c>
      <c r="G1517" s="252">
        <f t="shared" si="75"/>
        <v>48900</v>
      </c>
      <c r="H1517" s="252">
        <f t="shared" si="75"/>
        <v>55000</v>
      </c>
      <c r="I1517" s="252">
        <f t="shared" si="75"/>
        <v>61100</v>
      </c>
      <c r="J1517" s="252">
        <f t="shared" si="75"/>
        <v>66000</v>
      </c>
      <c r="K1517" s="252">
        <f t="shared" si="75"/>
        <v>70900</v>
      </c>
      <c r="L1517" s="252">
        <f t="shared" si="75"/>
        <v>75800</v>
      </c>
      <c r="M1517" s="252">
        <f t="shared" si="75"/>
        <v>80700</v>
      </c>
    </row>
    <row r="1518" spans="1:13" ht="21.95" customHeight="1" x14ac:dyDescent="0.25">
      <c r="A1518" s="36" t="s">
        <v>2904</v>
      </c>
      <c r="B1518" s="36" t="str">
        <f t="shared" si="73"/>
        <v>NC_ROCKINGHAM COUNTY, NC HUD METRO FMR AREA</v>
      </c>
      <c r="D1518" s="265" t="s">
        <v>73</v>
      </c>
      <c r="E1518" s="266" t="s">
        <v>4308</v>
      </c>
      <c r="F1518" s="252">
        <f t="shared" si="75"/>
        <v>44800</v>
      </c>
      <c r="G1518" s="252">
        <f t="shared" si="75"/>
        <v>51200</v>
      </c>
      <c r="H1518" s="252">
        <f t="shared" si="75"/>
        <v>57600</v>
      </c>
      <c r="I1518" s="252">
        <f t="shared" si="75"/>
        <v>64000</v>
      </c>
      <c r="J1518" s="252">
        <f t="shared" si="75"/>
        <v>69150</v>
      </c>
      <c r="K1518" s="252">
        <f t="shared" si="75"/>
        <v>74250</v>
      </c>
      <c r="L1518" s="252">
        <f t="shared" si="75"/>
        <v>79400</v>
      </c>
      <c r="M1518" s="252">
        <f t="shared" si="75"/>
        <v>84500</v>
      </c>
    </row>
    <row r="1519" spans="1:13" ht="21.95" customHeight="1" x14ac:dyDescent="0.25">
      <c r="A1519" s="36" t="s">
        <v>2904</v>
      </c>
      <c r="B1519" s="36" t="str">
        <f t="shared" si="73"/>
        <v>NC_ROCKY MOUNT, NC MSA</v>
      </c>
      <c r="D1519" s="265" t="s">
        <v>73</v>
      </c>
      <c r="E1519" s="266" t="s">
        <v>4309</v>
      </c>
      <c r="F1519" s="252">
        <f t="shared" si="75"/>
        <v>44350</v>
      </c>
      <c r="G1519" s="252">
        <f t="shared" si="75"/>
        <v>50650</v>
      </c>
      <c r="H1519" s="252">
        <f t="shared" si="75"/>
        <v>57000</v>
      </c>
      <c r="I1519" s="252">
        <f t="shared" si="75"/>
        <v>63300</v>
      </c>
      <c r="J1519" s="252">
        <f t="shared" si="75"/>
        <v>68400</v>
      </c>
      <c r="K1519" s="252">
        <f t="shared" si="75"/>
        <v>73450</v>
      </c>
      <c r="L1519" s="252">
        <f t="shared" si="75"/>
        <v>78500</v>
      </c>
      <c r="M1519" s="252">
        <f t="shared" si="75"/>
        <v>83600</v>
      </c>
    </row>
    <row r="1520" spans="1:13" ht="21.95" customHeight="1" x14ac:dyDescent="0.25">
      <c r="A1520" s="36" t="s">
        <v>2904</v>
      </c>
      <c r="B1520" s="36" t="str">
        <f t="shared" si="73"/>
        <v>NC_ROWAN COUNTY, NC HUD METRO FMR AREA</v>
      </c>
      <c r="D1520" s="265" t="s">
        <v>73</v>
      </c>
      <c r="E1520" s="266" t="s">
        <v>4310</v>
      </c>
      <c r="F1520" s="252">
        <f t="shared" si="75"/>
        <v>49150</v>
      </c>
      <c r="G1520" s="252">
        <f t="shared" si="75"/>
        <v>56150</v>
      </c>
      <c r="H1520" s="252">
        <f t="shared" si="75"/>
        <v>63150</v>
      </c>
      <c r="I1520" s="252">
        <f t="shared" si="75"/>
        <v>70150</v>
      </c>
      <c r="J1520" s="252">
        <f t="shared" si="75"/>
        <v>75800</v>
      </c>
      <c r="K1520" s="252">
        <f t="shared" si="75"/>
        <v>81400</v>
      </c>
      <c r="L1520" s="252">
        <f t="shared" si="75"/>
        <v>87000</v>
      </c>
      <c r="M1520" s="252">
        <f t="shared" si="75"/>
        <v>92600</v>
      </c>
    </row>
    <row r="1521" spans="1:13" ht="21.95" customHeight="1" x14ac:dyDescent="0.25">
      <c r="A1521" s="36" t="s">
        <v>2904</v>
      </c>
      <c r="B1521" s="36" t="str">
        <f t="shared" si="73"/>
        <v>NC_RUTHERFORD COUNTY, NC</v>
      </c>
      <c r="D1521" s="265" t="s">
        <v>73</v>
      </c>
      <c r="E1521" s="266" t="s">
        <v>4311</v>
      </c>
      <c r="F1521" s="252">
        <f t="shared" si="75"/>
        <v>42800</v>
      </c>
      <c r="G1521" s="252">
        <f t="shared" si="75"/>
        <v>48900</v>
      </c>
      <c r="H1521" s="252">
        <f t="shared" si="75"/>
        <v>55000</v>
      </c>
      <c r="I1521" s="252">
        <f t="shared" si="75"/>
        <v>61100</v>
      </c>
      <c r="J1521" s="252">
        <f t="shared" si="75"/>
        <v>66000</v>
      </c>
      <c r="K1521" s="252">
        <f t="shared" si="75"/>
        <v>70900</v>
      </c>
      <c r="L1521" s="252">
        <f t="shared" si="75"/>
        <v>75800</v>
      </c>
      <c r="M1521" s="252">
        <f t="shared" si="75"/>
        <v>80700</v>
      </c>
    </row>
    <row r="1522" spans="1:13" ht="21.95" customHeight="1" x14ac:dyDescent="0.25">
      <c r="A1522" s="36" t="s">
        <v>2904</v>
      </c>
      <c r="B1522" s="36" t="str">
        <f t="shared" si="73"/>
        <v>NC_SAMPSON COUNTY, NC</v>
      </c>
      <c r="D1522" s="265" t="s">
        <v>73</v>
      </c>
      <c r="E1522" s="266" t="s">
        <v>4312</v>
      </c>
      <c r="F1522" s="252">
        <f t="shared" si="75"/>
        <v>42800</v>
      </c>
      <c r="G1522" s="252">
        <f t="shared" si="75"/>
        <v>48900</v>
      </c>
      <c r="H1522" s="252">
        <f t="shared" si="75"/>
        <v>55000</v>
      </c>
      <c r="I1522" s="252">
        <f t="shared" si="75"/>
        <v>61100</v>
      </c>
      <c r="J1522" s="252">
        <f t="shared" si="75"/>
        <v>66000</v>
      </c>
      <c r="K1522" s="252">
        <f t="shared" si="75"/>
        <v>70900</v>
      </c>
      <c r="L1522" s="252">
        <f t="shared" si="75"/>
        <v>75800</v>
      </c>
      <c r="M1522" s="252">
        <f t="shared" si="75"/>
        <v>80700</v>
      </c>
    </row>
    <row r="1523" spans="1:13" ht="21.95" customHeight="1" x14ac:dyDescent="0.25">
      <c r="A1523" s="36" t="s">
        <v>2904</v>
      </c>
      <c r="B1523" s="36" t="str">
        <f t="shared" si="73"/>
        <v>NC_SCOTLAND COUNTY, NC</v>
      </c>
      <c r="D1523" s="265" t="s">
        <v>73</v>
      </c>
      <c r="E1523" s="266" t="s">
        <v>4313</v>
      </c>
      <c r="F1523" s="252">
        <f t="shared" si="75"/>
        <v>42800</v>
      </c>
      <c r="G1523" s="252">
        <f t="shared" si="75"/>
        <v>48900</v>
      </c>
      <c r="H1523" s="252">
        <f t="shared" si="75"/>
        <v>55000</v>
      </c>
      <c r="I1523" s="252">
        <f t="shared" si="75"/>
        <v>61100</v>
      </c>
      <c r="J1523" s="252">
        <f t="shared" si="75"/>
        <v>66000</v>
      </c>
      <c r="K1523" s="252">
        <f t="shared" si="75"/>
        <v>70900</v>
      </c>
      <c r="L1523" s="252">
        <f t="shared" si="75"/>
        <v>75800</v>
      </c>
      <c r="M1523" s="252">
        <f t="shared" si="75"/>
        <v>80700</v>
      </c>
    </row>
    <row r="1524" spans="1:13" ht="21.95" customHeight="1" x14ac:dyDescent="0.25">
      <c r="A1524" s="36" t="s">
        <v>2904</v>
      </c>
      <c r="B1524" s="36" t="str">
        <f t="shared" si="73"/>
        <v>NC_STANLY COUNTY, NC</v>
      </c>
      <c r="D1524" s="265" t="s">
        <v>73</v>
      </c>
      <c r="E1524" s="266" t="s">
        <v>4314</v>
      </c>
      <c r="F1524" s="252">
        <f t="shared" si="75"/>
        <v>49500</v>
      </c>
      <c r="G1524" s="252">
        <f t="shared" si="75"/>
        <v>56550</v>
      </c>
      <c r="H1524" s="252">
        <f t="shared" si="75"/>
        <v>63600</v>
      </c>
      <c r="I1524" s="252">
        <f t="shared" si="75"/>
        <v>70650</v>
      </c>
      <c r="J1524" s="252">
        <f t="shared" si="75"/>
        <v>76350</v>
      </c>
      <c r="K1524" s="252">
        <f t="shared" si="75"/>
        <v>82000</v>
      </c>
      <c r="L1524" s="252">
        <f t="shared" si="75"/>
        <v>87650</v>
      </c>
      <c r="M1524" s="252">
        <f t="shared" si="75"/>
        <v>93300</v>
      </c>
    </row>
    <row r="1525" spans="1:13" ht="21.95" customHeight="1" x14ac:dyDescent="0.25">
      <c r="A1525" s="36" t="s">
        <v>2904</v>
      </c>
      <c r="B1525" s="36" t="str">
        <f t="shared" si="73"/>
        <v>NC_SURRY COUNTY, NC</v>
      </c>
      <c r="D1525" s="265" t="s">
        <v>73</v>
      </c>
      <c r="E1525" s="266" t="s">
        <v>4315</v>
      </c>
      <c r="F1525" s="252">
        <f t="shared" si="75"/>
        <v>42800</v>
      </c>
      <c r="G1525" s="252">
        <f t="shared" si="75"/>
        <v>48900</v>
      </c>
      <c r="H1525" s="252">
        <f t="shared" si="75"/>
        <v>55000</v>
      </c>
      <c r="I1525" s="252">
        <f t="shared" si="75"/>
        <v>61100</v>
      </c>
      <c r="J1525" s="252">
        <f t="shared" si="75"/>
        <v>66000</v>
      </c>
      <c r="K1525" s="252">
        <f t="shared" si="75"/>
        <v>70900</v>
      </c>
      <c r="L1525" s="252">
        <f t="shared" si="75"/>
        <v>75800</v>
      </c>
      <c r="M1525" s="252">
        <f t="shared" si="75"/>
        <v>80700</v>
      </c>
    </row>
    <row r="1526" spans="1:13" ht="21.95" customHeight="1" x14ac:dyDescent="0.25">
      <c r="A1526" s="36" t="s">
        <v>2904</v>
      </c>
      <c r="B1526" s="36" t="str">
        <f t="shared" si="73"/>
        <v>NC_SWAIN COUNTY, NC</v>
      </c>
      <c r="D1526" s="265" t="s">
        <v>73</v>
      </c>
      <c r="E1526" s="266" t="s">
        <v>4316</v>
      </c>
      <c r="F1526" s="252">
        <f t="shared" si="75"/>
        <v>46050</v>
      </c>
      <c r="G1526" s="252">
        <f t="shared" si="75"/>
        <v>52600</v>
      </c>
      <c r="H1526" s="252">
        <f t="shared" si="75"/>
        <v>59200</v>
      </c>
      <c r="I1526" s="252">
        <f t="shared" si="75"/>
        <v>65750</v>
      </c>
      <c r="J1526" s="252">
        <f t="shared" si="75"/>
        <v>71050</v>
      </c>
      <c r="K1526" s="252">
        <f t="shared" si="75"/>
        <v>76300</v>
      </c>
      <c r="L1526" s="252">
        <f t="shared" si="75"/>
        <v>81550</v>
      </c>
      <c r="M1526" s="252">
        <f t="shared" si="75"/>
        <v>86800</v>
      </c>
    </row>
    <row r="1527" spans="1:13" ht="21.95" customHeight="1" x14ac:dyDescent="0.25">
      <c r="A1527" s="36" t="s">
        <v>2904</v>
      </c>
      <c r="B1527" s="36" t="str">
        <f t="shared" si="73"/>
        <v>NC_TRANSYLVANIA COUNTY, NC</v>
      </c>
      <c r="D1527" s="265" t="s">
        <v>73</v>
      </c>
      <c r="E1527" s="266" t="s">
        <v>4317</v>
      </c>
      <c r="F1527" s="252">
        <f t="shared" si="75"/>
        <v>47100</v>
      </c>
      <c r="G1527" s="252">
        <f t="shared" si="75"/>
        <v>53800</v>
      </c>
      <c r="H1527" s="252">
        <f t="shared" si="75"/>
        <v>60550</v>
      </c>
      <c r="I1527" s="252">
        <f t="shared" si="75"/>
        <v>67250</v>
      </c>
      <c r="J1527" s="252">
        <f t="shared" si="75"/>
        <v>72650</v>
      </c>
      <c r="K1527" s="252">
        <f t="shared" si="75"/>
        <v>78050</v>
      </c>
      <c r="L1527" s="252">
        <f t="shared" si="75"/>
        <v>83400</v>
      </c>
      <c r="M1527" s="252">
        <f t="shared" si="75"/>
        <v>88800</v>
      </c>
    </row>
    <row r="1528" spans="1:13" ht="21.95" customHeight="1" x14ac:dyDescent="0.25">
      <c r="A1528" s="36" t="s">
        <v>2904</v>
      </c>
      <c r="B1528" s="36" t="str">
        <f t="shared" si="73"/>
        <v>NC_TYRRELL COUNTY, NC</v>
      </c>
      <c r="D1528" s="265" t="s">
        <v>73</v>
      </c>
      <c r="E1528" s="266" t="s">
        <v>4318</v>
      </c>
      <c r="F1528" s="252">
        <f t="shared" si="75"/>
        <v>42800</v>
      </c>
      <c r="G1528" s="252">
        <f t="shared" si="75"/>
        <v>48900</v>
      </c>
      <c r="H1528" s="252">
        <f t="shared" si="75"/>
        <v>55000</v>
      </c>
      <c r="I1528" s="252">
        <f t="shared" si="75"/>
        <v>61100</v>
      </c>
      <c r="J1528" s="252">
        <f t="shared" si="75"/>
        <v>66000</v>
      </c>
      <c r="K1528" s="252">
        <f t="shared" si="75"/>
        <v>70900</v>
      </c>
      <c r="L1528" s="252">
        <f t="shared" si="75"/>
        <v>75800</v>
      </c>
      <c r="M1528" s="252">
        <f t="shared" si="75"/>
        <v>80700</v>
      </c>
    </row>
    <row r="1529" spans="1:13" ht="21.95" customHeight="1" x14ac:dyDescent="0.25">
      <c r="A1529" s="36" t="s">
        <v>2904</v>
      </c>
      <c r="B1529" s="36" t="str">
        <f t="shared" si="73"/>
        <v>NC_VANCE COUNTY, NC</v>
      </c>
      <c r="D1529" s="265" t="s">
        <v>73</v>
      </c>
      <c r="E1529" s="266" t="s">
        <v>4319</v>
      </c>
      <c r="F1529" s="252">
        <f t="shared" si="75"/>
        <v>42800</v>
      </c>
      <c r="G1529" s="252">
        <f t="shared" si="75"/>
        <v>48900</v>
      </c>
      <c r="H1529" s="252">
        <f t="shared" si="75"/>
        <v>55000</v>
      </c>
      <c r="I1529" s="252">
        <f t="shared" si="75"/>
        <v>61100</v>
      </c>
      <c r="J1529" s="252">
        <f t="shared" si="75"/>
        <v>66000</v>
      </c>
      <c r="K1529" s="252">
        <f t="shared" si="75"/>
        <v>70900</v>
      </c>
      <c r="L1529" s="252">
        <f t="shared" si="75"/>
        <v>75800</v>
      </c>
      <c r="M1529" s="252">
        <f t="shared" si="75"/>
        <v>80700</v>
      </c>
    </row>
    <row r="1530" spans="1:13" ht="21.95" customHeight="1" x14ac:dyDescent="0.25">
      <c r="A1530" s="36" t="s">
        <v>2904</v>
      </c>
      <c r="B1530" s="36" t="str">
        <f t="shared" si="73"/>
        <v>NC_VIRGINIA BEACH-NORFOLK-NEWPORT NEWS, VA-NC HUD METRO FMR AREA</v>
      </c>
      <c r="D1530" s="265" t="s">
        <v>73</v>
      </c>
      <c r="E1530" s="266" t="s">
        <v>4320</v>
      </c>
      <c r="F1530" s="252">
        <f t="shared" si="75"/>
        <v>59650</v>
      </c>
      <c r="G1530" s="252">
        <f t="shared" si="75"/>
        <v>68200</v>
      </c>
      <c r="H1530" s="252">
        <f t="shared" si="75"/>
        <v>76700</v>
      </c>
      <c r="I1530" s="252">
        <f t="shared" si="75"/>
        <v>85200</v>
      </c>
      <c r="J1530" s="252">
        <f t="shared" si="75"/>
        <v>92050</v>
      </c>
      <c r="K1530" s="252">
        <f t="shared" si="75"/>
        <v>98850</v>
      </c>
      <c r="L1530" s="252">
        <f t="shared" si="75"/>
        <v>105650</v>
      </c>
      <c r="M1530" s="252">
        <f t="shared" si="75"/>
        <v>112500</v>
      </c>
    </row>
    <row r="1531" spans="1:13" ht="21.95" customHeight="1" x14ac:dyDescent="0.25">
      <c r="A1531" s="36" t="s">
        <v>2904</v>
      </c>
      <c r="B1531" s="36" t="str">
        <f t="shared" si="73"/>
        <v>NC_WARREN COUNTY, NC</v>
      </c>
      <c r="D1531" s="265" t="s">
        <v>73</v>
      </c>
      <c r="E1531" s="266" t="s">
        <v>4321</v>
      </c>
      <c r="F1531" s="252">
        <f t="shared" si="75"/>
        <v>42800</v>
      </c>
      <c r="G1531" s="252">
        <f t="shared" si="75"/>
        <v>48900</v>
      </c>
      <c r="H1531" s="252">
        <f t="shared" si="75"/>
        <v>55000</v>
      </c>
      <c r="I1531" s="252">
        <f t="shared" si="75"/>
        <v>61100</v>
      </c>
      <c r="J1531" s="252">
        <f t="shared" si="75"/>
        <v>66000</v>
      </c>
      <c r="K1531" s="252">
        <f t="shared" si="75"/>
        <v>70900</v>
      </c>
      <c r="L1531" s="252">
        <f t="shared" si="75"/>
        <v>75800</v>
      </c>
      <c r="M1531" s="252">
        <f t="shared" si="75"/>
        <v>80700</v>
      </c>
    </row>
    <row r="1532" spans="1:13" ht="21.95" customHeight="1" x14ac:dyDescent="0.25">
      <c r="A1532" s="36" t="s">
        <v>2904</v>
      </c>
      <c r="B1532" s="36" t="str">
        <f t="shared" ref="B1532:B1595" si="76">UPPER(TRIM(D1532)&amp;"_"&amp;TRIM(E1532))</f>
        <v>NC_WASHINGTON COUNTY, NC</v>
      </c>
      <c r="D1532" s="265" t="s">
        <v>73</v>
      </c>
      <c r="E1532" s="266" t="s">
        <v>4322</v>
      </c>
      <c r="F1532" s="252">
        <f t="shared" si="75"/>
        <v>42800</v>
      </c>
      <c r="G1532" s="252">
        <f t="shared" si="75"/>
        <v>48900</v>
      </c>
      <c r="H1532" s="252">
        <f t="shared" si="75"/>
        <v>55000</v>
      </c>
      <c r="I1532" s="252">
        <f t="shared" si="75"/>
        <v>61100</v>
      </c>
      <c r="J1532" s="252">
        <f t="shared" si="75"/>
        <v>66000</v>
      </c>
      <c r="K1532" s="252">
        <f t="shared" si="75"/>
        <v>70900</v>
      </c>
      <c r="L1532" s="252">
        <f t="shared" si="75"/>
        <v>75800</v>
      </c>
      <c r="M1532" s="252">
        <f t="shared" si="75"/>
        <v>80700</v>
      </c>
    </row>
    <row r="1533" spans="1:13" ht="21.95" customHeight="1" x14ac:dyDescent="0.25">
      <c r="A1533" s="36" t="s">
        <v>2904</v>
      </c>
      <c r="B1533" s="36" t="str">
        <f t="shared" si="76"/>
        <v>NC_WATAUGA COUNTY, NC</v>
      </c>
      <c r="D1533" s="265" t="s">
        <v>73</v>
      </c>
      <c r="E1533" s="266" t="s">
        <v>4323</v>
      </c>
      <c r="F1533" s="252">
        <f t="shared" si="75"/>
        <v>52850</v>
      </c>
      <c r="G1533" s="252">
        <f t="shared" si="75"/>
        <v>60400</v>
      </c>
      <c r="H1533" s="252">
        <f t="shared" si="75"/>
        <v>67950</v>
      </c>
      <c r="I1533" s="252">
        <f t="shared" si="75"/>
        <v>75450</v>
      </c>
      <c r="J1533" s="252">
        <f t="shared" si="75"/>
        <v>81500</v>
      </c>
      <c r="K1533" s="252">
        <f t="shared" si="75"/>
        <v>87550</v>
      </c>
      <c r="L1533" s="252">
        <f t="shared" si="75"/>
        <v>93600</v>
      </c>
      <c r="M1533" s="252">
        <f t="shared" si="75"/>
        <v>99600</v>
      </c>
    </row>
    <row r="1534" spans="1:13" ht="21.95" customHeight="1" x14ac:dyDescent="0.25">
      <c r="A1534" s="36" t="s">
        <v>2904</v>
      </c>
      <c r="B1534" s="36" t="str">
        <f t="shared" si="76"/>
        <v>NC_WILKES COUNTY, NC</v>
      </c>
      <c r="D1534" s="265" t="s">
        <v>73</v>
      </c>
      <c r="E1534" s="266" t="s">
        <v>4324</v>
      </c>
      <c r="F1534" s="252">
        <f t="shared" si="75"/>
        <v>42800</v>
      </c>
      <c r="G1534" s="252">
        <f t="shared" si="75"/>
        <v>48900</v>
      </c>
      <c r="H1534" s="252">
        <f t="shared" si="75"/>
        <v>55000</v>
      </c>
      <c r="I1534" s="252">
        <f t="shared" si="75"/>
        <v>61100</v>
      </c>
      <c r="J1534" s="252">
        <f t="shared" si="75"/>
        <v>66000</v>
      </c>
      <c r="K1534" s="252">
        <f t="shared" si="75"/>
        <v>70900</v>
      </c>
      <c r="L1534" s="252">
        <f t="shared" si="75"/>
        <v>75800</v>
      </c>
      <c r="M1534" s="252">
        <f t="shared" si="75"/>
        <v>80700</v>
      </c>
    </row>
    <row r="1535" spans="1:13" ht="21.95" customHeight="1" x14ac:dyDescent="0.25">
      <c r="A1535" s="36" t="s">
        <v>2904</v>
      </c>
      <c r="B1535" s="36" t="str">
        <f t="shared" si="76"/>
        <v>NC_WILMINGTON, NC HUD METRO FMR AREA</v>
      </c>
      <c r="D1535" s="265" t="s">
        <v>73</v>
      </c>
      <c r="E1535" s="266" t="s">
        <v>4325</v>
      </c>
      <c r="F1535" s="252">
        <f t="shared" si="75"/>
        <v>60700</v>
      </c>
      <c r="G1535" s="252">
        <f t="shared" si="75"/>
        <v>69350</v>
      </c>
      <c r="H1535" s="252">
        <f t="shared" si="75"/>
        <v>78000</v>
      </c>
      <c r="I1535" s="252">
        <f t="shared" si="75"/>
        <v>86650</v>
      </c>
      <c r="J1535" s="252">
        <f t="shared" si="75"/>
        <v>93600</v>
      </c>
      <c r="K1535" s="252">
        <f t="shared" si="75"/>
        <v>100550</v>
      </c>
      <c r="L1535" s="252">
        <f t="shared" si="75"/>
        <v>107450</v>
      </c>
      <c r="M1535" s="252">
        <f t="shared" si="75"/>
        <v>114400</v>
      </c>
    </row>
    <row r="1536" spans="1:13" ht="21.95" customHeight="1" x14ac:dyDescent="0.25">
      <c r="A1536" s="36" t="s">
        <v>2904</v>
      </c>
      <c r="B1536" s="36" t="str">
        <f t="shared" si="76"/>
        <v>NC_WILSON COUNTY, NC</v>
      </c>
      <c r="D1536" s="265" t="s">
        <v>73</v>
      </c>
      <c r="E1536" s="266" t="s">
        <v>4326</v>
      </c>
      <c r="F1536" s="252">
        <f t="shared" si="75"/>
        <v>44450</v>
      </c>
      <c r="G1536" s="252">
        <f t="shared" si="75"/>
        <v>50800</v>
      </c>
      <c r="H1536" s="252">
        <f t="shared" si="75"/>
        <v>57150</v>
      </c>
      <c r="I1536" s="252">
        <f t="shared" si="75"/>
        <v>63450</v>
      </c>
      <c r="J1536" s="252">
        <f t="shared" si="75"/>
        <v>68550</v>
      </c>
      <c r="K1536" s="252">
        <f t="shared" si="75"/>
        <v>73650</v>
      </c>
      <c r="L1536" s="252">
        <f t="shared" si="75"/>
        <v>78700</v>
      </c>
      <c r="M1536" s="252">
        <f t="shared" si="75"/>
        <v>83800</v>
      </c>
    </row>
    <row r="1537" spans="1:13" ht="21.95" customHeight="1" x14ac:dyDescent="0.25">
      <c r="A1537" s="36" t="s">
        <v>2904</v>
      </c>
      <c r="B1537" s="36" t="str">
        <f t="shared" si="76"/>
        <v>NC_WINSTON-SALEM, NC HUD METRO FMR AREA</v>
      </c>
      <c r="D1537" s="265" t="s">
        <v>73</v>
      </c>
      <c r="E1537" s="266" t="s">
        <v>4327</v>
      </c>
      <c r="F1537" s="252">
        <f t="shared" si="75"/>
        <v>48550</v>
      </c>
      <c r="G1537" s="252">
        <f t="shared" si="75"/>
        <v>55500</v>
      </c>
      <c r="H1537" s="252">
        <f t="shared" si="75"/>
        <v>62450</v>
      </c>
      <c r="I1537" s="252">
        <f t="shared" si="75"/>
        <v>69350</v>
      </c>
      <c r="J1537" s="252">
        <f t="shared" si="75"/>
        <v>74900</v>
      </c>
      <c r="K1537" s="252">
        <f t="shared" si="75"/>
        <v>80450</v>
      </c>
      <c r="L1537" s="252">
        <f t="shared" si="75"/>
        <v>86000</v>
      </c>
      <c r="M1537" s="252">
        <f t="shared" si="75"/>
        <v>91550</v>
      </c>
    </row>
    <row r="1538" spans="1:13" ht="21.95" customHeight="1" x14ac:dyDescent="0.25">
      <c r="A1538" s="36" t="s">
        <v>2904</v>
      </c>
      <c r="B1538" s="36" t="str">
        <f t="shared" si="76"/>
        <v>NC_YANCEY COUNTY, NC</v>
      </c>
      <c r="D1538" s="265" t="s">
        <v>73</v>
      </c>
      <c r="E1538" s="266" t="s">
        <v>4328</v>
      </c>
      <c r="F1538" s="252">
        <f t="shared" si="75"/>
        <v>45000</v>
      </c>
      <c r="G1538" s="252">
        <f t="shared" si="75"/>
        <v>51400</v>
      </c>
      <c r="H1538" s="252">
        <f t="shared" si="75"/>
        <v>57850</v>
      </c>
      <c r="I1538" s="252">
        <f t="shared" si="75"/>
        <v>64250</v>
      </c>
      <c r="J1538" s="252">
        <f t="shared" si="75"/>
        <v>69400</v>
      </c>
      <c r="K1538" s="252">
        <f t="shared" si="75"/>
        <v>74550</v>
      </c>
      <c r="L1538" s="252">
        <f t="shared" si="75"/>
        <v>79700</v>
      </c>
      <c r="M1538" s="252">
        <f t="shared" si="75"/>
        <v>84850</v>
      </c>
    </row>
    <row r="1539" spans="1:13" ht="21.95" customHeight="1" x14ac:dyDescent="0.25">
      <c r="A1539" s="36" t="s">
        <v>2904</v>
      </c>
      <c r="B1539" s="36" t="str">
        <f t="shared" si="76"/>
        <v>ND_ADAMS COUNTY, ND</v>
      </c>
      <c r="D1539" s="265" t="s">
        <v>72</v>
      </c>
      <c r="E1539" s="266" t="s">
        <v>4329</v>
      </c>
      <c r="F1539" s="252">
        <f t="shared" si="75"/>
        <v>62550</v>
      </c>
      <c r="G1539" s="252">
        <f t="shared" si="75"/>
        <v>71500</v>
      </c>
      <c r="H1539" s="252">
        <f t="shared" si="75"/>
        <v>80450</v>
      </c>
      <c r="I1539" s="252">
        <f t="shared" si="75"/>
        <v>89350</v>
      </c>
      <c r="J1539" s="252">
        <f t="shared" si="75"/>
        <v>96500</v>
      </c>
      <c r="K1539" s="252">
        <f t="shared" si="75"/>
        <v>103650</v>
      </c>
      <c r="L1539" s="252">
        <f t="shared" si="75"/>
        <v>110800</v>
      </c>
      <c r="M1539" s="252">
        <f t="shared" si="75"/>
        <v>117950</v>
      </c>
    </row>
    <row r="1540" spans="1:13" ht="21.95" customHeight="1" x14ac:dyDescent="0.25">
      <c r="A1540" s="36" t="s">
        <v>2904</v>
      </c>
      <c r="B1540" s="36" t="str">
        <f t="shared" si="76"/>
        <v>ND_BARNES COUNTY, ND</v>
      </c>
      <c r="D1540" s="265" t="s">
        <v>72</v>
      </c>
      <c r="E1540" s="266" t="s">
        <v>4330</v>
      </c>
      <c r="F1540" s="252">
        <f t="shared" si="75"/>
        <v>58450</v>
      </c>
      <c r="G1540" s="252">
        <f t="shared" si="75"/>
        <v>66800</v>
      </c>
      <c r="H1540" s="252">
        <f t="shared" ref="F1540:M1572" si="77">VLOOKUP($B1540,LOOKUP_AMI_TABLE,5+((H$7-1)),FALSE)</f>
        <v>75150</v>
      </c>
      <c r="I1540" s="252">
        <f t="shared" si="77"/>
        <v>83500</v>
      </c>
      <c r="J1540" s="252">
        <f t="shared" si="77"/>
        <v>90200</v>
      </c>
      <c r="K1540" s="252">
        <f t="shared" si="77"/>
        <v>96900</v>
      </c>
      <c r="L1540" s="252">
        <f t="shared" si="77"/>
        <v>103550</v>
      </c>
      <c r="M1540" s="252">
        <f t="shared" si="77"/>
        <v>110250</v>
      </c>
    </row>
    <row r="1541" spans="1:13" ht="21.95" customHeight="1" x14ac:dyDescent="0.25">
      <c r="A1541" s="36" t="s">
        <v>2904</v>
      </c>
      <c r="B1541" s="36" t="str">
        <f t="shared" si="76"/>
        <v>ND_BENSON COUNTY, ND</v>
      </c>
      <c r="D1541" s="265" t="s">
        <v>72</v>
      </c>
      <c r="E1541" s="266" t="s">
        <v>4331</v>
      </c>
      <c r="F1541" s="252">
        <f t="shared" si="77"/>
        <v>58450</v>
      </c>
      <c r="G1541" s="252">
        <f t="shared" si="77"/>
        <v>66800</v>
      </c>
      <c r="H1541" s="252">
        <f t="shared" si="77"/>
        <v>75150</v>
      </c>
      <c r="I1541" s="252">
        <f t="shared" si="77"/>
        <v>83500</v>
      </c>
      <c r="J1541" s="252">
        <f t="shared" si="77"/>
        <v>90200</v>
      </c>
      <c r="K1541" s="252">
        <f t="shared" si="77"/>
        <v>96900</v>
      </c>
      <c r="L1541" s="252">
        <f t="shared" si="77"/>
        <v>103550</v>
      </c>
      <c r="M1541" s="252">
        <f t="shared" si="77"/>
        <v>110250</v>
      </c>
    </row>
    <row r="1542" spans="1:13" ht="21.95" customHeight="1" x14ac:dyDescent="0.25">
      <c r="A1542" s="36" t="s">
        <v>2904</v>
      </c>
      <c r="B1542" s="36" t="str">
        <f t="shared" si="76"/>
        <v>ND_BILLINGS COUNTY, ND</v>
      </c>
      <c r="D1542" s="265" t="s">
        <v>72</v>
      </c>
      <c r="E1542" s="266" t="s">
        <v>4332</v>
      </c>
      <c r="F1542" s="252">
        <f t="shared" si="77"/>
        <v>64900</v>
      </c>
      <c r="G1542" s="252">
        <f t="shared" si="77"/>
        <v>74150</v>
      </c>
      <c r="H1542" s="252">
        <f t="shared" si="77"/>
        <v>83400</v>
      </c>
      <c r="I1542" s="252">
        <f t="shared" si="77"/>
        <v>92650</v>
      </c>
      <c r="J1542" s="252">
        <f t="shared" si="77"/>
        <v>100100</v>
      </c>
      <c r="K1542" s="252">
        <f t="shared" si="77"/>
        <v>107500</v>
      </c>
      <c r="L1542" s="252">
        <f t="shared" si="77"/>
        <v>114900</v>
      </c>
      <c r="M1542" s="252">
        <f t="shared" si="77"/>
        <v>122300</v>
      </c>
    </row>
    <row r="1543" spans="1:13" ht="21.95" customHeight="1" x14ac:dyDescent="0.25">
      <c r="A1543" s="36" t="s">
        <v>2904</v>
      </c>
      <c r="B1543" s="36" t="str">
        <f t="shared" si="76"/>
        <v>ND_BISMARCK, ND MSA</v>
      </c>
      <c r="D1543" s="265" t="s">
        <v>72</v>
      </c>
      <c r="E1543" s="266" t="s">
        <v>4333</v>
      </c>
      <c r="F1543" s="252">
        <f t="shared" si="77"/>
        <v>66400</v>
      </c>
      <c r="G1543" s="252">
        <f t="shared" si="77"/>
        <v>75850</v>
      </c>
      <c r="H1543" s="252">
        <f t="shared" si="77"/>
        <v>85350</v>
      </c>
      <c r="I1543" s="252">
        <f t="shared" si="77"/>
        <v>94800</v>
      </c>
      <c r="J1543" s="252">
        <f t="shared" si="77"/>
        <v>102400</v>
      </c>
      <c r="K1543" s="252">
        <f t="shared" si="77"/>
        <v>110000</v>
      </c>
      <c r="L1543" s="252">
        <f t="shared" si="77"/>
        <v>117600</v>
      </c>
      <c r="M1543" s="252">
        <f t="shared" si="77"/>
        <v>125150</v>
      </c>
    </row>
    <row r="1544" spans="1:13" ht="21.95" customHeight="1" x14ac:dyDescent="0.25">
      <c r="A1544" s="36" t="s">
        <v>2904</v>
      </c>
      <c r="B1544" s="36" t="str">
        <f t="shared" si="76"/>
        <v>ND_BOTTINEAU COUNTY, ND</v>
      </c>
      <c r="D1544" s="265" t="s">
        <v>72</v>
      </c>
      <c r="E1544" s="266" t="s">
        <v>4334</v>
      </c>
      <c r="F1544" s="252">
        <f t="shared" si="77"/>
        <v>62450</v>
      </c>
      <c r="G1544" s="252">
        <f t="shared" si="77"/>
        <v>71400</v>
      </c>
      <c r="H1544" s="252">
        <f t="shared" si="77"/>
        <v>80300</v>
      </c>
      <c r="I1544" s="252">
        <f t="shared" si="77"/>
        <v>89200</v>
      </c>
      <c r="J1544" s="252">
        <f t="shared" si="77"/>
        <v>96350</v>
      </c>
      <c r="K1544" s="252">
        <f t="shared" si="77"/>
        <v>103500</v>
      </c>
      <c r="L1544" s="252">
        <f t="shared" si="77"/>
        <v>110650</v>
      </c>
      <c r="M1544" s="252">
        <f t="shared" si="77"/>
        <v>117750</v>
      </c>
    </row>
    <row r="1545" spans="1:13" ht="21.95" customHeight="1" x14ac:dyDescent="0.25">
      <c r="A1545" s="36" t="s">
        <v>2904</v>
      </c>
      <c r="B1545" s="36" t="str">
        <f t="shared" si="76"/>
        <v>ND_BOWMAN COUNTY, ND</v>
      </c>
      <c r="D1545" s="265" t="s">
        <v>72</v>
      </c>
      <c r="E1545" s="266" t="s">
        <v>4335</v>
      </c>
      <c r="F1545" s="252">
        <f t="shared" si="77"/>
        <v>59750</v>
      </c>
      <c r="G1545" s="252">
        <f t="shared" si="77"/>
        <v>68300</v>
      </c>
      <c r="H1545" s="252">
        <f t="shared" si="77"/>
        <v>76850</v>
      </c>
      <c r="I1545" s="252">
        <f t="shared" si="77"/>
        <v>85350</v>
      </c>
      <c r="J1545" s="252">
        <f t="shared" si="77"/>
        <v>92200</v>
      </c>
      <c r="K1545" s="252">
        <f t="shared" si="77"/>
        <v>99050</v>
      </c>
      <c r="L1545" s="252">
        <f t="shared" si="77"/>
        <v>105850</v>
      </c>
      <c r="M1545" s="252">
        <f t="shared" si="77"/>
        <v>112700</v>
      </c>
    </row>
    <row r="1546" spans="1:13" ht="21.95" customHeight="1" x14ac:dyDescent="0.25">
      <c r="A1546" s="36" t="s">
        <v>2904</v>
      </c>
      <c r="B1546" s="36" t="str">
        <f t="shared" si="76"/>
        <v>ND_BURKE COUNTY, ND</v>
      </c>
      <c r="D1546" s="265" t="s">
        <v>72</v>
      </c>
      <c r="E1546" s="266" t="s">
        <v>4336</v>
      </c>
      <c r="F1546" s="252">
        <f t="shared" si="77"/>
        <v>70950</v>
      </c>
      <c r="G1546" s="252">
        <f t="shared" si="77"/>
        <v>81050</v>
      </c>
      <c r="H1546" s="252">
        <f t="shared" si="77"/>
        <v>91200</v>
      </c>
      <c r="I1546" s="252">
        <f t="shared" si="77"/>
        <v>101300</v>
      </c>
      <c r="J1546" s="252">
        <f t="shared" si="77"/>
        <v>109450</v>
      </c>
      <c r="K1546" s="252">
        <f t="shared" si="77"/>
        <v>117550</v>
      </c>
      <c r="L1546" s="252">
        <f t="shared" si="77"/>
        <v>125650</v>
      </c>
      <c r="M1546" s="252">
        <f t="shared" si="77"/>
        <v>133750</v>
      </c>
    </row>
    <row r="1547" spans="1:13" ht="21.95" customHeight="1" x14ac:dyDescent="0.25">
      <c r="A1547" s="36" t="s">
        <v>2904</v>
      </c>
      <c r="B1547" s="36" t="str">
        <f t="shared" si="76"/>
        <v>ND_CAVALIER COUNTY, ND</v>
      </c>
      <c r="D1547" s="265" t="s">
        <v>72</v>
      </c>
      <c r="E1547" s="266" t="s">
        <v>4337</v>
      </c>
      <c r="F1547" s="252">
        <f t="shared" si="77"/>
        <v>59000</v>
      </c>
      <c r="G1547" s="252">
        <f t="shared" si="77"/>
        <v>67400</v>
      </c>
      <c r="H1547" s="252">
        <f t="shared" si="77"/>
        <v>75850</v>
      </c>
      <c r="I1547" s="252">
        <f t="shared" si="77"/>
        <v>84250</v>
      </c>
      <c r="J1547" s="252">
        <f t="shared" si="77"/>
        <v>91000</v>
      </c>
      <c r="K1547" s="252">
        <f t="shared" si="77"/>
        <v>97750</v>
      </c>
      <c r="L1547" s="252">
        <f t="shared" si="77"/>
        <v>104500</v>
      </c>
      <c r="M1547" s="252">
        <f t="shared" si="77"/>
        <v>111250</v>
      </c>
    </row>
    <row r="1548" spans="1:13" ht="21.95" customHeight="1" x14ac:dyDescent="0.25">
      <c r="A1548" s="36" t="s">
        <v>2904</v>
      </c>
      <c r="B1548" s="36" t="str">
        <f t="shared" si="76"/>
        <v>ND_DICKEY COUNTY, ND</v>
      </c>
      <c r="D1548" s="265" t="s">
        <v>72</v>
      </c>
      <c r="E1548" s="266" t="s">
        <v>4338</v>
      </c>
      <c r="F1548" s="252">
        <f t="shared" si="77"/>
        <v>58450</v>
      </c>
      <c r="G1548" s="252">
        <f t="shared" si="77"/>
        <v>66800</v>
      </c>
      <c r="H1548" s="252">
        <f t="shared" si="77"/>
        <v>75150</v>
      </c>
      <c r="I1548" s="252">
        <f t="shared" si="77"/>
        <v>83500</v>
      </c>
      <c r="J1548" s="252">
        <f t="shared" si="77"/>
        <v>90200</v>
      </c>
      <c r="K1548" s="252">
        <f t="shared" si="77"/>
        <v>96900</v>
      </c>
      <c r="L1548" s="252">
        <f t="shared" si="77"/>
        <v>103550</v>
      </c>
      <c r="M1548" s="252">
        <f t="shared" si="77"/>
        <v>110250</v>
      </c>
    </row>
    <row r="1549" spans="1:13" ht="21.95" customHeight="1" x14ac:dyDescent="0.25">
      <c r="A1549" s="36" t="s">
        <v>2904</v>
      </c>
      <c r="B1549" s="36" t="str">
        <f t="shared" si="76"/>
        <v>ND_DIVIDE COUNTY, ND</v>
      </c>
      <c r="D1549" s="265" t="s">
        <v>72</v>
      </c>
      <c r="E1549" s="266" t="s">
        <v>4339</v>
      </c>
      <c r="F1549" s="252">
        <f t="shared" si="77"/>
        <v>66450</v>
      </c>
      <c r="G1549" s="252">
        <f t="shared" si="77"/>
        <v>75950</v>
      </c>
      <c r="H1549" s="252">
        <f t="shared" si="77"/>
        <v>85450</v>
      </c>
      <c r="I1549" s="252">
        <f t="shared" si="77"/>
        <v>94900</v>
      </c>
      <c r="J1549" s="252">
        <f t="shared" si="77"/>
        <v>102500</v>
      </c>
      <c r="K1549" s="252">
        <f t="shared" si="77"/>
        <v>110100</v>
      </c>
      <c r="L1549" s="252">
        <f t="shared" si="77"/>
        <v>117700</v>
      </c>
      <c r="M1549" s="252">
        <f t="shared" si="77"/>
        <v>125300</v>
      </c>
    </row>
    <row r="1550" spans="1:13" ht="21.95" customHeight="1" x14ac:dyDescent="0.25">
      <c r="A1550" s="36" t="s">
        <v>2904</v>
      </c>
      <c r="B1550" s="36" t="str">
        <f t="shared" si="76"/>
        <v>ND_DUNN COUNTY, ND</v>
      </c>
      <c r="D1550" s="265" t="s">
        <v>72</v>
      </c>
      <c r="E1550" s="266" t="s">
        <v>4340</v>
      </c>
      <c r="F1550" s="252">
        <f t="shared" si="77"/>
        <v>72950</v>
      </c>
      <c r="G1550" s="252">
        <f t="shared" si="77"/>
        <v>83400</v>
      </c>
      <c r="H1550" s="252">
        <f t="shared" si="77"/>
        <v>93800</v>
      </c>
      <c r="I1550" s="252">
        <f t="shared" si="77"/>
        <v>104200</v>
      </c>
      <c r="J1550" s="252">
        <f t="shared" si="77"/>
        <v>112550</v>
      </c>
      <c r="K1550" s="252">
        <f t="shared" si="77"/>
        <v>120900</v>
      </c>
      <c r="L1550" s="252">
        <f t="shared" si="77"/>
        <v>129250</v>
      </c>
      <c r="M1550" s="252">
        <f t="shared" si="77"/>
        <v>137550</v>
      </c>
    </row>
    <row r="1551" spans="1:13" ht="21.95" customHeight="1" x14ac:dyDescent="0.25">
      <c r="A1551" s="36" t="s">
        <v>2904</v>
      </c>
      <c r="B1551" s="36" t="str">
        <f t="shared" si="76"/>
        <v>ND_EDDY COUNTY, ND</v>
      </c>
      <c r="D1551" s="265" t="s">
        <v>72</v>
      </c>
      <c r="E1551" s="266" t="s">
        <v>4341</v>
      </c>
      <c r="F1551" s="252">
        <f t="shared" si="77"/>
        <v>58450</v>
      </c>
      <c r="G1551" s="252">
        <f t="shared" si="77"/>
        <v>66800</v>
      </c>
      <c r="H1551" s="252">
        <f t="shared" si="77"/>
        <v>75150</v>
      </c>
      <c r="I1551" s="252">
        <f t="shared" si="77"/>
        <v>83500</v>
      </c>
      <c r="J1551" s="252">
        <f t="shared" si="77"/>
        <v>90200</v>
      </c>
      <c r="K1551" s="252">
        <f t="shared" si="77"/>
        <v>96900</v>
      </c>
      <c r="L1551" s="252">
        <f t="shared" si="77"/>
        <v>103550</v>
      </c>
      <c r="M1551" s="252">
        <f t="shared" si="77"/>
        <v>110250</v>
      </c>
    </row>
    <row r="1552" spans="1:13" ht="21.95" customHeight="1" x14ac:dyDescent="0.25">
      <c r="A1552" s="36" t="s">
        <v>2904</v>
      </c>
      <c r="B1552" s="36" t="str">
        <f t="shared" si="76"/>
        <v>ND_EMMONS COUNTY, ND</v>
      </c>
      <c r="D1552" s="265" t="s">
        <v>72</v>
      </c>
      <c r="E1552" s="266" t="s">
        <v>4342</v>
      </c>
      <c r="F1552" s="252">
        <f t="shared" si="77"/>
        <v>58450</v>
      </c>
      <c r="G1552" s="252">
        <f t="shared" si="77"/>
        <v>66800</v>
      </c>
      <c r="H1552" s="252">
        <f t="shared" si="77"/>
        <v>75150</v>
      </c>
      <c r="I1552" s="252">
        <f t="shared" si="77"/>
        <v>83500</v>
      </c>
      <c r="J1552" s="252">
        <f t="shared" si="77"/>
        <v>90200</v>
      </c>
      <c r="K1552" s="252">
        <f t="shared" si="77"/>
        <v>96900</v>
      </c>
      <c r="L1552" s="252">
        <f t="shared" si="77"/>
        <v>103550</v>
      </c>
      <c r="M1552" s="252">
        <f t="shared" si="77"/>
        <v>110250</v>
      </c>
    </row>
    <row r="1553" spans="1:13" ht="21.95" customHeight="1" x14ac:dyDescent="0.25">
      <c r="A1553" s="36" t="s">
        <v>2904</v>
      </c>
      <c r="B1553" s="36" t="str">
        <f t="shared" si="76"/>
        <v>ND_FARGO, ND-MN MSA</v>
      </c>
      <c r="D1553" s="265" t="s">
        <v>72</v>
      </c>
      <c r="E1553" s="266" t="s">
        <v>3988</v>
      </c>
      <c r="F1553" s="252">
        <f t="shared" si="77"/>
        <v>64750</v>
      </c>
      <c r="G1553" s="252">
        <f t="shared" si="77"/>
        <v>74000</v>
      </c>
      <c r="H1553" s="252">
        <f t="shared" si="77"/>
        <v>83250</v>
      </c>
      <c r="I1553" s="252">
        <f t="shared" si="77"/>
        <v>92500</v>
      </c>
      <c r="J1553" s="252">
        <f t="shared" si="77"/>
        <v>99900</v>
      </c>
      <c r="K1553" s="252">
        <f t="shared" si="77"/>
        <v>107300</v>
      </c>
      <c r="L1553" s="252">
        <f t="shared" si="77"/>
        <v>114700</v>
      </c>
      <c r="M1553" s="252">
        <f t="shared" si="77"/>
        <v>122100</v>
      </c>
    </row>
    <row r="1554" spans="1:13" ht="21.95" customHeight="1" x14ac:dyDescent="0.25">
      <c r="A1554" s="36" t="s">
        <v>2904</v>
      </c>
      <c r="B1554" s="36" t="str">
        <f t="shared" si="76"/>
        <v>ND_FOSTER COUNTY, ND</v>
      </c>
      <c r="D1554" s="265" t="s">
        <v>72</v>
      </c>
      <c r="E1554" s="266" t="s">
        <v>4343</v>
      </c>
      <c r="F1554" s="252">
        <f t="shared" si="77"/>
        <v>68150</v>
      </c>
      <c r="G1554" s="252">
        <f t="shared" si="77"/>
        <v>77900</v>
      </c>
      <c r="H1554" s="252">
        <f t="shared" si="77"/>
        <v>87650</v>
      </c>
      <c r="I1554" s="252">
        <f t="shared" si="77"/>
        <v>97350</v>
      </c>
      <c r="J1554" s="252">
        <f t="shared" si="77"/>
        <v>105150</v>
      </c>
      <c r="K1554" s="252">
        <f t="shared" si="77"/>
        <v>112950</v>
      </c>
      <c r="L1554" s="252">
        <f t="shared" si="77"/>
        <v>120750</v>
      </c>
      <c r="M1554" s="252">
        <f t="shared" si="77"/>
        <v>128550</v>
      </c>
    </row>
    <row r="1555" spans="1:13" ht="21.95" customHeight="1" x14ac:dyDescent="0.25">
      <c r="A1555" s="36" t="s">
        <v>2904</v>
      </c>
      <c r="B1555" s="36" t="str">
        <f t="shared" si="76"/>
        <v>ND_GOLDEN VALLEY COUNTY, ND</v>
      </c>
      <c r="D1555" s="265" t="s">
        <v>72</v>
      </c>
      <c r="E1555" s="266" t="s">
        <v>4344</v>
      </c>
      <c r="F1555" s="252">
        <f t="shared" si="77"/>
        <v>60700</v>
      </c>
      <c r="G1555" s="252">
        <f t="shared" si="77"/>
        <v>69350</v>
      </c>
      <c r="H1555" s="252">
        <f t="shared" si="77"/>
        <v>78000</v>
      </c>
      <c r="I1555" s="252">
        <f t="shared" si="77"/>
        <v>86650</v>
      </c>
      <c r="J1555" s="252">
        <f t="shared" si="77"/>
        <v>93600</v>
      </c>
      <c r="K1555" s="252">
        <f t="shared" si="77"/>
        <v>100550</v>
      </c>
      <c r="L1555" s="252">
        <f t="shared" si="77"/>
        <v>107450</v>
      </c>
      <c r="M1555" s="252">
        <f t="shared" si="77"/>
        <v>114400</v>
      </c>
    </row>
    <row r="1556" spans="1:13" ht="21.95" customHeight="1" x14ac:dyDescent="0.25">
      <c r="A1556" s="36" t="s">
        <v>2904</v>
      </c>
      <c r="B1556" s="36" t="str">
        <f t="shared" si="76"/>
        <v>ND_GRAND FORKS, ND-MN MSA</v>
      </c>
      <c r="D1556" s="265" t="s">
        <v>72</v>
      </c>
      <c r="E1556" s="266" t="s">
        <v>3993</v>
      </c>
      <c r="F1556" s="252">
        <f t="shared" si="77"/>
        <v>58450</v>
      </c>
      <c r="G1556" s="252">
        <f t="shared" si="77"/>
        <v>66800</v>
      </c>
      <c r="H1556" s="252">
        <f t="shared" si="77"/>
        <v>75150</v>
      </c>
      <c r="I1556" s="252">
        <f t="shared" si="77"/>
        <v>83500</v>
      </c>
      <c r="J1556" s="252">
        <f t="shared" si="77"/>
        <v>90200</v>
      </c>
      <c r="K1556" s="252">
        <f t="shared" si="77"/>
        <v>96900</v>
      </c>
      <c r="L1556" s="252">
        <f t="shared" si="77"/>
        <v>103550</v>
      </c>
      <c r="M1556" s="252">
        <f t="shared" si="77"/>
        <v>110250</v>
      </c>
    </row>
    <row r="1557" spans="1:13" ht="21.95" customHeight="1" x14ac:dyDescent="0.25">
      <c r="A1557" s="36" t="s">
        <v>2904</v>
      </c>
      <c r="B1557" s="36" t="str">
        <f t="shared" si="76"/>
        <v>ND_GRANT COUNTY, ND</v>
      </c>
      <c r="D1557" s="265" t="s">
        <v>72</v>
      </c>
      <c r="E1557" s="266" t="s">
        <v>4345</v>
      </c>
      <c r="F1557" s="252">
        <f t="shared" si="77"/>
        <v>58450</v>
      </c>
      <c r="G1557" s="252">
        <f t="shared" si="77"/>
        <v>66800</v>
      </c>
      <c r="H1557" s="252">
        <f t="shared" si="77"/>
        <v>75150</v>
      </c>
      <c r="I1557" s="252">
        <f t="shared" si="77"/>
        <v>83500</v>
      </c>
      <c r="J1557" s="252">
        <f t="shared" si="77"/>
        <v>90200</v>
      </c>
      <c r="K1557" s="252">
        <f t="shared" si="77"/>
        <v>96900</v>
      </c>
      <c r="L1557" s="252">
        <f t="shared" si="77"/>
        <v>103550</v>
      </c>
      <c r="M1557" s="252">
        <f t="shared" si="77"/>
        <v>110250</v>
      </c>
    </row>
    <row r="1558" spans="1:13" ht="21.95" customHeight="1" x14ac:dyDescent="0.25">
      <c r="A1558" s="36" t="s">
        <v>2904</v>
      </c>
      <c r="B1558" s="36" t="str">
        <f t="shared" si="76"/>
        <v>ND_GRIGGS COUNTY, ND</v>
      </c>
      <c r="D1558" s="265" t="s">
        <v>72</v>
      </c>
      <c r="E1558" s="266" t="s">
        <v>4346</v>
      </c>
      <c r="F1558" s="252">
        <f t="shared" si="77"/>
        <v>58450</v>
      </c>
      <c r="G1558" s="252">
        <f t="shared" si="77"/>
        <v>66800</v>
      </c>
      <c r="H1558" s="252">
        <f t="shared" si="77"/>
        <v>75150</v>
      </c>
      <c r="I1558" s="252">
        <f t="shared" si="77"/>
        <v>83500</v>
      </c>
      <c r="J1558" s="252">
        <f t="shared" si="77"/>
        <v>90200</v>
      </c>
      <c r="K1558" s="252">
        <f t="shared" si="77"/>
        <v>96900</v>
      </c>
      <c r="L1558" s="252">
        <f t="shared" si="77"/>
        <v>103550</v>
      </c>
      <c r="M1558" s="252">
        <f t="shared" si="77"/>
        <v>110250</v>
      </c>
    </row>
    <row r="1559" spans="1:13" ht="21.95" customHeight="1" x14ac:dyDescent="0.25">
      <c r="A1559" s="36" t="s">
        <v>2904</v>
      </c>
      <c r="B1559" s="36" t="str">
        <f t="shared" si="76"/>
        <v>ND_HETTINGER COUNTY, ND</v>
      </c>
      <c r="D1559" s="265" t="s">
        <v>72</v>
      </c>
      <c r="E1559" s="266" t="s">
        <v>4347</v>
      </c>
      <c r="F1559" s="252">
        <f t="shared" si="77"/>
        <v>58750</v>
      </c>
      <c r="G1559" s="252">
        <f t="shared" si="77"/>
        <v>67150</v>
      </c>
      <c r="H1559" s="252">
        <f t="shared" si="77"/>
        <v>75550</v>
      </c>
      <c r="I1559" s="252">
        <f t="shared" si="77"/>
        <v>83900</v>
      </c>
      <c r="J1559" s="252">
        <f t="shared" si="77"/>
        <v>90650</v>
      </c>
      <c r="K1559" s="252">
        <f t="shared" si="77"/>
        <v>97350</v>
      </c>
      <c r="L1559" s="252">
        <f t="shared" si="77"/>
        <v>104050</v>
      </c>
      <c r="M1559" s="252">
        <f t="shared" si="77"/>
        <v>110750</v>
      </c>
    </row>
    <row r="1560" spans="1:13" ht="21.95" customHeight="1" x14ac:dyDescent="0.25">
      <c r="A1560" s="36" t="s">
        <v>2904</v>
      </c>
      <c r="B1560" s="36" t="str">
        <f t="shared" si="76"/>
        <v>ND_KIDDER COUNTY, ND</v>
      </c>
      <c r="D1560" s="265" t="s">
        <v>72</v>
      </c>
      <c r="E1560" s="266" t="s">
        <v>4348</v>
      </c>
      <c r="F1560" s="252">
        <f t="shared" si="77"/>
        <v>58450</v>
      </c>
      <c r="G1560" s="252">
        <f t="shared" si="77"/>
        <v>66800</v>
      </c>
      <c r="H1560" s="252">
        <f t="shared" si="77"/>
        <v>75150</v>
      </c>
      <c r="I1560" s="252">
        <f t="shared" si="77"/>
        <v>83500</v>
      </c>
      <c r="J1560" s="252">
        <f t="shared" si="77"/>
        <v>90200</v>
      </c>
      <c r="K1560" s="252">
        <f t="shared" si="77"/>
        <v>96900</v>
      </c>
      <c r="L1560" s="252">
        <f t="shared" si="77"/>
        <v>103550</v>
      </c>
      <c r="M1560" s="252">
        <f t="shared" si="77"/>
        <v>110250</v>
      </c>
    </row>
    <row r="1561" spans="1:13" ht="21.95" customHeight="1" x14ac:dyDescent="0.25">
      <c r="A1561" s="36" t="s">
        <v>2904</v>
      </c>
      <c r="B1561" s="36" t="str">
        <f t="shared" si="76"/>
        <v>ND_LAMOURE COUNTY, ND</v>
      </c>
      <c r="D1561" s="265" t="s">
        <v>72</v>
      </c>
      <c r="E1561" s="266" t="s">
        <v>4349</v>
      </c>
      <c r="F1561" s="252">
        <f t="shared" si="77"/>
        <v>58900</v>
      </c>
      <c r="G1561" s="252">
        <f t="shared" si="77"/>
        <v>67300</v>
      </c>
      <c r="H1561" s="252">
        <f t="shared" si="77"/>
        <v>75700</v>
      </c>
      <c r="I1561" s="252">
        <f t="shared" si="77"/>
        <v>84100</v>
      </c>
      <c r="J1561" s="252">
        <f t="shared" si="77"/>
        <v>90850</v>
      </c>
      <c r="K1561" s="252">
        <f t="shared" si="77"/>
        <v>97600</v>
      </c>
      <c r="L1561" s="252">
        <f t="shared" si="77"/>
        <v>104300</v>
      </c>
      <c r="M1561" s="252">
        <f t="shared" si="77"/>
        <v>111050</v>
      </c>
    </row>
    <row r="1562" spans="1:13" ht="21.95" customHeight="1" x14ac:dyDescent="0.25">
      <c r="A1562" s="36" t="s">
        <v>2904</v>
      </c>
      <c r="B1562" s="36" t="str">
        <f t="shared" si="76"/>
        <v>ND_LOGAN COUNTY, ND</v>
      </c>
      <c r="D1562" s="265" t="s">
        <v>72</v>
      </c>
      <c r="E1562" s="266" t="s">
        <v>4350</v>
      </c>
      <c r="F1562" s="252">
        <f t="shared" si="77"/>
        <v>58450</v>
      </c>
      <c r="G1562" s="252">
        <f t="shared" si="77"/>
        <v>66800</v>
      </c>
      <c r="H1562" s="252">
        <f t="shared" si="77"/>
        <v>75150</v>
      </c>
      <c r="I1562" s="252">
        <f t="shared" si="77"/>
        <v>83500</v>
      </c>
      <c r="J1562" s="252">
        <f t="shared" si="77"/>
        <v>90200</v>
      </c>
      <c r="K1562" s="252">
        <f t="shared" si="77"/>
        <v>96900</v>
      </c>
      <c r="L1562" s="252">
        <f t="shared" si="77"/>
        <v>103550</v>
      </c>
      <c r="M1562" s="252">
        <f t="shared" si="77"/>
        <v>110250</v>
      </c>
    </row>
    <row r="1563" spans="1:13" ht="21.95" customHeight="1" x14ac:dyDescent="0.25">
      <c r="A1563" s="36" t="s">
        <v>2904</v>
      </c>
      <c r="B1563" s="36" t="str">
        <f t="shared" si="76"/>
        <v>ND_MCHENRY COUNTY, ND HUD METRO FMR AREA</v>
      </c>
      <c r="D1563" s="265" t="s">
        <v>72</v>
      </c>
      <c r="E1563" s="266" t="s">
        <v>9230</v>
      </c>
      <c r="F1563" s="252">
        <f t="shared" si="77"/>
        <v>58800</v>
      </c>
      <c r="G1563" s="252">
        <f t="shared" si="77"/>
        <v>67200</v>
      </c>
      <c r="H1563" s="252">
        <f t="shared" si="77"/>
        <v>75600</v>
      </c>
      <c r="I1563" s="252">
        <f t="shared" si="77"/>
        <v>84000</v>
      </c>
      <c r="J1563" s="252">
        <f t="shared" si="77"/>
        <v>90750</v>
      </c>
      <c r="K1563" s="252">
        <f t="shared" si="77"/>
        <v>97450</v>
      </c>
      <c r="L1563" s="252">
        <f t="shared" si="77"/>
        <v>104200</v>
      </c>
      <c r="M1563" s="252">
        <f t="shared" si="77"/>
        <v>110900</v>
      </c>
    </row>
    <row r="1564" spans="1:13" ht="21.95" customHeight="1" x14ac:dyDescent="0.25">
      <c r="A1564" s="36" t="s">
        <v>2904</v>
      </c>
      <c r="B1564" s="36" t="str">
        <f t="shared" si="76"/>
        <v>ND_MCINTOSH COUNTY, ND</v>
      </c>
      <c r="D1564" s="265" t="s">
        <v>72</v>
      </c>
      <c r="E1564" s="266" t="s">
        <v>4351</v>
      </c>
      <c r="F1564" s="252">
        <f t="shared" si="77"/>
        <v>58450</v>
      </c>
      <c r="G1564" s="252">
        <f t="shared" si="77"/>
        <v>66800</v>
      </c>
      <c r="H1564" s="252">
        <f t="shared" si="77"/>
        <v>75150</v>
      </c>
      <c r="I1564" s="252">
        <f t="shared" si="77"/>
        <v>83500</v>
      </c>
      <c r="J1564" s="252">
        <f t="shared" si="77"/>
        <v>90200</v>
      </c>
      <c r="K1564" s="252">
        <f t="shared" si="77"/>
        <v>96900</v>
      </c>
      <c r="L1564" s="252">
        <f t="shared" si="77"/>
        <v>103550</v>
      </c>
      <c r="M1564" s="252">
        <f t="shared" si="77"/>
        <v>110250</v>
      </c>
    </row>
    <row r="1565" spans="1:13" ht="21.95" customHeight="1" x14ac:dyDescent="0.25">
      <c r="A1565" s="36" t="s">
        <v>2904</v>
      </c>
      <c r="B1565" s="36" t="str">
        <f t="shared" si="76"/>
        <v>ND_MCKENZIE COUNTY, ND</v>
      </c>
      <c r="D1565" s="265" t="s">
        <v>72</v>
      </c>
      <c r="E1565" s="266" t="s">
        <v>4352</v>
      </c>
      <c r="F1565" s="252">
        <f t="shared" si="77"/>
        <v>66200</v>
      </c>
      <c r="G1565" s="252">
        <f t="shared" si="77"/>
        <v>75650</v>
      </c>
      <c r="H1565" s="252">
        <f t="shared" si="77"/>
        <v>85100</v>
      </c>
      <c r="I1565" s="252">
        <f t="shared" si="77"/>
        <v>94550</v>
      </c>
      <c r="J1565" s="252">
        <f t="shared" si="77"/>
        <v>102150</v>
      </c>
      <c r="K1565" s="252">
        <f t="shared" si="77"/>
        <v>109700</v>
      </c>
      <c r="L1565" s="252">
        <f t="shared" si="77"/>
        <v>117250</v>
      </c>
      <c r="M1565" s="252">
        <f t="shared" si="77"/>
        <v>124850</v>
      </c>
    </row>
    <row r="1566" spans="1:13" ht="21.95" customHeight="1" x14ac:dyDescent="0.25">
      <c r="A1566" s="36" t="s">
        <v>2904</v>
      </c>
      <c r="B1566" s="36" t="str">
        <f t="shared" si="76"/>
        <v>ND_MCLEAN COUNTY, ND</v>
      </c>
      <c r="D1566" s="265" t="s">
        <v>72</v>
      </c>
      <c r="E1566" s="266" t="s">
        <v>4353</v>
      </c>
      <c r="F1566" s="252">
        <f t="shared" si="77"/>
        <v>62100</v>
      </c>
      <c r="G1566" s="252">
        <f t="shared" si="77"/>
        <v>70950</v>
      </c>
      <c r="H1566" s="252">
        <f t="shared" si="77"/>
        <v>79800</v>
      </c>
      <c r="I1566" s="252">
        <f t="shared" si="77"/>
        <v>88650</v>
      </c>
      <c r="J1566" s="252">
        <f t="shared" si="77"/>
        <v>95750</v>
      </c>
      <c r="K1566" s="252">
        <f t="shared" si="77"/>
        <v>102850</v>
      </c>
      <c r="L1566" s="252">
        <f t="shared" si="77"/>
        <v>109950</v>
      </c>
      <c r="M1566" s="252">
        <f t="shared" si="77"/>
        <v>117050</v>
      </c>
    </row>
    <row r="1567" spans="1:13" ht="21.95" customHeight="1" x14ac:dyDescent="0.25">
      <c r="A1567" s="36" t="s">
        <v>2904</v>
      </c>
      <c r="B1567" s="36" t="str">
        <f t="shared" si="76"/>
        <v>ND_MERCER COUNTY, ND</v>
      </c>
      <c r="D1567" s="265" t="s">
        <v>72</v>
      </c>
      <c r="E1567" s="266" t="s">
        <v>4354</v>
      </c>
      <c r="F1567" s="252">
        <f t="shared" si="77"/>
        <v>62250</v>
      </c>
      <c r="G1567" s="252">
        <f t="shared" si="77"/>
        <v>71150</v>
      </c>
      <c r="H1567" s="252">
        <f t="shared" si="77"/>
        <v>80050</v>
      </c>
      <c r="I1567" s="252">
        <f t="shared" si="77"/>
        <v>88900</v>
      </c>
      <c r="J1567" s="252">
        <f t="shared" si="77"/>
        <v>96050</v>
      </c>
      <c r="K1567" s="252">
        <f t="shared" si="77"/>
        <v>103150</v>
      </c>
      <c r="L1567" s="252">
        <f t="shared" si="77"/>
        <v>110250</v>
      </c>
      <c r="M1567" s="252">
        <f t="shared" si="77"/>
        <v>117350</v>
      </c>
    </row>
    <row r="1568" spans="1:13" ht="21.95" customHeight="1" x14ac:dyDescent="0.25">
      <c r="A1568" s="36" t="s">
        <v>2904</v>
      </c>
      <c r="B1568" s="36" t="str">
        <f t="shared" si="76"/>
        <v>ND_MOUNTRAIL COUNTY, ND</v>
      </c>
      <c r="D1568" s="265" t="s">
        <v>72</v>
      </c>
      <c r="E1568" s="266" t="s">
        <v>4355</v>
      </c>
      <c r="F1568" s="252">
        <f t="shared" si="77"/>
        <v>59200</v>
      </c>
      <c r="G1568" s="252">
        <f t="shared" si="77"/>
        <v>67650</v>
      </c>
      <c r="H1568" s="252">
        <f t="shared" si="77"/>
        <v>76100</v>
      </c>
      <c r="I1568" s="252">
        <f t="shared" si="77"/>
        <v>84550</v>
      </c>
      <c r="J1568" s="252">
        <f t="shared" si="77"/>
        <v>91350</v>
      </c>
      <c r="K1568" s="252">
        <f t="shared" si="77"/>
        <v>98100</v>
      </c>
      <c r="L1568" s="252">
        <f t="shared" si="77"/>
        <v>104850</v>
      </c>
      <c r="M1568" s="252">
        <f t="shared" si="77"/>
        <v>111650</v>
      </c>
    </row>
    <row r="1569" spans="1:13" ht="21.95" customHeight="1" x14ac:dyDescent="0.25">
      <c r="A1569" s="36" t="s">
        <v>2904</v>
      </c>
      <c r="B1569" s="36" t="str">
        <f t="shared" si="76"/>
        <v>ND_NELSON COUNTY, ND</v>
      </c>
      <c r="D1569" s="265" t="s">
        <v>72</v>
      </c>
      <c r="E1569" s="266" t="s">
        <v>4356</v>
      </c>
      <c r="F1569" s="252">
        <f t="shared" si="77"/>
        <v>59150</v>
      </c>
      <c r="G1569" s="252">
        <f t="shared" si="77"/>
        <v>67600</v>
      </c>
      <c r="H1569" s="252">
        <f t="shared" si="77"/>
        <v>76050</v>
      </c>
      <c r="I1569" s="252">
        <f t="shared" si="77"/>
        <v>84500</v>
      </c>
      <c r="J1569" s="252">
        <f t="shared" si="77"/>
        <v>91300</v>
      </c>
      <c r="K1569" s="252">
        <f t="shared" si="77"/>
        <v>98050</v>
      </c>
      <c r="L1569" s="252">
        <f t="shared" si="77"/>
        <v>104800</v>
      </c>
      <c r="M1569" s="252">
        <f t="shared" si="77"/>
        <v>111550</v>
      </c>
    </row>
    <row r="1570" spans="1:13" ht="21.95" customHeight="1" x14ac:dyDescent="0.25">
      <c r="A1570" s="36" t="s">
        <v>2904</v>
      </c>
      <c r="B1570" s="36" t="str">
        <f t="shared" si="76"/>
        <v>ND_PEMBINA COUNTY, ND</v>
      </c>
      <c r="D1570" s="265" t="s">
        <v>72</v>
      </c>
      <c r="E1570" s="266" t="s">
        <v>4357</v>
      </c>
      <c r="F1570" s="252">
        <f t="shared" si="77"/>
        <v>58450</v>
      </c>
      <c r="G1570" s="252">
        <f t="shared" si="77"/>
        <v>66800</v>
      </c>
      <c r="H1570" s="252">
        <f t="shared" si="77"/>
        <v>75150</v>
      </c>
      <c r="I1570" s="252">
        <f t="shared" si="77"/>
        <v>83500</v>
      </c>
      <c r="J1570" s="252">
        <f t="shared" si="77"/>
        <v>90200</v>
      </c>
      <c r="K1570" s="252">
        <f t="shared" si="77"/>
        <v>96900</v>
      </c>
      <c r="L1570" s="252">
        <f t="shared" si="77"/>
        <v>103550</v>
      </c>
      <c r="M1570" s="252">
        <f t="shared" si="77"/>
        <v>110250</v>
      </c>
    </row>
    <row r="1571" spans="1:13" ht="21.95" customHeight="1" x14ac:dyDescent="0.25">
      <c r="A1571" s="36" t="s">
        <v>2904</v>
      </c>
      <c r="B1571" s="36" t="str">
        <f t="shared" si="76"/>
        <v>ND_PIERCE COUNTY, ND</v>
      </c>
      <c r="D1571" s="265" t="s">
        <v>72</v>
      </c>
      <c r="E1571" s="266" t="s">
        <v>4358</v>
      </c>
      <c r="F1571" s="252">
        <f t="shared" si="77"/>
        <v>58450</v>
      </c>
      <c r="G1571" s="252">
        <f t="shared" si="77"/>
        <v>66800</v>
      </c>
      <c r="H1571" s="252">
        <f t="shared" si="77"/>
        <v>75150</v>
      </c>
      <c r="I1571" s="252">
        <f t="shared" si="77"/>
        <v>83500</v>
      </c>
      <c r="J1571" s="252">
        <f t="shared" si="77"/>
        <v>90200</v>
      </c>
      <c r="K1571" s="252">
        <f t="shared" si="77"/>
        <v>96900</v>
      </c>
      <c r="L1571" s="252">
        <f t="shared" si="77"/>
        <v>103550</v>
      </c>
      <c r="M1571" s="252">
        <f t="shared" si="77"/>
        <v>110250</v>
      </c>
    </row>
    <row r="1572" spans="1:13" ht="21.95" customHeight="1" x14ac:dyDescent="0.25">
      <c r="A1572" s="36" t="s">
        <v>2904</v>
      </c>
      <c r="B1572" s="36" t="str">
        <f t="shared" si="76"/>
        <v>ND_RAMSEY COUNTY, ND</v>
      </c>
      <c r="D1572" s="265" t="s">
        <v>72</v>
      </c>
      <c r="E1572" s="266" t="s">
        <v>4359</v>
      </c>
      <c r="F1572" s="252">
        <f t="shared" si="77"/>
        <v>58450</v>
      </c>
      <c r="G1572" s="252">
        <f t="shared" ref="F1572:M1603" si="78">VLOOKUP($B1572,LOOKUP_AMI_TABLE,5+((G$7-1)),FALSE)</f>
        <v>66800</v>
      </c>
      <c r="H1572" s="252">
        <f t="shared" si="78"/>
        <v>75150</v>
      </c>
      <c r="I1572" s="252">
        <f t="shared" si="78"/>
        <v>83500</v>
      </c>
      <c r="J1572" s="252">
        <f t="shared" si="78"/>
        <v>90200</v>
      </c>
      <c r="K1572" s="252">
        <f t="shared" si="78"/>
        <v>96900</v>
      </c>
      <c r="L1572" s="252">
        <f t="shared" si="78"/>
        <v>103550</v>
      </c>
      <c r="M1572" s="252">
        <f t="shared" si="78"/>
        <v>110250</v>
      </c>
    </row>
    <row r="1573" spans="1:13" ht="21.95" customHeight="1" x14ac:dyDescent="0.25">
      <c r="A1573" s="36" t="s">
        <v>2904</v>
      </c>
      <c r="B1573" s="36" t="str">
        <f t="shared" si="76"/>
        <v>ND_RANSOM COUNTY, ND</v>
      </c>
      <c r="D1573" s="265" t="s">
        <v>72</v>
      </c>
      <c r="E1573" s="266" t="s">
        <v>4360</v>
      </c>
      <c r="F1573" s="252">
        <f t="shared" si="78"/>
        <v>58450</v>
      </c>
      <c r="G1573" s="252">
        <f t="shared" si="78"/>
        <v>66800</v>
      </c>
      <c r="H1573" s="252">
        <f t="shared" si="78"/>
        <v>75150</v>
      </c>
      <c r="I1573" s="252">
        <f t="shared" si="78"/>
        <v>83500</v>
      </c>
      <c r="J1573" s="252">
        <f t="shared" si="78"/>
        <v>90200</v>
      </c>
      <c r="K1573" s="252">
        <f t="shared" si="78"/>
        <v>96900</v>
      </c>
      <c r="L1573" s="252">
        <f t="shared" si="78"/>
        <v>103550</v>
      </c>
      <c r="M1573" s="252">
        <f t="shared" si="78"/>
        <v>110250</v>
      </c>
    </row>
    <row r="1574" spans="1:13" ht="21.95" customHeight="1" x14ac:dyDescent="0.25">
      <c r="A1574" s="36" t="s">
        <v>2904</v>
      </c>
      <c r="B1574" s="36" t="str">
        <f t="shared" si="76"/>
        <v>ND_RENVILLE COUNTY, ND HUD METRO FMR AREA</v>
      </c>
      <c r="D1574" s="265" t="s">
        <v>72</v>
      </c>
      <c r="E1574" s="266" t="s">
        <v>9231</v>
      </c>
      <c r="F1574" s="252">
        <f t="shared" si="78"/>
        <v>58450</v>
      </c>
      <c r="G1574" s="252">
        <f t="shared" si="78"/>
        <v>66800</v>
      </c>
      <c r="H1574" s="252">
        <f t="shared" si="78"/>
        <v>75150</v>
      </c>
      <c r="I1574" s="252">
        <f t="shared" si="78"/>
        <v>83500</v>
      </c>
      <c r="J1574" s="252">
        <f t="shared" si="78"/>
        <v>90200</v>
      </c>
      <c r="K1574" s="252">
        <f t="shared" si="78"/>
        <v>96900</v>
      </c>
      <c r="L1574" s="252">
        <f t="shared" si="78"/>
        <v>103550</v>
      </c>
      <c r="M1574" s="252">
        <f t="shared" si="78"/>
        <v>110250</v>
      </c>
    </row>
    <row r="1575" spans="1:13" ht="21.95" customHeight="1" x14ac:dyDescent="0.25">
      <c r="A1575" s="36" t="s">
        <v>2904</v>
      </c>
      <c r="B1575" s="36" t="str">
        <f t="shared" si="76"/>
        <v>ND_RICHLAND COUNTY, ND</v>
      </c>
      <c r="D1575" s="265" t="s">
        <v>72</v>
      </c>
      <c r="E1575" s="266" t="s">
        <v>4361</v>
      </c>
      <c r="F1575" s="252">
        <f t="shared" si="78"/>
        <v>61700</v>
      </c>
      <c r="G1575" s="252">
        <f t="shared" si="78"/>
        <v>70500</v>
      </c>
      <c r="H1575" s="252">
        <f t="shared" si="78"/>
        <v>79300</v>
      </c>
      <c r="I1575" s="252">
        <f t="shared" si="78"/>
        <v>88100</v>
      </c>
      <c r="J1575" s="252">
        <f t="shared" si="78"/>
        <v>95150</v>
      </c>
      <c r="K1575" s="252">
        <f t="shared" si="78"/>
        <v>102200</v>
      </c>
      <c r="L1575" s="252">
        <f t="shared" si="78"/>
        <v>109250</v>
      </c>
      <c r="M1575" s="252">
        <f t="shared" si="78"/>
        <v>116300</v>
      </c>
    </row>
    <row r="1576" spans="1:13" ht="21.95" customHeight="1" x14ac:dyDescent="0.25">
      <c r="A1576" s="36" t="s">
        <v>2904</v>
      </c>
      <c r="B1576" s="36" t="str">
        <f t="shared" si="76"/>
        <v>ND_ROLETTE COUNTY, ND</v>
      </c>
      <c r="D1576" s="265" t="s">
        <v>72</v>
      </c>
      <c r="E1576" s="266" t="s">
        <v>4362</v>
      </c>
      <c r="F1576" s="252">
        <f t="shared" si="78"/>
        <v>58450</v>
      </c>
      <c r="G1576" s="252">
        <f t="shared" si="78"/>
        <v>66800</v>
      </c>
      <c r="H1576" s="252">
        <f t="shared" si="78"/>
        <v>75150</v>
      </c>
      <c r="I1576" s="252">
        <f t="shared" si="78"/>
        <v>83500</v>
      </c>
      <c r="J1576" s="252">
        <f t="shared" si="78"/>
        <v>90200</v>
      </c>
      <c r="K1576" s="252">
        <f t="shared" si="78"/>
        <v>96900</v>
      </c>
      <c r="L1576" s="252">
        <f t="shared" si="78"/>
        <v>103550</v>
      </c>
      <c r="M1576" s="252">
        <f t="shared" si="78"/>
        <v>110250</v>
      </c>
    </row>
    <row r="1577" spans="1:13" ht="21.95" customHeight="1" x14ac:dyDescent="0.25">
      <c r="A1577" s="36" t="s">
        <v>2904</v>
      </c>
      <c r="B1577" s="36" t="str">
        <f t="shared" si="76"/>
        <v>ND_SARGENT COUNTY, ND</v>
      </c>
      <c r="D1577" s="265" t="s">
        <v>72</v>
      </c>
      <c r="E1577" s="266" t="s">
        <v>4363</v>
      </c>
      <c r="F1577" s="252">
        <f t="shared" si="78"/>
        <v>58700</v>
      </c>
      <c r="G1577" s="252">
        <f t="shared" si="78"/>
        <v>67100</v>
      </c>
      <c r="H1577" s="252">
        <f t="shared" si="78"/>
        <v>75500</v>
      </c>
      <c r="I1577" s="252">
        <f t="shared" si="78"/>
        <v>83850</v>
      </c>
      <c r="J1577" s="252">
        <f t="shared" si="78"/>
        <v>90600</v>
      </c>
      <c r="K1577" s="252">
        <f t="shared" si="78"/>
        <v>97300</v>
      </c>
      <c r="L1577" s="252">
        <f t="shared" si="78"/>
        <v>104000</v>
      </c>
      <c r="M1577" s="252">
        <f t="shared" si="78"/>
        <v>110700</v>
      </c>
    </row>
    <row r="1578" spans="1:13" ht="21.95" customHeight="1" x14ac:dyDescent="0.25">
      <c r="A1578" s="36" t="s">
        <v>2904</v>
      </c>
      <c r="B1578" s="36" t="str">
        <f t="shared" si="76"/>
        <v>ND_SHERIDAN COUNTY, ND</v>
      </c>
      <c r="D1578" s="265" t="s">
        <v>72</v>
      </c>
      <c r="E1578" s="266" t="s">
        <v>4364</v>
      </c>
      <c r="F1578" s="252">
        <f t="shared" si="78"/>
        <v>58450</v>
      </c>
      <c r="G1578" s="252">
        <f t="shared" si="78"/>
        <v>66800</v>
      </c>
      <c r="H1578" s="252">
        <f t="shared" si="78"/>
        <v>75150</v>
      </c>
      <c r="I1578" s="252">
        <f t="shared" si="78"/>
        <v>83500</v>
      </c>
      <c r="J1578" s="252">
        <f t="shared" si="78"/>
        <v>90200</v>
      </c>
      <c r="K1578" s="252">
        <f t="shared" si="78"/>
        <v>96900</v>
      </c>
      <c r="L1578" s="252">
        <f t="shared" si="78"/>
        <v>103550</v>
      </c>
      <c r="M1578" s="252">
        <f t="shared" si="78"/>
        <v>110250</v>
      </c>
    </row>
    <row r="1579" spans="1:13" ht="21.95" customHeight="1" x14ac:dyDescent="0.25">
      <c r="A1579" s="36" t="s">
        <v>2904</v>
      </c>
      <c r="B1579" s="36" t="str">
        <f t="shared" si="76"/>
        <v>ND_SIOUX COUNTY, ND</v>
      </c>
      <c r="D1579" s="265" t="s">
        <v>72</v>
      </c>
      <c r="E1579" s="266" t="s">
        <v>4365</v>
      </c>
      <c r="F1579" s="252">
        <f t="shared" si="78"/>
        <v>58450</v>
      </c>
      <c r="G1579" s="252">
        <f t="shared" si="78"/>
        <v>66800</v>
      </c>
      <c r="H1579" s="252">
        <f t="shared" si="78"/>
        <v>75150</v>
      </c>
      <c r="I1579" s="252">
        <f t="shared" si="78"/>
        <v>83500</v>
      </c>
      <c r="J1579" s="252">
        <f t="shared" si="78"/>
        <v>90200</v>
      </c>
      <c r="K1579" s="252">
        <f t="shared" si="78"/>
        <v>96900</v>
      </c>
      <c r="L1579" s="252">
        <f t="shared" si="78"/>
        <v>103550</v>
      </c>
      <c r="M1579" s="252">
        <f t="shared" si="78"/>
        <v>110250</v>
      </c>
    </row>
    <row r="1580" spans="1:13" ht="21.95" customHeight="1" x14ac:dyDescent="0.25">
      <c r="A1580" s="36" t="s">
        <v>2904</v>
      </c>
      <c r="B1580" s="36" t="str">
        <f t="shared" si="76"/>
        <v>ND_SLOPE COUNTY, ND</v>
      </c>
      <c r="D1580" s="265" t="s">
        <v>72</v>
      </c>
      <c r="E1580" s="266" t="s">
        <v>4366</v>
      </c>
      <c r="F1580" s="252">
        <f t="shared" si="78"/>
        <v>58450</v>
      </c>
      <c r="G1580" s="252">
        <f t="shared" si="78"/>
        <v>66800</v>
      </c>
      <c r="H1580" s="252">
        <f t="shared" si="78"/>
        <v>75150</v>
      </c>
      <c r="I1580" s="252">
        <f t="shared" si="78"/>
        <v>83500</v>
      </c>
      <c r="J1580" s="252">
        <f t="shared" si="78"/>
        <v>90200</v>
      </c>
      <c r="K1580" s="252">
        <f t="shared" si="78"/>
        <v>96900</v>
      </c>
      <c r="L1580" s="252">
        <f t="shared" si="78"/>
        <v>103550</v>
      </c>
      <c r="M1580" s="252">
        <f t="shared" si="78"/>
        <v>110250</v>
      </c>
    </row>
    <row r="1581" spans="1:13" ht="21.95" customHeight="1" x14ac:dyDescent="0.25">
      <c r="A1581" s="36" t="s">
        <v>2904</v>
      </c>
      <c r="B1581" s="36" t="str">
        <f t="shared" si="76"/>
        <v>ND_STARK COUNTY, ND</v>
      </c>
      <c r="D1581" s="265" t="s">
        <v>72</v>
      </c>
      <c r="E1581" s="266" t="s">
        <v>4367</v>
      </c>
      <c r="F1581" s="252">
        <f t="shared" si="78"/>
        <v>61250</v>
      </c>
      <c r="G1581" s="252">
        <f t="shared" si="78"/>
        <v>70000</v>
      </c>
      <c r="H1581" s="252">
        <f t="shared" si="78"/>
        <v>78750</v>
      </c>
      <c r="I1581" s="252">
        <f t="shared" si="78"/>
        <v>87450</v>
      </c>
      <c r="J1581" s="252">
        <f t="shared" si="78"/>
        <v>94450</v>
      </c>
      <c r="K1581" s="252">
        <f t="shared" si="78"/>
        <v>101450</v>
      </c>
      <c r="L1581" s="252">
        <f t="shared" si="78"/>
        <v>108450</v>
      </c>
      <c r="M1581" s="252">
        <f t="shared" si="78"/>
        <v>115450</v>
      </c>
    </row>
    <row r="1582" spans="1:13" ht="21.95" customHeight="1" x14ac:dyDescent="0.25">
      <c r="A1582" s="36" t="s">
        <v>2904</v>
      </c>
      <c r="B1582" s="36" t="str">
        <f t="shared" si="76"/>
        <v>ND_STEELE COUNTY, ND</v>
      </c>
      <c r="D1582" s="265" t="s">
        <v>72</v>
      </c>
      <c r="E1582" s="266" t="s">
        <v>4368</v>
      </c>
      <c r="F1582" s="252">
        <f t="shared" si="78"/>
        <v>62200</v>
      </c>
      <c r="G1582" s="252">
        <f t="shared" si="78"/>
        <v>71050</v>
      </c>
      <c r="H1582" s="252">
        <f t="shared" si="78"/>
        <v>79950</v>
      </c>
      <c r="I1582" s="252">
        <f t="shared" si="78"/>
        <v>88800</v>
      </c>
      <c r="J1582" s="252">
        <f t="shared" si="78"/>
        <v>95950</v>
      </c>
      <c r="K1582" s="252">
        <f t="shared" si="78"/>
        <v>103050</v>
      </c>
      <c r="L1582" s="252">
        <f t="shared" si="78"/>
        <v>110150</v>
      </c>
      <c r="M1582" s="252">
        <f t="shared" si="78"/>
        <v>117250</v>
      </c>
    </row>
    <row r="1583" spans="1:13" ht="21.95" customHeight="1" x14ac:dyDescent="0.25">
      <c r="A1583" s="36" t="s">
        <v>2904</v>
      </c>
      <c r="B1583" s="36" t="str">
        <f t="shared" si="76"/>
        <v>ND_STUTSMAN COUNTY, ND</v>
      </c>
      <c r="D1583" s="265" t="s">
        <v>72</v>
      </c>
      <c r="E1583" s="266" t="s">
        <v>4369</v>
      </c>
      <c r="F1583" s="252">
        <f t="shared" si="78"/>
        <v>62100</v>
      </c>
      <c r="G1583" s="252">
        <f t="shared" si="78"/>
        <v>70950</v>
      </c>
      <c r="H1583" s="252">
        <f t="shared" si="78"/>
        <v>79800</v>
      </c>
      <c r="I1583" s="252">
        <f t="shared" si="78"/>
        <v>88650</v>
      </c>
      <c r="J1583" s="252">
        <f t="shared" si="78"/>
        <v>95750</v>
      </c>
      <c r="K1583" s="252">
        <f t="shared" si="78"/>
        <v>102850</v>
      </c>
      <c r="L1583" s="252">
        <f t="shared" si="78"/>
        <v>109950</v>
      </c>
      <c r="M1583" s="252">
        <f t="shared" si="78"/>
        <v>117050</v>
      </c>
    </row>
    <row r="1584" spans="1:13" ht="21.95" customHeight="1" x14ac:dyDescent="0.25">
      <c r="A1584" s="36" t="s">
        <v>2904</v>
      </c>
      <c r="B1584" s="36" t="str">
        <f t="shared" si="76"/>
        <v>ND_TOWNER COUNTY, ND</v>
      </c>
      <c r="D1584" s="265" t="s">
        <v>72</v>
      </c>
      <c r="E1584" s="266" t="s">
        <v>4370</v>
      </c>
      <c r="F1584" s="252">
        <f t="shared" si="78"/>
        <v>58450</v>
      </c>
      <c r="G1584" s="252">
        <f t="shared" si="78"/>
        <v>66800</v>
      </c>
      <c r="H1584" s="252">
        <f t="shared" si="78"/>
        <v>75150</v>
      </c>
      <c r="I1584" s="252">
        <f t="shared" si="78"/>
        <v>83500</v>
      </c>
      <c r="J1584" s="252">
        <f t="shared" si="78"/>
        <v>90200</v>
      </c>
      <c r="K1584" s="252">
        <f t="shared" si="78"/>
        <v>96900</v>
      </c>
      <c r="L1584" s="252">
        <f t="shared" si="78"/>
        <v>103550</v>
      </c>
      <c r="M1584" s="252">
        <f t="shared" si="78"/>
        <v>110250</v>
      </c>
    </row>
    <row r="1585" spans="1:13" ht="21.95" customHeight="1" x14ac:dyDescent="0.25">
      <c r="A1585" s="36" t="s">
        <v>2904</v>
      </c>
      <c r="B1585" s="36" t="str">
        <f t="shared" si="76"/>
        <v>ND_TRAILL COUNTY, ND</v>
      </c>
      <c r="D1585" s="265" t="s">
        <v>72</v>
      </c>
      <c r="E1585" s="266" t="s">
        <v>4371</v>
      </c>
      <c r="F1585" s="252">
        <f t="shared" si="78"/>
        <v>68250</v>
      </c>
      <c r="G1585" s="252">
        <f t="shared" si="78"/>
        <v>78000</v>
      </c>
      <c r="H1585" s="252">
        <f t="shared" si="78"/>
        <v>87750</v>
      </c>
      <c r="I1585" s="252">
        <f t="shared" si="78"/>
        <v>97500</v>
      </c>
      <c r="J1585" s="252">
        <f t="shared" si="78"/>
        <v>105300</v>
      </c>
      <c r="K1585" s="252">
        <f t="shared" si="78"/>
        <v>113100</v>
      </c>
      <c r="L1585" s="252">
        <f t="shared" si="78"/>
        <v>120900</v>
      </c>
      <c r="M1585" s="252">
        <f t="shared" si="78"/>
        <v>128700</v>
      </c>
    </row>
    <row r="1586" spans="1:13" ht="21.95" customHeight="1" x14ac:dyDescent="0.25">
      <c r="A1586" s="36" t="s">
        <v>2904</v>
      </c>
      <c r="B1586" s="36" t="str">
        <f t="shared" si="76"/>
        <v>ND_WALSH COUNTY, ND</v>
      </c>
      <c r="D1586" s="265" t="s">
        <v>72</v>
      </c>
      <c r="E1586" s="266" t="s">
        <v>4372</v>
      </c>
      <c r="F1586" s="252">
        <f t="shared" si="78"/>
        <v>58450</v>
      </c>
      <c r="G1586" s="252">
        <f t="shared" si="78"/>
        <v>66800</v>
      </c>
      <c r="H1586" s="252">
        <f t="shared" si="78"/>
        <v>75150</v>
      </c>
      <c r="I1586" s="252">
        <f t="shared" si="78"/>
        <v>83500</v>
      </c>
      <c r="J1586" s="252">
        <f t="shared" si="78"/>
        <v>90200</v>
      </c>
      <c r="K1586" s="252">
        <f t="shared" si="78"/>
        <v>96900</v>
      </c>
      <c r="L1586" s="252">
        <f t="shared" si="78"/>
        <v>103550</v>
      </c>
      <c r="M1586" s="252">
        <f t="shared" si="78"/>
        <v>110250</v>
      </c>
    </row>
    <row r="1587" spans="1:13" ht="21.95" customHeight="1" x14ac:dyDescent="0.25">
      <c r="A1587" s="36" t="s">
        <v>2904</v>
      </c>
      <c r="B1587" s="36" t="str">
        <f t="shared" si="76"/>
        <v>ND_WARD COUNTY, ND HUD METRO FMR AREA</v>
      </c>
      <c r="D1587" s="265" t="s">
        <v>72</v>
      </c>
      <c r="E1587" s="266" t="s">
        <v>9232</v>
      </c>
      <c r="F1587" s="252">
        <f t="shared" si="78"/>
        <v>62900</v>
      </c>
      <c r="G1587" s="252">
        <f t="shared" si="78"/>
        <v>71900</v>
      </c>
      <c r="H1587" s="252">
        <f t="shared" si="78"/>
        <v>80900</v>
      </c>
      <c r="I1587" s="252">
        <f t="shared" si="78"/>
        <v>89850</v>
      </c>
      <c r="J1587" s="252">
        <f t="shared" si="78"/>
        <v>97050</v>
      </c>
      <c r="K1587" s="252">
        <f t="shared" si="78"/>
        <v>104250</v>
      </c>
      <c r="L1587" s="252">
        <f t="shared" si="78"/>
        <v>111450</v>
      </c>
      <c r="M1587" s="252">
        <f t="shared" si="78"/>
        <v>118650</v>
      </c>
    </row>
    <row r="1588" spans="1:13" ht="21.95" customHeight="1" x14ac:dyDescent="0.25">
      <c r="A1588" s="36" t="s">
        <v>2904</v>
      </c>
      <c r="B1588" s="36" t="str">
        <f t="shared" si="76"/>
        <v>ND_WELLS COUNTY, ND</v>
      </c>
      <c r="D1588" s="265" t="s">
        <v>72</v>
      </c>
      <c r="E1588" s="266" t="s">
        <v>4373</v>
      </c>
      <c r="F1588" s="252">
        <f t="shared" si="78"/>
        <v>58450</v>
      </c>
      <c r="G1588" s="252">
        <f t="shared" si="78"/>
        <v>66800</v>
      </c>
      <c r="H1588" s="252">
        <f t="shared" si="78"/>
        <v>75150</v>
      </c>
      <c r="I1588" s="252">
        <f t="shared" si="78"/>
        <v>83500</v>
      </c>
      <c r="J1588" s="252">
        <f t="shared" si="78"/>
        <v>90200</v>
      </c>
      <c r="K1588" s="252">
        <f t="shared" si="78"/>
        <v>96900</v>
      </c>
      <c r="L1588" s="252">
        <f t="shared" si="78"/>
        <v>103550</v>
      </c>
      <c r="M1588" s="252">
        <f t="shared" si="78"/>
        <v>110250</v>
      </c>
    </row>
    <row r="1589" spans="1:13" ht="21.95" customHeight="1" x14ac:dyDescent="0.25">
      <c r="A1589" s="36" t="s">
        <v>2904</v>
      </c>
      <c r="B1589" s="36" t="str">
        <f t="shared" si="76"/>
        <v>ND_WILLIAMS COUNTY, ND</v>
      </c>
      <c r="D1589" s="265" t="s">
        <v>72</v>
      </c>
      <c r="E1589" s="266" t="s">
        <v>4374</v>
      </c>
      <c r="F1589" s="252">
        <f t="shared" si="78"/>
        <v>63300</v>
      </c>
      <c r="G1589" s="252">
        <f t="shared" si="78"/>
        <v>72350</v>
      </c>
      <c r="H1589" s="252">
        <f t="shared" si="78"/>
        <v>81400</v>
      </c>
      <c r="I1589" s="252">
        <f t="shared" si="78"/>
        <v>90400</v>
      </c>
      <c r="J1589" s="252">
        <f t="shared" si="78"/>
        <v>97650</v>
      </c>
      <c r="K1589" s="252">
        <f t="shared" si="78"/>
        <v>104900</v>
      </c>
      <c r="L1589" s="252">
        <f t="shared" si="78"/>
        <v>112100</v>
      </c>
      <c r="M1589" s="252">
        <f t="shared" si="78"/>
        <v>119350</v>
      </c>
    </row>
    <row r="1590" spans="1:13" ht="21.95" customHeight="1" x14ac:dyDescent="0.25">
      <c r="A1590" s="36" t="s">
        <v>2904</v>
      </c>
      <c r="B1590" s="36" t="str">
        <f t="shared" si="76"/>
        <v>NE_ADAMS COUNTY, NE</v>
      </c>
      <c r="D1590" s="265" t="s">
        <v>78</v>
      </c>
      <c r="E1590" s="266" t="s">
        <v>4375</v>
      </c>
      <c r="F1590" s="252">
        <f t="shared" si="78"/>
        <v>51750</v>
      </c>
      <c r="G1590" s="252">
        <f t="shared" si="78"/>
        <v>59150</v>
      </c>
      <c r="H1590" s="252">
        <f t="shared" si="78"/>
        <v>66550</v>
      </c>
      <c r="I1590" s="252">
        <f t="shared" si="78"/>
        <v>73900</v>
      </c>
      <c r="J1590" s="252">
        <f t="shared" si="78"/>
        <v>79850</v>
      </c>
      <c r="K1590" s="252">
        <f t="shared" si="78"/>
        <v>85750</v>
      </c>
      <c r="L1590" s="252">
        <f t="shared" si="78"/>
        <v>91650</v>
      </c>
      <c r="M1590" s="252">
        <f t="shared" si="78"/>
        <v>97550</v>
      </c>
    </row>
    <row r="1591" spans="1:13" ht="21.95" customHeight="1" x14ac:dyDescent="0.25">
      <c r="A1591" s="36" t="s">
        <v>2904</v>
      </c>
      <c r="B1591" s="36" t="str">
        <f t="shared" si="76"/>
        <v>NE_ANTELOPE COUNTY, NE</v>
      </c>
      <c r="D1591" s="265" t="s">
        <v>78</v>
      </c>
      <c r="E1591" s="266" t="s">
        <v>4376</v>
      </c>
      <c r="F1591" s="252">
        <f t="shared" si="78"/>
        <v>50600</v>
      </c>
      <c r="G1591" s="252">
        <f t="shared" si="78"/>
        <v>57800</v>
      </c>
      <c r="H1591" s="252">
        <f t="shared" si="78"/>
        <v>65050</v>
      </c>
      <c r="I1591" s="252">
        <f t="shared" si="78"/>
        <v>72250</v>
      </c>
      <c r="J1591" s="252">
        <f t="shared" si="78"/>
        <v>78050</v>
      </c>
      <c r="K1591" s="252">
        <f t="shared" si="78"/>
        <v>83850</v>
      </c>
      <c r="L1591" s="252">
        <f t="shared" si="78"/>
        <v>89600</v>
      </c>
      <c r="M1591" s="252">
        <f t="shared" si="78"/>
        <v>95400</v>
      </c>
    </row>
    <row r="1592" spans="1:13" ht="21.95" customHeight="1" x14ac:dyDescent="0.25">
      <c r="A1592" s="36" t="s">
        <v>2904</v>
      </c>
      <c r="B1592" s="36" t="str">
        <f t="shared" si="76"/>
        <v>NE_ARTHUR COUNTY, NE</v>
      </c>
      <c r="D1592" s="265" t="s">
        <v>78</v>
      </c>
      <c r="E1592" s="266" t="s">
        <v>4377</v>
      </c>
      <c r="F1592" s="252">
        <f t="shared" si="78"/>
        <v>55950</v>
      </c>
      <c r="G1592" s="252">
        <f t="shared" si="78"/>
        <v>63950</v>
      </c>
      <c r="H1592" s="252">
        <f t="shared" si="78"/>
        <v>71950</v>
      </c>
      <c r="I1592" s="252">
        <f t="shared" si="78"/>
        <v>79900</v>
      </c>
      <c r="J1592" s="252">
        <f t="shared" si="78"/>
        <v>86300</v>
      </c>
      <c r="K1592" s="252">
        <f t="shared" si="78"/>
        <v>92700</v>
      </c>
      <c r="L1592" s="252">
        <f t="shared" si="78"/>
        <v>99100</v>
      </c>
      <c r="M1592" s="252">
        <f t="shared" si="78"/>
        <v>105500</v>
      </c>
    </row>
    <row r="1593" spans="1:13" ht="21.95" customHeight="1" x14ac:dyDescent="0.25">
      <c r="A1593" s="36" t="s">
        <v>2904</v>
      </c>
      <c r="B1593" s="36" t="str">
        <f t="shared" si="76"/>
        <v>NE_BANNER COUNTY, NE</v>
      </c>
      <c r="D1593" s="265" t="s">
        <v>78</v>
      </c>
      <c r="E1593" s="266" t="s">
        <v>4378</v>
      </c>
      <c r="F1593" s="252">
        <f t="shared" si="78"/>
        <v>50600</v>
      </c>
      <c r="G1593" s="252">
        <f t="shared" si="78"/>
        <v>57800</v>
      </c>
      <c r="H1593" s="252">
        <f t="shared" si="78"/>
        <v>65050</v>
      </c>
      <c r="I1593" s="252">
        <f t="shared" si="78"/>
        <v>72250</v>
      </c>
      <c r="J1593" s="252">
        <f t="shared" si="78"/>
        <v>78050</v>
      </c>
      <c r="K1593" s="252">
        <f t="shared" si="78"/>
        <v>83850</v>
      </c>
      <c r="L1593" s="252">
        <f t="shared" si="78"/>
        <v>89600</v>
      </c>
      <c r="M1593" s="252">
        <f t="shared" si="78"/>
        <v>95400</v>
      </c>
    </row>
    <row r="1594" spans="1:13" ht="21.95" customHeight="1" x14ac:dyDescent="0.25">
      <c r="A1594" s="36" t="s">
        <v>2904</v>
      </c>
      <c r="B1594" s="36" t="str">
        <f t="shared" si="76"/>
        <v>NE_BLAINE COUNTY, NE</v>
      </c>
      <c r="D1594" s="265" t="s">
        <v>78</v>
      </c>
      <c r="E1594" s="266" t="s">
        <v>4379</v>
      </c>
      <c r="F1594" s="252">
        <f t="shared" si="78"/>
        <v>50600</v>
      </c>
      <c r="G1594" s="252">
        <f t="shared" si="78"/>
        <v>57800</v>
      </c>
      <c r="H1594" s="252">
        <f t="shared" si="78"/>
        <v>65050</v>
      </c>
      <c r="I1594" s="252">
        <f t="shared" si="78"/>
        <v>72250</v>
      </c>
      <c r="J1594" s="252">
        <f t="shared" si="78"/>
        <v>78050</v>
      </c>
      <c r="K1594" s="252">
        <f t="shared" si="78"/>
        <v>83850</v>
      </c>
      <c r="L1594" s="252">
        <f t="shared" si="78"/>
        <v>89600</v>
      </c>
      <c r="M1594" s="252">
        <f t="shared" si="78"/>
        <v>95400</v>
      </c>
    </row>
    <row r="1595" spans="1:13" ht="21.95" customHeight="1" x14ac:dyDescent="0.25">
      <c r="A1595" s="36" t="s">
        <v>2904</v>
      </c>
      <c r="B1595" s="36" t="str">
        <f t="shared" si="76"/>
        <v>NE_BOONE COUNTY, NE</v>
      </c>
      <c r="D1595" s="265" t="s">
        <v>78</v>
      </c>
      <c r="E1595" s="266" t="s">
        <v>4380</v>
      </c>
      <c r="F1595" s="252">
        <f t="shared" si="78"/>
        <v>52850</v>
      </c>
      <c r="G1595" s="252">
        <f t="shared" si="78"/>
        <v>60400</v>
      </c>
      <c r="H1595" s="252">
        <f t="shared" si="78"/>
        <v>67950</v>
      </c>
      <c r="I1595" s="252">
        <f t="shared" si="78"/>
        <v>75450</v>
      </c>
      <c r="J1595" s="252">
        <f t="shared" si="78"/>
        <v>81500</v>
      </c>
      <c r="K1595" s="252">
        <f t="shared" si="78"/>
        <v>87550</v>
      </c>
      <c r="L1595" s="252">
        <f t="shared" si="78"/>
        <v>93600</v>
      </c>
      <c r="M1595" s="252">
        <f t="shared" si="78"/>
        <v>99600</v>
      </c>
    </row>
    <row r="1596" spans="1:13" ht="21.95" customHeight="1" x14ac:dyDescent="0.25">
      <c r="A1596" s="36" t="s">
        <v>2904</v>
      </c>
      <c r="B1596" s="36" t="str">
        <f t="shared" ref="B1596:B1659" si="79">UPPER(TRIM(D1596)&amp;"_"&amp;TRIM(E1596))</f>
        <v>NE_BOX BUTTE COUNTY, NE</v>
      </c>
      <c r="D1596" s="265" t="s">
        <v>78</v>
      </c>
      <c r="E1596" s="266" t="s">
        <v>4381</v>
      </c>
      <c r="F1596" s="252">
        <f t="shared" si="78"/>
        <v>50600</v>
      </c>
      <c r="G1596" s="252">
        <f t="shared" si="78"/>
        <v>57800</v>
      </c>
      <c r="H1596" s="252">
        <f t="shared" si="78"/>
        <v>65050</v>
      </c>
      <c r="I1596" s="252">
        <f t="shared" si="78"/>
        <v>72250</v>
      </c>
      <c r="J1596" s="252">
        <f t="shared" si="78"/>
        <v>78050</v>
      </c>
      <c r="K1596" s="252">
        <f t="shared" si="78"/>
        <v>83850</v>
      </c>
      <c r="L1596" s="252">
        <f t="shared" si="78"/>
        <v>89600</v>
      </c>
      <c r="M1596" s="252">
        <f t="shared" si="78"/>
        <v>95400</v>
      </c>
    </row>
    <row r="1597" spans="1:13" ht="21.95" customHeight="1" x14ac:dyDescent="0.25">
      <c r="A1597" s="36" t="s">
        <v>2904</v>
      </c>
      <c r="B1597" s="36" t="str">
        <f t="shared" si="79"/>
        <v>NE_BOYD COUNTY, NE</v>
      </c>
      <c r="D1597" s="265" t="s">
        <v>78</v>
      </c>
      <c r="E1597" s="266" t="s">
        <v>4382</v>
      </c>
      <c r="F1597" s="252">
        <f t="shared" si="78"/>
        <v>52950</v>
      </c>
      <c r="G1597" s="252">
        <f t="shared" si="78"/>
        <v>60500</v>
      </c>
      <c r="H1597" s="252">
        <f t="shared" si="78"/>
        <v>68050</v>
      </c>
      <c r="I1597" s="252">
        <f t="shared" si="78"/>
        <v>75600</v>
      </c>
      <c r="J1597" s="252">
        <f t="shared" si="78"/>
        <v>81650</v>
      </c>
      <c r="K1597" s="252">
        <f t="shared" si="78"/>
        <v>87700</v>
      </c>
      <c r="L1597" s="252">
        <f t="shared" si="78"/>
        <v>93750</v>
      </c>
      <c r="M1597" s="252">
        <f t="shared" si="78"/>
        <v>99800</v>
      </c>
    </row>
    <row r="1598" spans="1:13" ht="21.95" customHeight="1" x14ac:dyDescent="0.25">
      <c r="A1598" s="36" t="s">
        <v>2904</v>
      </c>
      <c r="B1598" s="36" t="str">
        <f t="shared" si="79"/>
        <v>NE_BROWN COUNTY, NE</v>
      </c>
      <c r="D1598" s="265" t="s">
        <v>78</v>
      </c>
      <c r="E1598" s="266" t="s">
        <v>4383</v>
      </c>
      <c r="F1598" s="252">
        <f t="shared" si="78"/>
        <v>50600</v>
      </c>
      <c r="G1598" s="252">
        <f t="shared" si="78"/>
        <v>57800</v>
      </c>
      <c r="H1598" s="252">
        <f t="shared" si="78"/>
        <v>65050</v>
      </c>
      <c r="I1598" s="252">
        <f t="shared" si="78"/>
        <v>72250</v>
      </c>
      <c r="J1598" s="252">
        <f t="shared" si="78"/>
        <v>78050</v>
      </c>
      <c r="K1598" s="252">
        <f t="shared" si="78"/>
        <v>83850</v>
      </c>
      <c r="L1598" s="252">
        <f t="shared" si="78"/>
        <v>89600</v>
      </c>
      <c r="M1598" s="252">
        <f t="shared" si="78"/>
        <v>95400</v>
      </c>
    </row>
    <row r="1599" spans="1:13" ht="21.95" customHeight="1" x14ac:dyDescent="0.25">
      <c r="A1599" s="36" t="s">
        <v>2904</v>
      </c>
      <c r="B1599" s="36" t="str">
        <f t="shared" si="79"/>
        <v>NE_BUFFALO COUNTY, NE</v>
      </c>
      <c r="D1599" s="265" t="s">
        <v>78</v>
      </c>
      <c r="E1599" s="266" t="s">
        <v>4384</v>
      </c>
      <c r="F1599" s="252">
        <f t="shared" si="78"/>
        <v>58700</v>
      </c>
      <c r="G1599" s="252">
        <f t="shared" si="78"/>
        <v>67100</v>
      </c>
      <c r="H1599" s="252">
        <f t="shared" si="78"/>
        <v>75500</v>
      </c>
      <c r="I1599" s="252">
        <f t="shared" si="78"/>
        <v>83850</v>
      </c>
      <c r="J1599" s="252">
        <f t="shared" si="78"/>
        <v>90600</v>
      </c>
      <c r="K1599" s="252">
        <f t="shared" si="78"/>
        <v>97300</v>
      </c>
      <c r="L1599" s="252">
        <f t="shared" si="78"/>
        <v>104000</v>
      </c>
      <c r="M1599" s="252">
        <f t="shared" si="78"/>
        <v>110700</v>
      </c>
    </row>
    <row r="1600" spans="1:13" ht="21.95" customHeight="1" x14ac:dyDescent="0.25">
      <c r="A1600" s="36" t="s">
        <v>2904</v>
      </c>
      <c r="B1600" s="36" t="str">
        <f t="shared" si="79"/>
        <v>NE_BURT COUNTY, NE</v>
      </c>
      <c r="D1600" s="265" t="s">
        <v>78</v>
      </c>
      <c r="E1600" s="266" t="s">
        <v>4385</v>
      </c>
      <c r="F1600" s="252">
        <f t="shared" si="78"/>
        <v>51450</v>
      </c>
      <c r="G1600" s="252">
        <f t="shared" si="78"/>
        <v>58800</v>
      </c>
      <c r="H1600" s="252">
        <f t="shared" si="78"/>
        <v>66150</v>
      </c>
      <c r="I1600" s="252">
        <f t="shared" si="78"/>
        <v>73500</v>
      </c>
      <c r="J1600" s="252">
        <f t="shared" si="78"/>
        <v>79400</v>
      </c>
      <c r="K1600" s="252">
        <f t="shared" si="78"/>
        <v>85300</v>
      </c>
      <c r="L1600" s="252">
        <f t="shared" si="78"/>
        <v>91150</v>
      </c>
      <c r="M1600" s="252">
        <f t="shared" si="78"/>
        <v>97050</v>
      </c>
    </row>
    <row r="1601" spans="1:13" ht="21.95" customHeight="1" x14ac:dyDescent="0.25">
      <c r="A1601" s="36" t="s">
        <v>2904</v>
      </c>
      <c r="B1601" s="36" t="str">
        <f t="shared" si="79"/>
        <v>NE_BUTLER COUNTY, NE</v>
      </c>
      <c r="D1601" s="265" t="s">
        <v>78</v>
      </c>
      <c r="E1601" s="266" t="s">
        <v>4386</v>
      </c>
      <c r="F1601" s="252">
        <f t="shared" si="78"/>
        <v>56600</v>
      </c>
      <c r="G1601" s="252">
        <f t="shared" si="78"/>
        <v>64700</v>
      </c>
      <c r="H1601" s="252">
        <f t="shared" si="78"/>
        <v>72800</v>
      </c>
      <c r="I1601" s="252">
        <f t="shared" si="78"/>
        <v>80850</v>
      </c>
      <c r="J1601" s="252">
        <f t="shared" si="78"/>
        <v>87350</v>
      </c>
      <c r="K1601" s="252">
        <f t="shared" si="78"/>
        <v>93800</v>
      </c>
      <c r="L1601" s="252">
        <f t="shared" si="78"/>
        <v>100300</v>
      </c>
      <c r="M1601" s="252">
        <f t="shared" si="78"/>
        <v>106750</v>
      </c>
    </row>
    <row r="1602" spans="1:13" ht="21.95" customHeight="1" x14ac:dyDescent="0.25">
      <c r="A1602" s="36" t="s">
        <v>2904</v>
      </c>
      <c r="B1602" s="36" t="str">
        <f t="shared" si="79"/>
        <v>NE_CEDAR COUNTY, NE</v>
      </c>
      <c r="D1602" s="265" t="s">
        <v>78</v>
      </c>
      <c r="E1602" s="266" t="s">
        <v>4387</v>
      </c>
      <c r="F1602" s="252">
        <f t="shared" si="78"/>
        <v>57800</v>
      </c>
      <c r="G1602" s="252">
        <f t="shared" si="78"/>
        <v>66050</v>
      </c>
      <c r="H1602" s="252">
        <f t="shared" si="78"/>
        <v>74300</v>
      </c>
      <c r="I1602" s="252">
        <f t="shared" si="78"/>
        <v>82550</v>
      </c>
      <c r="J1602" s="252">
        <f t="shared" si="78"/>
        <v>89200</v>
      </c>
      <c r="K1602" s="252">
        <f t="shared" si="78"/>
        <v>95800</v>
      </c>
      <c r="L1602" s="252">
        <f t="shared" si="78"/>
        <v>102400</v>
      </c>
      <c r="M1602" s="252">
        <f t="shared" si="78"/>
        <v>109000</v>
      </c>
    </row>
    <row r="1603" spans="1:13" ht="21.95" customHeight="1" x14ac:dyDescent="0.25">
      <c r="A1603" s="36" t="s">
        <v>2904</v>
      </c>
      <c r="B1603" s="36" t="str">
        <f t="shared" si="79"/>
        <v>NE_CHASE COUNTY, NE</v>
      </c>
      <c r="D1603" s="265" t="s">
        <v>78</v>
      </c>
      <c r="E1603" s="266" t="s">
        <v>4388</v>
      </c>
      <c r="F1603" s="252">
        <f t="shared" si="78"/>
        <v>50600</v>
      </c>
      <c r="G1603" s="252">
        <f t="shared" si="78"/>
        <v>57800</v>
      </c>
      <c r="H1603" s="252">
        <f t="shared" si="78"/>
        <v>65050</v>
      </c>
      <c r="I1603" s="252">
        <f t="shared" si="78"/>
        <v>72250</v>
      </c>
      <c r="J1603" s="252">
        <f t="shared" si="78"/>
        <v>78050</v>
      </c>
      <c r="K1603" s="252">
        <f t="shared" si="78"/>
        <v>83850</v>
      </c>
      <c r="L1603" s="252">
        <f t="shared" si="78"/>
        <v>89600</v>
      </c>
      <c r="M1603" s="252">
        <f t="shared" si="78"/>
        <v>95400</v>
      </c>
    </row>
    <row r="1604" spans="1:13" ht="21.95" customHeight="1" x14ac:dyDescent="0.25">
      <c r="A1604" s="36" t="s">
        <v>2904</v>
      </c>
      <c r="B1604" s="36" t="str">
        <f t="shared" si="79"/>
        <v>NE_CHERRY COUNTY, NE</v>
      </c>
      <c r="D1604" s="265" t="s">
        <v>78</v>
      </c>
      <c r="E1604" s="266" t="s">
        <v>4389</v>
      </c>
      <c r="F1604" s="252">
        <f t="shared" ref="F1604:M1635" si="80">VLOOKUP($B1604,LOOKUP_AMI_TABLE,5+((F$7-1)),FALSE)</f>
        <v>50600</v>
      </c>
      <c r="G1604" s="252">
        <f t="shared" si="80"/>
        <v>57800</v>
      </c>
      <c r="H1604" s="252">
        <f t="shared" si="80"/>
        <v>65050</v>
      </c>
      <c r="I1604" s="252">
        <f t="shared" si="80"/>
        <v>72250</v>
      </c>
      <c r="J1604" s="252">
        <f t="shared" si="80"/>
        <v>78050</v>
      </c>
      <c r="K1604" s="252">
        <f t="shared" si="80"/>
        <v>83850</v>
      </c>
      <c r="L1604" s="252">
        <f t="shared" si="80"/>
        <v>89600</v>
      </c>
      <c r="M1604" s="252">
        <f t="shared" si="80"/>
        <v>95400</v>
      </c>
    </row>
    <row r="1605" spans="1:13" ht="21.95" customHeight="1" x14ac:dyDescent="0.25">
      <c r="A1605" s="36" t="s">
        <v>2904</v>
      </c>
      <c r="B1605" s="36" t="str">
        <f t="shared" si="79"/>
        <v>NE_CHEYENNE COUNTY, NE</v>
      </c>
      <c r="D1605" s="265" t="s">
        <v>78</v>
      </c>
      <c r="E1605" s="266" t="s">
        <v>4390</v>
      </c>
      <c r="F1605" s="252">
        <f t="shared" si="80"/>
        <v>50700</v>
      </c>
      <c r="G1605" s="252">
        <f t="shared" si="80"/>
        <v>57950</v>
      </c>
      <c r="H1605" s="252">
        <f t="shared" si="80"/>
        <v>65200</v>
      </c>
      <c r="I1605" s="252">
        <f t="shared" si="80"/>
        <v>72400</v>
      </c>
      <c r="J1605" s="252">
        <f t="shared" si="80"/>
        <v>78200</v>
      </c>
      <c r="K1605" s="252">
        <f t="shared" si="80"/>
        <v>84000</v>
      </c>
      <c r="L1605" s="252">
        <f t="shared" si="80"/>
        <v>89800</v>
      </c>
      <c r="M1605" s="252">
        <f t="shared" si="80"/>
        <v>95600</v>
      </c>
    </row>
    <row r="1606" spans="1:13" ht="21.95" customHeight="1" x14ac:dyDescent="0.25">
      <c r="A1606" s="36" t="s">
        <v>2904</v>
      </c>
      <c r="B1606" s="36" t="str">
        <f t="shared" si="79"/>
        <v>NE_CLAY COUNTY, NE</v>
      </c>
      <c r="D1606" s="265" t="s">
        <v>78</v>
      </c>
      <c r="E1606" s="266" t="s">
        <v>4391</v>
      </c>
      <c r="F1606" s="252">
        <f t="shared" si="80"/>
        <v>53950</v>
      </c>
      <c r="G1606" s="252">
        <f t="shared" si="80"/>
        <v>61650</v>
      </c>
      <c r="H1606" s="252">
        <f t="shared" si="80"/>
        <v>69350</v>
      </c>
      <c r="I1606" s="252">
        <f t="shared" si="80"/>
        <v>77050</v>
      </c>
      <c r="J1606" s="252">
        <f t="shared" si="80"/>
        <v>83250</v>
      </c>
      <c r="K1606" s="252">
        <f t="shared" si="80"/>
        <v>89400</v>
      </c>
      <c r="L1606" s="252">
        <f t="shared" si="80"/>
        <v>95550</v>
      </c>
      <c r="M1606" s="252">
        <f t="shared" si="80"/>
        <v>101750</v>
      </c>
    </row>
    <row r="1607" spans="1:13" ht="21.95" customHeight="1" x14ac:dyDescent="0.25">
      <c r="A1607" s="36" t="s">
        <v>2904</v>
      </c>
      <c r="B1607" s="36" t="str">
        <f t="shared" si="79"/>
        <v>NE_COLFAX COUNTY, NE</v>
      </c>
      <c r="D1607" s="265" t="s">
        <v>78</v>
      </c>
      <c r="E1607" s="266" t="s">
        <v>4392</v>
      </c>
      <c r="F1607" s="252">
        <f t="shared" si="80"/>
        <v>50600</v>
      </c>
      <c r="G1607" s="252">
        <f t="shared" si="80"/>
        <v>57800</v>
      </c>
      <c r="H1607" s="252">
        <f t="shared" si="80"/>
        <v>65050</v>
      </c>
      <c r="I1607" s="252">
        <f t="shared" si="80"/>
        <v>72250</v>
      </c>
      <c r="J1607" s="252">
        <f t="shared" si="80"/>
        <v>78050</v>
      </c>
      <c r="K1607" s="252">
        <f t="shared" si="80"/>
        <v>83850</v>
      </c>
      <c r="L1607" s="252">
        <f t="shared" si="80"/>
        <v>89600</v>
      </c>
      <c r="M1607" s="252">
        <f t="shared" si="80"/>
        <v>95400</v>
      </c>
    </row>
    <row r="1608" spans="1:13" ht="21.95" customHeight="1" x14ac:dyDescent="0.25">
      <c r="A1608" s="36" t="s">
        <v>2904</v>
      </c>
      <c r="B1608" s="36" t="str">
        <f t="shared" si="79"/>
        <v>NE_CUMING COUNTY, NE</v>
      </c>
      <c r="D1608" s="265" t="s">
        <v>78</v>
      </c>
      <c r="E1608" s="266" t="s">
        <v>4393</v>
      </c>
      <c r="F1608" s="252">
        <f t="shared" si="80"/>
        <v>53500</v>
      </c>
      <c r="G1608" s="252">
        <f t="shared" si="80"/>
        <v>61150</v>
      </c>
      <c r="H1608" s="252">
        <f t="shared" si="80"/>
        <v>68800</v>
      </c>
      <c r="I1608" s="252">
        <f t="shared" si="80"/>
        <v>76400</v>
      </c>
      <c r="J1608" s="252">
        <f t="shared" si="80"/>
        <v>82550</v>
      </c>
      <c r="K1608" s="252">
        <f t="shared" si="80"/>
        <v>88650</v>
      </c>
      <c r="L1608" s="252">
        <f t="shared" si="80"/>
        <v>94750</v>
      </c>
      <c r="M1608" s="252">
        <f t="shared" si="80"/>
        <v>100850</v>
      </c>
    </row>
    <row r="1609" spans="1:13" ht="21.95" customHeight="1" x14ac:dyDescent="0.25">
      <c r="A1609" s="36" t="s">
        <v>2904</v>
      </c>
      <c r="B1609" s="36" t="str">
        <f t="shared" si="79"/>
        <v>NE_CUSTER COUNTY, NE</v>
      </c>
      <c r="D1609" s="265" t="s">
        <v>78</v>
      </c>
      <c r="E1609" s="266" t="s">
        <v>4394</v>
      </c>
      <c r="F1609" s="252">
        <f t="shared" si="80"/>
        <v>50600</v>
      </c>
      <c r="G1609" s="252">
        <f t="shared" si="80"/>
        <v>57800</v>
      </c>
      <c r="H1609" s="252">
        <f t="shared" si="80"/>
        <v>65050</v>
      </c>
      <c r="I1609" s="252">
        <f t="shared" si="80"/>
        <v>72250</v>
      </c>
      <c r="J1609" s="252">
        <f t="shared" si="80"/>
        <v>78050</v>
      </c>
      <c r="K1609" s="252">
        <f t="shared" si="80"/>
        <v>83850</v>
      </c>
      <c r="L1609" s="252">
        <f t="shared" si="80"/>
        <v>89600</v>
      </c>
      <c r="M1609" s="252">
        <f t="shared" si="80"/>
        <v>95400</v>
      </c>
    </row>
    <row r="1610" spans="1:13" ht="21.95" customHeight="1" x14ac:dyDescent="0.25">
      <c r="A1610" s="36" t="s">
        <v>2904</v>
      </c>
      <c r="B1610" s="36" t="str">
        <f t="shared" si="79"/>
        <v>NE_DAWES COUNTY, NE</v>
      </c>
      <c r="D1610" s="265" t="s">
        <v>78</v>
      </c>
      <c r="E1610" s="266" t="s">
        <v>4395</v>
      </c>
      <c r="F1610" s="252">
        <f t="shared" si="80"/>
        <v>50600</v>
      </c>
      <c r="G1610" s="252">
        <f t="shared" si="80"/>
        <v>57800</v>
      </c>
      <c r="H1610" s="252">
        <f t="shared" si="80"/>
        <v>65050</v>
      </c>
      <c r="I1610" s="252">
        <f t="shared" si="80"/>
        <v>72250</v>
      </c>
      <c r="J1610" s="252">
        <f t="shared" si="80"/>
        <v>78050</v>
      </c>
      <c r="K1610" s="252">
        <f t="shared" si="80"/>
        <v>83850</v>
      </c>
      <c r="L1610" s="252">
        <f t="shared" si="80"/>
        <v>89600</v>
      </c>
      <c r="M1610" s="252">
        <f t="shared" si="80"/>
        <v>95400</v>
      </c>
    </row>
    <row r="1611" spans="1:13" ht="21.95" customHeight="1" x14ac:dyDescent="0.25">
      <c r="A1611" s="36" t="s">
        <v>2904</v>
      </c>
      <c r="B1611" s="36" t="str">
        <f t="shared" si="79"/>
        <v>NE_DAWSON COUNTY, NE</v>
      </c>
      <c r="D1611" s="265" t="s">
        <v>78</v>
      </c>
      <c r="E1611" s="266" t="s">
        <v>4396</v>
      </c>
      <c r="F1611" s="252">
        <f t="shared" si="80"/>
        <v>50600</v>
      </c>
      <c r="G1611" s="252">
        <f t="shared" si="80"/>
        <v>57800</v>
      </c>
      <c r="H1611" s="252">
        <f t="shared" si="80"/>
        <v>65050</v>
      </c>
      <c r="I1611" s="252">
        <f t="shared" si="80"/>
        <v>72250</v>
      </c>
      <c r="J1611" s="252">
        <f t="shared" si="80"/>
        <v>78050</v>
      </c>
      <c r="K1611" s="252">
        <f t="shared" si="80"/>
        <v>83850</v>
      </c>
      <c r="L1611" s="252">
        <f t="shared" si="80"/>
        <v>89600</v>
      </c>
      <c r="M1611" s="252">
        <f t="shared" si="80"/>
        <v>95400</v>
      </c>
    </row>
    <row r="1612" spans="1:13" ht="21.95" customHeight="1" x14ac:dyDescent="0.25">
      <c r="A1612" s="36" t="s">
        <v>2904</v>
      </c>
      <c r="B1612" s="36" t="str">
        <f t="shared" si="79"/>
        <v>NE_DEUEL COUNTY, NE</v>
      </c>
      <c r="D1612" s="265" t="s">
        <v>78</v>
      </c>
      <c r="E1612" s="266" t="s">
        <v>4397</v>
      </c>
      <c r="F1612" s="252">
        <f t="shared" si="80"/>
        <v>50600</v>
      </c>
      <c r="G1612" s="252">
        <f t="shared" si="80"/>
        <v>57800</v>
      </c>
      <c r="H1612" s="252">
        <f t="shared" si="80"/>
        <v>65050</v>
      </c>
      <c r="I1612" s="252">
        <f t="shared" si="80"/>
        <v>72250</v>
      </c>
      <c r="J1612" s="252">
        <f t="shared" si="80"/>
        <v>78050</v>
      </c>
      <c r="K1612" s="252">
        <f t="shared" si="80"/>
        <v>83850</v>
      </c>
      <c r="L1612" s="252">
        <f t="shared" si="80"/>
        <v>89600</v>
      </c>
      <c r="M1612" s="252">
        <f t="shared" si="80"/>
        <v>95400</v>
      </c>
    </row>
    <row r="1613" spans="1:13" ht="21.95" customHeight="1" x14ac:dyDescent="0.25">
      <c r="A1613" s="36" t="s">
        <v>2904</v>
      </c>
      <c r="B1613" s="36" t="str">
        <f t="shared" si="79"/>
        <v>NE_DIXON COUNTY, NE</v>
      </c>
      <c r="D1613" s="265" t="s">
        <v>78</v>
      </c>
      <c r="E1613" s="266" t="s">
        <v>9233</v>
      </c>
      <c r="F1613" s="252">
        <f t="shared" si="80"/>
        <v>55550</v>
      </c>
      <c r="G1613" s="252">
        <f t="shared" si="80"/>
        <v>63500</v>
      </c>
      <c r="H1613" s="252">
        <f t="shared" si="80"/>
        <v>71450</v>
      </c>
      <c r="I1613" s="252">
        <f t="shared" si="80"/>
        <v>79350</v>
      </c>
      <c r="J1613" s="252">
        <f t="shared" si="80"/>
        <v>85700</v>
      </c>
      <c r="K1613" s="252">
        <f t="shared" si="80"/>
        <v>92050</v>
      </c>
      <c r="L1613" s="252">
        <f t="shared" si="80"/>
        <v>98400</v>
      </c>
      <c r="M1613" s="252">
        <f t="shared" si="80"/>
        <v>104750</v>
      </c>
    </row>
    <row r="1614" spans="1:13" ht="21.95" customHeight="1" x14ac:dyDescent="0.25">
      <c r="A1614" s="36" t="s">
        <v>2904</v>
      </c>
      <c r="B1614" s="36" t="str">
        <f t="shared" si="79"/>
        <v>NE_DODGE COUNTY, NE</v>
      </c>
      <c r="D1614" s="265" t="s">
        <v>78</v>
      </c>
      <c r="E1614" s="266" t="s">
        <v>4398</v>
      </c>
      <c r="F1614" s="252">
        <f t="shared" si="80"/>
        <v>54600</v>
      </c>
      <c r="G1614" s="252">
        <f t="shared" si="80"/>
        <v>62400</v>
      </c>
      <c r="H1614" s="252">
        <f t="shared" si="80"/>
        <v>70200</v>
      </c>
      <c r="I1614" s="252">
        <f t="shared" si="80"/>
        <v>78000</v>
      </c>
      <c r="J1614" s="252">
        <f t="shared" si="80"/>
        <v>84250</v>
      </c>
      <c r="K1614" s="252">
        <f t="shared" si="80"/>
        <v>90500</v>
      </c>
      <c r="L1614" s="252">
        <f t="shared" si="80"/>
        <v>96750</v>
      </c>
      <c r="M1614" s="252">
        <f t="shared" si="80"/>
        <v>103000</v>
      </c>
    </row>
    <row r="1615" spans="1:13" ht="21.95" customHeight="1" x14ac:dyDescent="0.25">
      <c r="A1615" s="36" t="s">
        <v>2904</v>
      </c>
      <c r="B1615" s="36" t="str">
        <f t="shared" si="79"/>
        <v>NE_DUNDY COUNTY, NE</v>
      </c>
      <c r="D1615" s="265" t="s">
        <v>78</v>
      </c>
      <c r="E1615" s="266" t="s">
        <v>4399</v>
      </c>
      <c r="F1615" s="252">
        <f t="shared" si="80"/>
        <v>54500</v>
      </c>
      <c r="G1615" s="252">
        <f t="shared" si="80"/>
        <v>62300</v>
      </c>
      <c r="H1615" s="252">
        <f t="shared" si="80"/>
        <v>70100</v>
      </c>
      <c r="I1615" s="252">
        <f t="shared" si="80"/>
        <v>77850</v>
      </c>
      <c r="J1615" s="252">
        <f t="shared" si="80"/>
        <v>84100</v>
      </c>
      <c r="K1615" s="252">
        <f t="shared" si="80"/>
        <v>90350</v>
      </c>
      <c r="L1615" s="252">
        <f t="shared" si="80"/>
        <v>96550</v>
      </c>
      <c r="M1615" s="252">
        <f t="shared" si="80"/>
        <v>102800</v>
      </c>
    </row>
    <row r="1616" spans="1:13" ht="21.95" customHeight="1" x14ac:dyDescent="0.25">
      <c r="A1616" s="36" t="s">
        <v>2904</v>
      </c>
      <c r="B1616" s="36" t="str">
        <f t="shared" si="79"/>
        <v>NE_FILLMORE COUNTY, NE</v>
      </c>
      <c r="D1616" s="265" t="s">
        <v>78</v>
      </c>
      <c r="E1616" s="266" t="s">
        <v>4400</v>
      </c>
      <c r="F1616" s="252">
        <f t="shared" si="80"/>
        <v>60450</v>
      </c>
      <c r="G1616" s="252">
        <f t="shared" si="80"/>
        <v>69050</v>
      </c>
      <c r="H1616" s="252">
        <f t="shared" si="80"/>
        <v>77700</v>
      </c>
      <c r="I1616" s="252">
        <f t="shared" si="80"/>
        <v>86300</v>
      </c>
      <c r="J1616" s="252">
        <f t="shared" si="80"/>
        <v>93250</v>
      </c>
      <c r="K1616" s="252">
        <f t="shared" si="80"/>
        <v>100150</v>
      </c>
      <c r="L1616" s="252">
        <f t="shared" si="80"/>
        <v>107050</v>
      </c>
      <c r="M1616" s="252">
        <f t="shared" si="80"/>
        <v>113950</v>
      </c>
    </row>
    <row r="1617" spans="1:13" ht="21.95" customHeight="1" x14ac:dyDescent="0.25">
      <c r="A1617" s="36" t="s">
        <v>2904</v>
      </c>
      <c r="B1617" s="36" t="str">
        <f t="shared" si="79"/>
        <v>NE_FRANKLIN COUNTY, NE</v>
      </c>
      <c r="D1617" s="265" t="s">
        <v>78</v>
      </c>
      <c r="E1617" s="266" t="s">
        <v>4401</v>
      </c>
      <c r="F1617" s="252">
        <f t="shared" si="80"/>
        <v>50600</v>
      </c>
      <c r="G1617" s="252">
        <f t="shared" si="80"/>
        <v>57800</v>
      </c>
      <c r="H1617" s="252">
        <f t="shared" si="80"/>
        <v>65050</v>
      </c>
      <c r="I1617" s="252">
        <f t="shared" si="80"/>
        <v>72250</v>
      </c>
      <c r="J1617" s="252">
        <f t="shared" si="80"/>
        <v>78050</v>
      </c>
      <c r="K1617" s="252">
        <f t="shared" si="80"/>
        <v>83850</v>
      </c>
      <c r="L1617" s="252">
        <f t="shared" si="80"/>
        <v>89600</v>
      </c>
      <c r="M1617" s="252">
        <f t="shared" si="80"/>
        <v>95400</v>
      </c>
    </row>
    <row r="1618" spans="1:13" ht="21.95" customHeight="1" x14ac:dyDescent="0.25">
      <c r="A1618" s="36" t="s">
        <v>2904</v>
      </c>
      <c r="B1618" s="36" t="str">
        <f t="shared" si="79"/>
        <v>NE_FRONTIER COUNTY, NE</v>
      </c>
      <c r="D1618" s="265" t="s">
        <v>78</v>
      </c>
      <c r="E1618" s="266" t="s">
        <v>4402</v>
      </c>
      <c r="F1618" s="252">
        <f t="shared" si="80"/>
        <v>50600</v>
      </c>
      <c r="G1618" s="252">
        <f t="shared" si="80"/>
        <v>57800</v>
      </c>
      <c r="H1618" s="252">
        <f t="shared" si="80"/>
        <v>65050</v>
      </c>
      <c r="I1618" s="252">
        <f t="shared" si="80"/>
        <v>72250</v>
      </c>
      <c r="J1618" s="252">
        <f t="shared" si="80"/>
        <v>78050</v>
      </c>
      <c r="K1618" s="252">
        <f t="shared" si="80"/>
        <v>83850</v>
      </c>
      <c r="L1618" s="252">
        <f t="shared" si="80"/>
        <v>89600</v>
      </c>
      <c r="M1618" s="252">
        <f t="shared" si="80"/>
        <v>95400</v>
      </c>
    </row>
    <row r="1619" spans="1:13" ht="21.95" customHeight="1" x14ac:dyDescent="0.25">
      <c r="A1619" s="36" t="s">
        <v>2904</v>
      </c>
      <c r="B1619" s="36" t="str">
        <f t="shared" si="79"/>
        <v>NE_FURNAS COUNTY, NE</v>
      </c>
      <c r="D1619" s="265" t="s">
        <v>78</v>
      </c>
      <c r="E1619" s="266" t="s">
        <v>4403</v>
      </c>
      <c r="F1619" s="252">
        <f t="shared" si="80"/>
        <v>50600</v>
      </c>
      <c r="G1619" s="252">
        <f t="shared" si="80"/>
        <v>57800</v>
      </c>
      <c r="H1619" s="252">
        <f t="shared" si="80"/>
        <v>65050</v>
      </c>
      <c r="I1619" s="252">
        <f t="shared" si="80"/>
        <v>72250</v>
      </c>
      <c r="J1619" s="252">
        <f t="shared" si="80"/>
        <v>78050</v>
      </c>
      <c r="K1619" s="252">
        <f t="shared" si="80"/>
        <v>83850</v>
      </c>
      <c r="L1619" s="252">
        <f t="shared" si="80"/>
        <v>89600</v>
      </c>
      <c r="M1619" s="252">
        <f t="shared" si="80"/>
        <v>95400</v>
      </c>
    </row>
    <row r="1620" spans="1:13" ht="21.95" customHeight="1" x14ac:dyDescent="0.25">
      <c r="A1620" s="36" t="s">
        <v>2904</v>
      </c>
      <c r="B1620" s="36" t="str">
        <f t="shared" si="79"/>
        <v>NE_GAGE COUNTY, NE</v>
      </c>
      <c r="D1620" s="265" t="s">
        <v>78</v>
      </c>
      <c r="E1620" s="266" t="s">
        <v>4404</v>
      </c>
      <c r="F1620" s="252">
        <f t="shared" si="80"/>
        <v>53400</v>
      </c>
      <c r="G1620" s="252">
        <f t="shared" si="80"/>
        <v>61000</v>
      </c>
      <c r="H1620" s="252">
        <f t="shared" si="80"/>
        <v>68650</v>
      </c>
      <c r="I1620" s="252">
        <f t="shared" si="80"/>
        <v>76250</v>
      </c>
      <c r="J1620" s="252">
        <f t="shared" si="80"/>
        <v>82350</v>
      </c>
      <c r="K1620" s="252">
        <f t="shared" si="80"/>
        <v>88450</v>
      </c>
      <c r="L1620" s="252">
        <f t="shared" si="80"/>
        <v>94550</v>
      </c>
      <c r="M1620" s="252">
        <f t="shared" si="80"/>
        <v>100650</v>
      </c>
    </row>
    <row r="1621" spans="1:13" ht="21.95" customHeight="1" x14ac:dyDescent="0.25">
      <c r="A1621" s="36" t="s">
        <v>2904</v>
      </c>
      <c r="B1621" s="36" t="str">
        <f t="shared" si="79"/>
        <v>NE_GARDEN COUNTY, NE</v>
      </c>
      <c r="D1621" s="265" t="s">
        <v>78</v>
      </c>
      <c r="E1621" s="266" t="s">
        <v>4405</v>
      </c>
      <c r="F1621" s="252">
        <f t="shared" si="80"/>
        <v>50600</v>
      </c>
      <c r="G1621" s="252">
        <f t="shared" si="80"/>
        <v>57800</v>
      </c>
      <c r="H1621" s="252">
        <f t="shared" si="80"/>
        <v>65050</v>
      </c>
      <c r="I1621" s="252">
        <f t="shared" si="80"/>
        <v>72250</v>
      </c>
      <c r="J1621" s="252">
        <f t="shared" si="80"/>
        <v>78050</v>
      </c>
      <c r="K1621" s="252">
        <f t="shared" si="80"/>
        <v>83850</v>
      </c>
      <c r="L1621" s="252">
        <f t="shared" si="80"/>
        <v>89600</v>
      </c>
      <c r="M1621" s="252">
        <f t="shared" si="80"/>
        <v>95400</v>
      </c>
    </row>
    <row r="1622" spans="1:13" ht="21.95" customHeight="1" x14ac:dyDescent="0.25">
      <c r="A1622" s="36" t="s">
        <v>2904</v>
      </c>
      <c r="B1622" s="36" t="str">
        <f t="shared" si="79"/>
        <v>NE_GARFIELD COUNTY, NE</v>
      </c>
      <c r="D1622" s="265" t="s">
        <v>78</v>
      </c>
      <c r="E1622" s="266" t="s">
        <v>4406</v>
      </c>
      <c r="F1622" s="252">
        <f t="shared" si="80"/>
        <v>50600</v>
      </c>
      <c r="G1622" s="252">
        <f t="shared" si="80"/>
        <v>57800</v>
      </c>
      <c r="H1622" s="252">
        <f t="shared" si="80"/>
        <v>65050</v>
      </c>
      <c r="I1622" s="252">
        <f t="shared" si="80"/>
        <v>72250</v>
      </c>
      <c r="J1622" s="252">
        <f t="shared" si="80"/>
        <v>78050</v>
      </c>
      <c r="K1622" s="252">
        <f t="shared" si="80"/>
        <v>83850</v>
      </c>
      <c r="L1622" s="252">
        <f t="shared" si="80"/>
        <v>89600</v>
      </c>
      <c r="M1622" s="252">
        <f t="shared" si="80"/>
        <v>95400</v>
      </c>
    </row>
    <row r="1623" spans="1:13" ht="21.95" customHeight="1" x14ac:dyDescent="0.25">
      <c r="A1623" s="36" t="s">
        <v>2904</v>
      </c>
      <c r="B1623" s="36" t="str">
        <f t="shared" si="79"/>
        <v>NE_GOSPER COUNTY, NE</v>
      </c>
      <c r="D1623" s="265" t="s">
        <v>78</v>
      </c>
      <c r="E1623" s="266" t="s">
        <v>4407</v>
      </c>
      <c r="F1623" s="252">
        <f t="shared" si="80"/>
        <v>52850</v>
      </c>
      <c r="G1623" s="252">
        <f t="shared" si="80"/>
        <v>60400</v>
      </c>
      <c r="H1623" s="252">
        <f t="shared" si="80"/>
        <v>67950</v>
      </c>
      <c r="I1623" s="252">
        <f t="shared" si="80"/>
        <v>75450</v>
      </c>
      <c r="J1623" s="252">
        <f t="shared" si="80"/>
        <v>81500</v>
      </c>
      <c r="K1623" s="252">
        <f t="shared" si="80"/>
        <v>87550</v>
      </c>
      <c r="L1623" s="252">
        <f t="shared" si="80"/>
        <v>93600</v>
      </c>
      <c r="M1623" s="252">
        <f t="shared" si="80"/>
        <v>99600</v>
      </c>
    </row>
    <row r="1624" spans="1:13" ht="21.95" customHeight="1" x14ac:dyDescent="0.25">
      <c r="A1624" s="36" t="s">
        <v>2904</v>
      </c>
      <c r="B1624" s="36" t="str">
        <f t="shared" si="79"/>
        <v>NE_GRANT COUNTY, NE</v>
      </c>
      <c r="D1624" s="265" t="s">
        <v>78</v>
      </c>
      <c r="E1624" s="266" t="s">
        <v>4408</v>
      </c>
      <c r="F1624" s="252">
        <f t="shared" si="80"/>
        <v>50600</v>
      </c>
      <c r="G1624" s="252">
        <f t="shared" si="80"/>
        <v>57800</v>
      </c>
      <c r="H1624" s="252">
        <f t="shared" si="80"/>
        <v>65050</v>
      </c>
      <c r="I1624" s="252">
        <f t="shared" si="80"/>
        <v>72250</v>
      </c>
      <c r="J1624" s="252">
        <f t="shared" si="80"/>
        <v>78050</v>
      </c>
      <c r="K1624" s="252">
        <f t="shared" si="80"/>
        <v>83850</v>
      </c>
      <c r="L1624" s="252">
        <f t="shared" si="80"/>
        <v>89600</v>
      </c>
      <c r="M1624" s="252">
        <f t="shared" si="80"/>
        <v>95400</v>
      </c>
    </row>
    <row r="1625" spans="1:13" ht="21.95" customHeight="1" x14ac:dyDescent="0.25">
      <c r="A1625" s="36" t="s">
        <v>2904</v>
      </c>
      <c r="B1625" s="36" t="str">
        <f t="shared" si="79"/>
        <v>NE_GREELEY COUNTY, NE</v>
      </c>
      <c r="D1625" s="265" t="s">
        <v>78</v>
      </c>
      <c r="E1625" s="266" t="s">
        <v>4409</v>
      </c>
      <c r="F1625" s="252">
        <f t="shared" si="80"/>
        <v>50600</v>
      </c>
      <c r="G1625" s="252">
        <f t="shared" si="80"/>
        <v>57800</v>
      </c>
      <c r="H1625" s="252">
        <f t="shared" si="80"/>
        <v>65050</v>
      </c>
      <c r="I1625" s="252">
        <f t="shared" si="80"/>
        <v>72250</v>
      </c>
      <c r="J1625" s="252">
        <f t="shared" si="80"/>
        <v>78050</v>
      </c>
      <c r="K1625" s="252">
        <f t="shared" si="80"/>
        <v>83850</v>
      </c>
      <c r="L1625" s="252">
        <f t="shared" si="80"/>
        <v>89600</v>
      </c>
      <c r="M1625" s="252">
        <f t="shared" si="80"/>
        <v>95400</v>
      </c>
    </row>
    <row r="1626" spans="1:13" ht="21.95" customHeight="1" x14ac:dyDescent="0.25">
      <c r="A1626" s="36" t="s">
        <v>2904</v>
      </c>
      <c r="B1626" s="36" t="str">
        <f t="shared" si="79"/>
        <v>NE_HALL COUNTY, NE HUD METRO FMR AREA</v>
      </c>
      <c r="D1626" s="265" t="s">
        <v>78</v>
      </c>
      <c r="E1626" s="266" t="s">
        <v>4410</v>
      </c>
      <c r="F1626" s="252">
        <f t="shared" si="80"/>
        <v>50600</v>
      </c>
      <c r="G1626" s="252">
        <f t="shared" si="80"/>
        <v>57800</v>
      </c>
      <c r="H1626" s="252">
        <f t="shared" si="80"/>
        <v>65050</v>
      </c>
      <c r="I1626" s="252">
        <f t="shared" si="80"/>
        <v>72250</v>
      </c>
      <c r="J1626" s="252">
        <f t="shared" si="80"/>
        <v>78050</v>
      </c>
      <c r="K1626" s="252">
        <f t="shared" si="80"/>
        <v>83850</v>
      </c>
      <c r="L1626" s="252">
        <f t="shared" si="80"/>
        <v>89600</v>
      </c>
      <c r="M1626" s="252">
        <f t="shared" si="80"/>
        <v>95400</v>
      </c>
    </row>
    <row r="1627" spans="1:13" ht="21.95" customHeight="1" x14ac:dyDescent="0.25">
      <c r="A1627" s="36" t="s">
        <v>2904</v>
      </c>
      <c r="B1627" s="36" t="str">
        <f t="shared" si="79"/>
        <v>NE_HAMILTON COUNTY, NE</v>
      </c>
      <c r="D1627" s="265" t="s">
        <v>78</v>
      </c>
      <c r="E1627" s="266" t="s">
        <v>4411</v>
      </c>
      <c r="F1627" s="252">
        <f t="shared" si="80"/>
        <v>59050</v>
      </c>
      <c r="G1627" s="252">
        <f t="shared" si="80"/>
        <v>67450</v>
      </c>
      <c r="H1627" s="252">
        <f t="shared" si="80"/>
        <v>75900</v>
      </c>
      <c r="I1627" s="252">
        <f t="shared" si="80"/>
        <v>84300</v>
      </c>
      <c r="J1627" s="252">
        <f t="shared" si="80"/>
        <v>91050</v>
      </c>
      <c r="K1627" s="252">
        <f t="shared" si="80"/>
        <v>97800</v>
      </c>
      <c r="L1627" s="252">
        <f t="shared" si="80"/>
        <v>104550</v>
      </c>
      <c r="M1627" s="252">
        <f t="shared" si="80"/>
        <v>111300</v>
      </c>
    </row>
    <row r="1628" spans="1:13" ht="21.95" customHeight="1" x14ac:dyDescent="0.25">
      <c r="A1628" s="36" t="s">
        <v>2904</v>
      </c>
      <c r="B1628" s="36" t="str">
        <f t="shared" si="79"/>
        <v>NE_HARLAN COUNTY, NE</v>
      </c>
      <c r="D1628" s="265" t="s">
        <v>78</v>
      </c>
      <c r="E1628" s="266" t="s">
        <v>4412</v>
      </c>
      <c r="F1628" s="252">
        <f t="shared" si="80"/>
        <v>55950</v>
      </c>
      <c r="G1628" s="252">
        <f t="shared" si="80"/>
        <v>63950</v>
      </c>
      <c r="H1628" s="252">
        <f t="shared" si="80"/>
        <v>71950</v>
      </c>
      <c r="I1628" s="252">
        <f t="shared" si="80"/>
        <v>79900</v>
      </c>
      <c r="J1628" s="252">
        <f t="shared" si="80"/>
        <v>86300</v>
      </c>
      <c r="K1628" s="252">
        <f t="shared" si="80"/>
        <v>92700</v>
      </c>
      <c r="L1628" s="252">
        <f t="shared" si="80"/>
        <v>99100</v>
      </c>
      <c r="M1628" s="252">
        <f t="shared" si="80"/>
        <v>105500</v>
      </c>
    </row>
    <row r="1629" spans="1:13" ht="21.95" customHeight="1" x14ac:dyDescent="0.25">
      <c r="A1629" s="36" t="s">
        <v>2904</v>
      </c>
      <c r="B1629" s="36" t="str">
        <f t="shared" si="79"/>
        <v>NE_HAYES COUNTY, NE</v>
      </c>
      <c r="D1629" s="265" t="s">
        <v>78</v>
      </c>
      <c r="E1629" s="266" t="s">
        <v>4413</v>
      </c>
      <c r="F1629" s="252">
        <f t="shared" si="80"/>
        <v>51350</v>
      </c>
      <c r="G1629" s="252">
        <f t="shared" si="80"/>
        <v>58700</v>
      </c>
      <c r="H1629" s="252">
        <f t="shared" si="80"/>
        <v>66050</v>
      </c>
      <c r="I1629" s="252">
        <f t="shared" si="80"/>
        <v>73350</v>
      </c>
      <c r="J1629" s="252">
        <f t="shared" si="80"/>
        <v>79250</v>
      </c>
      <c r="K1629" s="252">
        <f t="shared" si="80"/>
        <v>85100</v>
      </c>
      <c r="L1629" s="252">
        <f t="shared" si="80"/>
        <v>91000</v>
      </c>
      <c r="M1629" s="252">
        <f t="shared" si="80"/>
        <v>96850</v>
      </c>
    </row>
    <row r="1630" spans="1:13" ht="21.95" customHeight="1" x14ac:dyDescent="0.25">
      <c r="A1630" s="36" t="s">
        <v>2904</v>
      </c>
      <c r="B1630" s="36" t="str">
        <f t="shared" si="79"/>
        <v>NE_HITCHCOCK COUNTY, NE</v>
      </c>
      <c r="D1630" s="265" t="s">
        <v>78</v>
      </c>
      <c r="E1630" s="266" t="s">
        <v>4414</v>
      </c>
      <c r="F1630" s="252">
        <f t="shared" si="80"/>
        <v>50600</v>
      </c>
      <c r="G1630" s="252">
        <f t="shared" si="80"/>
        <v>57800</v>
      </c>
      <c r="H1630" s="252">
        <f t="shared" si="80"/>
        <v>65050</v>
      </c>
      <c r="I1630" s="252">
        <f t="shared" si="80"/>
        <v>72250</v>
      </c>
      <c r="J1630" s="252">
        <f t="shared" si="80"/>
        <v>78050</v>
      </c>
      <c r="K1630" s="252">
        <f t="shared" si="80"/>
        <v>83850</v>
      </c>
      <c r="L1630" s="252">
        <f t="shared" si="80"/>
        <v>89600</v>
      </c>
      <c r="M1630" s="252">
        <f t="shared" si="80"/>
        <v>95400</v>
      </c>
    </row>
    <row r="1631" spans="1:13" ht="21.95" customHeight="1" x14ac:dyDescent="0.25">
      <c r="A1631" s="36" t="s">
        <v>2904</v>
      </c>
      <c r="B1631" s="36" t="str">
        <f t="shared" si="79"/>
        <v>NE_HOLT COUNTY, NE</v>
      </c>
      <c r="D1631" s="265" t="s">
        <v>78</v>
      </c>
      <c r="E1631" s="266" t="s">
        <v>4415</v>
      </c>
      <c r="F1631" s="252">
        <f t="shared" si="80"/>
        <v>52050</v>
      </c>
      <c r="G1631" s="252">
        <f t="shared" si="80"/>
        <v>59450</v>
      </c>
      <c r="H1631" s="252">
        <f t="shared" si="80"/>
        <v>66900</v>
      </c>
      <c r="I1631" s="252">
        <f t="shared" si="80"/>
        <v>74300</v>
      </c>
      <c r="J1631" s="252">
        <f t="shared" si="80"/>
        <v>80250</v>
      </c>
      <c r="K1631" s="252">
        <f t="shared" si="80"/>
        <v>86200</v>
      </c>
      <c r="L1631" s="252">
        <f t="shared" si="80"/>
        <v>92150</v>
      </c>
      <c r="M1631" s="252">
        <f t="shared" si="80"/>
        <v>98100</v>
      </c>
    </row>
    <row r="1632" spans="1:13" ht="21.95" customHeight="1" x14ac:dyDescent="0.25">
      <c r="A1632" s="36" t="s">
        <v>2904</v>
      </c>
      <c r="B1632" s="36" t="str">
        <f t="shared" si="79"/>
        <v>NE_HOOKER COUNTY, NE</v>
      </c>
      <c r="D1632" s="265" t="s">
        <v>78</v>
      </c>
      <c r="E1632" s="266" t="s">
        <v>4416</v>
      </c>
      <c r="F1632" s="252">
        <f t="shared" si="80"/>
        <v>55950</v>
      </c>
      <c r="G1632" s="252">
        <f t="shared" si="80"/>
        <v>63950</v>
      </c>
      <c r="H1632" s="252">
        <f t="shared" si="80"/>
        <v>71950</v>
      </c>
      <c r="I1632" s="252">
        <f t="shared" si="80"/>
        <v>79900</v>
      </c>
      <c r="J1632" s="252">
        <f t="shared" si="80"/>
        <v>86300</v>
      </c>
      <c r="K1632" s="252">
        <f t="shared" si="80"/>
        <v>92700</v>
      </c>
      <c r="L1632" s="252">
        <f t="shared" si="80"/>
        <v>99100</v>
      </c>
      <c r="M1632" s="252">
        <f t="shared" si="80"/>
        <v>105500</v>
      </c>
    </row>
    <row r="1633" spans="1:13" ht="21.95" customHeight="1" x14ac:dyDescent="0.25">
      <c r="A1633" s="36" t="s">
        <v>2904</v>
      </c>
      <c r="B1633" s="36" t="str">
        <f t="shared" si="79"/>
        <v>NE_HOWARD COUNTY, NE HUD METRO FMR AREA</v>
      </c>
      <c r="D1633" s="265" t="s">
        <v>78</v>
      </c>
      <c r="E1633" s="266" t="s">
        <v>4417</v>
      </c>
      <c r="F1633" s="252">
        <f t="shared" si="80"/>
        <v>54750</v>
      </c>
      <c r="G1633" s="252">
        <f t="shared" si="80"/>
        <v>62550</v>
      </c>
      <c r="H1633" s="252">
        <f t="shared" si="80"/>
        <v>70350</v>
      </c>
      <c r="I1633" s="252">
        <f t="shared" si="80"/>
        <v>78150</v>
      </c>
      <c r="J1633" s="252">
        <f t="shared" si="80"/>
        <v>84450</v>
      </c>
      <c r="K1633" s="252">
        <f t="shared" si="80"/>
        <v>90700</v>
      </c>
      <c r="L1633" s="252">
        <f t="shared" si="80"/>
        <v>96950</v>
      </c>
      <c r="M1633" s="252">
        <f t="shared" si="80"/>
        <v>103200</v>
      </c>
    </row>
    <row r="1634" spans="1:13" ht="21.95" customHeight="1" x14ac:dyDescent="0.25">
      <c r="A1634" s="36" t="s">
        <v>2904</v>
      </c>
      <c r="B1634" s="36" t="str">
        <f t="shared" si="79"/>
        <v>NE_JEFFERSON COUNTY, NE</v>
      </c>
      <c r="D1634" s="265" t="s">
        <v>78</v>
      </c>
      <c r="E1634" s="266" t="s">
        <v>4418</v>
      </c>
      <c r="F1634" s="252">
        <f t="shared" si="80"/>
        <v>50600</v>
      </c>
      <c r="G1634" s="252">
        <f t="shared" si="80"/>
        <v>57800</v>
      </c>
      <c r="H1634" s="252">
        <f t="shared" si="80"/>
        <v>65050</v>
      </c>
      <c r="I1634" s="252">
        <f t="shared" si="80"/>
        <v>72250</v>
      </c>
      <c r="J1634" s="252">
        <f t="shared" si="80"/>
        <v>78050</v>
      </c>
      <c r="K1634" s="252">
        <f t="shared" si="80"/>
        <v>83850</v>
      </c>
      <c r="L1634" s="252">
        <f t="shared" si="80"/>
        <v>89600</v>
      </c>
      <c r="M1634" s="252">
        <f t="shared" si="80"/>
        <v>95400</v>
      </c>
    </row>
    <row r="1635" spans="1:13" ht="21.95" customHeight="1" x14ac:dyDescent="0.25">
      <c r="A1635" s="36" t="s">
        <v>2904</v>
      </c>
      <c r="B1635" s="36" t="str">
        <f t="shared" si="79"/>
        <v>NE_JOHNSON COUNTY, NE</v>
      </c>
      <c r="D1635" s="265" t="s">
        <v>78</v>
      </c>
      <c r="E1635" s="266" t="s">
        <v>4419</v>
      </c>
      <c r="F1635" s="252">
        <f t="shared" si="80"/>
        <v>50600</v>
      </c>
      <c r="G1635" s="252">
        <f t="shared" si="80"/>
        <v>57800</v>
      </c>
      <c r="H1635" s="252">
        <f t="shared" si="80"/>
        <v>65050</v>
      </c>
      <c r="I1635" s="252">
        <f t="shared" si="80"/>
        <v>72250</v>
      </c>
      <c r="J1635" s="252">
        <f t="shared" si="80"/>
        <v>78050</v>
      </c>
      <c r="K1635" s="252">
        <f t="shared" si="80"/>
        <v>83850</v>
      </c>
      <c r="L1635" s="252">
        <f t="shared" si="80"/>
        <v>89600</v>
      </c>
      <c r="M1635" s="252">
        <f t="shared" ref="F1635:M1667" si="81">VLOOKUP($B1635,LOOKUP_AMI_TABLE,5+((M$7-1)),FALSE)</f>
        <v>95400</v>
      </c>
    </row>
    <row r="1636" spans="1:13" ht="21.95" customHeight="1" x14ac:dyDescent="0.25">
      <c r="A1636" s="36" t="s">
        <v>2904</v>
      </c>
      <c r="B1636" s="36" t="str">
        <f t="shared" si="79"/>
        <v>NE_KEARNEY COUNTY, NE</v>
      </c>
      <c r="D1636" s="265" t="s">
        <v>78</v>
      </c>
      <c r="E1636" s="266" t="s">
        <v>4420</v>
      </c>
      <c r="F1636" s="252">
        <f t="shared" si="81"/>
        <v>56800</v>
      </c>
      <c r="G1636" s="252">
        <f t="shared" si="81"/>
        <v>64900</v>
      </c>
      <c r="H1636" s="252">
        <f t="shared" si="81"/>
        <v>73000</v>
      </c>
      <c r="I1636" s="252">
        <f t="shared" si="81"/>
        <v>81100</v>
      </c>
      <c r="J1636" s="252">
        <f t="shared" si="81"/>
        <v>87600</v>
      </c>
      <c r="K1636" s="252">
        <f t="shared" si="81"/>
        <v>94100</v>
      </c>
      <c r="L1636" s="252">
        <f t="shared" si="81"/>
        <v>100600</v>
      </c>
      <c r="M1636" s="252">
        <f t="shared" si="81"/>
        <v>107100</v>
      </c>
    </row>
    <row r="1637" spans="1:13" ht="21.95" customHeight="1" x14ac:dyDescent="0.25">
      <c r="A1637" s="36" t="s">
        <v>2904</v>
      </c>
      <c r="B1637" s="36" t="str">
        <f t="shared" si="79"/>
        <v>NE_KEITH COUNTY, NE</v>
      </c>
      <c r="D1637" s="265" t="s">
        <v>78</v>
      </c>
      <c r="E1637" s="266" t="s">
        <v>4421</v>
      </c>
      <c r="F1637" s="252">
        <f t="shared" si="81"/>
        <v>50600</v>
      </c>
      <c r="G1637" s="252">
        <f t="shared" si="81"/>
        <v>57800</v>
      </c>
      <c r="H1637" s="252">
        <f t="shared" si="81"/>
        <v>65050</v>
      </c>
      <c r="I1637" s="252">
        <f t="shared" si="81"/>
        <v>72250</v>
      </c>
      <c r="J1637" s="252">
        <f t="shared" si="81"/>
        <v>78050</v>
      </c>
      <c r="K1637" s="252">
        <f t="shared" si="81"/>
        <v>83850</v>
      </c>
      <c r="L1637" s="252">
        <f t="shared" si="81"/>
        <v>89600</v>
      </c>
      <c r="M1637" s="252">
        <f t="shared" si="81"/>
        <v>95400</v>
      </c>
    </row>
    <row r="1638" spans="1:13" ht="21.95" customHeight="1" x14ac:dyDescent="0.25">
      <c r="A1638" s="36" t="s">
        <v>2904</v>
      </c>
      <c r="B1638" s="36" t="str">
        <f t="shared" si="79"/>
        <v>NE_KEYA PAHA COUNTY, NE</v>
      </c>
      <c r="D1638" s="265" t="s">
        <v>78</v>
      </c>
      <c r="E1638" s="266" t="s">
        <v>4422</v>
      </c>
      <c r="F1638" s="252">
        <f t="shared" si="81"/>
        <v>50600</v>
      </c>
      <c r="G1638" s="252">
        <f t="shared" si="81"/>
        <v>57800</v>
      </c>
      <c r="H1638" s="252">
        <f t="shared" si="81"/>
        <v>65050</v>
      </c>
      <c r="I1638" s="252">
        <f t="shared" si="81"/>
        <v>72250</v>
      </c>
      <c r="J1638" s="252">
        <f t="shared" si="81"/>
        <v>78050</v>
      </c>
      <c r="K1638" s="252">
        <f t="shared" si="81"/>
        <v>83850</v>
      </c>
      <c r="L1638" s="252">
        <f t="shared" si="81"/>
        <v>89600</v>
      </c>
      <c r="M1638" s="252">
        <f t="shared" si="81"/>
        <v>95400</v>
      </c>
    </row>
    <row r="1639" spans="1:13" ht="21.95" customHeight="1" x14ac:dyDescent="0.25">
      <c r="A1639" s="36" t="s">
        <v>2904</v>
      </c>
      <c r="B1639" s="36" t="str">
        <f t="shared" si="79"/>
        <v>NE_KIMBALL COUNTY, NE</v>
      </c>
      <c r="D1639" s="265" t="s">
        <v>78</v>
      </c>
      <c r="E1639" s="266" t="s">
        <v>4423</v>
      </c>
      <c r="F1639" s="252">
        <f t="shared" si="81"/>
        <v>50600</v>
      </c>
      <c r="G1639" s="252">
        <f t="shared" si="81"/>
        <v>57800</v>
      </c>
      <c r="H1639" s="252">
        <f t="shared" si="81"/>
        <v>65050</v>
      </c>
      <c r="I1639" s="252">
        <f t="shared" si="81"/>
        <v>72250</v>
      </c>
      <c r="J1639" s="252">
        <f t="shared" si="81"/>
        <v>78050</v>
      </c>
      <c r="K1639" s="252">
        <f t="shared" si="81"/>
        <v>83850</v>
      </c>
      <c r="L1639" s="252">
        <f t="shared" si="81"/>
        <v>89600</v>
      </c>
      <c r="M1639" s="252">
        <f t="shared" si="81"/>
        <v>95400</v>
      </c>
    </row>
    <row r="1640" spans="1:13" ht="21.95" customHeight="1" x14ac:dyDescent="0.25">
      <c r="A1640" s="36" t="s">
        <v>2904</v>
      </c>
      <c r="B1640" s="36" t="str">
        <f t="shared" si="79"/>
        <v>NE_KNOX COUNTY, NE</v>
      </c>
      <c r="D1640" s="265" t="s">
        <v>78</v>
      </c>
      <c r="E1640" s="266" t="s">
        <v>4424</v>
      </c>
      <c r="F1640" s="252">
        <f t="shared" si="81"/>
        <v>50600</v>
      </c>
      <c r="G1640" s="252">
        <f t="shared" si="81"/>
        <v>57800</v>
      </c>
      <c r="H1640" s="252">
        <f t="shared" si="81"/>
        <v>65050</v>
      </c>
      <c r="I1640" s="252">
        <f t="shared" si="81"/>
        <v>72250</v>
      </c>
      <c r="J1640" s="252">
        <f t="shared" si="81"/>
        <v>78050</v>
      </c>
      <c r="K1640" s="252">
        <f t="shared" si="81"/>
        <v>83850</v>
      </c>
      <c r="L1640" s="252">
        <f t="shared" si="81"/>
        <v>89600</v>
      </c>
      <c r="M1640" s="252">
        <f t="shared" si="81"/>
        <v>95400</v>
      </c>
    </row>
    <row r="1641" spans="1:13" ht="21.95" customHeight="1" x14ac:dyDescent="0.25">
      <c r="A1641" s="36" t="s">
        <v>2904</v>
      </c>
      <c r="B1641" s="36" t="str">
        <f t="shared" si="79"/>
        <v>NE_LINCOLN COUNTY, NE</v>
      </c>
      <c r="D1641" s="265" t="s">
        <v>78</v>
      </c>
      <c r="E1641" s="266" t="s">
        <v>4425</v>
      </c>
      <c r="F1641" s="252">
        <f t="shared" si="81"/>
        <v>52100</v>
      </c>
      <c r="G1641" s="252">
        <f t="shared" si="81"/>
        <v>59550</v>
      </c>
      <c r="H1641" s="252">
        <f t="shared" si="81"/>
        <v>67000</v>
      </c>
      <c r="I1641" s="252">
        <f t="shared" si="81"/>
        <v>74400</v>
      </c>
      <c r="J1641" s="252">
        <f t="shared" si="81"/>
        <v>80400</v>
      </c>
      <c r="K1641" s="252">
        <f t="shared" si="81"/>
        <v>86350</v>
      </c>
      <c r="L1641" s="252">
        <f t="shared" si="81"/>
        <v>92300</v>
      </c>
      <c r="M1641" s="252">
        <f t="shared" si="81"/>
        <v>98250</v>
      </c>
    </row>
    <row r="1642" spans="1:13" ht="21.95" customHeight="1" x14ac:dyDescent="0.25">
      <c r="A1642" s="36" t="s">
        <v>2904</v>
      </c>
      <c r="B1642" s="36" t="str">
        <f t="shared" si="79"/>
        <v>NE_LINCOLN, NE HUD METRO FMR AREA</v>
      </c>
      <c r="D1642" s="265" t="s">
        <v>78</v>
      </c>
      <c r="E1642" s="266" t="s">
        <v>4426</v>
      </c>
      <c r="F1642" s="252">
        <f t="shared" si="81"/>
        <v>60200</v>
      </c>
      <c r="G1642" s="252">
        <f t="shared" si="81"/>
        <v>68800</v>
      </c>
      <c r="H1642" s="252">
        <f t="shared" si="81"/>
        <v>77400</v>
      </c>
      <c r="I1642" s="252">
        <f t="shared" si="81"/>
        <v>86000</v>
      </c>
      <c r="J1642" s="252">
        <f t="shared" si="81"/>
        <v>92900</v>
      </c>
      <c r="K1642" s="252">
        <f t="shared" si="81"/>
        <v>99800</v>
      </c>
      <c r="L1642" s="252">
        <f t="shared" si="81"/>
        <v>106650</v>
      </c>
      <c r="M1642" s="252">
        <f t="shared" si="81"/>
        <v>113550</v>
      </c>
    </row>
    <row r="1643" spans="1:13" ht="21.95" customHeight="1" x14ac:dyDescent="0.25">
      <c r="A1643" s="36" t="s">
        <v>2904</v>
      </c>
      <c r="B1643" s="36" t="str">
        <f t="shared" si="79"/>
        <v>NE_LOGAN COUNTY, NE</v>
      </c>
      <c r="D1643" s="265" t="s">
        <v>78</v>
      </c>
      <c r="E1643" s="266" t="s">
        <v>4427</v>
      </c>
      <c r="F1643" s="252">
        <f t="shared" si="81"/>
        <v>50600</v>
      </c>
      <c r="G1643" s="252">
        <f t="shared" si="81"/>
        <v>57800</v>
      </c>
      <c r="H1643" s="252">
        <f t="shared" si="81"/>
        <v>65050</v>
      </c>
      <c r="I1643" s="252">
        <f t="shared" si="81"/>
        <v>72250</v>
      </c>
      <c r="J1643" s="252">
        <f t="shared" si="81"/>
        <v>78050</v>
      </c>
      <c r="K1643" s="252">
        <f t="shared" si="81"/>
        <v>83850</v>
      </c>
      <c r="L1643" s="252">
        <f t="shared" si="81"/>
        <v>89600</v>
      </c>
      <c r="M1643" s="252">
        <f t="shared" si="81"/>
        <v>95400</v>
      </c>
    </row>
    <row r="1644" spans="1:13" ht="21.95" customHeight="1" x14ac:dyDescent="0.25">
      <c r="A1644" s="36" t="s">
        <v>2904</v>
      </c>
      <c r="B1644" s="36" t="str">
        <f t="shared" si="79"/>
        <v>NE_LOUP COUNTY, NE</v>
      </c>
      <c r="D1644" s="265" t="s">
        <v>78</v>
      </c>
      <c r="E1644" s="266" t="s">
        <v>4428</v>
      </c>
      <c r="F1644" s="252">
        <f t="shared" si="81"/>
        <v>50600</v>
      </c>
      <c r="G1644" s="252">
        <f t="shared" si="81"/>
        <v>57800</v>
      </c>
      <c r="H1644" s="252">
        <f t="shared" si="81"/>
        <v>65050</v>
      </c>
      <c r="I1644" s="252">
        <f t="shared" si="81"/>
        <v>72250</v>
      </c>
      <c r="J1644" s="252">
        <f t="shared" si="81"/>
        <v>78050</v>
      </c>
      <c r="K1644" s="252">
        <f t="shared" si="81"/>
        <v>83850</v>
      </c>
      <c r="L1644" s="252">
        <f t="shared" si="81"/>
        <v>89600</v>
      </c>
      <c r="M1644" s="252">
        <f t="shared" si="81"/>
        <v>95400</v>
      </c>
    </row>
    <row r="1645" spans="1:13" ht="21.95" customHeight="1" x14ac:dyDescent="0.25">
      <c r="A1645" s="36" t="s">
        <v>2904</v>
      </c>
      <c r="B1645" s="36" t="str">
        <f t="shared" si="79"/>
        <v>NE_MADISON COUNTY, NE</v>
      </c>
      <c r="D1645" s="265" t="s">
        <v>78</v>
      </c>
      <c r="E1645" s="266" t="s">
        <v>4429</v>
      </c>
      <c r="F1645" s="252">
        <f t="shared" si="81"/>
        <v>52100</v>
      </c>
      <c r="G1645" s="252">
        <f t="shared" si="81"/>
        <v>59550</v>
      </c>
      <c r="H1645" s="252">
        <f t="shared" si="81"/>
        <v>67000</v>
      </c>
      <c r="I1645" s="252">
        <f t="shared" si="81"/>
        <v>74400</v>
      </c>
      <c r="J1645" s="252">
        <f t="shared" si="81"/>
        <v>80400</v>
      </c>
      <c r="K1645" s="252">
        <f t="shared" si="81"/>
        <v>86350</v>
      </c>
      <c r="L1645" s="252">
        <f t="shared" si="81"/>
        <v>92300</v>
      </c>
      <c r="M1645" s="252">
        <f t="shared" si="81"/>
        <v>98250</v>
      </c>
    </row>
    <row r="1646" spans="1:13" ht="21.95" customHeight="1" x14ac:dyDescent="0.25">
      <c r="A1646" s="36" t="s">
        <v>2904</v>
      </c>
      <c r="B1646" s="36" t="str">
        <f t="shared" si="79"/>
        <v>NE_MCPHERSON COUNTY, NE</v>
      </c>
      <c r="D1646" s="265" t="s">
        <v>78</v>
      </c>
      <c r="E1646" s="266" t="s">
        <v>4430</v>
      </c>
      <c r="F1646" s="252">
        <f t="shared" si="81"/>
        <v>50600</v>
      </c>
      <c r="G1646" s="252">
        <f t="shared" si="81"/>
        <v>57800</v>
      </c>
      <c r="H1646" s="252">
        <f t="shared" si="81"/>
        <v>65050</v>
      </c>
      <c r="I1646" s="252">
        <f t="shared" si="81"/>
        <v>72250</v>
      </c>
      <c r="J1646" s="252">
        <f t="shared" si="81"/>
        <v>78050</v>
      </c>
      <c r="K1646" s="252">
        <f t="shared" si="81"/>
        <v>83850</v>
      </c>
      <c r="L1646" s="252">
        <f t="shared" si="81"/>
        <v>89600</v>
      </c>
      <c r="M1646" s="252">
        <f t="shared" si="81"/>
        <v>95400</v>
      </c>
    </row>
    <row r="1647" spans="1:13" ht="21.95" customHeight="1" x14ac:dyDescent="0.25">
      <c r="A1647" s="36" t="s">
        <v>2904</v>
      </c>
      <c r="B1647" s="36" t="str">
        <f t="shared" si="79"/>
        <v>NE_MERRICK COUNTY, NE HUD METRO FMR AREA</v>
      </c>
      <c r="D1647" s="265" t="s">
        <v>78</v>
      </c>
      <c r="E1647" s="266" t="s">
        <v>4431</v>
      </c>
      <c r="F1647" s="252">
        <f t="shared" si="81"/>
        <v>52100</v>
      </c>
      <c r="G1647" s="252">
        <f t="shared" si="81"/>
        <v>59550</v>
      </c>
      <c r="H1647" s="252">
        <f t="shared" si="81"/>
        <v>67000</v>
      </c>
      <c r="I1647" s="252">
        <f t="shared" si="81"/>
        <v>74400</v>
      </c>
      <c r="J1647" s="252">
        <f t="shared" si="81"/>
        <v>80400</v>
      </c>
      <c r="K1647" s="252">
        <f t="shared" si="81"/>
        <v>86350</v>
      </c>
      <c r="L1647" s="252">
        <f t="shared" si="81"/>
        <v>92300</v>
      </c>
      <c r="M1647" s="252">
        <f t="shared" si="81"/>
        <v>98250</v>
      </c>
    </row>
    <row r="1648" spans="1:13" ht="21.95" customHeight="1" x14ac:dyDescent="0.25">
      <c r="A1648" s="36" t="s">
        <v>2904</v>
      </c>
      <c r="B1648" s="36" t="str">
        <f t="shared" si="79"/>
        <v>NE_MORRILL COUNTY, NE</v>
      </c>
      <c r="D1648" s="265" t="s">
        <v>78</v>
      </c>
      <c r="E1648" s="266" t="s">
        <v>4432</v>
      </c>
      <c r="F1648" s="252">
        <f t="shared" si="81"/>
        <v>51100</v>
      </c>
      <c r="G1648" s="252">
        <f t="shared" si="81"/>
        <v>58400</v>
      </c>
      <c r="H1648" s="252">
        <f t="shared" si="81"/>
        <v>65700</v>
      </c>
      <c r="I1648" s="252">
        <f t="shared" si="81"/>
        <v>72950</v>
      </c>
      <c r="J1648" s="252">
        <f t="shared" si="81"/>
        <v>78800</v>
      </c>
      <c r="K1648" s="252">
        <f t="shared" si="81"/>
        <v>84650</v>
      </c>
      <c r="L1648" s="252">
        <f t="shared" si="81"/>
        <v>90500</v>
      </c>
      <c r="M1648" s="252">
        <f t="shared" si="81"/>
        <v>96300</v>
      </c>
    </row>
    <row r="1649" spans="1:13" ht="21.95" customHeight="1" x14ac:dyDescent="0.25">
      <c r="A1649" s="36" t="s">
        <v>2904</v>
      </c>
      <c r="B1649" s="36" t="str">
        <f t="shared" si="79"/>
        <v>NE_NANCE COUNTY, NE</v>
      </c>
      <c r="D1649" s="265" t="s">
        <v>78</v>
      </c>
      <c r="E1649" s="266" t="s">
        <v>4433</v>
      </c>
      <c r="F1649" s="252">
        <f t="shared" si="81"/>
        <v>52100</v>
      </c>
      <c r="G1649" s="252">
        <f t="shared" si="81"/>
        <v>59550</v>
      </c>
      <c r="H1649" s="252">
        <f t="shared" si="81"/>
        <v>67000</v>
      </c>
      <c r="I1649" s="252">
        <f t="shared" si="81"/>
        <v>74400</v>
      </c>
      <c r="J1649" s="252">
        <f t="shared" si="81"/>
        <v>80400</v>
      </c>
      <c r="K1649" s="252">
        <f t="shared" si="81"/>
        <v>86350</v>
      </c>
      <c r="L1649" s="252">
        <f t="shared" si="81"/>
        <v>92300</v>
      </c>
      <c r="M1649" s="252">
        <f t="shared" si="81"/>
        <v>98250</v>
      </c>
    </row>
    <row r="1650" spans="1:13" ht="21.95" customHeight="1" x14ac:dyDescent="0.25">
      <c r="A1650" s="36" t="s">
        <v>2904</v>
      </c>
      <c r="B1650" s="36" t="str">
        <f t="shared" si="79"/>
        <v>NE_NEMAHA COUNTY, NE</v>
      </c>
      <c r="D1650" s="265" t="s">
        <v>78</v>
      </c>
      <c r="E1650" s="266" t="s">
        <v>4434</v>
      </c>
      <c r="F1650" s="252">
        <f t="shared" si="81"/>
        <v>52100</v>
      </c>
      <c r="G1650" s="252">
        <f t="shared" si="81"/>
        <v>59550</v>
      </c>
      <c r="H1650" s="252">
        <f t="shared" si="81"/>
        <v>67000</v>
      </c>
      <c r="I1650" s="252">
        <f t="shared" si="81"/>
        <v>74400</v>
      </c>
      <c r="J1650" s="252">
        <f t="shared" si="81"/>
        <v>80400</v>
      </c>
      <c r="K1650" s="252">
        <f t="shared" si="81"/>
        <v>86350</v>
      </c>
      <c r="L1650" s="252">
        <f t="shared" si="81"/>
        <v>92300</v>
      </c>
      <c r="M1650" s="252">
        <f t="shared" si="81"/>
        <v>98250</v>
      </c>
    </row>
    <row r="1651" spans="1:13" ht="21.95" customHeight="1" x14ac:dyDescent="0.25">
      <c r="A1651" s="36" t="s">
        <v>2904</v>
      </c>
      <c r="B1651" s="36" t="str">
        <f t="shared" si="79"/>
        <v>NE_NUCKOLLS COUNTY, NE</v>
      </c>
      <c r="D1651" s="265" t="s">
        <v>78</v>
      </c>
      <c r="E1651" s="266" t="s">
        <v>4435</v>
      </c>
      <c r="F1651" s="252">
        <f t="shared" si="81"/>
        <v>50600</v>
      </c>
      <c r="G1651" s="252">
        <f t="shared" si="81"/>
        <v>57800</v>
      </c>
      <c r="H1651" s="252">
        <f t="shared" si="81"/>
        <v>65050</v>
      </c>
      <c r="I1651" s="252">
        <f t="shared" si="81"/>
        <v>72250</v>
      </c>
      <c r="J1651" s="252">
        <f t="shared" si="81"/>
        <v>78050</v>
      </c>
      <c r="K1651" s="252">
        <f t="shared" si="81"/>
        <v>83850</v>
      </c>
      <c r="L1651" s="252">
        <f t="shared" si="81"/>
        <v>89600</v>
      </c>
      <c r="M1651" s="252">
        <f t="shared" si="81"/>
        <v>95400</v>
      </c>
    </row>
    <row r="1652" spans="1:13" ht="21.95" customHeight="1" x14ac:dyDescent="0.25">
      <c r="A1652" s="36" t="s">
        <v>2904</v>
      </c>
      <c r="B1652" s="36" t="str">
        <f t="shared" si="79"/>
        <v>NE_OMAHA-COUNCIL BLUFFS, NE-IA HUD METRO FMR AREA</v>
      </c>
      <c r="D1652" s="265" t="s">
        <v>78</v>
      </c>
      <c r="E1652" s="266" t="s">
        <v>3438</v>
      </c>
      <c r="F1652" s="252">
        <f t="shared" si="81"/>
        <v>63700</v>
      </c>
      <c r="G1652" s="252">
        <f t="shared" si="81"/>
        <v>72800</v>
      </c>
      <c r="H1652" s="252">
        <f t="shared" si="81"/>
        <v>81900</v>
      </c>
      <c r="I1652" s="252">
        <f t="shared" si="81"/>
        <v>90950</v>
      </c>
      <c r="J1652" s="252">
        <f t="shared" si="81"/>
        <v>98250</v>
      </c>
      <c r="K1652" s="252">
        <f t="shared" si="81"/>
        <v>105550</v>
      </c>
      <c r="L1652" s="252">
        <f t="shared" si="81"/>
        <v>112800</v>
      </c>
      <c r="M1652" s="252">
        <f t="shared" si="81"/>
        <v>120100</v>
      </c>
    </row>
    <row r="1653" spans="1:13" ht="21.95" customHeight="1" x14ac:dyDescent="0.25">
      <c r="A1653" s="36" t="s">
        <v>2904</v>
      </c>
      <c r="B1653" s="36" t="str">
        <f t="shared" si="79"/>
        <v>NE_OTOE COUNTY, NE</v>
      </c>
      <c r="D1653" s="265" t="s">
        <v>78</v>
      </c>
      <c r="E1653" s="266" t="s">
        <v>4436</v>
      </c>
      <c r="F1653" s="252">
        <f t="shared" si="81"/>
        <v>59850</v>
      </c>
      <c r="G1653" s="252">
        <f t="shared" si="81"/>
        <v>68400</v>
      </c>
      <c r="H1653" s="252">
        <f t="shared" si="81"/>
        <v>76950</v>
      </c>
      <c r="I1653" s="252">
        <f t="shared" si="81"/>
        <v>85500</v>
      </c>
      <c r="J1653" s="252">
        <f t="shared" si="81"/>
        <v>92350</v>
      </c>
      <c r="K1653" s="252">
        <f t="shared" si="81"/>
        <v>99200</v>
      </c>
      <c r="L1653" s="252">
        <f t="shared" si="81"/>
        <v>106050</v>
      </c>
      <c r="M1653" s="252">
        <f t="shared" si="81"/>
        <v>112900</v>
      </c>
    </row>
    <row r="1654" spans="1:13" ht="21.95" customHeight="1" x14ac:dyDescent="0.25">
      <c r="A1654" s="36" t="s">
        <v>2904</v>
      </c>
      <c r="B1654" s="36" t="str">
        <f t="shared" si="79"/>
        <v>NE_PAWNEE COUNTY, NE</v>
      </c>
      <c r="D1654" s="265" t="s">
        <v>78</v>
      </c>
      <c r="E1654" s="266" t="s">
        <v>4437</v>
      </c>
      <c r="F1654" s="252">
        <f t="shared" si="81"/>
        <v>50600</v>
      </c>
      <c r="G1654" s="252">
        <f t="shared" si="81"/>
        <v>57800</v>
      </c>
      <c r="H1654" s="252">
        <f t="shared" si="81"/>
        <v>65050</v>
      </c>
      <c r="I1654" s="252">
        <f t="shared" si="81"/>
        <v>72250</v>
      </c>
      <c r="J1654" s="252">
        <f t="shared" si="81"/>
        <v>78050</v>
      </c>
      <c r="K1654" s="252">
        <f t="shared" si="81"/>
        <v>83850</v>
      </c>
      <c r="L1654" s="252">
        <f t="shared" si="81"/>
        <v>89600</v>
      </c>
      <c r="M1654" s="252">
        <f t="shared" si="81"/>
        <v>95400</v>
      </c>
    </row>
    <row r="1655" spans="1:13" ht="21.95" customHeight="1" x14ac:dyDescent="0.25">
      <c r="A1655" s="36" t="s">
        <v>2904</v>
      </c>
      <c r="B1655" s="36" t="str">
        <f t="shared" si="79"/>
        <v>NE_PERKINS COUNTY, NE</v>
      </c>
      <c r="D1655" s="265" t="s">
        <v>78</v>
      </c>
      <c r="E1655" s="266" t="s">
        <v>4438</v>
      </c>
      <c r="F1655" s="252">
        <f t="shared" si="81"/>
        <v>52100</v>
      </c>
      <c r="G1655" s="252">
        <f t="shared" si="81"/>
        <v>59550</v>
      </c>
      <c r="H1655" s="252">
        <f t="shared" si="81"/>
        <v>67000</v>
      </c>
      <c r="I1655" s="252">
        <f t="shared" si="81"/>
        <v>74400</v>
      </c>
      <c r="J1655" s="252">
        <f t="shared" si="81"/>
        <v>80400</v>
      </c>
      <c r="K1655" s="252">
        <f t="shared" si="81"/>
        <v>86350</v>
      </c>
      <c r="L1655" s="252">
        <f t="shared" si="81"/>
        <v>92300</v>
      </c>
      <c r="M1655" s="252">
        <f t="shared" si="81"/>
        <v>98250</v>
      </c>
    </row>
    <row r="1656" spans="1:13" ht="21.95" customHeight="1" x14ac:dyDescent="0.25">
      <c r="A1656" s="36" t="s">
        <v>2904</v>
      </c>
      <c r="B1656" s="36" t="str">
        <f t="shared" si="79"/>
        <v>NE_PHELPS COUNTY, NE</v>
      </c>
      <c r="D1656" s="265" t="s">
        <v>78</v>
      </c>
      <c r="E1656" s="266" t="s">
        <v>4439</v>
      </c>
      <c r="F1656" s="252">
        <f t="shared" si="81"/>
        <v>55200</v>
      </c>
      <c r="G1656" s="252">
        <f t="shared" si="81"/>
        <v>63050</v>
      </c>
      <c r="H1656" s="252">
        <f t="shared" si="81"/>
        <v>70950</v>
      </c>
      <c r="I1656" s="252">
        <f t="shared" si="81"/>
        <v>78800</v>
      </c>
      <c r="J1656" s="252">
        <f t="shared" si="81"/>
        <v>85150</v>
      </c>
      <c r="K1656" s="252">
        <f t="shared" si="81"/>
        <v>91450</v>
      </c>
      <c r="L1656" s="252">
        <f t="shared" si="81"/>
        <v>97750</v>
      </c>
      <c r="M1656" s="252">
        <f t="shared" si="81"/>
        <v>104050</v>
      </c>
    </row>
    <row r="1657" spans="1:13" ht="21.95" customHeight="1" x14ac:dyDescent="0.25">
      <c r="A1657" s="36" t="s">
        <v>2904</v>
      </c>
      <c r="B1657" s="36" t="str">
        <f t="shared" si="79"/>
        <v>NE_PIERCE COUNTY, NE</v>
      </c>
      <c r="D1657" s="265" t="s">
        <v>78</v>
      </c>
      <c r="E1657" s="266" t="s">
        <v>4440</v>
      </c>
      <c r="F1657" s="252">
        <f t="shared" si="81"/>
        <v>51250</v>
      </c>
      <c r="G1657" s="252">
        <f t="shared" si="81"/>
        <v>58600</v>
      </c>
      <c r="H1657" s="252">
        <f t="shared" si="81"/>
        <v>65900</v>
      </c>
      <c r="I1657" s="252">
        <f t="shared" si="81"/>
        <v>73200</v>
      </c>
      <c r="J1657" s="252">
        <f t="shared" si="81"/>
        <v>79100</v>
      </c>
      <c r="K1657" s="252">
        <f t="shared" si="81"/>
        <v>84950</v>
      </c>
      <c r="L1657" s="252">
        <f t="shared" si="81"/>
        <v>90800</v>
      </c>
      <c r="M1657" s="252">
        <f t="shared" si="81"/>
        <v>96650</v>
      </c>
    </row>
    <row r="1658" spans="1:13" ht="21.95" customHeight="1" x14ac:dyDescent="0.25">
      <c r="A1658" s="36" t="s">
        <v>2904</v>
      </c>
      <c r="B1658" s="36" t="str">
        <f t="shared" si="79"/>
        <v>NE_PLATTE COUNTY, NE</v>
      </c>
      <c r="D1658" s="265" t="s">
        <v>78</v>
      </c>
      <c r="E1658" s="266" t="s">
        <v>4441</v>
      </c>
      <c r="F1658" s="252">
        <f t="shared" si="81"/>
        <v>56100</v>
      </c>
      <c r="G1658" s="252">
        <f t="shared" si="81"/>
        <v>64100</v>
      </c>
      <c r="H1658" s="252">
        <f t="shared" si="81"/>
        <v>72100</v>
      </c>
      <c r="I1658" s="252">
        <f t="shared" si="81"/>
        <v>80100</v>
      </c>
      <c r="J1658" s="252">
        <f t="shared" si="81"/>
        <v>86550</v>
      </c>
      <c r="K1658" s="252">
        <f t="shared" si="81"/>
        <v>92950</v>
      </c>
      <c r="L1658" s="252">
        <f t="shared" si="81"/>
        <v>99350</v>
      </c>
      <c r="M1658" s="252">
        <f t="shared" si="81"/>
        <v>105750</v>
      </c>
    </row>
    <row r="1659" spans="1:13" ht="21.95" customHeight="1" x14ac:dyDescent="0.25">
      <c r="A1659" s="36" t="s">
        <v>2904</v>
      </c>
      <c r="B1659" s="36" t="str">
        <f t="shared" si="79"/>
        <v>NE_POLK COUNTY, NE</v>
      </c>
      <c r="D1659" s="265" t="s">
        <v>78</v>
      </c>
      <c r="E1659" s="266" t="s">
        <v>4442</v>
      </c>
      <c r="F1659" s="252">
        <f t="shared" si="81"/>
        <v>55250</v>
      </c>
      <c r="G1659" s="252">
        <f t="shared" si="81"/>
        <v>63150</v>
      </c>
      <c r="H1659" s="252">
        <f t="shared" si="81"/>
        <v>71050</v>
      </c>
      <c r="I1659" s="252">
        <f t="shared" si="81"/>
        <v>78900</v>
      </c>
      <c r="J1659" s="252">
        <f t="shared" si="81"/>
        <v>85250</v>
      </c>
      <c r="K1659" s="252">
        <f t="shared" si="81"/>
        <v>91550</v>
      </c>
      <c r="L1659" s="252">
        <f t="shared" si="81"/>
        <v>97850</v>
      </c>
      <c r="M1659" s="252">
        <f t="shared" si="81"/>
        <v>104150</v>
      </c>
    </row>
    <row r="1660" spans="1:13" ht="21.95" customHeight="1" x14ac:dyDescent="0.25">
      <c r="A1660" s="36" t="s">
        <v>2904</v>
      </c>
      <c r="B1660" s="36" t="str">
        <f t="shared" ref="B1660:B1723" si="82">UPPER(TRIM(D1660)&amp;"_"&amp;TRIM(E1660))</f>
        <v>NE_RED WILLOW COUNTY, NE</v>
      </c>
      <c r="D1660" s="265" t="s">
        <v>78</v>
      </c>
      <c r="E1660" s="266" t="s">
        <v>4443</v>
      </c>
      <c r="F1660" s="252">
        <f t="shared" si="81"/>
        <v>53750</v>
      </c>
      <c r="G1660" s="252">
        <f t="shared" si="81"/>
        <v>61400</v>
      </c>
      <c r="H1660" s="252">
        <f t="shared" si="81"/>
        <v>69100</v>
      </c>
      <c r="I1660" s="252">
        <f t="shared" si="81"/>
        <v>76750</v>
      </c>
      <c r="J1660" s="252">
        <f t="shared" si="81"/>
        <v>82900</v>
      </c>
      <c r="K1660" s="252">
        <f t="shared" si="81"/>
        <v>89050</v>
      </c>
      <c r="L1660" s="252">
        <f t="shared" si="81"/>
        <v>95200</v>
      </c>
      <c r="M1660" s="252">
        <f t="shared" si="81"/>
        <v>101350</v>
      </c>
    </row>
    <row r="1661" spans="1:13" ht="21.95" customHeight="1" x14ac:dyDescent="0.25">
      <c r="A1661" s="36" t="s">
        <v>2904</v>
      </c>
      <c r="B1661" s="36" t="str">
        <f t="shared" si="82"/>
        <v>NE_RICHARDSON COUNTY, NE</v>
      </c>
      <c r="D1661" s="265" t="s">
        <v>78</v>
      </c>
      <c r="E1661" s="266" t="s">
        <v>4444</v>
      </c>
      <c r="F1661" s="252">
        <f t="shared" si="81"/>
        <v>50600</v>
      </c>
      <c r="G1661" s="252">
        <f t="shared" si="81"/>
        <v>57800</v>
      </c>
      <c r="H1661" s="252">
        <f t="shared" si="81"/>
        <v>65050</v>
      </c>
      <c r="I1661" s="252">
        <f t="shared" si="81"/>
        <v>72250</v>
      </c>
      <c r="J1661" s="252">
        <f t="shared" si="81"/>
        <v>78050</v>
      </c>
      <c r="K1661" s="252">
        <f t="shared" si="81"/>
        <v>83850</v>
      </c>
      <c r="L1661" s="252">
        <f t="shared" si="81"/>
        <v>89600</v>
      </c>
      <c r="M1661" s="252">
        <f t="shared" si="81"/>
        <v>95400</v>
      </c>
    </row>
    <row r="1662" spans="1:13" ht="21.95" customHeight="1" x14ac:dyDescent="0.25">
      <c r="A1662" s="36" t="s">
        <v>2904</v>
      </c>
      <c r="B1662" s="36" t="str">
        <f t="shared" si="82"/>
        <v>NE_ROCK COUNTY, NE</v>
      </c>
      <c r="D1662" s="265" t="s">
        <v>78</v>
      </c>
      <c r="E1662" s="266" t="s">
        <v>4445</v>
      </c>
      <c r="F1662" s="252">
        <f t="shared" si="81"/>
        <v>50600</v>
      </c>
      <c r="G1662" s="252">
        <f t="shared" si="81"/>
        <v>57800</v>
      </c>
      <c r="H1662" s="252">
        <f t="shared" si="81"/>
        <v>65050</v>
      </c>
      <c r="I1662" s="252">
        <f t="shared" si="81"/>
        <v>72250</v>
      </c>
      <c r="J1662" s="252">
        <f t="shared" si="81"/>
        <v>78050</v>
      </c>
      <c r="K1662" s="252">
        <f t="shared" si="81"/>
        <v>83850</v>
      </c>
      <c r="L1662" s="252">
        <f t="shared" si="81"/>
        <v>89600</v>
      </c>
      <c r="M1662" s="252">
        <f t="shared" si="81"/>
        <v>95400</v>
      </c>
    </row>
    <row r="1663" spans="1:13" ht="21.95" customHeight="1" x14ac:dyDescent="0.25">
      <c r="A1663" s="36" t="s">
        <v>2904</v>
      </c>
      <c r="B1663" s="36" t="str">
        <f t="shared" si="82"/>
        <v>NE_SALINE COUNTY, NE</v>
      </c>
      <c r="D1663" s="265" t="s">
        <v>78</v>
      </c>
      <c r="E1663" s="266" t="s">
        <v>4446</v>
      </c>
      <c r="F1663" s="252">
        <f t="shared" si="81"/>
        <v>53850</v>
      </c>
      <c r="G1663" s="252">
        <f t="shared" si="81"/>
        <v>61550</v>
      </c>
      <c r="H1663" s="252">
        <f t="shared" si="81"/>
        <v>69250</v>
      </c>
      <c r="I1663" s="252">
        <f t="shared" si="81"/>
        <v>76900</v>
      </c>
      <c r="J1663" s="252">
        <f t="shared" si="81"/>
        <v>83100</v>
      </c>
      <c r="K1663" s="252">
        <f t="shared" si="81"/>
        <v>89250</v>
      </c>
      <c r="L1663" s="252">
        <f t="shared" si="81"/>
        <v>95400</v>
      </c>
      <c r="M1663" s="252">
        <f t="shared" si="81"/>
        <v>101550</v>
      </c>
    </row>
    <row r="1664" spans="1:13" ht="21.95" customHeight="1" x14ac:dyDescent="0.25">
      <c r="A1664" s="36" t="s">
        <v>2904</v>
      </c>
      <c r="B1664" s="36" t="str">
        <f t="shared" si="82"/>
        <v>NE_SAUNDERS COUNTY, NE HUD METRO FMR AREA</v>
      </c>
      <c r="D1664" s="265" t="s">
        <v>78</v>
      </c>
      <c r="E1664" s="266" t="s">
        <v>4447</v>
      </c>
      <c r="F1664" s="252">
        <f t="shared" si="81"/>
        <v>66200</v>
      </c>
      <c r="G1664" s="252">
        <f t="shared" si="81"/>
        <v>75650</v>
      </c>
      <c r="H1664" s="252">
        <f t="shared" si="81"/>
        <v>85100</v>
      </c>
      <c r="I1664" s="252">
        <f t="shared" si="81"/>
        <v>94550</v>
      </c>
      <c r="J1664" s="252">
        <f t="shared" si="81"/>
        <v>102150</v>
      </c>
      <c r="K1664" s="252">
        <f t="shared" si="81"/>
        <v>109700</v>
      </c>
      <c r="L1664" s="252">
        <f t="shared" si="81"/>
        <v>117250</v>
      </c>
      <c r="M1664" s="252">
        <f t="shared" si="81"/>
        <v>124850</v>
      </c>
    </row>
    <row r="1665" spans="1:13" ht="21.95" customHeight="1" x14ac:dyDescent="0.25">
      <c r="A1665" s="36" t="s">
        <v>2904</v>
      </c>
      <c r="B1665" s="36" t="str">
        <f t="shared" si="82"/>
        <v>NE_SCOTTS BLUFF COUNTY, NE</v>
      </c>
      <c r="D1665" s="265" t="s">
        <v>78</v>
      </c>
      <c r="E1665" s="266" t="s">
        <v>4448</v>
      </c>
      <c r="F1665" s="252">
        <f t="shared" si="81"/>
        <v>50900</v>
      </c>
      <c r="G1665" s="252">
        <f t="shared" si="81"/>
        <v>58200</v>
      </c>
      <c r="H1665" s="252">
        <f t="shared" si="81"/>
        <v>65450</v>
      </c>
      <c r="I1665" s="252">
        <f t="shared" si="81"/>
        <v>72700</v>
      </c>
      <c r="J1665" s="252">
        <f t="shared" si="81"/>
        <v>78550</v>
      </c>
      <c r="K1665" s="252">
        <f t="shared" si="81"/>
        <v>84350</v>
      </c>
      <c r="L1665" s="252">
        <f t="shared" si="81"/>
        <v>90150</v>
      </c>
      <c r="M1665" s="252">
        <f t="shared" si="81"/>
        <v>96000</v>
      </c>
    </row>
    <row r="1666" spans="1:13" ht="21.95" customHeight="1" x14ac:dyDescent="0.25">
      <c r="A1666" s="36" t="s">
        <v>2904</v>
      </c>
      <c r="B1666" s="36" t="str">
        <f t="shared" si="82"/>
        <v>NE_SEWARD COUNTY, NE HUD METRO FMR AREA</v>
      </c>
      <c r="D1666" s="265" t="s">
        <v>78</v>
      </c>
      <c r="E1666" s="266" t="s">
        <v>4449</v>
      </c>
      <c r="F1666" s="252">
        <f t="shared" si="81"/>
        <v>63950</v>
      </c>
      <c r="G1666" s="252">
        <f t="shared" si="81"/>
        <v>73100</v>
      </c>
      <c r="H1666" s="252">
        <f t="shared" si="81"/>
        <v>82250</v>
      </c>
      <c r="I1666" s="252">
        <f t="shared" si="81"/>
        <v>91350</v>
      </c>
      <c r="J1666" s="252">
        <f t="shared" si="81"/>
        <v>98700</v>
      </c>
      <c r="K1666" s="252">
        <f t="shared" si="81"/>
        <v>106000</v>
      </c>
      <c r="L1666" s="252">
        <f t="shared" si="81"/>
        <v>113300</v>
      </c>
      <c r="M1666" s="252">
        <f t="shared" si="81"/>
        <v>120600</v>
      </c>
    </row>
    <row r="1667" spans="1:13" ht="21.95" customHeight="1" x14ac:dyDescent="0.25">
      <c r="A1667" s="36" t="s">
        <v>2904</v>
      </c>
      <c r="B1667" s="36" t="str">
        <f t="shared" si="82"/>
        <v>NE_SHERIDAN COUNTY, NE</v>
      </c>
      <c r="D1667" s="265" t="s">
        <v>78</v>
      </c>
      <c r="E1667" s="266" t="s">
        <v>4450</v>
      </c>
      <c r="F1667" s="252">
        <f t="shared" si="81"/>
        <v>50600</v>
      </c>
      <c r="G1667" s="252">
        <f t="shared" si="81"/>
        <v>57800</v>
      </c>
      <c r="H1667" s="252">
        <f t="shared" si="81"/>
        <v>65050</v>
      </c>
      <c r="I1667" s="252">
        <f t="shared" si="81"/>
        <v>72250</v>
      </c>
      <c r="J1667" s="252">
        <f t="shared" si="81"/>
        <v>78050</v>
      </c>
      <c r="K1667" s="252">
        <f t="shared" si="81"/>
        <v>83850</v>
      </c>
      <c r="L1667" s="252">
        <f t="shared" ref="F1667:M1699" si="83">VLOOKUP($B1667,LOOKUP_AMI_TABLE,5+((L$7-1)),FALSE)</f>
        <v>89600</v>
      </c>
      <c r="M1667" s="252">
        <f t="shared" si="83"/>
        <v>95400</v>
      </c>
    </row>
    <row r="1668" spans="1:13" ht="21.95" customHeight="1" x14ac:dyDescent="0.25">
      <c r="A1668" s="36" t="s">
        <v>2904</v>
      </c>
      <c r="B1668" s="36" t="str">
        <f t="shared" si="82"/>
        <v>NE_SHERMAN COUNTY, NE</v>
      </c>
      <c r="D1668" s="265" t="s">
        <v>78</v>
      </c>
      <c r="E1668" s="266" t="s">
        <v>4451</v>
      </c>
      <c r="F1668" s="252">
        <f t="shared" si="83"/>
        <v>50600</v>
      </c>
      <c r="G1668" s="252">
        <f t="shared" si="83"/>
        <v>57800</v>
      </c>
      <c r="H1668" s="252">
        <f t="shared" si="83"/>
        <v>65050</v>
      </c>
      <c r="I1668" s="252">
        <f t="shared" si="83"/>
        <v>72250</v>
      </c>
      <c r="J1668" s="252">
        <f t="shared" si="83"/>
        <v>78050</v>
      </c>
      <c r="K1668" s="252">
        <f t="shared" si="83"/>
        <v>83850</v>
      </c>
      <c r="L1668" s="252">
        <f t="shared" si="83"/>
        <v>89600</v>
      </c>
      <c r="M1668" s="252">
        <f t="shared" si="83"/>
        <v>95400</v>
      </c>
    </row>
    <row r="1669" spans="1:13" ht="21.95" customHeight="1" x14ac:dyDescent="0.25">
      <c r="A1669" s="36" t="s">
        <v>2904</v>
      </c>
      <c r="B1669" s="36" t="str">
        <f t="shared" si="82"/>
        <v>NE_SIOUX CITY, IA-NE-SD MSA</v>
      </c>
      <c r="D1669" s="265" t="s">
        <v>78</v>
      </c>
      <c r="E1669" s="266" t="s">
        <v>3448</v>
      </c>
      <c r="F1669" s="252">
        <f t="shared" si="83"/>
        <v>51550</v>
      </c>
      <c r="G1669" s="252">
        <f t="shared" si="83"/>
        <v>58900</v>
      </c>
      <c r="H1669" s="252">
        <f t="shared" si="83"/>
        <v>66250</v>
      </c>
      <c r="I1669" s="252">
        <f t="shared" si="83"/>
        <v>73600</v>
      </c>
      <c r="J1669" s="252">
        <f t="shared" si="83"/>
        <v>79500</v>
      </c>
      <c r="K1669" s="252">
        <f t="shared" si="83"/>
        <v>85400</v>
      </c>
      <c r="L1669" s="252">
        <f t="shared" si="83"/>
        <v>91300</v>
      </c>
      <c r="M1669" s="252">
        <f t="shared" si="83"/>
        <v>97200</v>
      </c>
    </row>
    <row r="1670" spans="1:13" ht="21.95" customHeight="1" x14ac:dyDescent="0.25">
      <c r="A1670" s="36" t="s">
        <v>2904</v>
      </c>
      <c r="B1670" s="36" t="str">
        <f t="shared" si="82"/>
        <v>NE_SIOUX COUNTY, NE</v>
      </c>
      <c r="D1670" s="265" t="s">
        <v>78</v>
      </c>
      <c r="E1670" s="266" t="s">
        <v>4452</v>
      </c>
      <c r="F1670" s="252">
        <f t="shared" si="83"/>
        <v>50600</v>
      </c>
      <c r="G1670" s="252">
        <f t="shared" si="83"/>
        <v>57800</v>
      </c>
      <c r="H1670" s="252">
        <f t="shared" si="83"/>
        <v>65050</v>
      </c>
      <c r="I1670" s="252">
        <f t="shared" si="83"/>
        <v>72250</v>
      </c>
      <c r="J1670" s="252">
        <f t="shared" si="83"/>
        <v>78050</v>
      </c>
      <c r="K1670" s="252">
        <f t="shared" si="83"/>
        <v>83850</v>
      </c>
      <c r="L1670" s="252">
        <f t="shared" si="83"/>
        <v>89600</v>
      </c>
      <c r="M1670" s="252">
        <f t="shared" si="83"/>
        <v>95400</v>
      </c>
    </row>
    <row r="1671" spans="1:13" ht="21.95" customHeight="1" x14ac:dyDescent="0.25">
      <c r="A1671" s="36" t="s">
        <v>2904</v>
      </c>
      <c r="B1671" s="36" t="str">
        <f t="shared" si="82"/>
        <v>NE_STANTON COUNTY, NE</v>
      </c>
      <c r="D1671" s="265" t="s">
        <v>78</v>
      </c>
      <c r="E1671" s="266" t="s">
        <v>4453</v>
      </c>
      <c r="F1671" s="252">
        <f t="shared" si="83"/>
        <v>56350</v>
      </c>
      <c r="G1671" s="252">
        <f t="shared" si="83"/>
        <v>64400</v>
      </c>
      <c r="H1671" s="252">
        <f t="shared" si="83"/>
        <v>72450</v>
      </c>
      <c r="I1671" s="252">
        <f t="shared" si="83"/>
        <v>80500</v>
      </c>
      <c r="J1671" s="252">
        <f t="shared" si="83"/>
        <v>86950</v>
      </c>
      <c r="K1671" s="252">
        <f t="shared" si="83"/>
        <v>93400</v>
      </c>
      <c r="L1671" s="252">
        <f t="shared" si="83"/>
        <v>99850</v>
      </c>
      <c r="M1671" s="252">
        <f t="shared" si="83"/>
        <v>106300</v>
      </c>
    </row>
    <row r="1672" spans="1:13" ht="21.95" customHeight="1" x14ac:dyDescent="0.25">
      <c r="A1672" s="36" t="s">
        <v>2904</v>
      </c>
      <c r="B1672" s="36" t="str">
        <f t="shared" si="82"/>
        <v>NE_THAYER COUNTY, NE</v>
      </c>
      <c r="D1672" s="265" t="s">
        <v>78</v>
      </c>
      <c r="E1672" s="266" t="s">
        <v>4454</v>
      </c>
      <c r="F1672" s="252">
        <f t="shared" si="83"/>
        <v>50600</v>
      </c>
      <c r="G1672" s="252">
        <f t="shared" si="83"/>
        <v>57800</v>
      </c>
      <c r="H1672" s="252">
        <f t="shared" si="83"/>
        <v>65050</v>
      </c>
      <c r="I1672" s="252">
        <f t="shared" si="83"/>
        <v>72250</v>
      </c>
      <c r="J1672" s="252">
        <f t="shared" si="83"/>
        <v>78050</v>
      </c>
      <c r="K1672" s="252">
        <f t="shared" si="83"/>
        <v>83850</v>
      </c>
      <c r="L1672" s="252">
        <f t="shared" si="83"/>
        <v>89600</v>
      </c>
      <c r="M1672" s="252">
        <f t="shared" si="83"/>
        <v>95400</v>
      </c>
    </row>
    <row r="1673" spans="1:13" ht="21.95" customHeight="1" x14ac:dyDescent="0.25">
      <c r="A1673" s="36" t="s">
        <v>2904</v>
      </c>
      <c r="B1673" s="36" t="str">
        <f t="shared" si="82"/>
        <v>NE_THOMAS COUNTY, NE</v>
      </c>
      <c r="D1673" s="265" t="s">
        <v>78</v>
      </c>
      <c r="E1673" s="266" t="s">
        <v>4455</v>
      </c>
      <c r="F1673" s="252">
        <f t="shared" si="83"/>
        <v>51350</v>
      </c>
      <c r="G1673" s="252">
        <f t="shared" si="83"/>
        <v>58700</v>
      </c>
      <c r="H1673" s="252">
        <f t="shared" si="83"/>
        <v>66050</v>
      </c>
      <c r="I1673" s="252">
        <f t="shared" si="83"/>
        <v>73350</v>
      </c>
      <c r="J1673" s="252">
        <f t="shared" si="83"/>
        <v>79250</v>
      </c>
      <c r="K1673" s="252">
        <f t="shared" si="83"/>
        <v>85100</v>
      </c>
      <c r="L1673" s="252">
        <f t="shared" si="83"/>
        <v>91000</v>
      </c>
      <c r="M1673" s="252">
        <f t="shared" si="83"/>
        <v>96850</v>
      </c>
    </row>
    <row r="1674" spans="1:13" ht="21.95" customHeight="1" x14ac:dyDescent="0.25">
      <c r="A1674" s="36" t="s">
        <v>2904</v>
      </c>
      <c r="B1674" s="36" t="str">
        <f t="shared" si="82"/>
        <v>NE_THURSTON COUNTY, NE</v>
      </c>
      <c r="D1674" s="265" t="s">
        <v>78</v>
      </c>
      <c r="E1674" s="266" t="s">
        <v>4456</v>
      </c>
      <c r="F1674" s="252">
        <f t="shared" si="83"/>
        <v>50600</v>
      </c>
      <c r="G1674" s="252">
        <f t="shared" si="83"/>
        <v>57800</v>
      </c>
      <c r="H1674" s="252">
        <f t="shared" si="83"/>
        <v>65050</v>
      </c>
      <c r="I1674" s="252">
        <f t="shared" si="83"/>
        <v>72250</v>
      </c>
      <c r="J1674" s="252">
        <f t="shared" si="83"/>
        <v>78050</v>
      </c>
      <c r="K1674" s="252">
        <f t="shared" si="83"/>
        <v>83850</v>
      </c>
      <c r="L1674" s="252">
        <f t="shared" si="83"/>
        <v>89600</v>
      </c>
      <c r="M1674" s="252">
        <f t="shared" si="83"/>
        <v>95400</v>
      </c>
    </row>
    <row r="1675" spans="1:13" ht="21.95" customHeight="1" x14ac:dyDescent="0.25">
      <c r="A1675" s="36" t="s">
        <v>2904</v>
      </c>
      <c r="B1675" s="36" t="str">
        <f t="shared" si="82"/>
        <v>NE_VALLEY COUNTY, NE</v>
      </c>
      <c r="D1675" s="265" t="s">
        <v>78</v>
      </c>
      <c r="E1675" s="266" t="s">
        <v>4457</v>
      </c>
      <c r="F1675" s="252">
        <f t="shared" si="83"/>
        <v>52100</v>
      </c>
      <c r="G1675" s="252">
        <f t="shared" si="83"/>
        <v>59550</v>
      </c>
      <c r="H1675" s="252">
        <f t="shared" si="83"/>
        <v>67000</v>
      </c>
      <c r="I1675" s="252">
        <f t="shared" si="83"/>
        <v>74400</v>
      </c>
      <c r="J1675" s="252">
        <f t="shared" si="83"/>
        <v>80400</v>
      </c>
      <c r="K1675" s="252">
        <f t="shared" si="83"/>
        <v>86350</v>
      </c>
      <c r="L1675" s="252">
        <f t="shared" si="83"/>
        <v>92300</v>
      </c>
      <c r="M1675" s="252">
        <f t="shared" si="83"/>
        <v>98250</v>
      </c>
    </row>
    <row r="1676" spans="1:13" ht="21.95" customHeight="1" x14ac:dyDescent="0.25">
      <c r="A1676" s="36" t="s">
        <v>2904</v>
      </c>
      <c r="B1676" s="36" t="str">
        <f t="shared" si="82"/>
        <v>NE_WAYNE COUNTY, NE</v>
      </c>
      <c r="D1676" s="265" t="s">
        <v>78</v>
      </c>
      <c r="E1676" s="266" t="s">
        <v>4458</v>
      </c>
      <c r="F1676" s="252">
        <f t="shared" si="83"/>
        <v>52100</v>
      </c>
      <c r="G1676" s="252">
        <f t="shared" si="83"/>
        <v>59550</v>
      </c>
      <c r="H1676" s="252">
        <f t="shared" si="83"/>
        <v>67000</v>
      </c>
      <c r="I1676" s="252">
        <f t="shared" si="83"/>
        <v>74400</v>
      </c>
      <c r="J1676" s="252">
        <f t="shared" si="83"/>
        <v>80400</v>
      </c>
      <c r="K1676" s="252">
        <f t="shared" si="83"/>
        <v>86350</v>
      </c>
      <c r="L1676" s="252">
        <f t="shared" si="83"/>
        <v>92300</v>
      </c>
      <c r="M1676" s="252">
        <f t="shared" si="83"/>
        <v>98250</v>
      </c>
    </row>
    <row r="1677" spans="1:13" ht="21.95" customHeight="1" x14ac:dyDescent="0.25">
      <c r="A1677" s="36" t="s">
        <v>2904</v>
      </c>
      <c r="B1677" s="36" t="str">
        <f t="shared" si="82"/>
        <v>NE_WEBSTER COUNTY, NE</v>
      </c>
      <c r="D1677" s="265" t="s">
        <v>78</v>
      </c>
      <c r="E1677" s="266" t="s">
        <v>4459</v>
      </c>
      <c r="F1677" s="252">
        <f t="shared" si="83"/>
        <v>50600</v>
      </c>
      <c r="G1677" s="252">
        <f t="shared" si="83"/>
        <v>57800</v>
      </c>
      <c r="H1677" s="252">
        <f t="shared" si="83"/>
        <v>65050</v>
      </c>
      <c r="I1677" s="252">
        <f t="shared" si="83"/>
        <v>72250</v>
      </c>
      <c r="J1677" s="252">
        <f t="shared" si="83"/>
        <v>78050</v>
      </c>
      <c r="K1677" s="252">
        <f t="shared" si="83"/>
        <v>83850</v>
      </c>
      <c r="L1677" s="252">
        <f t="shared" si="83"/>
        <v>89600</v>
      </c>
      <c r="M1677" s="252">
        <f t="shared" si="83"/>
        <v>95400</v>
      </c>
    </row>
    <row r="1678" spans="1:13" ht="21.95" customHeight="1" x14ac:dyDescent="0.25">
      <c r="A1678" s="36" t="s">
        <v>2904</v>
      </c>
      <c r="B1678" s="36" t="str">
        <f t="shared" si="82"/>
        <v>NE_WHEELER COUNTY, NE</v>
      </c>
      <c r="D1678" s="265" t="s">
        <v>78</v>
      </c>
      <c r="E1678" s="266" t="s">
        <v>4460</v>
      </c>
      <c r="F1678" s="252">
        <f t="shared" si="83"/>
        <v>52050</v>
      </c>
      <c r="G1678" s="252">
        <f t="shared" si="83"/>
        <v>59450</v>
      </c>
      <c r="H1678" s="252">
        <f t="shared" si="83"/>
        <v>66900</v>
      </c>
      <c r="I1678" s="252">
        <f t="shared" si="83"/>
        <v>74300</v>
      </c>
      <c r="J1678" s="252">
        <f t="shared" si="83"/>
        <v>80250</v>
      </c>
      <c r="K1678" s="252">
        <f t="shared" si="83"/>
        <v>86200</v>
      </c>
      <c r="L1678" s="252">
        <f t="shared" si="83"/>
        <v>92150</v>
      </c>
      <c r="M1678" s="252">
        <f t="shared" si="83"/>
        <v>98100</v>
      </c>
    </row>
    <row r="1679" spans="1:13" ht="21.95" customHeight="1" x14ac:dyDescent="0.25">
      <c r="A1679" s="36" t="s">
        <v>2904</v>
      </c>
      <c r="B1679" s="36" t="str">
        <f t="shared" si="82"/>
        <v>NE_YORK COUNTY, NE</v>
      </c>
      <c r="D1679" s="265" t="s">
        <v>78</v>
      </c>
      <c r="E1679" s="266" t="s">
        <v>4461</v>
      </c>
      <c r="F1679" s="252">
        <f t="shared" si="83"/>
        <v>53550</v>
      </c>
      <c r="G1679" s="252">
        <f t="shared" si="83"/>
        <v>61200</v>
      </c>
      <c r="H1679" s="252">
        <f t="shared" si="83"/>
        <v>68850</v>
      </c>
      <c r="I1679" s="252">
        <f t="shared" si="83"/>
        <v>76500</v>
      </c>
      <c r="J1679" s="252">
        <f t="shared" si="83"/>
        <v>82650</v>
      </c>
      <c r="K1679" s="252">
        <f t="shared" si="83"/>
        <v>88750</v>
      </c>
      <c r="L1679" s="252">
        <f t="shared" si="83"/>
        <v>94900</v>
      </c>
      <c r="M1679" s="252">
        <f t="shared" si="83"/>
        <v>101000</v>
      </c>
    </row>
    <row r="1680" spans="1:13" ht="21.95" customHeight="1" x14ac:dyDescent="0.25">
      <c r="A1680" s="36" t="s">
        <v>2904</v>
      </c>
      <c r="B1680" s="36" t="str">
        <f t="shared" si="82"/>
        <v>NH_BELKNAP COUNTY, NH</v>
      </c>
      <c r="D1680" s="265" t="s">
        <v>76</v>
      </c>
      <c r="E1680" s="266" t="s">
        <v>4462</v>
      </c>
      <c r="F1680" s="252">
        <f t="shared" si="83"/>
        <v>65700</v>
      </c>
      <c r="G1680" s="252">
        <f t="shared" si="83"/>
        <v>75050</v>
      </c>
      <c r="H1680" s="252">
        <f t="shared" si="83"/>
        <v>84450</v>
      </c>
      <c r="I1680" s="252">
        <f t="shared" si="83"/>
        <v>93800</v>
      </c>
      <c r="J1680" s="252">
        <f t="shared" si="83"/>
        <v>101350</v>
      </c>
      <c r="K1680" s="252">
        <f t="shared" si="83"/>
        <v>108850</v>
      </c>
      <c r="L1680" s="252">
        <f t="shared" si="83"/>
        <v>116350</v>
      </c>
      <c r="M1680" s="252">
        <f t="shared" si="83"/>
        <v>123850</v>
      </c>
    </row>
    <row r="1681" spans="1:13" ht="21.95" customHeight="1" x14ac:dyDescent="0.25">
      <c r="A1681" s="36" t="s">
        <v>2904</v>
      </c>
      <c r="B1681" s="36" t="str">
        <f t="shared" si="82"/>
        <v>NH_BOSTON-CAMBRIDGE-QUINCY, MA-NH HUD METRO FMR AREA</v>
      </c>
      <c r="D1681" s="265" t="s">
        <v>76</v>
      </c>
      <c r="E1681" s="266" t="s">
        <v>3865</v>
      </c>
      <c r="F1681" s="252">
        <f t="shared" si="83"/>
        <v>92650</v>
      </c>
      <c r="G1681" s="252">
        <f t="shared" si="83"/>
        <v>105850</v>
      </c>
      <c r="H1681" s="252">
        <f t="shared" si="83"/>
        <v>119100</v>
      </c>
      <c r="I1681" s="252">
        <f t="shared" si="83"/>
        <v>132300</v>
      </c>
      <c r="J1681" s="252">
        <f t="shared" si="83"/>
        <v>142900</v>
      </c>
      <c r="K1681" s="252">
        <f t="shared" si="83"/>
        <v>153500</v>
      </c>
      <c r="L1681" s="252">
        <f t="shared" si="83"/>
        <v>164100</v>
      </c>
      <c r="M1681" s="252">
        <f t="shared" si="83"/>
        <v>174650</v>
      </c>
    </row>
    <row r="1682" spans="1:13" ht="21.95" customHeight="1" x14ac:dyDescent="0.25">
      <c r="A1682" s="36" t="s">
        <v>2904</v>
      </c>
      <c r="B1682" s="36" t="str">
        <f t="shared" si="82"/>
        <v>NH_CARROLL COUNTY, NH</v>
      </c>
      <c r="D1682" s="265" t="s">
        <v>76</v>
      </c>
      <c r="E1682" s="266" t="s">
        <v>4463</v>
      </c>
      <c r="F1682" s="252">
        <f t="shared" si="83"/>
        <v>61900</v>
      </c>
      <c r="G1682" s="252">
        <f t="shared" si="83"/>
        <v>70750</v>
      </c>
      <c r="H1682" s="252">
        <f t="shared" si="83"/>
        <v>79600</v>
      </c>
      <c r="I1682" s="252">
        <f t="shared" si="83"/>
        <v>88400</v>
      </c>
      <c r="J1682" s="252">
        <f t="shared" si="83"/>
        <v>95500</v>
      </c>
      <c r="K1682" s="252">
        <f t="shared" si="83"/>
        <v>102550</v>
      </c>
      <c r="L1682" s="252">
        <f t="shared" si="83"/>
        <v>109650</v>
      </c>
      <c r="M1682" s="252">
        <f t="shared" si="83"/>
        <v>116700</v>
      </c>
    </row>
    <row r="1683" spans="1:13" ht="21.95" customHeight="1" x14ac:dyDescent="0.25">
      <c r="A1683" s="36" t="s">
        <v>2904</v>
      </c>
      <c r="B1683" s="36" t="str">
        <f t="shared" si="82"/>
        <v>NH_CHESHIRE COUNTY, NH</v>
      </c>
      <c r="D1683" s="265" t="s">
        <v>76</v>
      </c>
      <c r="E1683" s="266" t="s">
        <v>4464</v>
      </c>
      <c r="F1683" s="252">
        <f t="shared" si="83"/>
        <v>61900</v>
      </c>
      <c r="G1683" s="252">
        <f t="shared" si="83"/>
        <v>70750</v>
      </c>
      <c r="H1683" s="252">
        <f t="shared" si="83"/>
        <v>79600</v>
      </c>
      <c r="I1683" s="252">
        <f t="shared" si="83"/>
        <v>88400</v>
      </c>
      <c r="J1683" s="252">
        <f t="shared" si="83"/>
        <v>95500</v>
      </c>
      <c r="K1683" s="252">
        <f t="shared" si="83"/>
        <v>102550</v>
      </c>
      <c r="L1683" s="252">
        <f t="shared" si="83"/>
        <v>109650</v>
      </c>
      <c r="M1683" s="252">
        <f t="shared" si="83"/>
        <v>116700</v>
      </c>
    </row>
    <row r="1684" spans="1:13" ht="21.95" customHeight="1" x14ac:dyDescent="0.25">
      <c r="A1684" s="36" t="s">
        <v>2904</v>
      </c>
      <c r="B1684" s="36" t="str">
        <f t="shared" si="82"/>
        <v>NH_COOS COUNTY, NH</v>
      </c>
      <c r="D1684" s="265" t="s">
        <v>76</v>
      </c>
      <c r="E1684" s="266" t="s">
        <v>4465</v>
      </c>
      <c r="F1684" s="252">
        <f t="shared" si="83"/>
        <v>61900</v>
      </c>
      <c r="G1684" s="252">
        <f t="shared" si="83"/>
        <v>70750</v>
      </c>
      <c r="H1684" s="252">
        <f t="shared" si="83"/>
        <v>79600</v>
      </c>
      <c r="I1684" s="252">
        <f t="shared" si="83"/>
        <v>88400</v>
      </c>
      <c r="J1684" s="252">
        <f t="shared" si="83"/>
        <v>95500</v>
      </c>
      <c r="K1684" s="252">
        <f t="shared" si="83"/>
        <v>102550</v>
      </c>
      <c r="L1684" s="252">
        <f t="shared" si="83"/>
        <v>109650</v>
      </c>
      <c r="M1684" s="252">
        <f t="shared" si="83"/>
        <v>116700</v>
      </c>
    </row>
    <row r="1685" spans="1:13" ht="21.95" customHeight="1" x14ac:dyDescent="0.25">
      <c r="A1685" s="36" t="s">
        <v>2904</v>
      </c>
      <c r="B1685" s="36" t="str">
        <f t="shared" si="82"/>
        <v>NH_GRAFTON COUNTY, NH</v>
      </c>
      <c r="D1685" s="265" t="s">
        <v>76</v>
      </c>
      <c r="E1685" s="266" t="s">
        <v>4466</v>
      </c>
      <c r="F1685" s="252">
        <f t="shared" si="83"/>
        <v>61900</v>
      </c>
      <c r="G1685" s="252">
        <f t="shared" si="83"/>
        <v>70750</v>
      </c>
      <c r="H1685" s="252">
        <f t="shared" si="83"/>
        <v>79600</v>
      </c>
      <c r="I1685" s="252">
        <f t="shared" si="83"/>
        <v>88400</v>
      </c>
      <c r="J1685" s="252">
        <f t="shared" si="83"/>
        <v>95500</v>
      </c>
      <c r="K1685" s="252">
        <f t="shared" si="83"/>
        <v>102550</v>
      </c>
      <c r="L1685" s="252">
        <f t="shared" si="83"/>
        <v>109650</v>
      </c>
      <c r="M1685" s="252">
        <f t="shared" si="83"/>
        <v>116700</v>
      </c>
    </row>
    <row r="1686" spans="1:13" ht="21.95" customHeight="1" x14ac:dyDescent="0.25">
      <c r="A1686" s="36" t="s">
        <v>2904</v>
      </c>
      <c r="B1686" s="36" t="str">
        <f t="shared" si="82"/>
        <v>NH_HILLSBOROUGH COUNTY, NH (PART) HUD METRO FMR AREA</v>
      </c>
      <c r="D1686" s="265" t="s">
        <v>76</v>
      </c>
      <c r="E1686" s="266" t="s">
        <v>4467</v>
      </c>
      <c r="F1686" s="252">
        <f t="shared" si="83"/>
        <v>67950</v>
      </c>
      <c r="G1686" s="252">
        <f t="shared" si="83"/>
        <v>77650</v>
      </c>
      <c r="H1686" s="252">
        <f t="shared" si="83"/>
        <v>87350</v>
      </c>
      <c r="I1686" s="252">
        <f t="shared" si="83"/>
        <v>97050</v>
      </c>
      <c r="J1686" s="252">
        <f t="shared" si="83"/>
        <v>104850</v>
      </c>
      <c r="K1686" s="252">
        <f t="shared" si="83"/>
        <v>112600</v>
      </c>
      <c r="L1686" s="252">
        <f t="shared" si="83"/>
        <v>120350</v>
      </c>
      <c r="M1686" s="252">
        <f t="shared" si="83"/>
        <v>128150</v>
      </c>
    </row>
    <row r="1687" spans="1:13" ht="21.95" customHeight="1" x14ac:dyDescent="0.25">
      <c r="A1687" s="36" t="s">
        <v>2904</v>
      </c>
      <c r="B1687" s="36" t="str">
        <f t="shared" si="82"/>
        <v>NH_LAWRENCE, MA-NH HUD METRO FMR AREA</v>
      </c>
      <c r="D1687" s="265" t="s">
        <v>76</v>
      </c>
      <c r="E1687" s="266" t="s">
        <v>3871</v>
      </c>
      <c r="F1687" s="252">
        <f t="shared" si="83"/>
        <v>72950</v>
      </c>
      <c r="G1687" s="252">
        <f t="shared" si="83"/>
        <v>83400</v>
      </c>
      <c r="H1687" s="252">
        <f t="shared" si="83"/>
        <v>93800</v>
      </c>
      <c r="I1687" s="252">
        <f t="shared" si="83"/>
        <v>104200</v>
      </c>
      <c r="J1687" s="252">
        <f t="shared" si="83"/>
        <v>112550</v>
      </c>
      <c r="K1687" s="252">
        <f t="shared" si="83"/>
        <v>120900</v>
      </c>
      <c r="L1687" s="252">
        <f t="shared" si="83"/>
        <v>129250</v>
      </c>
      <c r="M1687" s="252">
        <f t="shared" si="83"/>
        <v>137550</v>
      </c>
    </row>
    <row r="1688" spans="1:13" ht="21.95" customHeight="1" x14ac:dyDescent="0.25">
      <c r="A1688" s="36" t="s">
        <v>2904</v>
      </c>
      <c r="B1688" s="36" t="str">
        <f t="shared" si="82"/>
        <v>NH_MANCHESTER, NH HUD METRO FMR AREA</v>
      </c>
      <c r="D1688" s="265" t="s">
        <v>76</v>
      </c>
      <c r="E1688" s="266" t="s">
        <v>4468</v>
      </c>
      <c r="F1688" s="252">
        <f t="shared" si="83"/>
        <v>68800</v>
      </c>
      <c r="G1688" s="252">
        <f t="shared" si="83"/>
        <v>78600</v>
      </c>
      <c r="H1688" s="252">
        <f t="shared" si="83"/>
        <v>88450</v>
      </c>
      <c r="I1688" s="252">
        <f t="shared" si="83"/>
        <v>98250</v>
      </c>
      <c r="J1688" s="252">
        <f t="shared" si="83"/>
        <v>106150</v>
      </c>
      <c r="K1688" s="252">
        <f t="shared" si="83"/>
        <v>114000</v>
      </c>
      <c r="L1688" s="252">
        <f t="shared" si="83"/>
        <v>121850</v>
      </c>
      <c r="M1688" s="252">
        <f t="shared" si="83"/>
        <v>129700</v>
      </c>
    </row>
    <row r="1689" spans="1:13" ht="21.95" customHeight="1" x14ac:dyDescent="0.25">
      <c r="A1689" s="36" t="s">
        <v>2904</v>
      </c>
      <c r="B1689" s="36" t="str">
        <f t="shared" si="82"/>
        <v>NH_MERRIMACK COUNTY, NH</v>
      </c>
      <c r="D1689" s="265" t="s">
        <v>76</v>
      </c>
      <c r="E1689" s="266" t="s">
        <v>4469</v>
      </c>
      <c r="F1689" s="252">
        <f t="shared" si="83"/>
        <v>69400</v>
      </c>
      <c r="G1689" s="252">
        <f t="shared" si="83"/>
        <v>79300</v>
      </c>
      <c r="H1689" s="252">
        <f t="shared" si="83"/>
        <v>89200</v>
      </c>
      <c r="I1689" s="252">
        <f t="shared" si="83"/>
        <v>99100</v>
      </c>
      <c r="J1689" s="252">
        <f t="shared" si="83"/>
        <v>107050</v>
      </c>
      <c r="K1689" s="252">
        <f t="shared" si="83"/>
        <v>115000</v>
      </c>
      <c r="L1689" s="252">
        <f t="shared" si="83"/>
        <v>122900</v>
      </c>
      <c r="M1689" s="252">
        <f t="shared" si="83"/>
        <v>130850</v>
      </c>
    </row>
    <row r="1690" spans="1:13" ht="21.95" customHeight="1" x14ac:dyDescent="0.25">
      <c r="A1690" s="36" t="s">
        <v>2904</v>
      </c>
      <c r="B1690" s="36" t="str">
        <f t="shared" si="82"/>
        <v>NH_NASHUA, NH HUD METRO FMR AREA</v>
      </c>
      <c r="D1690" s="265" t="s">
        <v>76</v>
      </c>
      <c r="E1690" s="266" t="s">
        <v>4470</v>
      </c>
      <c r="F1690" s="252">
        <f t="shared" si="83"/>
        <v>72950</v>
      </c>
      <c r="G1690" s="252">
        <f t="shared" si="83"/>
        <v>83400</v>
      </c>
      <c r="H1690" s="252">
        <f t="shared" si="83"/>
        <v>93800</v>
      </c>
      <c r="I1690" s="252">
        <f t="shared" si="83"/>
        <v>104200</v>
      </c>
      <c r="J1690" s="252">
        <f t="shared" si="83"/>
        <v>112550</v>
      </c>
      <c r="K1690" s="252">
        <f t="shared" si="83"/>
        <v>120900</v>
      </c>
      <c r="L1690" s="252">
        <f t="shared" si="83"/>
        <v>129250</v>
      </c>
      <c r="M1690" s="252">
        <f t="shared" si="83"/>
        <v>137550</v>
      </c>
    </row>
    <row r="1691" spans="1:13" ht="21.95" customHeight="1" x14ac:dyDescent="0.25">
      <c r="A1691" s="36" t="s">
        <v>2904</v>
      </c>
      <c r="B1691" s="36" t="str">
        <f t="shared" si="82"/>
        <v>NH_PORTSMOUTH-ROCHESTER, NH HUD METRO FMR AREA</v>
      </c>
      <c r="D1691" s="265" t="s">
        <v>76</v>
      </c>
      <c r="E1691" s="266" t="s">
        <v>4471</v>
      </c>
      <c r="F1691" s="252">
        <f t="shared" si="83"/>
        <v>72950</v>
      </c>
      <c r="G1691" s="252">
        <f t="shared" si="83"/>
        <v>83400</v>
      </c>
      <c r="H1691" s="252">
        <f t="shared" si="83"/>
        <v>93800</v>
      </c>
      <c r="I1691" s="252">
        <f t="shared" si="83"/>
        <v>104200</v>
      </c>
      <c r="J1691" s="252">
        <f t="shared" si="83"/>
        <v>112550</v>
      </c>
      <c r="K1691" s="252">
        <f t="shared" si="83"/>
        <v>120900</v>
      </c>
      <c r="L1691" s="252">
        <f t="shared" si="83"/>
        <v>129250</v>
      </c>
      <c r="M1691" s="252">
        <f t="shared" si="83"/>
        <v>137550</v>
      </c>
    </row>
    <row r="1692" spans="1:13" ht="21.95" customHeight="1" x14ac:dyDescent="0.25">
      <c r="A1692" s="36" t="s">
        <v>2904</v>
      </c>
      <c r="B1692" s="36" t="str">
        <f t="shared" si="82"/>
        <v>NH_SULLIVAN COUNTY, NH</v>
      </c>
      <c r="D1692" s="265" t="s">
        <v>76</v>
      </c>
      <c r="E1692" s="266" t="s">
        <v>4472</v>
      </c>
      <c r="F1692" s="252">
        <f t="shared" si="83"/>
        <v>61900</v>
      </c>
      <c r="G1692" s="252">
        <f t="shared" si="83"/>
        <v>70750</v>
      </c>
      <c r="H1692" s="252">
        <f t="shared" si="83"/>
        <v>79600</v>
      </c>
      <c r="I1692" s="252">
        <f t="shared" si="83"/>
        <v>88400</v>
      </c>
      <c r="J1692" s="252">
        <f t="shared" si="83"/>
        <v>95500</v>
      </c>
      <c r="K1692" s="252">
        <f t="shared" si="83"/>
        <v>102550</v>
      </c>
      <c r="L1692" s="252">
        <f t="shared" si="83"/>
        <v>109650</v>
      </c>
      <c r="M1692" s="252">
        <f t="shared" si="83"/>
        <v>116700</v>
      </c>
    </row>
    <row r="1693" spans="1:13" ht="21.95" customHeight="1" x14ac:dyDescent="0.25">
      <c r="A1693" s="36" t="s">
        <v>2904</v>
      </c>
      <c r="B1693" s="36" t="str">
        <f t="shared" si="82"/>
        <v>NH_WESTERN ROCKINGHAM COUNTY, NH HUD METRO FMR AREA</v>
      </c>
      <c r="D1693" s="265" t="s">
        <v>76</v>
      </c>
      <c r="E1693" s="266" t="s">
        <v>4473</v>
      </c>
      <c r="F1693" s="252">
        <f t="shared" si="83"/>
        <v>72950</v>
      </c>
      <c r="G1693" s="252">
        <f t="shared" si="83"/>
        <v>83400</v>
      </c>
      <c r="H1693" s="252">
        <f t="shared" si="83"/>
        <v>93800</v>
      </c>
      <c r="I1693" s="252">
        <f t="shared" si="83"/>
        <v>104200</v>
      </c>
      <c r="J1693" s="252">
        <f t="shared" si="83"/>
        <v>112550</v>
      </c>
      <c r="K1693" s="252">
        <f t="shared" si="83"/>
        <v>120900</v>
      </c>
      <c r="L1693" s="252">
        <f t="shared" si="83"/>
        <v>129250</v>
      </c>
      <c r="M1693" s="252">
        <f t="shared" si="83"/>
        <v>137550</v>
      </c>
    </row>
    <row r="1694" spans="1:13" ht="21.95" customHeight="1" x14ac:dyDescent="0.25">
      <c r="A1694" s="36" t="s">
        <v>2904</v>
      </c>
      <c r="B1694" s="36" t="str">
        <f t="shared" si="82"/>
        <v>NM_ALBUQUERQUE, NM MSA</v>
      </c>
      <c r="D1694" s="265" t="s">
        <v>74</v>
      </c>
      <c r="E1694" s="266" t="s">
        <v>4474</v>
      </c>
      <c r="F1694" s="252">
        <f t="shared" si="83"/>
        <v>51200</v>
      </c>
      <c r="G1694" s="252">
        <f t="shared" si="83"/>
        <v>58500</v>
      </c>
      <c r="H1694" s="252">
        <f t="shared" si="83"/>
        <v>65800</v>
      </c>
      <c r="I1694" s="252">
        <f t="shared" si="83"/>
        <v>73100</v>
      </c>
      <c r="J1694" s="252">
        <f t="shared" si="83"/>
        <v>78950</v>
      </c>
      <c r="K1694" s="252">
        <f t="shared" si="83"/>
        <v>84800</v>
      </c>
      <c r="L1694" s="252">
        <f t="shared" si="83"/>
        <v>90650</v>
      </c>
      <c r="M1694" s="252">
        <f t="shared" si="83"/>
        <v>96500</v>
      </c>
    </row>
    <row r="1695" spans="1:13" ht="21.95" customHeight="1" x14ac:dyDescent="0.25">
      <c r="A1695" s="36" t="s">
        <v>2904</v>
      </c>
      <c r="B1695" s="36" t="str">
        <f t="shared" si="82"/>
        <v>NM_CATRON COUNTY, NM</v>
      </c>
      <c r="D1695" s="265" t="s">
        <v>74</v>
      </c>
      <c r="E1695" s="266" t="s">
        <v>4475</v>
      </c>
      <c r="F1695" s="252">
        <f t="shared" si="83"/>
        <v>38550</v>
      </c>
      <c r="G1695" s="252">
        <f t="shared" si="83"/>
        <v>44050</v>
      </c>
      <c r="H1695" s="252">
        <f t="shared" si="83"/>
        <v>49550</v>
      </c>
      <c r="I1695" s="252">
        <f t="shared" si="83"/>
        <v>55050</v>
      </c>
      <c r="J1695" s="252">
        <f t="shared" si="83"/>
        <v>59500</v>
      </c>
      <c r="K1695" s="252">
        <f t="shared" si="83"/>
        <v>63900</v>
      </c>
      <c r="L1695" s="252">
        <f t="shared" si="83"/>
        <v>68300</v>
      </c>
      <c r="M1695" s="252">
        <f t="shared" si="83"/>
        <v>72700</v>
      </c>
    </row>
    <row r="1696" spans="1:13" ht="21.95" customHeight="1" x14ac:dyDescent="0.25">
      <c r="A1696" s="36" t="s">
        <v>2904</v>
      </c>
      <c r="B1696" s="36" t="str">
        <f t="shared" si="82"/>
        <v>NM_CHAVES COUNTY, NM</v>
      </c>
      <c r="D1696" s="265" t="s">
        <v>74</v>
      </c>
      <c r="E1696" s="266" t="s">
        <v>4476</v>
      </c>
      <c r="F1696" s="252">
        <f t="shared" si="83"/>
        <v>38550</v>
      </c>
      <c r="G1696" s="252">
        <f t="shared" si="83"/>
        <v>44050</v>
      </c>
      <c r="H1696" s="252">
        <f t="shared" si="83"/>
        <v>49550</v>
      </c>
      <c r="I1696" s="252">
        <f t="shared" si="83"/>
        <v>55050</v>
      </c>
      <c r="J1696" s="252">
        <f t="shared" si="83"/>
        <v>59500</v>
      </c>
      <c r="K1696" s="252">
        <f t="shared" si="83"/>
        <v>63900</v>
      </c>
      <c r="L1696" s="252">
        <f t="shared" si="83"/>
        <v>68300</v>
      </c>
      <c r="M1696" s="252">
        <f t="shared" si="83"/>
        <v>72700</v>
      </c>
    </row>
    <row r="1697" spans="1:13" ht="21.95" customHeight="1" x14ac:dyDescent="0.25">
      <c r="A1697" s="36" t="s">
        <v>2904</v>
      </c>
      <c r="B1697" s="36" t="str">
        <f t="shared" si="82"/>
        <v>NM_CIBOLA COUNTY, NM</v>
      </c>
      <c r="D1697" s="265" t="s">
        <v>74</v>
      </c>
      <c r="E1697" s="266" t="s">
        <v>4477</v>
      </c>
      <c r="F1697" s="252">
        <f t="shared" si="83"/>
        <v>38850</v>
      </c>
      <c r="G1697" s="252">
        <f t="shared" si="83"/>
        <v>44400</v>
      </c>
      <c r="H1697" s="252">
        <f t="shared" si="83"/>
        <v>49950</v>
      </c>
      <c r="I1697" s="252">
        <f t="shared" si="83"/>
        <v>55450</v>
      </c>
      <c r="J1697" s="252">
        <f t="shared" si="83"/>
        <v>59900</v>
      </c>
      <c r="K1697" s="252">
        <f t="shared" si="83"/>
        <v>64350</v>
      </c>
      <c r="L1697" s="252">
        <f t="shared" si="83"/>
        <v>68800</v>
      </c>
      <c r="M1697" s="252">
        <f t="shared" si="83"/>
        <v>73200</v>
      </c>
    </row>
    <row r="1698" spans="1:13" ht="21.95" customHeight="1" x14ac:dyDescent="0.25">
      <c r="A1698" s="36" t="s">
        <v>2904</v>
      </c>
      <c r="B1698" s="36" t="str">
        <f t="shared" si="82"/>
        <v>NM_COLFAX COUNTY, NM</v>
      </c>
      <c r="D1698" s="265" t="s">
        <v>74</v>
      </c>
      <c r="E1698" s="266" t="s">
        <v>4478</v>
      </c>
      <c r="F1698" s="252">
        <f t="shared" si="83"/>
        <v>39400</v>
      </c>
      <c r="G1698" s="252">
        <f t="shared" si="83"/>
        <v>45000</v>
      </c>
      <c r="H1698" s="252">
        <f t="shared" si="83"/>
        <v>50650</v>
      </c>
      <c r="I1698" s="252">
        <f t="shared" si="83"/>
        <v>56250</v>
      </c>
      <c r="J1698" s="252">
        <f t="shared" si="83"/>
        <v>60750</v>
      </c>
      <c r="K1698" s="252">
        <f t="shared" si="83"/>
        <v>65250</v>
      </c>
      <c r="L1698" s="252">
        <f t="shared" si="83"/>
        <v>69750</v>
      </c>
      <c r="M1698" s="252">
        <f t="shared" si="83"/>
        <v>74250</v>
      </c>
    </row>
    <row r="1699" spans="1:13" ht="21.95" customHeight="1" x14ac:dyDescent="0.25">
      <c r="A1699" s="36" t="s">
        <v>2904</v>
      </c>
      <c r="B1699" s="36" t="str">
        <f t="shared" si="82"/>
        <v>NM_CURRY COUNTY, NM</v>
      </c>
      <c r="D1699" s="265" t="s">
        <v>74</v>
      </c>
      <c r="E1699" s="266" t="s">
        <v>4479</v>
      </c>
      <c r="F1699" s="252">
        <f t="shared" si="83"/>
        <v>41200</v>
      </c>
      <c r="G1699" s="252">
        <f t="shared" si="83"/>
        <v>47050</v>
      </c>
      <c r="H1699" s="252">
        <f t="shared" si="83"/>
        <v>52950</v>
      </c>
      <c r="I1699" s="252">
        <f t="shared" si="83"/>
        <v>58800</v>
      </c>
      <c r="J1699" s="252">
        <f t="shared" si="83"/>
        <v>63550</v>
      </c>
      <c r="K1699" s="252">
        <f t="shared" ref="F1699:M1731" si="84">VLOOKUP($B1699,LOOKUP_AMI_TABLE,5+((K$7-1)),FALSE)</f>
        <v>68250</v>
      </c>
      <c r="L1699" s="252">
        <f t="shared" si="84"/>
        <v>72950</v>
      </c>
      <c r="M1699" s="252">
        <f t="shared" si="84"/>
        <v>77650</v>
      </c>
    </row>
    <row r="1700" spans="1:13" ht="21.95" customHeight="1" x14ac:dyDescent="0.25">
      <c r="A1700" s="36" t="s">
        <v>2904</v>
      </c>
      <c r="B1700" s="36" t="str">
        <f t="shared" si="82"/>
        <v>NM_DE BACA COUNTY, NM</v>
      </c>
      <c r="D1700" s="265" t="s">
        <v>74</v>
      </c>
      <c r="E1700" s="266" t="s">
        <v>4480</v>
      </c>
      <c r="F1700" s="252">
        <f t="shared" si="84"/>
        <v>45850</v>
      </c>
      <c r="G1700" s="252">
        <f t="shared" si="84"/>
        <v>52400</v>
      </c>
      <c r="H1700" s="252">
        <f t="shared" si="84"/>
        <v>58950</v>
      </c>
      <c r="I1700" s="252">
        <f t="shared" si="84"/>
        <v>65450</v>
      </c>
      <c r="J1700" s="252">
        <f t="shared" si="84"/>
        <v>70700</v>
      </c>
      <c r="K1700" s="252">
        <f t="shared" si="84"/>
        <v>75950</v>
      </c>
      <c r="L1700" s="252">
        <f t="shared" si="84"/>
        <v>81200</v>
      </c>
      <c r="M1700" s="252">
        <f t="shared" si="84"/>
        <v>86400</v>
      </c>
    </row>
    <row r="1701" spans="1:13" ht="21.95" customHeight="1" x14ac:dyDescent="0.25">
      <c r="A1701" s="36" t="s">
        <v>2904</v>
      </c>
      <c r="B1701" s="36" t="str">
        <f t="shared" si="82"/>
        <v>NM_EDDY COUNTY, NM</v>
      </c>
      <c r="D1701" s="265" t="s">
        <v>74</v>
      </c>
      <c r="E1701" s="266" t="s">
        <v>4481</v>
      </c>
      <c r="F1701" s="252">
        <f t="shared" si="84"/>
        <v>58050</v>
      </c>
      <c r="G1701" s="252">
        <f t="shared" si="84"/>
        <v>66350</v>
      </c>
      <c r="H1701" s="252">
        <f t="shared" si="84"/>
        <v>74650</v>
      </c>
      <c r="I1701" s="252">
        <f t="shared" si="84"/>
        <v>82900</v>
      </c>
      <c r="J1701" s="252">
        <f t="shared" si="84"/>
        <v>89550</v>
      </c>
      <c r="K1701" s="252">
        <f t="shared" si="84"/>
        <v>96200</v>
      </c>
      <c r="L1701" s="252">
        <f t="shared" si="84"/>
        <v>102800</v>
      </c>
      <c r="M1701" s="252">
        <f t="shared" si="84"/>
        <v>109450</v>
      </c>
    </row>
    <row r="1702" spans="1:13" ht="21.95" customHeight="1" x14ac:dyDescent="0.25">
      <c r="A1702" s="36" t="s">
        <v>2904</v>
      </c>
      <c r="B1702" s="36" t="str">
        <f t="shared" si="82"/>
        <v>NM_FARMINGTON, NM MSA</v>
      </c>
      <c r="D1702" s="265" t="s">
        <v>74</v>
      </c>
      <c r="E1702" s="266" t="s">
        <v>4482</v>
      </c>
      <c r="F1702" s="252">
        <f t="shared" si="84"/>
        <v>42350</v>
      </c>
      <c r="G1702" s="252">
        <f t="shared" si="84"/>
        <v>48400</v>
      </c>
      <c r="H1702" s="252">
        <f t="shared" si="84"/>
        <v>54450</v>
      </c>
      <c r="I1702" s="252">
        <f t="shared" si="84"/>
        <v>60500</v>
      </c>
      <c r="J1702" s="252">
        <f t="shared" si="84"/>
        <v>65350</v>
      </c>
      <c r="K1702" s="252">
        <f t="shared" si="84"/>
        <v>70200</v>
      </c>
      <c r="L1702" s="252">
        <f t="shared" si="84"/>
        <v>75050</v>
      </c>
      <c r="M1702" s="252">
        <f t="shared" si="84"/>
        <v>79900</v>
      </c>
    </row>
    <row r="1703" spans="1:13" ht="21.95" customHeight="1" x14ac:dyDescent="0.25">
      <c r="A1703" s="36" t="s">
        <v>2904</v>
      </c>
      <c r="B1703" s="36" t="str">
        <f t="shared" si="82"/>
        <v>NM_GRANT COUNTY, NM</v>
      </c>
      <c r="D1703" s="265" t="s">
        <v>74</v>
      </c>
      <c r="E1703" s="266" t="s">
        <v>4483</v>
      </c>
      <c r="F1703" s="252">
        <f t="shared" si="84"/>
        <v>43850</v>
      </c>
      <c r="G1703" s="252">
        <f t="shared" si="84"/>
        <v>50100</v>
      </c>
      <c r="H1703" s="252">
        <f t="shared" si="84"/>
        <v>56350</v>
      </c>
      <c r="I1703" s="252">
        <f t="shared" si="84"/>
        <v>62600</v>
      </c>
      <c r="J1703" s="252">
        <f t="shared" si="84"/>
        <v>67650</v>
      </c>
      <c r="K1703" s="252">
        <f t="shared" si="84"/>
        <v>72650</v>
      </c>
      <c r="L1703" s="252">
        <f t="shared" si="84"/>
        <v>77650</v>
      </c>
      <c r="M1703" s="252">
        <f t="shared" si="84"/>
        <v>82650</v>
      </c>
    </row>
    <row r="1704" spans="1:13" ht="21.95" customHeight="1" x14ac:dyDescent="0.25">
      <c r="A1704" s="36" t="s">
        <v>2904</v>
      </c>
      <c r="B1704" s="36" t="str">
        <f t="shared" si="82"/>
        <v>NM_GUADALUPE COUNTY, NM</v>
      </c>
      <c r="D1704" s="265" t="s">
        <v>74</v>
      </c>
      <c r="E1704" s="266" t="s">
        <v>4484</v>
      </c>
      <c r="F1704" s="252">
        <f t="shared" si="84"/>
        <v>38550</v>
      </c>
      <c r="G1704" s="252">
        <f t="shared" si="84"/>
        <v>44050</v>
      </c>
      <c r="H1704" s="252">
        <f t="shared" si="84"/>
        <v>49550</v>
      </c>
      <c r="I1704" s="252">
        <f t="shared" si="84"/>
        <v>55050</v>
      </c>
      <c r="J1704" s="252">
        <f t="shared" si="84"/>
        <v>59500</v>
      </c>
      <c r="K1704" s="252">
        <f t="shared" si="84"/>
        <v>63900</v>
      </c>
      <c r="L1704" s="252">
        <f t="shared" si="84"/>
        <v>68300</v>
      </c>
      <c r="M1704" s="252">
        <f t="shared" si="84"/>
        <v>72700</v>
      </c>
    </row>
    <row r="1705" spans="1:13" ht="21.95" customHeight="1" x14ac:dyDescent="0.25">
      <c r="A1705" s="36" t="s">
        <v>2904</v>
      </c>
      <c r="B1705" s="36" t="str">
        <f t="shared" si="82"/>
        <v>NM_HARDING COUNTY, NM</v>
      </c>
      <c r="D1705" s="265" t="s">
        <v>74</v>
      </c>
      <c r="E1705" s="266" t="s">
        <v>4485</v>
      </c>
      <c r="F1705" s="252">
        <f t="shared" si="84"/>
        <v>43400</v>
      </c>
      <c r="G1705" s="252">
        <f t="shared" si="84"/>
        <v>49600</v>
      </c>
      <c r="H1705" s="252">
        <f t="shared" si="84"/>
        <v>55800</v>
      </c>
      <c r="I1705" s="252">
        <f t="shared" si="84"/>
        <v>62000</v>
      </c>
      <c r="J1705" s="252">
        <f t="shared" si="84"/>
        <v>67000</v>
      </c>
      <c r="K1705" s="252">
        <f t="shared" si="84"/>
        <v>71950</v>
      </c>
      <c r="L1705" s="252">
        <f t="shared" si="84"/>
        <v>76900</v>
      </c>
      <c r="M1705" s="252">
        <f t="shared" si="84"/>
        <v>81850</v>
      </c>
    </row>
    <row r="1706" spans="1:13" ht="21.95" customHeight="1" x14ac:dyDescent="0.25">
      <c r="A1706" s="36" t="s">
        <v>2904</v>
      </c>
      <c r="B1706" s="36" t="str">
        <f t="shared" si="82"/>
        <v>NM_HIDALGO COUNTY, NM</v>
      </c>
      <c r="D1706" s="265" t="s">
        <v>74</v>
      </c>
      <c r="E1706" s="266" t="s">
        <v>4486</v>
      </c>
      <c r="F1706" s="252">
        <f t="shared" si="84"/>
        <v>39700</v>
      </c>
      <c r="G1706" s="252">
        <f t="shared" si="84"/>
        <v>45400</v>
      </c>
      <c r="H1706" s="252">
        <f t="shared" si="84"/>
        <v>51050</v>
      </c>
      <c r="I1706" s="252">
        <f t="shared" si="84"/>
        <v>56700</v>
      </c>
      <c r="J1706" s="252">
        <f t="shared" si="84"/>
        <v>61250</v>
      </c>
      <c r="K1706" s="252">
        <f t="shared" si="84"/>
        <v>65800</v>
      </c>
      <c r="L1706" s="252">
        <f t="shared" si="84"/>
        <v>70350</v>
      </c>
      <c r="M1706" s="252">
        <f t="shared" si="84"/>
        <v>74850</v>
      </c>
    </row>
    <row r="1707" spans="1:13" ht="21.95" customHeight="1" x14ac:dyDescent="0.25">
      <c r="A1707" s="36" t="s">
        <v>2904</v>
      </c>
      <c r="B1707" s="36" t="str">
        <f t="shared" si="82"/>
        <v>NM_LAS CRUCES, NM MSA</v>
      </c>
      <c r="D1707" s="265" t="s">
        <v>74</v>
      </c>
      <c r="E1707" s="266" t="s">
        <v>4487</v>
      </c>
      <c r="F1707" s="252">
        <f t="shared" si="84"/>
        <v>39600</v>
      </c>
      <c r="G1707" s="252">
        <f t="shared" si="84"/>
        <v>45250</v>
      </c>
      <c r="H1707" s="252">
        <f t="shared" si="84"/>
        <v>50900</v>
      </c>
      <c r="I1707" s="252">
        <f t="shared" si="84"/>
        <v>56550</v>
      </c>
      <c r="J1707" s="252">
        <f t="shared" si="84"/>
        <v>61100</v>
      </c>
      <c r="K1707" s="252">
        <f t="shared" si="84"/>
        <v>65600</v>
      </c>
      <c r="L1707" s="252">
        <f t="shared" si="84"/>
        <v>70150</v>
      </c>
      <c r="M1707" s="252">
        <f t="shared" si="84"/>
        <v>74650</v>
      </c>
    </row>
    <row r="1708" spans="1:13" ht="21.95" customHeight="1" x14ac:dyDescent="0.25">
      <c r="A1708" s="36" t="s">
        <v>2904</v>
      </c>
      <c r="B1708" s="36" t="str">
        <f t="shared" si="82"/>
        <v>NM_LEA COUNTY, NM</v>
      </c>
      <c r="D1708" s="265" t="s">
        <v>74</v>
      </c>
      <c r="E1708" s="266" t="s">
        <v>4488</v>
      </c>
      <c r="F1708" s="252">
        <f t="shared" si="84"/>
        <v>44750</v>
      </c>
      <c r="G1708" s="252">
        <f t="shared" si="84"/>
        <v>51150</v>
      </c>
      <c r="H1708" s="252">
        <f t="shared" si="84"/>
        <v>57550</v>
      </c>
      <c r="I1708" s="252">
        <f t="shared" si="84"/>
        <v>63900</v>
      </c>
      <c r="J1708" s="252">
        <f t="shared" si="84"/>
        <v>69050</v>
      </c>
      <c r="K1708" s="252">
        <f t="shared" si="84"/>
        <v>74150</v>
      </c>
      <c r="L1708" s="252">
        <f t="shared" si="84"/>
        <v>79250</v>
      </c>
      <c r="M1708" s="252">
        <f t="shared" si="84"/>
        <v>84350</v>
      </c>
    </row>
    <row r="1709" spans="1:13" ht="21.95" customHeight="1" x14ac:dyDescent="0.25">
      <c r="A1709" s="36" t="s">
        <v>2904</v>
      </c>
      <c r="B1709" s="36" t="str">
        <f t="shared" si="82"/>
        <v>NM_LINCOLN COUNTY, NM</v>
      </c>
      <c r="D1709" s="265" t="s">
        <v>74</v>
      </c>
      <c r="E1709" s="266" t="s">
        <v>4489</v>
      </c>
      <c r="F1709" s="252">
        <f t="shared" si="84"/>
        <v>42250</v>
      </c>
      <c r="G1709" s="252">
        <f t="shared" si="84"/>
        <v>48250</v>
      </c>
      <c r="H1709" s="252">
        <f t="shared" si="84"/>
        <v>54300</v>
      </c>
      <c r="I1709" s="252">
        <f t="shared" si="84"/>
        <v>60300</v>
      </c>
      <c r="J1709" s="252">
        <f t="shared" si="84"/>
        <v>65150</v>
      </c>
      <c r="K1709" s="252">
        <f t="shared" si="84"/>
        <v>69950</v>
      </c>
      <c r="L1709" s="252">
        <f t="shared" si="84"/>
        <v>74800</v>
      </c>
      <c r="M1709" s="252">
        <f t="shared" si="84"/>
        <v>79600</v>
      </c>
    </row>
    <row r="1710" spans="1:13" ht="21.95" customHeight="1" x14ac:dyDescent="0.25">
      <c r="A1710" s="36" t="s">
        <v>2904</v>
      </c>
      <c r="B1710" s="36" t="str">
        <f t="shared" si="82"/>
        <v>NM_LOS ALAMOS COUNTY, NM</v>
      </c>
      <c r="D1710" s="265" t="s">
        <v>74</v>
      </c>
      <c r="E1710" s="266" t="s">
        <v>4490</v>
      </c>
      <c r="F1710" s="252">
        <f t="shared" si="84"/>
        <v>72950</v>
      </c>
      <c r="G1710" s="252">
        <f t="shared" si="84"/>
        <v>83400</v>
      </c>
      <c r="H1710" s="252">
        <f t="shared" si="84"/>
        <v>93800</v>
      </c>
      <c r="I1710" s="252">
        <f t="shared" si="84"/>
        <v>104200</v>
      </c>
      <c r="J1710" s="252">
        <f t="shared" si="84"/>
        <v>112550</v>
      </c>
      <c r="K1710" s="252">
        <f t="shared" si="84"/>
        <v>120900</v>
      </c>
      <c r="L1710" s="252">
        <f t="shared" si="84"/>
        <v>129250</v>
      </c>
      <c r="M1710" s="252">
        <f t="shared" si="84"/>
        <v>137550</v>
      </c>
    </row>
    <row r="1711" spans="1:13" ht="21.95" customHeight="1" x14ac:dyDescent="0.25">
      <c r="A1711" s="36" t="s">
        <v>2904</v>
      </c>
      <c r="B1711" s="36" t="str">
        <f t="shared" si="82"/>
        <v>NM_LUNA COUNTY, NM</v>
      </c>
      <c r="D1711" s="265" t="s">
        <v>74</v>
      </c>
      <c r="E1711" s="266" t="s">
        <v>4491</v>
      </c>
      <c r="F1711" s="252">
        <f t="shared" si="84"/>
        <v>38550</v>
      </c>
      <c r="G1711" s="252">
        <f t="shared" si="84"/>
        <v>44050</v>
      </c>
      <c r="H1711" s="252">
        <f t="shared" si="84"/>
        <v>49550</v>
      </c>
      <c r="I1711" s="252">
        <f t="shared" si="84"/>
        <v>55050</v>
      </c>
      <c r="J1711" s="252">
        <f t="shared" si="84"/>
        <v>59500</v>
      </c>
      <c r="K1711" s="252">
        <f t="shared" si="84"/>
        <v>63900</v>
      </c>
      <c r="L1711" s="252">
        <f t="shared" si="84"/>
        <v>68300</v>
      </c>
      <c r="M1711" s="252">
        <f t="shared" si="84"/>
        <v>72700</v>
      </c>
    </row>
    <row r="1712" spans="1:13" ht="21.95" customHeight="1" x14ac:dyDescent="0.25">
      <c r="A1712" s="36" t="s">
        <v>2904</v>
      </c>
      <c r="B1712" s="36" t="str">
        <f t="shared" si="82"/>
        <v>NM_MCKINLEY COUNTY, NM</v>
      </c>
      <c r="D1712" s="265" t="s">
        <v>74</v>
      </c>
      <c r="E1712" s="266" t="s">
        <v>4492</v>
      </c>
      <c r="F1712" s="252">
        <f t="shared" si="84"/>
        <v>38550</v>
      </c>
      <c r="G1712" s="252">
        <f t="shared" si="84"/>
        <v>44050</v>
      </c>
      <c r="H1712" s="252">
        <f t="shared" si="84"/>
        <v>49550</v>
      </c>
      <c r="I1712" s="252">
        <f t="shared" si="84"/>
        <v>55050</v>
      </c>
      <c r="J1712" s="252">
        <f t="shared" si="84"/>
        <v>59500</v>
      </c>
      <c r="K1712" s="252">
        <f t="shared" si="84"/>
        <v>63900</v>
      </c>
      <c r="L1712" s="252">
        <f t="shared" si="84"/>
        <v>68300</v>
      </c>
      <c r="M1712" s="252">
        <f t="shared" si="84"/>
        <v>72700</v>
      </c>
    </row>
    <row r="1713" spans="1:13" ht="21.95" customHeight="1" x14ac:dyDescent="0.25">
      <c r="A1713" s="36" t="s">
        <v>2904</v>
      </c>
      <c r="B1713" s="36" t="str">
        <f t="shared" si="82"/>
        <v>NM_MORA COUNTY, NM</v>
      </c>
      <c r="D1713" s="265" t="s">
        <v>74</v>
      </c>
      <c r="E1713" s="266" t="s">
        <v>4493</v>
      </c>
      <c r="F1713" s="252">
        <f t="shared" si="84"/>
        <v>38550</v>
      </c>
      <c r="G1713" s="252">
        <f t="shared" si="84"/>
        <v>44050</v>
      </c>
      <c r="H1713" s="252">
        <f t="shared" si="84"/>
        <v>49550</v>
      </c>
      <c r="I1713" s="252">
        <f t="shared" si="84"/>
        <v>55050</v>
      </c>
      <c r="J1713" s="252">
        <f t="shared" si="84"/>
        <v>59500</v>
      </c>
      <c r="K1713" s="252">
        <f t="shared" si="84"/>
        <v>63900</v>
      </c>
      <c r="L1713" s="252">
        <f t="shared" si="84"/>
        <v>68300</v>
      </c>
      <c r="M1713" s="252">
        <f t="shared" si="84"/>
        <v>72700</v>
      </c>
    </row>
    <row r="1714" spans="1:13" ht="21.95" customHeight="1" x14ac:dyDescent="0.25">
      <c r="A1714" s="36" t="s">
        <v>2904</v>
      </c>
      <c r="B1714" s="36" t="str">
        <f t="shared" si="82"/>
        <v>NM_OTERO COUNTY, NM</v>
      </c>
      <c r="D1714" s="265" t="s">
        <v>74</v>
      </c>
      <c r="E1714" s="266" t="s">
        <v>4494</v>
      </c>
      <c r="F1714" s="252">
        <f t="shared" si="84"/>
        <v>38550</v>
      </c>
      <c r="G1714" s="252">
        <f t="shared" si="84"/>
        <v>44050</v>
      </c>
      <c r="H1714" s="252">
        <f t="shared" si="84"/>
        <v>49550</v>
      </c>
      <c r="I1714" s="252">
        <f t="shared" si="84"/>
        <v>55050</v>
      </c>
      <c r="J1714" s="252">
        <f t="shared" si="84"/>
        <v>59500</v>
      </c>
      <c r="K1714" s="252">
        <f t="shared" si="84"/>
        <v>63900</v>
      </c>
      <c r="L1714" s="252">
        <f t="shared" si="84"/>
        <v>68300</v>
      </c>
      <c r="M1714" s="252">
        <f t="shared" si="84"/>
        <v>72700</v>
      </c>
    </row>
    <row r="1715" spans="1:13" ht="21.95" customHeight="1" x14ac:dyDescent="0.25">
      <c r="A1715" s="36" t="s">
        <v>2904</v>
      </c>
      <c r="B1715" s="36" t="str">
        <f t="shared" si="82"/>
        <v>NM_QUAY COUNTY, NM</v>
      </c>
      <c r="D1715" s="265" t="s">
        <v>74</v>
      </c>
      <c r="E1715" s="266" t="s">
        <v>4495</v>
      </c>
      <c r="F1715" s="252">
        <f t="shared" si="84"/>
        <v>38550</v>
      </c>
      <c r="G1715" s="252">
        <f t="shared" si="84"/>
        <v>44050</v>
      </c>
      <c r="H1715" s="252">
        <f t="shared" si="84"/>
        <v>49550</v>
      </c>
      <c r="I1715" s="252">
        <f t="shared" si="84"/>
        <v>55050</v>
      </c>
      <c r="J1715" s="252">
        <f t="shared" si="84"/>
        <v>59500</v>
      </c>
      <c r="K1715" s="252">
        <f t="shared" si="84"/>
        <v>63900</v>
      </c>
      <c r="L1715" s="252">
        <f t="shared" si="84"/>
        <v>68300</v>
      </c>
      <c r="M1715" s="252">
        <f t="shared" si="84"/>
        <v>72700</v>
      </c>
    </row>
    <row r="1716" spans="1:13" ht="21.95" customHeight="1" x14ac:dyDescent="0.25">
      <c r="A1716" s="36" t="s">
        <v>2904</v>
      </c>
      <c r="B1716" s="36" t="str">
        <f t="shared" si="82"/>
        <v>NM_RIO ARRIBA COUNTY, NM</v>
      </c>
      <c r="D1716" s="265" t="s">
        <v>74</v>
      </c>
      <c r="E1716" s="266" t="s">
        <v>4496</v>
      </c>
      <c r="F1716" s="252">
        <f t="shared" si="84"/>
        <v>41950</v>
      </c>
      <c r="G1716" s="252">
        <f t="shared" si="84"/>
        <v>47950</v>
      </c>
      <c r="H1716" s="252">
        <f t="shared" si="84"/>
        <v>53950</v>
      </c>
      <c r="I1716" s="252">
        <f t="shared" si="84"/>
        <v>59900</v>
      </c>
      <c r="J1716" s="252">
        <f t="shared" si="84"/>
        <v>64700</v>
      </c>
      <c r="K1716" s="252">
        <f t="shared" si="84"/>
        <v>69500</v>
      </c>
      <c r="L1716" s="252">
        <f t="shared" si="84"/>
        <v>74300</v>
      </c>
      <c r="M1716" s="252">
        <f t="shared" si="84"/>
        <v>79100</v>
      </c>
    </row>
    <row r="1717" spans="1:13" ht="21.95" customHeight="1" x14ac:dyDescent="0.25">
      <c r="A1717" s="36" t="s">
        <v>2904</v>
      </c>
      <c r="B1717" s="36" t="str">
        <f t="shared" si="82"/>
        <v>NM_ROOSEVELT COUNTY, NM</v>
      </c>
      <c r="D1717" s="265" t="s">
        <v>74</v>
      </c>
      <c r="E1717" s="266" t="s">
        <v>4497</v>
      </c>
      <c r="F1717" s="252">
        <f t="shared" si="84"/>
        <v>40400</v>
      </c>
      <c r="G1717" s="252">
        <f t="shared" si="84"/>
        <v>46200</v>
      </c>
      <c r="H1717" s="252">
        <f t="shared" si="84"/>
        <v>51950</v>
      </c>
      <c r="I1717" s="252">
        <f t="shared" si="84"/>
        <v>57700</v>
      </c>
      <c r="J1717" s="252">
        <f t="shared" si="84"/>
        <v>62350</v>
      </c>
      <c r="K1717" s="252">
        <f t="shared" si="84"/>
        <v>66950</v>
      </c>
      <c r="L1717" s="252">
        <f t="shared" si="84"/>
        <v>71550</v>
      </c>
      <c r="M1717" s="252">
        <f t="shared" si="84"/>
        <v>76200</v>
      </c>
    </row>
    <row r="1718" spans="1:13" ht="21.95" customHeight="1" x14ac:dyDescent="0.25">
      <c r="A1718" s="36" t="s">
        <v>2904</v>
      </c>
      <c r="B1718" s="36" t="str">
        <f t="shared" si="82"/>
        <v>NM_SAN MIGUEL COUNTY, NM</v>
      </c>
      <c r="D1718" s="265" t="s">
        <v>74</v>
      </c>
      <c r="E1718" s="266" t="s">
        <v>4498</v>
      </c>
      <c r="F1718" s="252">
        <f t="shared" si="84"/>
        <v>38550</v>
      </c>
      <c r="G1718" s="252">
        <f t="shared" si="84"/>
        <v>44050</v>
      </c>
      <c r="H1718" s="252">
        <f t="shared" si="84"/>
        <v>49550</v>
      </c>
      <c r="I1718" s="252">
        <f t="shared" si="84"/>
        <v>55050</v>
      </c>
      <c r="J1718" s="252">
        <f t="shared" si="84"/>
        <v>59500</v>
      </c>
      <c r="K1718" s="252">
        <f t="shared" si="84"/>
        <v>63900</v>
      </c>
      <c r="L1718" s="252">
        <f t="shared" si="84"/>
        <v>68300</v>
      </c>
      <c r="M1718" s="252">
        <f t="shared" si="84"/>
        <v>72700</v>
      </c>
    </row>
    <row r="1719" spans="1:13" ht="21.95" customHeight="1" x14ac:dyDescent="0.25">
      <c r="A1719" s="36" t="s">
        <v>2904</v>
      </c>
      <c r="B1719" s="36" t="str">
        <f t="shared" si="82"/>
        <v>NM_SANTA FE, NM MSA</v>
      </c>
      <c r="D1719" s="265" t="s">
        <v>74</v>
      </c>
      <c r="E1719" s="266" t="s">
        <v>4499</v>
      </c>
      <c r="F1719" s="252">
        <f t="shared" si="84"/>
        <v>55750</v>
      </c>
      <c r="G1719" s="252">
        <f t="shared" si="84"/>
        <v>63700</v>
      </c>
      <c r="H1719" s="252">
        <f t="shared" si="84"/>
        <v>71650</v>
      </c>
      <c r="I1719" s="252">
        <f t="shared" si="84"/>
        <v>79600</v>
      </c>
      <c r="J1719" s="252">
        <f t="shared" si="84"/>
        <v>86000</v>
      </c>
      <c r="K1719" s="252">
        <f t="shared" si="84"/>
        <v>92350</v>
      </c>
      <c r="L1719" s="252">
        <f t="shared" si="84"/>
        <v>98750</v>
      </c>
      <c r="M1719" s="252">
        <f t="shared" si="84"/>
        <v>105100</v>
      </c>
    </row>
    <row r="1720" spans="1:13" ht="21.95" customHeight="1" x14ac:dyDescent="0.25">
      <c r="A1720" s="36" t="s">
        <v>2904</v>
      </c>
      <c r="B1720" s="36" t="str">
        <f t="shared" si="82"/>
        <v>NM_SIERRA COUNTY, NM</v>
      </c>
      <c r="D1720" s="265" t="s">
        <v>74</v>
      </c>
      <c r="E1720" s="266" t="s">
        <v>4500</v>
      </c>
      <c r="F1720" s="252">
        <f t="shared" si="84"/>
        <v>38550</v>
      </c>
      <c r="G1720" s="252">
        <f t="shared" si="84"/>
        <v>44050</v>
      </c>
      <c r="H1720" s="252">
        <f t="shared" si="84"/>
        <v>49550</v>
      </c>
      <c r="I1720" s="252">
        <f t="shared" si="84"/>
        <v>55050</v>
      </c>
      <c r="J1720" s="252">
        <f t="shared" si="84"/>
        <v>59500</v>
      </c>
      <c r="K1720" s="252">
        <f t="shared" si="84"/>
        <v>63900</v>
      </c>
      <c r="L1720" s="252">
        <f t="shared" si="84"/>
        <v>68300</v>
      </c>
      <c r="M1720" s="252">
        <f t="shared" si="84"/>
        <v>72700</v>
      </c>
    </row>
    <row r="1721" spans="1:13" ht="21.95" customHeight="1" x14ac:dyDescent="0.25">
      <c r="A1721" s="36" t="s">
        <v>2904</v>
      </c>
      <c r="B1721" s="36" t="str">
        <f t="shared" si="82"/>
        <v>NM_SOCORRO COUNTY, NM</v>
      </c>
      <c r="D1721" s="265" t="s">
        <v>74</v>
      </c>
      <c r="E1721" s="266" t="s">
        <v>4501</v>
      </c>
      <c r="F1721" s="252">
        <f t="shared" si="84"/>
        <v>38550</v>
      </c>
      <c r="G1721" s="252">
        <f t="shared" si="84"/>
        <v>44050</v>
      </c>
      <c r="H1721" s="252">
        <f t="shared" si="84"/>
        <v>49550</v>
      </c>
      <c r="I1721" s="252">
        <f t="shared" si="84"/>
        <v>55050</v>
      </c>
      <c r="J1721" s="252">
        <f t="shared" si="84"/>
        <v>59500</v>
      </c>
      <c r="K1721" s="252">
        <f t="shared" si="84"/>
        <v>63900</v>
      </c>
      <c r="L1721" s="252">
        <f t="shared" si="84"/>
        <v>68300</v>
      </c>
      <c r="M1721" s="252">
        <f t="shared" si="84"/>
        <v>72700</v>
      </c>
    </row>
    <row r="1722" spans="1:13" ht="21.95" customHeight="1" x14ac:dyDescent="0.25">
      <c r="A1722" s="36" t="s">
        <v>2904</v>
      </c>
      <c r="B1722" s="36" t="str">
        <f t="shared" si="82"/>
        <v>NM_TAOS COUNTY, NM</v>
      </c>
      <c r="D1722" s="265" t="s">
        <v>74</v>
      </c>
      <c r="E1722" s="266" t="s">
        <v>4502</v>
      </c>
      <c r="F1722" s="252">
        <f t="shared" si="84"/>
        <v>43400</v>
      </c>
      <c r="G1722" s="252">
        <f t="shared" si="84"/>
        <v>49600</v>
      </c>
      <c r="H1722" s="252">
        <f t="shared" si="84"/>
        <v>55800</v>
      </c>
      <c r="I1722" s="252">
        <f t="shared" si="84"/>
        <v>62000</v>
      </c>
      <c r="J1722" s="252">
        <f t="shared" si="84"/>
        <v>67000</v>
      </c>
      <c r="K1722" s="252">
        <f t="shared" si="84"/>
        <v>71950</v>
      </c>
      <c r="L1722" s="252">
        <f t="shared" si="84"/>
        <v>76900</v>
      </c>
      <c r="M1722" s="252">
        <f t="shared" si="84"/>
        <v>81850</v>
      </c>
    </row>
    <row r="1723" spans="1:13" ht="21.95" customHeight="1" x14ac:dyDescent="0.25">
      <c r="A1723" s="36" t="s">
        <v>2904</v>
      </c>
      <c r="B1723" s="36" t="str">
        <f t="shared" si="82"/>
        <v>NM_UNION COUNTY, NM</v>
      </c>
      <c r="D1723" s="265" t="s">
        <v>74</v>
      </c>
      <c r="E1723" s="266" t="s">
        <v>4503</v>
      </c>
      <c r="F1723" s="252">
        <f t="shared" si="84"/>
        <v>38550</v>
      </c>
      <c r="G1723" s="252">
        <f t="shared" si="84"/>
        <v>44050</v>
      </c>
      <c r="H1723" s="252">
        <f t="shared" si="84"/>
        <v>49550</v>
      </c>
      <c r="I1723" s="252">
        <f t="shared" si="84"/>
        <v>55050</v>
      </c>
      <c r="J1723" s="252">
        <f t="shared" si="84"/>
        <v>59500</v>
      </c>
      <c r="K1723" s="252">
        <f t="shared" si="84"/>
        <v>63900</v>
      </c>
      <c r="L1723" s="252">
        <f t="shared" si="84"/>
        <v>68300</v>
      </c>
      <c r="M1723" s="252">
        <f t="shared" si="84"/>
        <v>72700</v>
      </c>
    </row>
    <row r="1724" spans="1:13" ht="21.95" customHeight="1" x14ac:dyDescent="0.25">
      <c r="A1724" s="36" t="s">
        <v>2904</v>
      </c>
      <c r="B1724" s="36" t="str">
        <f t="shared" ref="B1724:B1787" si="85">UPPER(TRIM(D1724)&amp;"_"&amp;TRIM(E1724))</f>
        <v>NV_CARSON CITY, NV MSA</v>
      </c>
      <c r="D1724" s="265" t="s">
        <v>77</v>
      </c>
      <c r="E1724" s="266" t="s">
        <v>4504</v>
      </c>
      <c r="F1724" s="252">
        <f t="shared" si="84"/>
        <v>52400</v>
      </c>
      <c r="G1724" s="252">
        <f t="shared" si="84"/>
        <v>59850</v>
      </c>
      <c r="H1724" s="252">
        <f t="shared" si="84"/>
        <v>67350</v>
      </c>
      <c r="I1724" s="252">
        <f t="shared" si="84"/>
        <v>74800</v>
      </c>
      <c r="J1724" s="252">
        <f t="shared" si="84"/>
        <v>80800</v>
      </c>
      <c r="K1724" s="252">
        <f t="shared" si="84"/>
        <v>86800</v>
      </c>
      <c r="L1724" s="252">
        <f t="shared" si="84"/>
        <v>92800</v>
      </c>
      <c r="M1724" s="252">
        <f t="shared" si="84"/>
        <v>98750</v>
      </c>
    </row>
    <row r="1725" spans="1:13" ht="21.95" customHeight="1" x14ac:dyDescent="0.25">
      <c r="A1725" s="36" t="s">
        <v>2904</v>
      </c>
      <c r="B1725" s="36" t="str">
        <f t="shared" si="85"/>
        <v>NV_CHURCHILL COUNTY, NV</v>
      </c>
      <c r="D1725" s="265" t="s">
        <v>77</v>
      </c>
      <c r="E1725" s="266" t="s">
        <v>4505</v>
      </c>
      <c r="F1725" s="252">
        <f t="shared" si="84"/>
        <v>57050</v>
      </c>
      <c r="G1725" s="252">
        <f t="shared" si="84"/>
        <v>65200</v>
      </c>
      <c r="H1725" s="252">
        <f t="shared" si="84"/>
        <v>73350</v>
      </c>
      <c r="I1725" s="252">
        <f t="shared" si="84"/>
        <v>81500</v>
      </c>
      <c r="J1725" s="252">
        <f t="shared" si="84"/>
        <v>88050</v>
      </c>
      <c r="K1725" s="252">
        <f t="shared" si="84"/>
        <v>94550</v>
      </c>
      <c r="L1725" s="252">
        <f t="shared" si="84"/>
        <v>101100</v>
      </c>
      <c r="M1725" s="252">
        <f t="shared" si="84"/>
        <v>107600</v>
      </c>
    </row>
    <row r="1726" spans="1:13" ht="21.95" customHeight="1" x14ac:dyDescent="0.25">
      <c r="A1726" s="36" t="s">
        <v>2904</v>
      </c>
      <c r="B1726" s="36" t="str">
        <f t="shared" si="85"/>
        <v>NV_DOUGLAS COUNTY, NV</v>
      </c>
      <c r="D1726" s="265" t="s">
        <v>77</v>
      </c>
      <c r="E1726" s="266" t="s">
        <v>4506</v>
      </c>
      <c r="F1726" s="252">
        <f t="shared" si="84"/>
        <v>60950</v>
      </c>
      <c r="G1726" s="252">
        <f t="shared" si="84"/>
        <v>69650</v>
      </c>
      <c r="H1726" s="252">
        <f t="shared" si="84"/>
        <v>78350</v>
      </c>
      <c r="I1726" s="252">
        <f t="shared" si="84"/>
        <v>87050</v>
      </c>
      <c r="J1726" s="252">
        <f t="shared" si="84"/>
        <v>94050</v>
      </c>
      <c r="K1726" s="252">
        <f t="shared" si="84"/>
        <v>101000</v>
      </c>
      <c r="L1726" s="252">
        <f t="shared" si="84"/>
        <v>107950</v>
      </c>
      <c r="M1726" s="252">
        <f t="shared" si="84"/>
        <v>114950</v>
      </c>
    </row>
    <row r="1727" spans="1:13" ht="21.95" customHeight="1" x14ac:dyDescent="0.25">
      <c r="A1727" s="36" t="s">
        <v>2904</v>
      </c>
      <c r="B1727" s="36" t="str">
        <f t="shared" si="85"/>
        <v>NV_ELKO COUNTY, NV</v>
      </c>
      <c r="D1727" s="265" t="s">
        <v>77</v>
      </c>
      <c r="E1727" s="266" t="s">
        <v>4507</v>
      </c>
      <c r="F1727" s="252">
        <f t="shared" si="84"/>
        <v>61800</v>
      </c>
      <c r="G1727" s="252">
        <f t="shared" si="84"/>
        <v>70600</v>
      </c>
      <c r="H1727" s="252">
        <f t="shared" si="84"/>
        <v>79450</v>
      </c>
      <c r="I1727" s="252">
        <f t="shared" si="84"/>
        <v>88250</v>
      </c>
      <c r="J1727" s="252">
        <f t="shared" si="84"/>
        <v>95350</v>
      </c>
      <c r="K1727" s="252">
        <f t="shared" si="84"/>
        <v>102400</v>
      </c>
      <c r="L1727" s="252">
        <f t="shared" si="84"/>
        <v>109450</v>
      </c>
      <c r="M1727" s="252">
        <f t="shared" si="84"/>
        <v>116500</v>
      </c>
    </row>
    <row r="1728" spans="1:13" ht="21.95" customHeight="1" x14ac:dyDescent="0.25">
      <c r="A1728" s="36" t="s">
        <v>2904</v>
      </c>
      <c r="B1728" s="36" t="str">
        <f t="shared" si="85"/>
        <v>NV_ESMERALDA COUNTY, NV</v>
      </c>
      <c r="D1728" s="265" t="s">
        <v>77</v>
      </c>
      <c r="E1728" s="266" t="s">
        <v>4508</v>
      </c>
      <c r="F1728" s="252">
        <f t="shared" si="84"/>
        <v>58000</v>
      </c>
      <c r="G1728" s="252">
        <f t="shared" si="84"/>
        <v>66250</v>
      </c>
      <c r="H1728" s="252">
        <f t="shared" si="84"/>
        <v>74550</v>
      </c>
      <c r="I1728" s="252">
        <f t="shared" si="84"/>
        <v>82800</v>
      </c>
      <c r="J1728" s="252">
        <f t="shared" si="84"/>
        <v>89450</v>
      </c>
      <c r="K1728" s="252">
        <f t="shared" si="84"/>
        <v>96050</v>
      </c>
      <c r="L1728" s="252">
        <f t="shared" si="84"/>
        <v>102700</v>
      </c>
      <c r="M1728" s="252">
        <f t="shared" si="84"/>
        <v>109300</v>
      </c>
    </row>
    <row r="1729" spans="1:13" ht="21.95" customHeight="1" x14ac:dyDescent="0.25">
      <c r="A1729" s="36" t="s">
        <v>2904</v>
      </c>
      <c r="B1729" s="36" t="str">
        <f t="shared" si="85"/>
        <v>NV_EUREKA COUNTY, NV</v>
      </c>
      <c r="D1729" s="265" t="s">
        <v>77</v>
      </c>
      <c r="E1729" s="266" t="s">
        <v>4509</v>
      </c>
      <c r="F1729" s="252">
        <f t="shared" si="84"/>
        <v>52400</v>
      </c>
      <c r="G1729" s="252">
        <f t="shared" si="84"/>
        <v>59850</v>
      </c>
      <c r="H1729" s="252">
        <f t="shared" si="84"/>
        <v>67350</v>
      </c>
      <c r="I1729" s="252">
        <f t="shared" si="84"/>
        <v>74800</v>
      </c>
      <c r="J1729" s="252">
        <f t="shared" si="84"/>
        <v>80800</v>
      </c>
      <c r="K1729" s="252">
        <f t="shared" si="84"/>
        <v>86800</v>
      </c>
      <c r="L1729" s="252">
        <f t="shared" si="84"/>
        <v>92800</v>
      </c>
      <c r="M1729" s="252">
        <f t="shared" si="84"/>
        <v>98750</v>
      </c>
    </row>
    <row r="1730" spans="1:13" ht="21.95" customHeight="1" x14ac:dyDescent="0.25">
      <c r="A1730" s="36" t="s">
        <v>2904</v>
      </c>
      <c r="B1730" s="36" t="str">
        <f t="shared" si="85"/>
        <v>NV_HUMBOLDT COUNTY, NV</v>
      </c>
      <c r="D1730" s="265" t="s">
        <v>77</v>
      </c>
      <c r="E1730" s="266" t="s">
        <v>4510</v>
      </c>
      <c r="F1730" s="252">
        <f t="shared" si="84"/>
        <v>54600</v>
      </c>
      <c r="G1730" s="252">
        <f t="shared" si="84"/>
        <v>62400</v>
      </c>
      <c r="H1730" s="252">
        <f t="shared" si="84"/>
        <v>70200</v>
      </c>
      <c r="I1730" s="252">
        <f t="shared" si="84"/>
        <v>78000</v>
      </c>
      <c r="J1730" s="252">
        <f t="shared" si="84"/>
        <v>84250</v>
      </c>
      <c r="K1730" s="252">
        <f t="shared" si="84"/>
        <v>90500</v>
      </c>
      <c r="L1730" s="252">
        <f t="shared" si="84"/>
        <v>96750</v>
      </c>
      <c r="M1730" s="252">
        <f t="shared" si="84"/>
        <v>103000</v>
      </c>
    </row>
    <row r="1731" spans="1:13" ht="21.95" customHeight="1" x14ac:dyDescent="0.25">
      <c r="A1731" s="36" t="s">
        <v>2904</v>
      </c>
      <c r="B1731" s="36" t="str">
        <f t="shared" si="85"/>
        <v>NV_LANDER COUNTY, NV</v>
      </c>
      <c r="D1731" s="265" t="s">
        <v>77</v>
      </c>
      <c r="E1731" s="266" t="s">
        <v>4511</v>
      </c>
      <c r="F1731" s="252">
        <f t="shared" si="84"/>
        <v>60300</v>
      </c>
      <c r="G1731" s="252">
        <f t="shared" si="84"/>
        <v>68900</v>
      </c>
      <c r="H1731" s="252">
        <f t="shared" si="84"/>
        <v>77500</v>
      </c>
      <c r="I1731" s="252">
        <f t="shared" si="84"/>
        <v>86100</v>
      </c>
      <c r="J1731" s="252">
        <f t="shared" ref="F1731:M1763" si="86">VLOOKUP($B1731,LOOKUP_AMI_TABLE,5+((J$7-1)),FALSE)</f>
        <v>93000</v>
      </c>
      <c r="K1731" s="252">
        <f t="shared" si="86"/>
        <v>99900</v>
      </c>
      <c r="L1731" s="252">
        <f t="shared" si="86"/>
        <v>106800</v>
      </c>
      <c r="M1731" s="252">
        <f t="shared" si="86"/>
        <v>113700</v>
      </c>
    </row>
    <row r="1732" spans="1:13" ht="21.95" customHeight="1" x14ac:dyDescent="0.25">
      <c r="A1732" s="36" t="s">
        <v>2904</v>
      </c>
      <c r="B1732" s="36" t="str">
        <f t="shared" si="85"/>
        <v>NV_LAS VEGAS-HENDERSON-NORTH LAS VEGAS, NV MSA</v>
      </c>
      <c r="D1732" s="265" t="s">
        <v>77</v>
      </c>
      <c r="E1732" s="266" t="s">
        <v>9234</v>
      </c>
      <c r="F1732" s="252">
        <f t="shared" si="86"/>
        <v>57150</v>
      </c>
      <c r="G1732" s="252">
        <f t="shared" si="86"/>
        <v>65300</v>
      </c>
      <c r="H1732" s="252">
        <f t="shared" si="86"/>
        <v>73450</v>
      </c>
      <c r="I1732" s="252">
        <f t="shared" si="86"/>
        <v>81600</v>
      </c>
      <c r="J1732" s="252">
        <f t="shared" si="86"/>
        <v>88150</v>
      </c>
      <c r="K1732" s="252">
        <f t="shared" si="86"/>
        <v>94700</v>
      </c>
      <c r="L1732" s="252">
        <f t="shared" si="86"/>
        <v>101200</v>
      </c>
      <c r="M1732" s="252">
        <f t="shared" si="86"/>
        <v>107750</v>
      </c>
    </row>
    <row r="1733" spans="1:13" ht="21.95" customHeight="1" x14ac:dyDescent="0.25">
      <c r="A1733" s="36" t="s">
        <v>2904</v>
      </c>
      <c r="B1733" s="36" t="str">
        <f t="shared" si="85"/>
        <v>NV_LINCOLN COUNTY, NV</v>
      </c>
      <c r="D1733" s="265" t="s">
        <v>77</v>
      </c>
      <c r="E1733" s="266" t="s">
        <v>4512</v>
      </c>
      <c r="F1733" s="252">
        <f t="shared" si="86"/>
        <v>53400</v>
      </c>
      <c r="G1733" s="252">
        <f t="shared" si="86"/>
        <v>61000</v>
      </c>
      <c r="H1733" s="252">
        <f t="shared" si="86"/>
        <v>68650</v>
      </c>
      <c r="I1733" s="252">
        <f t="shared" si="86"/>
        <v>76250</v>
      </c>
      <c r="J1733" s="252">
        <f t="shared" si="86"/>
        <v>82350</v>
      </c>
      <c r="K1733" s="252">
        <f t="shared" si="86"/>
        <v>88450</v>
      </c>
      <c r="L1733" s="252">
        <f t="shared" si="86"/>
        <v>94550</v>
      </c>
      <c r="M1733" s="252">
        <f t="shared" si="86"/>
        <v>100650</v>
      </c>
    </row>
    <row r="1734" spans="1:13" ht="21.95" customHeight="1" x14ac:dyDescent="0.25">
      <c r="A1734" s="36" t="s">
        <v>2904</v>
      </c>
      <c r="B1734" s="36" t="str">
        <f t="shared" si="85"/>
        <v>NV_LYON COUNTY, NV HUD METRO FMR AREA</v>
      </c>
      <c r="D1734" s="265" t="s">
        <v>77</v>
      </c>
      <c r="E1734" s="266" t="s">
        <v>9235</v>
      </c>
      <c r="F1734" s="252">
        <f t="shared" si="86"/>
        <v>53000</v>
      </c>
      <c r="G1734" s="252">
        <f t="shared" si="86"/>
        <v>60600</v>
      </c>
      <c r="H1734" s="252">
        <f t="shared" si="86"/>
        <v>68150</v>
      </c>
      <c r="I1734" s="252">
        <f t="shared" si="86"/>
        <v>75700</v>
      </c>
      <c r="J1734" s="252">
        <f t="shared" si="86"/>
        <v>81800</v>
      </c>
      <c r="K1734" s="252">
        <f t="shared" si="86"/>
        <v>87850</v>
      </c>
      <c r="L1734" s="252">
        <f t="shared" si="86"/>
        <v>93900</v>
      </c>
      <c r="M1734" s="252">
        <f t="shared" si="86"/>
        <v>99950</v>
      </c>
    </row>
    <row r="1735" spans="1:13" ht="21.95" customHeight="1" x14ac:dyDescent="0.25">
      <c r="A1735" s="36" t="s">
        <v>2904</v>
      </c>
      <c r="B1735" s="36" t="str">
        <f t="shared" si="85"/>
        <v>NV_MINERAL COUNTY, NV</v>
      </c>
      <c r="D1735" s="265" t="s">
        <v>77</v>
      </c>
      <c r="E1735" s="266" t="s">
        <v>4513</v>
      </c>
      <c r="F1735" s="252">
        <f t="shared" si="86"/>
        <v>52400</v>
      </c>
      <c r="G1735" s="252">
        <f t="shared" si="86"/>
        <v>59850</v>
      </c>
      <c r="H1735" s="252">
        <f t="shared" si="86"/>
        <v>67350</v>
      </c>
      <c r="I1735" s="252">
        <f t="shared" si="86"/>
        <v>74800</v>
      </c>
      <c r="J1735" s="252">
        <f t="shared" si="86"/>
        <v>80800</v>
      </c>
      <c r="K1735" s="252">
        <f t="shared" si="86"/>
        <v>86800</v>
      </c>
      <c r="L1735" s="252">
        <f t="shared" si="86"/>
        <v>92800</v>
      </c>
      <c r="M1735" s="252">
        <f t="shared" si="86"/>
        <v>98750</v>
      </c>
    </row>
    <row r="1736" spans="1:13" ht="21.95" customHeight="1" x14ac:dyDescent="0.25">
      <c r="A1736" s="36" t="s">
        <v>2904</v>
      </c>
      <c r="B1736" s="36" t="str">
        <f t="shared" si="85"/>
        <v>NV_NYE COUNTY, NV</v>
      </c>
      <c r="D1736" s="265" t="s">
        <v>77</v>
      </c>
      <c r="E1736" s="266" t="s">
        <v>4514</v>
      </c>
      <c r="F1736" s="252">
        <f t="shared" si="86"/>
        <v>52400</v>
      </c>
      <c r="G1736" s="252">
        <f t="shared" si="86"/>
        <v>59850</v>
      </c>
      <c r="H1736" s="252">
        <f t="shared" si="86"/>
        <v>67350</v>
      </c>
      <c r="I1736" s="252">
        <f t="shared" si="86"/>
        <v>74800</v>
      </c>
      <c r="J1736" s="252">
        <f t="shared" si="86"/>
        <v>80800</v>
      </c>
      <c r="K1736" s="252">
        <f t="shared" si="86"/>
        <v>86800</v>
      </c>
      <c r="L1736" s="252">
        <f t="shared" si="86"/>
        <v>92800</v>
      </c>
      <c r="M1736" s="252">
        <f t="shared" si="86"/>
        <v>98750</v>
      </c>
    </row>
    <row r="1737" spans="1:13" ht="21.95" customHeight="1" x14ac:dyDescent="0.25">
      <c r="A1737" s="36" t="s">
        <v>2904</v>
      </c>
      <c r="B1737" s="36" t="str">
        <f t="shared" si="85"/>
        <v>NV_PERSHING COUNTY, NV</v>
      </c>
      <c r="D1737" s="265" t="s">
        <v>77</v>
      </c>
      <c r="E1737" s="266" t="s">
        <v>4515</v>
      </c>
      <c r="F1737" s="252">
        <f t="shared" si="86"/>
        <v>56500</v>
      </c>
      <c r="G1737" s="252">
        <f t="shared" si="86"/>
        <v>64550</v>
      </c>
      <c r="H1737" s="252">
        <f t="shared" si="86"/>
        <v>72600</v>
      </c>
      <c r="I1737" s="252">
        <f t="shared" si="86"/>
        <v>80650</v>
      </c>
      <c r="J1737" s="252">
        <f t="shared" si="86"/>
        <v>87150</v>
      </c>
      <c r="K1737" s="252">
        <f t="shared" si="86"/>
        <v>93600</v>
      </c>
      <c r="L1737" s="252">
        <f t="shared" si="86"/>
        <v>100050</v>
      </c>
      <c r="M1737" s="252">
        <f t="shared" si="86"/>
        <v>106500</v>
      </c>
    </row>
    <row r="1738" spans="1:13" ht="21.95" customHeight="1" x14ac:dyDescent="0.25">
      <c r="A1738" s="36" t="s">
        <v>2904</v>
      </c>
      <c r="B1738" s="36" t="str">
        <f t="shared" si="85"/>
        <v>NV_RENO, NV HUD METRO FMR AREA</v>
      </c>
      <c r="D1738" s="265" t="s">
        <v>77</v>
      </c>
      <c r="E1738" s="266" t="s">
        <v>9236</v>
      </c>
      <c r="F1738" s="252">
        <f t="shared" si="86"/>
        <v>61900</v>
      </c>
      <c r="G1738" s="252">
        <f t="shared" si="86"/>
        <v>70750</v>
      </c>
      <c r="H1738" s="252">
        <f t="shared" si="86"/>
        <v>79600</v>
      </c>
      <c r="I1738" s="252">
        <f t="shared" si="86"/>
        <v>88400</v>
      </c>
      <c r="J1738" s="252">
        <f t="shared" si="86"/>
        <v>95500</v>
      </c>
      <c r="K1738" s="252">
        <f t="shared" si="86"/>
        <v>102550</v>
      </c>
      <c r="L1738" s="252">
        <f t="shared" si="86"/>
        <v>109650</v>
      </c>
      <c r="M1738" s="252">
        <f t="shared" si="86"/>
        <v>116700</v>
      </c>
    </row>
    <row r="1739" spans="1:13" ht="21.95" customHeight="1" x14ac:dyDescent="0.25">
      <c r="A1739" s="36" t="s">
        <v>2904</v>
      </c>
      <c r="B1739" s="36" t="str">
        <f t="shared" si="85"/>
        <v>NV_WHITE PINE COUNTY, NV</v>
      </c>
      <c r="D1739" s="265" t="s">
        <v>77</v>
      </c>
      <c r="E1739" s="266" t="s">
        <v>4516</v>
      </c>
      <c r="F1739" s="252">
        <f t="shared" si="86"/>
        <v>58200</v>
      </c>
      <c r="G1739" s="252">
        <f t="shared" si="86"/>
        <v>66500</v>
      </c>
      <c r="H1739" s="252">
        <f t="shared" si="86"/>
        <v>74800</v>
      </c>
      <c r="I1739" s="252">
        <f t="shared" si="86"/>
        <v>83100</v>
      </c>
      <c r="J1739" s="252">
        <f t="shared" si="86"/>
        <v>89750</v>
      </c>
      <c r="K1739" s="252">
        <f t="shared" si="86"/>
        <v>96400</v>
      </c>
      <c r="L1739" s="252">
        <f t="shared" si="86"/>
        <v>103050</v>
      </c>
      <c r="M1739" s="252">
        <f t="shared" si="86"/>
        <v>109700</v>
      </c>
    </row>
    <row r="1740" spans="1:13" ht="21.95" customHeight="1" x14ac:dyDescent="0.25">
      <c r="A1740" s="36" t="s">
        <v>2904</v>
      </c>
      <c r="B1740" s="36" t="str">
        <f t="shared" si="85"/>
        <v>OH_ADAMS COUNTY, OH</v>
      </c>
      <c r="D1740" s="265" t="s">
        <v>71</v>
      </c>
      <c r="E1740" s="266" t="s">
        <v>4517</v>
      </c>
      <c r="F1740" s="252">
        <f t="shared" si="86"/>
        <v>47750</v>
      </c>
      <c r="G1740" s="252">
        <f t="shared" si="86"/>
        <v>54550</v>
      </c>
      <c r="H1740" s="252">
        <f t="shared" si="86"/>
        <v>61350</v>
      </c>
      <c r="I1740" s="252">
        <f t="shared" si="86"/>
        <v>68150</v>
      </c>
      <c r="J1740" s="252">
        <f t="shared" si="86"/>
        <v>73650</v>
      </c>
      <c r="K1740" s="252">
        <f t="shared" si="86"/>
        <v>79100</v>
      </c>
      <c r="L1740" s="252">
        <f t="shared" si="86"/>
        <v>84550</v>
      </c>
      <c r="M1740" s="252">
        <f t="shared" si="86"/>
        <v>90000</v>
      </c>
    </row>
    <row r="1741" spans="1:13" ht="21.95" customHeight="1" x14ac:dyDescent="0.25">
      <c r="A1741" s="36" t="s">
        <v>2904</v>
      </c>
      <c r="B1741" s="36" t="str">
        <f t="shared" si="85"/>
        <v>OH_AKRON, OH MSA</v>
      </c>
      <c r="D1741" s="265" t="s">
        <v>71</v>
      </c>
      <c r="E1741" s="266" t="s">
        <v>4518</v>
      </c>
      <c r="F1741" s="252">
        <f t="shared" si="86"/>
        <v>56200</v>
      </c>
      <c r="G1741" s="252">
        <f t="shared" si="86"/>
        <v>64200</v>
      </c>
      <c r="H1741" s="252">
        <f t="shared" si="86"/>
        <v>72250</v>
      </c>
      <c r="I1741" s="252">
        <f t="shared" si="86"/>
        <v>80250</v>
      </c>
      <c r="J1741" s="252">
        <f t="shared" si="86"/>
        <v>86700</v>
      </c>
      <c r="K1741" s="252">
        <f t="shared" si="86"/>
        <v>93100</v>
      </c>
      <c r="L1741" s="252">
        <f t="shared" si="86"/>
        <v>99550</v>
      </c>
      <c r="M1741" s="252">
        <f t="shared" si="86"/>
        <v>105950</v>
      </c>
    </row>
    <row r="1742" spans="1:13" ht="21.95" customHeight="1" x14ac:dyDescent="0.25">
      <c r="A1742" s="36" t="s">
        <v>2904</v>
      </c>
      <c r="B1742" s="36" t="str">
        <f t="shared" si="85"/>
        <v>OH_ASHLAND COUNTY, OH</v>
      </c>
      <c r="D1742" s="265" t="s">
        <v>71</v>
      </c>
      <c r="E1742" s="266" t="s">
        <v>4519</v>
      </c>
      <c r="F1742" s="252">
        <f t="shared" si="86"/>
        <v>49600</v>
      </c>
      <c r="G1742" s="252">
        <f t="shared" si="86"/>
        <v>56650</v>
      </c>
      <c r="H1742" s="252">
        <f t="shared" si="86"/>
        <v>63750</v>
      </c>
      <c r="I1742" s="252">
        <f t="shared" si="86"/>
        <v>70800</v>
      </c>
      <c r="J1742" s="252">
        <f t="shared" si="86"/>
        <v>76500</v>
      </c>
      <c r="K1742" s="252">
        <f t="shared" si="86"/>
        <v>82150</v>
      </c>
      <c r="L1742" s="252">
        <f t="shared" si="86"/>
        <v>87800</v>
      </c>
      <c r="M1742" s="252">
        <f t="shared" si="86"/>
        <v>93500</v>
      </c>
    </row>
    <row r="1743" spans="1:13" ht="21.95" customHeight="1" x14ac:dyDescent="0.25">
      <c r="A1743" s="36" t="s">
        <v>2904</v>
      </c>
      <c r="B1743" s="36" t="str">
        <f t="shared" si="85"/>
        <v>OH_ASHTABULA COUNTY, OH HUD METRO FMR AREA</v>
      </c>
      <c r="D1743" s="265" t="s">
        <v>71</v>
      </c>
      <c r="E1743" s="266" t="s">
        <v>9237</v>
      </c>
      <c r="F1743" s="252">
        <f t="shared" si="86"/>
        <v>47750</v>
      </c>
      <c r="G1743" s="252">
        <f t="shared" si="86"/>
        <v>54550</v>
      </c>
      <c r="H1743" s="252">
        <f t="shared" si="86"/>
        <v>61350</v>
      </c>
      <c r="I1743" s="252">
        <f t="shared" si="86"/>
        <v>68150</v>
      </c>
      <c r="J1743" s="252">
        <f t="shared" si="86"/>
        <v>73650</v>
      </c>
      <c r="K1743" s="252">
        <f t="shared" si="86"/>
        <v>79100</v>
      </c>
      <c r="L1743" s="252">
        <f t="shared" si="86"/>
        <v>84550</v>
      </c>
      <c r="M1743" s="252">
        <f t="shared" si="86"/>
        <v>90000</v>
      </c>
    </row>
    <row r="1744" spans="1:13" ht="21.95" customHeight="1" x14ac:dyDescent="0.25">
      <c r="A1744" s="36" t="s">
        <v>2904</v>
      </c>
      <c r="B1744" s="36" t="str">
        <f t="shared" si="85"/>
        <v>OH_ATHENS COUNTY, OH</v>
      </c>
      <c r="D1744" s="265" t="s">
        <v>71</v>
      </c>
      <c r="E1744" s="266" t="s">
        <v>4520</v>
      </c>
      <c r="F1744" s="252">
        <f t="shared" si="86"/>
        <v>50050</v>
      </c>
      <c r="G1744" s="252">
        <f t="shared" si="86"/>
        <v>57200</v>
      </c>
      <c r="H1744" s="252">
        <f t="shared" si="86"/>
        <v>64350</v>
      </c>
      <c r="I1744" s="252">
        <f t="shared" si="86"/>
        <v>71500</v>
      </c>
      <c r="J1744" s="252">
        <f t="shared" si="86"/>
        <v>77250</v>
      </c>
      <c r="K1744" s="252">
        <f t="shared" si="86"/>
        <v>82950</v>
      </c>
      <c r="L1744" s="252">
        <f t="shared" si="86"/>
        <v>88700</v>
      </c>
      <c r="M1744" s="252">
        <f t="shared" si="86"/>
        <v>94400</v>
      </c>
    </row>
    <row r="1745" spans="1:13" ht="21.95" customHeight="1" x14ac:dyDescent="0.25">
      <c r="A1745" s="36" t="s">
        <v>2904</v>
      </c>
      <c r="B1745" s="36" t="str">
        <f t="shared" si="85"/>
        <v>OH_AUGLAIZE COUNTY, OH</v>
      </c>
      <c r="D1745" s="265" t="s">
        <v>71</v>
      </c>
      <c r="E1745" s="266" t="s">
        <v>4521</v>
      </c>
      <c r="F1745" s="252">
        <f t="shared" si="86"/>
        <v>57300</v>
      </c>
      <c r="G1745" s="252">
        <f t="shared" si="86"/>
        <v>65500</v>
      </c>
      <c r="H1745" s="252">
        <f t="shared" si="86"/>
        <v>73700</v>
      </c>
      <c r="I1745" s="252">
        <f t="shared" si="86"/>
        <v>81850</v>
      </c>
      <c r="J1745" s="252">
        <f t="shared" si="86"/>
        <v>88400</v>
      </c>
      <c r="K1745" s="252">
        <f t="shared" si="86"/>
        <v>94950</v>
      </c>
      <c r="L1745" s="252">
        <f t="shared" si="86"/>
        <v>101500</v>
      </c>
      <c r="M1745" s="252">
        <f t="shared" si="86"/>
        <v>108050</v>
      </c>
    </row>
    <row r="1746" spans="1:13" ht="21.95" customHeight="1" x14ac:dyDescent="0.25">
      <c r="A1746" s="36" t="s">
        <v>2904</v>
      </c>
      <c r="B1746" s="36" t="str">
        <f t="shared" si="85"/>
        <v>OH_BROWN COUNTY, OH HUD METRO FMR AREA</v>
      </c>
      <c r="D1746" s="265" t="s">
        <v>71</v>
      </c>
      <c r="E1746" s="266" t="s">
        <v>4522</v>
      </c>
      <c r="F1746" s="252">
        <f t="shared" si="86"/>
        <v>49600</v>
      </c>
      <c r="G1746" s="252">
        <f t="shared" si="86"/>
        <v>56650</v>
      </c>
      <c r="H1746" s="252">
        <f t="shared" si="86"/>
        <v>63750</v>
      </c>
      <c r="I1746" s="252">
        <f t="shared" si="86"/>
        <v>70800</v>
      </c>
      <c r="J1746" s="252">
        <f t="shared" si="86"/>
        <v>76500</v>
      </c>
      <c r="K1746" s="252">
        <f t="shared" si="86"/>
        <v>82150</v>
      </c>
      <c r="L1746" s="252">
        <f t="shared" si="86"/>
        <v>87800</v>
      </c>
      <c r="M1746" s="252">
        <f t="shared" si="86"/>
        <v>93500</v>
      </c>
    </row>
    <row r="1747" spans="1:13" ht="21.95" customHeight="1" x14ac:dyDescent="0.25">
      <c r="A1747" s="36" t="s">
        <v>2904</v>
      </c>
      <c r="B1747" s="36" t="str">
        <f t="shared" si="85"/>
        <v>OH_CANTON-MASSILLON, OH MSA</v>
      </c>
      <c r="D1747" s="265" t="s">
        <v>71</v>
      </c>
      <c r="E1747" s="266" t="s">
        <v>4523</v>
      </c>
      <c r="F1747" s="252">
        <f t="shared" si="86"/>
        <v>48450</v>
      </c>
      <c r="G1747" s="252">
        <f t="shared" si="86"/>
        <v>55400</v>
      </c>
      <c r="H1747" s="252">
        <f t="shared" si="86"/>
        <v>62300</v>
      </c>
      <c r="I1747" s="252">
        <f t="shared" si="86"/>
        <v>69200</v>
      </c>
      <c r="J1747" s="252">
        <f t="shared" si="86"/>
        <v>74750</v>
      </c>
      <c r="K1747" s="252">
        <f t="shared" si="86"/>
        <v>80300</v>
      </c>
      <c r="L1747" s="252">
        <f t="shared" si="86"/>
        <v>85850</v>
      </c>
      <c r="M1747" s="252">
        <f t="shared" si="86"/>
        <v>91350</v>
      </c>
    </row>
    <row r="1748" spans="1:13" ht="21.95" customHeight="1" x14ac:dyDescent="0.25">
      <c r="A1748" s="36" t="s">
        <v>2904</v>
      </c>
      <c r="B1748" s="36" t="str">
        <f t="shared" si="85"/>
        <v>OH_CHAMPAIGN COUNTY, OH</v>
      </c>
      <c r="D1748" s="265" t="s">
        <v>71</v>
      </c>
      <c r="E1748" s="266" t="s">
        <v>4524</v>
      </c>
      <c r="F1748" s="252">
        <f t="shared" si="86"/>
        <v>52450</v>
      </c>
      <c r="G1748" s="252">
        <f t="shared" si="86"/>
        <v>59950</v>
      </c>
      <c r="H1748" s="252">
        <f t="shared" si="86"/>
        <v>67450</v>
      </c>
      <c r="I1748" s="252">
        <f t="shared" si="86"/>
        <v>74900</v>
      </c>
      <c r="J1748" s="252">
        <f t="shared" si="86"/>
        <v>80900</v>
      </c>
      <c r="K1748" s="252">
        <f t="shared" si="86"/>
        <v>86900</v>
      </c>
      <c r="L1748" s="252">
        <f t="shared" si="86"/>
        <v>92900</v>
      </c>
      <c r="M1748" s="252">
        <f t="shared" si="86"/>
        <v>98900</v>
      </c>
    </row>
    <row r="1749" spans="1:13" ht="21.95" customHeight="1" x14ac:dyDescent="0.25">
      <c r="A1749" s="36" t="s">
        <v>2904</v>
      </c>
      <c r="B1749" s="36" t="str">
        <f t="shared" si="85"/>
        <v>OH_CINCINNATI, OH-KY-IN HUD METRO FMR AREA</v>
      </c>
      <c r="D1749" s="265" t="s">
        <v>71</v>
      </c>
      <c r="E1749" s="266" t="s">
        <v>3580</v>
      </c>
      <c r="F1749" s="252">
        <f t="shared" si="86"/>
        <v>62650</v>
      </c>
      <c r="G1749" s="252">
        <f t="shared" si="86"/>
        <v>71600</v>
      </c>
      <c r="H1749" s="252">
        <f t="shared" si="86"/>
        <v>80550</v>
      </c>
      <c r="I1749" s="252">
        <f t="shared" si="86"/>
        <v>89450</v>
      </c>
      <c r="J1749" s="252">
        <f t="shared" si="86"/>
        <v>96650</v>
      </c>
      <c r="K1749" s="252">
        <f t="shared" si="86"/>
        <v>103800</v>
      </c>
      <c r="L1749" s="252">
        <f t="shared" si="86"/>
        <v>110950</v>
      </c>
      <c r="M1749" s="252">
        <f t="shared" si="86"/>
        <v>118100</v>
      </c>
    </row>
    <row r="1750" spans="1:13" ht="21.95" customHeight="1" x14ac:dyDescent="0.25">
      <c r="A1750" s="36" t="s">
        <v>2904</v>
      </c>
      <c r="B1750" s="36" t="str">
        <f t="shared" si="85"/>
        <v>OH_CLEVELAND, OH HUD METRO FMR AREA</v>
      </c>
      <c r="D1750" s="265" t="s">
        <v>71</v>
      </c>
      <c r="E1750" s="266" t="s">
        <v>9238</v>
      </c>
      <c r="F1750" s="252">
        <f t="shared" si="86"/>
        <v>55650</v>
      </c>
      <c r="G1750" s="252">
        <f t="shared" si="86"/>
        <v>63600</v>
      </c>
      <c r="H1750" s="252">
        <f t="shared" si="86"/>
        <v>71550</v>
      </c>
      <c r="I1750" s="252">
        <f t="shared" si="86"/>
        <v>79500</v>
      </c>
      <c r="J1750" s="252">
        <f t="shared" si="86"/>
        <v>85900</v>
      </c>
      <c r="K1750" s="252">
        <f t="shared" si="86"/>
        <v>92250</v>
      </c>
      <c r="L1750" s="252">
        <f t="shared" si="86"/>
        <v>98600</v>
      </c>
      <c r="M1750" s="252">
        <f t="shared" si="86"/>
        <v>104950</v>
      </c>
    </row>
    <row r="1751" spans="1:13" ht="21.95" customHeight="1" x14ac:dyDescent="0.25">
      <c r="A1751" s="36" t="s">
        <v>2904</v>
      </c>
      <c r="B1751" s="36" t="str">
        <f t="shared" si="85"/>
        <v>OH_CLINTON COUNTY, OH</v>
      </c>
      <c r="D1751" s="265" t="s">
        <v>71</v>
      </c>
      <c r="E1751" s="266" t="s">
        <v>4525</v>
      </c>
      <c r="F1751" s="252">
        <f t="shared" si="86"/>
        <v>50300</v>
      </c>
      <c r="G1751" s="252">
        <f t="shared" si="86"/>
        <v>57500</v>
      </c>
      <c r="H1751" s="252">
        <f t="shared" si="86"/>
        <v>64700</v>
      </c>
      <c r="I1751" s="252">
        <f t="shared" si="86"/>
        <v>71850</v>
      </c>
      <c r="J1751" s="252">
        <f t="shared" si="86"/>
        <v>77600</v>
      </c>
      <c r="K1751" s="252">
        <f t="shared" si="86"/>
        <v>83350</v>
      </c>
      <c r="L1751" s="252">
        <f t="shared" si="86"/>
        <v>89100</v>
      </c>
      <c r="M1751" s="252">
        <f t="shared" si="86"/>
        <v>94850</v>
      </c>
    </row>
    <row r="1752" spans="1:13" ht="21.95" customHeight="1" x14ac:dyDescent="0.25">
      <c r="A1752" s="36" t="s">
        <v>2904</v>
      </c>
      <c r="B1752" s="36" t="str">
        <f t="shared" si="85"/>
        <v>OH_COLUMBIANA COUNTY, OH</v>
      </c>
      <c r="D1752" s="265" t="s">
        <v>71</v>
      </c>
      <c r="E1752" s="266" t="s">
        <v>4526</v>
      </c>
      <c r="F1752" s="252">
        <f t="shared" si="86"/>
        <v>47750</v>
      </c>
      <c r="G1752" s="252">
        <f t="shared" si="86"/>
        <v>54550</v>
      </c>
      <c r="H1752" s="252">
        <f t="shared" si="86"/>
        <v>61350</v>
      </c>
      <c r="I1752" s="252">
        <f t="shared" si="86"/>
        <v>68150</v>
      </c>
      <c r="J1752" s="252">
        <f t="shared" si="86"/>
        <v>73650</v>
      </c>
      <c r="K1752" s="252">
        <f t="shared" si="86"/>
        <v>79100</v>
      </c>
      <c r="L1752" s="252">
        <f t="shared" si="86"/>
        <v>84550</v>
      </c>
      <c r="M1752" s="252">
        <f t="shared" si="86"/>
        <v>90000</v>
      </c>
    </row>
    <row r="1753" spans="1:13" ht="21.95" customHeight="1" x14ac:dyDescent="0.25">
      <c r="A1753" s="36" t="s">
        <v>2904</v>
      </c>
      <c r="B1753" s="36" t="str">
        <f t="shared" si="85"/>
        <v>OH_COLUMBUS, OH HUD METRO FMR AREA</v>
      </c>
      <c r="D1753" s="265" t="s">
        <v>71</v>
      </c>
      <c r="E1753" s="266" t="s">
        <v>4527</v>
      </c>
      <c r="F1753" s="252">
        <f t="shared" si="86"/>
        <v>61050</v>
      </c>
      <c r="G1753" s="252">
        <f t="shared" si="86"/>
        <v>69800</v>
      </c>
      <c r="H1753" s="252">
        <f t="shared" si="86"/>
        <v>78500</v>
      </c>
      <c r="I1753" s="252">
        <f t="shared" si="86"/>
        <v>87200</v>
      </c>
      <c r="J1753" s="252">
        <f t="shared" si="86"/>
        <v>94200</v>
      </c>
      <c r="K1753" s="252">
        <f t="shared" si="86"/>
        <v>101200</v>
      </c>
      <c r="L1753" s="252">
        <f t="shared" si="86"/>
        <v>108150</v>
      </c>
      <c r="M1753" s="252">
        <f t="shared" si="86"/>
        <v>115150</v>
      </c>
    </row>
    <row r="1754" spans="1:13" ht="21.95" customHeight="1" x14ac:dyDescent="0.25">
      <c r="A1754" s="36" t="s">
        <v>2904</v>
      </c>
      <c r="B1754" s="36" t="str">
        <f t="shared" si="85"/>
        <v>OH_COSHOCTON COUNTY, OH</v>
      </c>
      <c r="D1754" s="265" t="s">
        <v>71</v>
      </c>
      <c r="E1754" s="266" t="s">
        <v>4528</v>
      </c>
      <c r="F1754" s="252">
        <f t="shared" si="86"/>
        <v>47750</v>
      </c>
      <c r="G1754" s="252">
        <f t="shared" si="86"/>
        <v>54550</v>
      </c>
      <c r="H1754" s="252">
        <f t="shared" si="86"/>
        <v>61350</v>
      </c>
      <c r="I1754" s="252">
        <f t="shared" si="86"/>
        <v>68150</v>
      </c>
      <c r="J1754" s="252">
        <f t="shared" si="86"/>
        <v>73650</v>
      </c>
      <c r="K1754" s="252">
        <f t="shared" si="86"/>
        <v>79100</v>
      </c>
      <c r="L1754" s="252">
        <f t="shared" si="86"/>
        <v>84550</v>
      </c>
      <c r="M1754" s="252">
        <f t="shared" si="86"/>
        <v>90000</v>
      </c>
    </row>
    <row r="1755" spans="1:13" ht="21.95" customHeight="1" x14ac:dyDescent="0.25">
      <c r="A1755" s="36" t="s">
        <v>2904</v>
      </c>
      <c r="B1755" s="36" t="str">
        <f t="shared" si="85"/>
        <v>OH_CRAWFORD COUNTY, OH</v>
      </c>
      <c r="D1755" s="265" t="s">
        <v>71</v>
      </c>
      <c r="E1755" s="266" t="s">
        <v>4529</v>
      </c>
      <c r="F1755" s="252">
        <f t="shared" si="86"/>
        <v>47750</v>
      </c>
      <c r="G1755" s="252">
        <f t="shared" si="86"/>
        <v>54550</v>
      </c>
      <c r="H1755" s="252">
        <f t="shared" si="86"/>
        <v>61350</v>
      </c>
      <c r="I1755" s="252">
        <f t="shared" si="86"/>
        <v>68150</v>
      </c>
      <c r="J1755" s="252">
        <f t="shared" si="86"/>
        <v>73650</v>
      </c>
      <c r="K1755" s="252">
        <f t="shared" si="86"/>
        <v>79100</v>
      </c>
      <c r="L1755" s="252">
        <f t="shared" si="86"/>
        <v>84550</v>
      </c>
      <c r="M1755" s="252">
        <f t="shared" si="86"/>
        <v>90000</v>
      </c>
    </row>
    <row r="1756" spans="1:13" ht="21.95" customHeight="1" x14ac:dyDescent="0.25">
      <c r="A1756" s="36" t="s">
        <v>2904</v>
      </c>
      <c r="B1756" s="36" t="str">
        <f t="shared" si="85"/>
        <v>OH_DARKE COUNTY, OH</v>
      </c>
      <c r="D1756" s="265" t="s">
        <v>71</v>
      </c>
      <c r="E1756" s="266" t="s">
        <v>4530</v>
      </c>
      <c r="F1756" s="252">
        <f t="shared" si="86"/>
        <v>49250</v>
      </c>
      <c r="G1756" s="252">
        <f t="shared" si="86"/>
        <v>56250</v>
      </c>
      <c r="H1756" s="252">
        <f t="shared" si="86"/>
        <v>63300</v>
      </c>
      <c r="I1756" s="252">
        <f t="shared" si="86"/>
        <v>70300</v>
      </c>
      <c r="J1756" s="252">
        <f t="shared" si="86"/>
        <v>75950</v>
      </c>
      <c r="K1756" s="252">
        <f t="shared" si="86"/>
        <v>81550</v>
      </c>
      <c r="L1756" s="252">
        <f t="shared" si="86"/>
        <v>87200</v>
      </c>
      <c r="M1756" s="252">
        <f t="shared" si="86"/>
        <v>92800</v>
      </c>
    </row>
    <row r="1757" spans="1:13" ht="21.95" customHeight="1" x14ac:dyDescent="0.25">
      <c r="A1757" s="36" t="s">
        <v>2904</v>
      </c>
      <c r="B1757" s="36" t="str">
        <f t="shared" si="85"/>
        <v>OH_DAYTON-KETTERING-BEAVERCREEK, OH MSA</v>
      </c>
      <c r="D1757" s="265" t="s">
        <v>71</v>
      </c>
      <c r="E1757" s="266" t="s">
        <v>9240</v>
      </c>
      <c r="F1757" s="252">
        <f t="shared" si="86"/>
        <v>52550</v>
      </c>
      <c r="G1757" s="252">
        <f t="shared" si="86"/>
        <v>60050</v>
      </c>
      <c r="H1757" s="252">
        <f t="shared" si="86"/>
        <v>67550</v>
      </c>
      <c r="I1757" s="252">
        <f t="shared" si="86"/>
        <v>75050</v>
      </c>
      <c r="J1757" s="252">
        <f t="shared" si="86"/>
        <v>81100</v>
      </c>
      <c r="K1757" s="252">
        <f t="shared" si="86"/>
        <v>87100</v>
      </c>
      <c r="L1757" s="252">
        <f t="shared" si="86"/>
        <v>93100</v>
      </c>
      <c r="M1757" s="252">
        <f t="shared" si="86"/>
        <v>99100</v>
      </c>
    </row>
    <row r="1758" spans="1:13" ht="21.95" customHeight="1" x14ac:dyDescent="0.25">
      <c r="A1758" s="36" t="s">
        <v>2904</v>
      </c>
      <c r="B1758" s="36" t="str">
        <f t="shared" si="85"/>
        <v>OH_DEFIANCE COUNTY, OH</v>
      </c>
      <c r="D1758" s="265" t="s">
        <v>71</v>
      </c>
      <c r="E1758" s="266" t="s">
        <v>4531</v>
      </c>
      <c r="F1758" s="252">
        <f t="shared" si="86"/>
        <v>52850</v>
      </c>
      <c r="G1758" s="252">
        <f t="shared" si="86"/>
        <v>60400</v>
      </c>
      <c r="H1758" s="252">
        <f t="shared" si="86"/>
        <v>67950</v>
      </c>
      <c r="I1758" s="252">
        <f t="shared" si="86"/>
        <v>75450</v>
      </c>
      <c r="J1758" s="252">
        <f t="shared" si="86"/>
        <v>81500</v>
      </c>
      <c r="K1758" s="252">
        <f t="shared" si="86"/>
        <v>87550</v>
      </c>
      <c r="L1758" s="252">
        <f t="shared" si="86"/>
        <v>93600</v>
      </c>
      <c r="M1758" s="252">
        <f t="shared" si="86"/>
        <v>99600</v>
      </c>
    </row>
    <row r="1759" spans="1:13" ht="21.95" customHeight="1" x14ac:dyDescent="0.25">
      <c r="A1759" s="36" t="s">
        <v>2904</v>
      </c>
      <c r="B1759" s="36" t="str">
        <f t="shared" si="85"/>
        <v>OH_ERIE COUNTY, OH HUD METRO FMR AREA</v>
      </c>
      <c r="D1759" s="265" t="s">
        <v>71</v>
      </c>
      <c r="E1759" s="266" t="s">
        <v>9239</v>
      </c>
      <c r="F1759" s="252">
        <f t="shared" si="86"/>
        <v>53500</v>
      </c>
      <c r="G1759" s="252">
        <f t="shared" si="86"/>
        <v>61150</v>
      </c>
      <c r="H1759" s="252">
        <f t="shared" si="86"/>
        <v>68800</v>
      </c>
      <c r="I1759" s="252">
        <f t="shared" si="86"/>
        <v>76400</v>
      </c>
      <c r="J1759" s="252">
        <f t="shared" si="86"/>
        <v>82550</v>
      </c>
      <c r="K1759" s="252">
        <f t="shared" si="86"/>
        <v>88650</v>
      </c>
      <c r="L1759" s="252">
        <f t="shared" si="86"/>
        <v>94750</v>
      </c>
      <c r="M1759" s="252">
        <f t="shared" si="86"/>
        <v>100850</v>
      </c>
    </row>
    <row r="1760" spans="1:13" ht="21.95" customHeight="1" x14ac:dyDescent="0.25">
      <c r="A1760" s="36" t="s">
        <v>2904</v>
      </c>
      <c r="B1760" s="36" t="str">
        <f t="shared" si="85"/>
        <v>OH_FAYETTE COUNTY, OH</v>
      </c>
      <c r="D1760" s="265" t="s">
        <v>71</v>
      </c>
      <c r="E1760" s="266" t="s">
        <v>4532</v>
      </c>
      <c r="F1760" s="252">
        <f t="shared" si="86"/>
        <v>47750</v>
      </c>
      <c r="G1760" s="252">
        <f t="shared" si="86"/>
        <v>54550</v>
      </c>
      <c r="H1760" s="252">
        <f t="shared" si="86"/>
        <v>61350</v>
      </c>
      <c r="I1760" s="252">
        <f t="shared" si="86"/>
        <v>68150</v>
      </c>
      <c r="J1760" s="252">
        <f t="shared" si="86"/>
        <v>73650</v>
      </c>
      <c r="K1760" s="252">
        <f t="shared" si="86"/>
        <v>79100</v>
      </c>
      <c r="L1760" s="252">
        <f t="shared" si="86"/>
        <v>84550</v>
      </c>
      <c r="M1760" s="252">
        <f t="shared" si="86"/>
        <v>90000</v>
      </c>
    </row>
    <row r="1761" spans="1:13" ht="21.95" customHeight="1" x14ac:dyDescent="0.25">
      <c r="A1761" s="36" t="s">
        <v>2904</v>
      </c>
      <c r="B1761" s="36" t="str">
        <f t="shared" si="85"/>
        <v>OH_GALLIA COUNTY, OH</v>
      </c>
      <c r="D1761" s="265" t="s">
        <v>71</v>
      </c>
      <c r="E1761" s="266" t="s">
        <v>4533</v>
      </c>
      <c r="F1761" s="252">
        <f t="shared" si="86"/>
        <v>47750</v>
      </c>
      <c r="G1761" s="252">
        <f t="shared" si="86"/>
        <v>54550</v>
      </c>
      <c r="H1761" s="252">
        <f t="shared" si="86"/>
        <v>61350</v>
      </c>
      <c r="I1761" s="252">
        <f t="shared" si="86"/>
        <v>68150</v>
      </c>
      <c r="J1761" s="252">
        <f t="shared" si="86"/>
        <v>73650</v>
      </c>
      <c r="K1761" s="252">
        <f t="shared" si="86"/>
        <v>79100</v>
      </c>
      <c r="L1761" s="252">
        <f t="shared" si="86"/>
        <v>84550</v>
      </c>
      <c r="M1761" s="252">
        <f t="shared" si="86"/>
        <v>90000</v>
      </c>
    </row>
    <row r="1762" spans="1:13" ht="21.95" customHeight="1" x14ac:dyDescent="0.25">
      <c r="A1762" s="36" t="s">
        <v>2904</v>
      </c>
      <c r="B1762" s="36" t="str">
        <f t="shared" si="85"/>
        <v>OH_GUERNSEY COUNTY, OH</v>
      </c>
      <c r="D1762" s="265" t="s">
        <v>71</v>
      </c>
      <c r="E1762" s="266" t="s">
        <v>4534</v>
      </c>
      <c r="F1762" s="252">
        <f t="shared" si="86"/>
        <v>47750</v>
      </c>
      <c r="G1762" s="252">
        <f t="shared" si="86"/>
        <v>54550</v>
      </c>
      <c r="H1762" s="252">
        <f t="shared" si="86"/>
        <v>61350</v>
      </c>
      <c r="I1762" s="252">
        <f t="shared" si="86"/>
        <v>68150</v>
      </c>
      <c r="J1762" s="252">
        <f t="shared" si="86"/>
        <v>73650</v>
      </c>
      <c r="K1762" s="252">
        <f t="shared" si="86"/>
        <v>79100</v>
      </c>
      <c r="L1762" s="252">
        <f t="shared" si="86"/>
        <v>84550</v>
      </c>
      <c r="M1762" s="252">
        <f t="shared" si="86"/>
        <v>90000</v>
      </c>
    </row>
    <row r="1763" spans="1:13" ht="21.95" customHeight="1" x14ac:dyDescent="0.25">
      <c r="A1763" s="36" t="s">
        <v>2904</v>
      </c>
      <c r="B1763" s="36" t="str">
        <f t="shared" si="85"/>
        <v>OH_HANCOCK COUNTY, OH</v>
      </c>
      <c r="D1763" s="265" t="s">
        <v>71</v>
      </c>
      <c r="E1763" s="266" t="s">
        <v>4535</v>
      </c>
      <c r="F1763" s="252">
        <f t="shared" si="86"/>
        <v>52650</v>
      </c>
      <c r="G1763" s="252">
        <f t="shared" si="86"/>
        <v>60200</v>
      </c>
      <c r="H1763" s="252">
        <f t="shared" si="86"/>
        <v>67700</v>
      </c>
      <c r="I1763" s="252">
        <f t="shared" ref="F1763:M1795" si="87">VLOOKUP($B1763,LOOKUP_AMI_TABLE,5+((I$7-1)),FALSE)</f>
        <v>75200</v>
      </c>
      <c r="J1763" s="252">
        <f t="shared" si="87"/>
        <v>81250</v>
      </c>
      <c r="K1763" s="252">
        <f t="shared" si="87"/>
        <v>87250</v>
      </c>
      <c r="L1763" s="252">
        <f t="shared" si="87"/>
        <v>93250</v>
      </c>
      <c r="M1763" s="252">
        <f t="shared" si="87"/>
        <v>99300</v>
      </c>
    </row>
    <row r="1764" spans="1:13" ht="21.95" customHeight="1" x14ac:dyDescent="0.25">
      <c r="A1764" s="36" t="s">
        <v>2904</v>
      </c>
      <c r="B1764" s="36" t="str">
        <f t="shared" si="85"/>
        <v>OH_HARDIN COUNTY, OH</v>
      </c>
      <c r="D1764" s="265" t="s">
        <v>71</v>
      </c>
      <c r="E1764" s="266" t="s">
        <v>4536</v>
      </c>
      <c r="F1764" s="252">
        <f t="shared" si="87"/>
        <v>47750</v>
      </c>
      <c r="G1764" s="252">
        <f t="shared" si="87"/>
        <v>54550</v>
      </c>
      <c r="H1764" s="252">
        <f t="shared" si="87"/>
        <v>61350</v>
      </c>
      <c r="I1764" s="252">
        <f t="shared" si="87"/>
        <v>68150</v>
      </c>
      <c r="J1764" s="252">
        <f t="shared" si="87"/>
        <v>73650</v>
      </c>
      <c r="K1764" s="252">
        <f t="shared" si="87"/>
        <v>79100</v>
      </c>
      <c r="L1764" s="252">
        <f t="shared" si="87"/>
        <v>84550</v>
      </c>
      <c r="M1764" s="252">
        <f t="shared" si="87"/>
        <v>90000</v>
      </c>
    </row>
    <row r="1765" spans="1:13" ht="21.95" customHeight="1" x14ac:dyDescent="0.25">
      <c r="A1765" s="36" t="s">
        <v>2904</v>
      </c>
      <c r="B1765" s="36" t="str">
        <f t="shared" si="85"/>
        <v>OH_HARRISON COUNTY, OH</v>
      </c>
      <c r="D1765" s="265" t="s">
        <v>71</v>
      </c>
      <c r="E1765" s="266" t="s">
        <v>4537</v>
      </c>
      <c r="F1765" s="252">
        <f t="shared" si="87"/>
        <v>47750</v>
      </c>
      <c r="G1765" s="252">
        <f t="shared" si="87"/>
        <v>54550</v>
      </c>
      <c r="H1765" s="252">
        <f t="shared" si="87"/>
        <v>61350</v>
      </c>
      <c r="I1765" s="252">
        <f t="shared" si="87"/>
        <v>68150</v>
      </c>
      <c r="J1765" s="252">
        <f t="shared" si="87"/>
        <v>73650</v>
      </c>
      <c r="K1765" s="252">
        <f t="shared" si="87"/>
        <v>79100</v>
      </c>
      <c r="L1765" s="252">
        <f t="shared" si="87"/>
        <v>84550</v>
      </c>
      <c r="M1765" s="252">
        <f t="shared" si="87"/>
        <v>90000</v>
      </c>
    </row>
    <row r="1766" spans="1:13" ht="21.95" customHeight="1" x14ac:dyDescent="0.25">
      <c r="A1766" s="36" t="s">
        <v>2904</v>
      </c>
      <c r="B1766" s="36" t="str">
        <f t="shared" si="85"/>
        <v>OH_HENRY COUNTY, OH</v>
      </c>
      <c r="D1766" s="265" t="s">
        <v>71</v>
      </c>
      <c r="E1766" s="266" t="s">
        <v>4538</v>
      </c>
      <c r="F1766" s="252">
        <f t="shared" si="87"/>
        <v>54350</v>
      </c>
      <c r="G1766" s="252">
        <f t="shared" si="87"/>
        <v>62100</v>
      </c>
      <c r="H1766" s="252">
        <f t="shared" si="87"/>
        <v>69850</v>
      </c>
      <c r="I1766" s="252">
        <f t="shared" si="87"/>
        <v>77600</v>
      </c>
      <c r="J1766" s="252">
        <f t="shared" si="87"/>
        <v>83850</v>
      </c>
      <c r="K1766" s="252">
        <f t="shared" si="87"/>
        <v>90050</v>
      </c>
      <c r="L1766" s="252">
        <f t="shared" si="87"/>
        <v>96250</v>
      </c>
      <c r="M1766" s="252">
        <f t="shared" si="87"/>
        <v>102450</v>
      </c>
    </row>
    <row r="1767" spans="1:13" ht="21.95" customHeight="1" x14ac:dyDescent="0.25">
      <c r="A1767" s="36" t="s">
        <v>2904</v>
      </c>
      <c r="B1767" s="36" t="str">
        <f t="shared" si="85"/>
        <v>OH_HIGHLAND COUNTY, OH</v>
      </c>
      <c r="D1767" s="265" t="s">
        <v>71</v>
      </c>
      <c r="E1767" s="266" t="s">
        <v>4539</v>
      </c>
      <c r="F1767" s="252">
        <f t="shared" si="87"/>
        <v>47750</v>
      </c>
      <c r="G1767" s="252">
        <f t="shared" si="87"/>
        <v>54550</v>
      </c>
      <c r="H1767" s="252">
        <f t="shared" si="87"/>
        <v>61350</v>
      </c>
      <c r="I1767" s="252">
        <f t="shared" si="87"/>
        <v>68150</v>
      </c>
      <c r="J1767" s="252">
        <f t="shared" si="87"/>
        <v>73650</v>
      </c>
      <c r="K1767" s="252">
        <f t="shared" si="87"/>
        <v>79100</v>
      </c>
      <c r="L1767" s="252">
        <f t="shared" si="87"/>
        <v>84550</v>
      </c>
      <c r="M1767" s="252">
        <f t="shared" si="87"/>
        <v>90000</v>
      </c>
    </row>
    <row r="1768" spans="1:13" ht="21.95" customHeight="1" x14ac:dyDescent="0.25">
      <c r="A1768" s="36" t="s">
        <v>2904</v>
      </c>
      <c r="B1768" s="36" t="str">
        <f t="shared" si="85"/>
        <v>OH_HOCKING COUNTY, OH HUD METRO FMR AREA</v>
      </c>
      <c r="D1768" s="265" t="s">
        <v>71</v>
      </c>
      <c r="E1768" s="266" t="s">
        <v>4540</v>
      </c>
      <c r="F1768" s="252">
        <f t="shared" si="87"/>
        <v>47750</v>
      </c>
      <c r="G1768" s="252">
        <f t="shared" si="87"/>
        <v>54550</v>
      </c>
      <c r="H1768" s="252">
        <f t="shared" si="87"/>
        <v>61350</v>
      </c>
      <c r="I1768" s="252">
        <f t="shared" si="87"/>
        <v>68150</v>
      </c>
      <c r="J1768" s="252">
        <f t="shared" si="87"/>
        <v>73650</v>
      </c>
      <c r="K1768" s="252">
        <f t="shared" si="87"/>
        <v>79100</v>
      </c>
      <c r="L1768" s="252">
        <f t="shared" si="87"/>
        <v>84550</v>
      </c>
      <c r="M1768" s="252">
        <f t="shared" si="87"/>
        <v>90000</v>
      </c>
    </row>
    <row r="1769" spans="1:13" ht="21.95" customHeight="1" x14ac:dyDescent="0.25">
      <c r="A1769" s="36" t="s">
        <v>2904</v>
      </c>
      <c r="B1769" s="36" t="str">
        <f t="shared" si="85"/>
        <v>OH_HOLMES COUNTY, OH</v>
      </c>
      <c r="D1769" s="265" t="s">
        <v>71</v>
      </c>
      <c r="E1769" s="266" t="s">
        <v>4541</v>
      </c>
      <c r="F1769" s="252">
        <f t="shared" si="87"/>
        <v>54050</v>
      </c>
      <c r="G1769" s="252">
        <f t="shared" si="87"/>
        <v>61800</v>
      </c>
      <c r="H1769" s="252">
        <f t="shared" si="87"/>
        <v>69500</v>
      </c>
      <c r="I1769" s="252">
        <f t="shared" si="87"/>
        <v>77200</v>
      </c>
      <c r="J1769" s="252">
        <f t="shared" si="87"/>
        <v>83400</v>
      </c>
      <c r="K1769" s="252">
        <f t="shared" si="87"/>
        <v>89600</v>
      </c>
      <c r="L1769" s="252">
        <f t="shared" si="87"/>
        <v>95750</v>
      </c>
      <c r="M1769" s="252">
        <f t="shared" si="87"/>
        <v>101950</v>
      </c>
    </row>
    <row r="1770" spans="1:13" ht="21.95" customHeight="1" x14ac:dyDescent="0.25">
      <c r="A1770" s="36" t="s">
        <v>2904</v>
      </c>
      <c r="B1770" s="36" t="str">
        <f t="shared" si="85"/>
        <v>OH_HUNTINGTON-ASHLAND, WV-KY-OH HUD METRO FMR AREA</v>
      </c>
      <c r="D1770" s="265" t="s">
        <v>71</v>
      </c>
      <c r="E1770" s="266" t="s">
        <v>3771</v>
      </c>
      <c r="F1770" s="252">
        <f t="shared" si="87"/>
        <v>43600</v>
      </c>
      <c r="G1770" s="252">
        <f t="shared" si="87"/>
        <v>49800</v>
      </c>
      <c r="H1770" s="252">
        <f t="shared" si="87"/>
        <v>56050</v>
      </c>
      <c r="I1770" s="252">
        <f t="shared" si="87"/>
        <v>62250</v>
      </c>
      <c r="J1770" s="252">
        <f t="shared" si="87"/>
        <v>67250</v>
      </c>
      <c r="K1770" s="252">
        <f t="shared" si="87"/>
        <v>72250</v>
      </c>
      <c r="L1770" s="252">
        <f t="shared" si="87"/>
        <v>77200</v>
      </c>
      <c r="M1770" s="252">
        <f t="shared" si="87"/>
        <v>82200</v>
      </c>
    </row>
    <row r="1771" spans="1:13" ht="21.95" customHeight="1" x14ac:dyDescent="0.25">
      <c r="A1771" s="36" t="s">
        <v>2904</v>
      </c>
      <c r="B1771" s="36" t="str">
        <f t="shared" si="85"/>
        <v>OH_HURON COUNTY, OH</v>
      </c>
      <c r="D1771" s="265" t="s">
        <v>71</v>
      </c>
      <c r="E1771" s="266" t="s">
        <v>4542</v>
      </c>
      <c r="F1771" s="252">
        <f t="shared" si="87"/>
        <v>48800</v>
      </c>
      <c r="G1771" s="252">
        <f t="shared" si="87"/>
        <v>55800</v>
      </c>
      <c r="H1771" s="252">
        <f t="shared" si="87"/>
        <v>62750</v>
      </c>
      <c r="I1771" s="252">
        <f t="shared" si="87"/>
        <v>69700</v>
      </c>
      <c r="J1771" s="252">
        <f t="shared" si="87"/>
        <v>75300</v>
      </c>
      <c r="K1771" s="252">
        <f t="shared" si="87"/>
        <v>80900</v>
      </c>
      <c r="L1771" s="252">
        <f t="shared" si="87"/>
        <v>86450</v>
      </c>
      <c r="M1771" s="252">
        <f t="shared" si="87"/>
        <v>92050</v>
      </c>
    </row>
    <row r="1772" spans="1:13" ht="21.95" customHeight="1" x14ac:dyDescent="0.25">
      <c r="A1772" s="36" t="s">
        <v>2904</v>
      </c>
      <c r="B1772" s="36" t="str">
        <f t="shared" si="85"/>
        <v>OH_JACKSON COUNTY, OH</v>
      </c>
      <c r="D1772" s="265" t="s">
        <v>71</v>
      </c>
      <c r="E1772" s="266" t="s">
        <v>4543</v>
      </c>
      <c r="F1772" s="252">
        <f t="shared" si="87"/>
        <v>47750</v>
      </c>
      <c r="G1772" s="252">
        <f t="shared" si="87"/>
        <v>54550</v>
      </c>
      <c r="H1772" s="252">
        <f t="shared" si="87"/>
        <v>61350</v>
      </c>
      <c r="I1772" s="252">
        <f t="shared" si="87"/>
        <v>68150</v>
      </c>
      <c r="J1772" s="252">
        <f t="shared" si="87"/>
        <v>73650</v>
      </c>
      <c r="K1772" s="252">
        <f t="shared" si="87"/>
        <v>79100</v>
      </c>
      <c r="L1772" s="252">
        <f t="shared" si="87"/>
        <v>84550</v>
      </c>
      <c r="M1772" s="252">
        <f t="shared" si="87"/>
        <v>90000</v>
      </c>
    </row>
    <row r="1773" spans="1:13" ht="21.95" customHeight="1" x14ac:dyDescent="0.25">
      <c r="A1773" s="36" t="s">
        <v>2904</v>
      </c>
      <c r="B1773" s="36" t="str">
        <f t="shared" si="85"/>
        <v>OH_KNOX COUNTY, OH</v>
      </c>
      <c r="D1773" s="265" t="s">
        <v>71</v>
      </c>
      <c r="E1773" s="266" t="s">
        <v>4544</v>
      </c>
      <c r="F1773" s="252">
        <f t="shared" si="87"/>
        <v>53000</v>
      </c>
      <c r="G1773" s="252">
        <f t="shared" si="87"/>
        <v>60600</v>
      </c>
      <c r="H1773" s="252">
        <f t="shared" si="87"/>
        <v>68150</v>
      </c>
      <c r="I1773" s="252">
        <f t="shared" si="87"/>
        <v>75700</v>
      </c>
      <c r="J1773" s="252">
        <f t="shared" si="87"/>
        <v>81800</v>
      </c>
      <c r="K1773" s="252">
        <f t="shared" si="87"/>
        <v>87850</v>
      </c>
      <c r="L1773" s="252">
        <f t="shared" si="87"/>
        <v>93900</v>
      </c>
      <c r="M1773" s="252">
        <f t="shared" si="87"/>
        <v>99950</v>
      </c>
    </row>
    <row r="1774" spans="1:13" ht="21.95" customHeight="1" x14ac:dyDescent="0.25">
      <c r="A1774" s="36" t="s">
        <v>2904</v>
      </c>
      <c r="B1774" s="36" t="str">
        <f t="shared" si="85"/>
        <v>OH_LIMA, OH MSA</v>
      </c>
      <c r="D1774" s="265" t="s">
        <v>71</v>
      </c>
      <c r="E1774" s="266" t="s">
        <v>4545</v>
      </c>
      <c r="F1774" s="252">
        <f t="shared" si="87"/>
        <v>51800</v>
      </c>
      <c r="G1774" s="252">
        <f t="shared" si="87"/>
        <v>59200</v>
      </c>
      <c r="H1774" s="252">
        <f t="shared" si="87"/>
        <v>66600</v>
      </c>
      <c r="I1774" s="252">
        <f t="shared" si="87"/>
        <v>74000</v>
      </c>
      <c r="J1774" s="252">
        <f t="shared" si="87"/>
        <v>79950</v>
      </c>
      <c r="K1774" s="252">
        <f t="shared" si="87"/>
        <v>85850</v>
      </c>
      <c r="L1774" s="252">
        <f t="shared" si="87"/>
        <v>91800</v>
      </c>
      <c r="M1774" s="252">
        <f t="shared" si="87"/>
        <v>97700</v>
      </c>
    </row>
    <row r="1775" spans="1:13" ht="21.95" customHeight="1" x14ac:dyDescent="0.25">
      <c r="A1775" s="36" t="s">
        <v>2904</v>
      </c>
      <c r="B1775" s="36" t="str">
        <f t="shared" si="85"/>
        <v>OH_LOGAN COUNTY, OH</v>
      </c>
      <c r="D1775" s="265" t="s">
        <v>71</v>
      </c>
      <c r="E1775" s="266" t="s">
        <v>4546</v>
      </c>
      <c r="F1775" s="252">
        <f t="shared" si="87"/>
        <v>51450</v>
      </c>
      <c r="G1775" s="252">
        <f t="shared" si="87"/>
        <v>58800</v>
      </c>
      <c r="H1775" s="252">
        <f t="shared" si="87"/>
        <v>66150</v>
      </c>
      <c r="I1775" s="252">
        <f t="shared" si="87"/>
        <v>73500</v>
      </c>
      <c r="J1775" s="252">
        <f t="shared" si="87"/>
        <v>79400</v>
      </c>
      <c r="K1775" s="252">
        <f t="shared" si="87"/>
        <v>85300</v>
      </c>
      <c r="L1775" s="252">
        <f t="shared" si="87"/>
        <v>91150</v>
      </c>
      <c r="M1775" s="252">
        <f t="shared" si="87"/>
        <v>97050</v>
      </c>
    </row>
    <row r="1776" spans="1:13" ht="21.95" customHeight="1" x14ac:dyDescent="0.25">
      <c r="A1776" s="36" t="s">
        <v>2904</v>
      </c>
      <c r="B1776" s="36" t="str">
        <f t="shared" si="85"/>
        <v>OH_MANSFIELD, OH MSA</v>
      </c>
      <c r="D1776" s="265" t="s">
        <v>71</v>
      </c>
      <c r="E1776" s="266" t="s">
        <v>4547</v>
      </c>
      <c r="F1776" s="252">
        <f t="shared" si="87"/>
        <v>47750</v>
      </c>
      <c r="G1776" s="252">
        <f t="shared" si="87"/>
        <v>54550</v>
      </c>
      <c r="H1776" s="252">
        <f t="shared" si="87"/>
        <v>61350</v>
      </c>
      <c r="I1776" s="252">
        <f t="shared" si="87"/>
        <v>68150</v>
      </c>
      <c r="J1776" s="252">
        <f t="shared" si="87"/>
        <v>73650</v>
      </c>
      <c r="K1776" s="252">
        <f t="shared" si="87"/>
        <v>79100</v>
      </c>
      <c r="L1776" s="252">
        <f t="shared" si="87"/>
        <v>84550</v>
      </c>
      <c r="M1776" s="252">
        <f t="shared" si="87"/>
        <v>90000</v>
      </c>
    </row>
    <row r="1777" spans="1:13" ht="21.95" customHeight="1" x14ac:dyDescent="0.25">
      <c r="A1777" s="36" t="s">
        <v>2904</v>
      </c>
      <c r="B1777" s="36" t="str">
        <f t="shared" si="85"/>
        <v>OH_MARION COUNTY, OH</v>
      </c>
      <c r="D1777" s="265" t="s">
        <v>71</v>
      </c>
      <c r="E1777" s="266" t="s">
        <v>4548</v>
      </c>
      <c r="F1777" s="252">
        <f t="shared" si="87"/>
        <v>47750</v>
      </c>
      <c r="G1777" s="252">
        <f t="shared" si="87"/>
        <v>54550</v>
      </c>
      <c r="H1777" s="252">
        <f t="shared" si="87"/>
        <v>61350</v>
      </c>
      <c r="I1777" s="252">
        <f t="shared" si="87"/>
        <v>68150</v>
      </c>
      <c r="J1777" s="252">
        <f t="shared" si="87"/>
        <v>73650</v>
      </c>
      <c r="K1777" s="252">
        <f t="shared" si="87"/>
        <v>79100</v>
      </c>
      <c r="L1777" s="252">
        <f t="shared" si="87"/>
        <v>84550</v>
      </c>
      <c r="M1777" s="252">
        <f t="shared" si="87"/>
        <v>90000</v>
      </c>
    </row>
    <row r="1778" spans="1:13" ht="21.95" customHeight="1" x14ac:dyDescent="0.25">
      <c r="A1778" s="36" t="s">
        <v>2904</v>
      </c>
      <c r="B1778" s="36" t="str">
        <f t="shared" si="85"/>
        <v>OH_MEIGS COUNTY, OH</v>
      </c>
      <c r="D1778" s="265" t="s">
        <v>71</v>
      </c>
      <c r="E1778" s="266" t="s">
        <v>4549</v>
      </c>
      <c r="F1778" s="252">
        <f t="shared" si="87"/>
        <v>47750</v>
      </c>
      <c r="G1778" s="252">
        <f t="shared" si="87"/>
        <v>54550</v>
      </c>
      <c r="H1778" s="252">
        <f t="shared" si="87"/>
        <v>61350</v>
      </c>
      <c r="I1778" s="252">
        <f t="shared" si="87"/>
        <v>68150</v>
      </c>
      <c r="J1778" s="252">
        <f t="shared" si="87"/>
        <v>73650</v>
      </c>
      <c r="K1778" s="252">
        <f t="shared" si="87"/>
        <v>79100</v>
      </c>
      <c r="L1778" s="252">
        <f t="shared" si="87"/>
        <v>84550</v>
      </c>
      <c r="M1778" s="252">
        <f t="shared" si="87"/>
        <v>90000</v>
      </c>
    </row>
    <row r="1779" spans="1:13" ht="21.95" customHeight="1" x14ac:dyDescent="0.25">
      <c r="A1779" s="36" t="s">
        <v>2904</v>
      </c>
      <c r="B1779" s="36" t="str">
        <f t="shared" si="85"/>
        <v>OH_MERCER COUNTY, OH</v>
      </c>
      <c r="D1779" s="265" t="s">
        <v>71</v>
      </c>
      <c r="E1779" s="266" t="s">
        <v>4550</v>
      </c>
      <c r="F1779" s="252">
        <f t="shared" si="87"/>
        <v>57300</v>
      </c>
      <c r="G1779" s="252">
        <f t="shared" si="87"/>
        <v>65500</v>
      </c>
      <c r="H1779" s="252">
        <f t="shared" si="87"/>
        <v>73700</v>
      </c>
      <c r="I1779" s="252">
        <f t="shared" si="87"/>
        <v>81850</v>
      </c>
      <c r="J1779" s="252">
        <f t="shared" si="87"/>
        <v>88400</v>
      </c>
      <c r="K1779" s="252">
        <f t="shared" si="87"/>
        <v>94950</v>
      </c>
      <c r="L1779" s="252">
        <f t="shared" si="87"/>
        <v>101500</v>
      </c>
      <c r="M1779" s="252">
        <f t="shared" si="87"/>
        <v>108050</v>
      </c>
    </row>
    <row r="1780" spans="1:13" ht="21.95" customHeight="1" x14ac:dyDescent="0.25">
      <c r="A1780" s="36" t="s">
        <v>2904</v>
      </c>
      <c r="B1780" s="36" t="str">
        <f t="shared" si="85"/>
        <v>OH_MONROE COUNTY, OH</v>
      </c>
      <c r="D1780" s="265" t="s">
        <v>71</v>
      </c>
      <c r="E1780" s="266" t="s">
        <v>4551</v>
      </c>
      <c r="F1780" s="252">
        <f t="shared" si="87"/>
        <v>47750</v>
      </c>
      <c r="G1780" s="252">
        <f t="shared" si="87"/>
        <v>54550</v>
      </c>
      <c r="H1780" s="252">
        <f t="shared" si="87"/>
        <v>61350</v>
      </c>
      <c r="I1780" s="252">
        <f t="shared" si="87"/>
        <v>68150</v>
      </c>
      <c r="J1780" s="252">
        <f t="shared" si="87"/>
        <v>73650</v>
      </c>
      <c r="K1780" s="252">
        <f t="shared" si="87"/>
        <v>79100</v>
      </c>
      <c r="L1780" s="252">
        <f t="shared" si="87"/>
        <v>84550</v>
      </c>
      <c r="M1780" s="252">
        <f t="shared" si="87"/>
        <v>90000</v>
      </c>
    </row>
    <row r="1781" spans="1:13" ht="21.95" customHeight="1" x14ac:dyDescent="0.25">
      <c r="A1781" s="36" t="s">
        <v>2904</v>
      </c>
      <c r="B1781" s="36" t="str">
        <f t="shared" si="85"/>
        <v>OH_MORGAN COUNTY, OH</v>
      </c>
      <c r="D1781" s="265" t="s">
        <v>71</v>
      </c>
      <c r="E1781" s="266" t="s">
        <v>4552</v>
      </c>
      <c r="F1781" s="252">
        <f t="shared" si="87"/>
        <v>47750</v>
      </c>
      <c r="G1781" s="252">
        <f t="shared" si="87"/>
        <v>54550</v>
      </c>
      <c r="H1781" s="252">
        <f t="shared" si="87"/>
        <v>61350</v>
      </c>
      <c r="I1781" s="252">
        <f t="shared" si="87"/>
        <v>68150</v>
      </c>
      <c r="J1781" s="252">
        <f t="shared" si="87"/>
        <v>73650</v>
      </c>
      <c r="K1781" s="252">
        <f t="shared" si="87"/>
        <v>79100</v>
      </c>
      <c r="L1781" s="252">
        <f t="shared" si="87"/>
        <v>84550</v>
      </c>
      <c r="M1781" s="252">
        <f t="shared" si="87"/>
        <v>90000</v>
      </c>
    </row>
    <row r="1782" spans="1:13" ht="21.95" customHeight="1" x14ac:dyDescent="0.25">
      <c r="A1782" s="36" t="s">
        <v>2904</v>
      </c>
      <c r="B1782" s="36" t="str">
        <f t="shared" si="85"/>
        <v>OH_MUSKINGUM COUNTY, OH</v>
      </c>
      <c r="D1782" s="265" t="s">
        <v>71</v>
      </c>
      <c r="E1782" s="266" t="s">
        <v>4553</v>
      </c>
      <c r="F1782" s="252">
        <f t="shared" si="87"/>
        <v>47750</v>
      </c>
      <c r="G1782" s="252">
        <f t="shared" si="87"/>
        <v>54550</v>
      </c>
      <c r="H1782" s="252">
        <f t="shared" si="87"/>
        <v>61350</v>
      </c>
      <c r="I1782" s="252">
        <f t="shared" si="87"/>
        <v>68150</v>
      </c>
      <c r="J1782" s="252">
        <f t="shared" si="87"/>
        <v>73650</v>
      </c>
      <c r="K1782" s="252">
        <f t="shared" si="87"/>
        <v>79100</v>
      </c>
      <c r="L1782" s="252">
        <f t="shared" si="87"/>
        <v>84550</v>
      </c>
      <c r="M1782" s="252">
        <f t="shared" si="87"/>
        <v>90000</v>
      </c>
    </row>
    <row r="1783" spans="1:13" ht="21.95" customHeight="1" x14ac:dyDescent="0.25">
      <c r="A1783" s="36" t="s">
        <v>2904</v>
      </c>
      <c r="B1783" s="36" t="str">
        <f t="shared" si="85"/>
        <v>OH_NOBLE COUNTY, OH</v>
      </c>
      <c r="D1783" s="265" t="s">
        <v>71</v>
      </c>
      <c r="E1783" s="266" t="s">
        <v>4554</v>
      </c>
      <c r="F1783" s="252">
        <f t="shared" si="87"/>
        <v>47750</v>
      </c>
      <c r="G1783" s="252">
        <f t="shared" si="87"/>
        <v>54550</v>
      </c>
      <c r="H1783" s="252">
        <f t="shared" si="87"/>
        <v>61350</v>
      </c>
      <c r="I1783" s="252">
        <f t="shared" si="87"/>
        <v>68150</v>
      </c>
      <c r="J1783" s="252">
        <f t="shared" si="87"/>
        <v>73650</v>
      </c>
      <c r="K1783" s="252">
        <f t="shared" si="87"/>
        <v>79100</v>
      </c>
      <c r="L1783" s="252">
        <f t="shared" si="87"/>
        <v>84550</v>
      </c>
      <c r="M1783" s="252">
        <f t="shared" si="87"/>
        <v>90000</v>
      </c>
    </row>
    <row r="1784" spans="1:13" ht="21.95" customHeight="1" x14ac:dyDescent="0.25">
      <c r="A1784" s="36" t="s">
        <v>2904</v>
      </c>
      <c r="B1784" s="36" t="str">
        <f t="shared" si="85"/>
        <v>OH_OTTAWA COUNTY, OH HUD METRO FMR AREA</v>
      </c>
      <c r="D1784" s="265" t="s">
        <v>71</v>
      </c>
      <c r="E1784" s="266" t="s">
        <v>4555</v>
      </c>
      <c r="F1784" s="252">
        <f t="shared" si="87"/>
        <v>58750</v>
      </c>
      <c r="G1784" s="252">
        <f t="shared" si="87"/>
        <v>67150</v>
      </c>
      <c r="H1784" s="252">
        <f t="shared" si="87"/>
        <v>75550</v>
      </c>
      <c r="I1784" s="252">
        <f t="shared" si="87"/>
        <v>83900</v>
      </c>
      <c r="J1784" s="252">
        <f t="shared" si="87"/>
        <v>90650</v>
      </c>
      <c r="K1784" s="252">
        <f t="shared" si="87"/>
        <v>97350</v>
      </c>
      <c r="L1784" s="252">
        <f t="shared" si="87"/>
        <v>104050</v>
      </c>
      <c r="M1784" s="252">
        <f t="shared" si="87"/>
        <v>110750</v>
      </c>
    </row>
    <row r="1785" spans="1:13" ht="21.95" customHeight="1" x14ac:dyDescent="0.25">
      <c r="A1785" s="36" t="s">
        <v>2904</v>
      </c>
      <c r="B1785" s="36" t="str">
        <f t="shared" si="85"/>
        <v>OH_PAULDING COUNTY, OH</v>
      </c>
      <c r="D1785" s="265" t="s">
        <v>71</v>
      </c>
      <c r="E1785" s="266" t="s">
        <v>4556</v>
      </c>
      <c r="F1785" s="252">
        <f t="shared" si="87"/>
        <v>50700</v>
      </c>
      <c r="G1785" s="252">
        <f t="shared" si="87"/>
        <v>57950</v>
      </c>
      <c r="H1785" s="252">
        <f t="shared" si="87"/>
        <v>65200</v>
      </c>
      <c r="I1785" s="252">
        <f t="shared" si="87"/>
        <v>72400</v>
      </c>
      <c r="J1785" s="252">
        <f t="shared" si="87"/>
        <v>78200</v>
      </c>
      <c r="K1785" s="252">
        <f t="shared" si="87"/>
        <v>84000</v>
      </c>
      <c r="L1785" s="252">
        <f t="shared" si="87"/>
        <v>89800</v>
      </c>
      <c r="M1785" s="252">
        <f t="shared" si="87"/>
        <v>95600</v>
      </c>
    </row>
    <row r="1786" spans="1:13" ht="21.95" customHeight="1" x14ac:dyDescent="0.25">
      <c r="A1786" s="36" t="s">
        <v>2904</v>
      </c>
      <c r="B1786" s="36" t="str">
        <f t="shared" si="85"/>
        <v>OH_PERRY COUNTY, OH HUD METRO FMR AREA</v>
      </c>
      <c r="D1786" s="265" t="s">
        <v>71</v>
      </c>
      <c r="E1786" s="266" t="s">
        <v>4557</v>
      </c>
      <c r="F1786" s="252">
        <f t="shared" si="87"/>
        <v>47750</v>
      </c>
      <c r="G1786" s="252">
        <f t="shared" si="87"/>
        <v>54550</v>
      </c>
      <c r="H1786" s="252">
        <f t="shared" si="87"/>
        <v>61350</v>
      </c>
      <c r="I1786" s="252">
        <f t="shared" si="87"/>
        <v>68150</v>
      </c>
      <c r="J1786" s="252">
        <f t="shared" si="87"/>
        <v>73650</v>
      </c>
      <c r="K1786" s="252">
        <f t="shared" si="87"/>
        <v>79100</v>
      </c>
      <c r="L1786" s="252">
        <f t="shared" si="87"/>
        <v>84550</v>
      </c>
      <c r="M1786" s="252">
        <f t="shared" si="87"/>
        <v>90000</v>
      </c>
    </row>
    <row r="1787" spans="1:13" ht="21.95" customHeight="1" x14ac:dyDescent="0.25">
      <c r="A1787" s="36" t="s">
        <v>2904</v>
      </c>
      <c r="B1787" s="36" t="str">
        <f t="shared" si="85"/>
        <v>OH_PIKE COUNTY, OH</v>
      </c>
      <c r="D1787" s="265" t="s">
        <v>71</v>
      </c>
      <c r="E1787" s="266" t="s">
        <v>4558</v>
      </c>
      <c r="F1787" s="252">
        <f t="shared" si="87"/>
        <v>47750</v>
      </c>
      <c r="G1787" s="252">
        <f t="shared" si="87"/>
        <v>54550</v>
      </c>
      <c r="H1787" s="252">
        <f t="shared" si="87"/>
        <v>61350</v>
      </c>
      <c r="I1787" s="252">
        <f t="shared" si="87"/>
        <v>68150</v>
      </c>
      <c r="J1787" s="252">
        <f t="shared" si="87"/>
        <v>73650</v>
      </c>
      <c r="K1787" s="252">
        <f t="shared" si="87"/>
        <v>79100</v>
      </c>
      <c r="L1787" s="252">
        <f t="shared" si="87"/>
        <v>84550</v>
      </c>
      <c r="M1787" s="252">
        <f t="shared" si="87"/>
        <v>90000</v>
      </c>
    </row>
    <row r="1788" spans="1:13" ht="21.95" customHeight="1" x14ac:dyDescent="0.25">
      <c r="A1788" s="36" t="s">
        <v>2904</v>
      </c>
      <c r="B1788" s="36" t="str">
        <f t="shared" ref="B1788:B1851" si="88">UPPER(TRIM(D1788)&amp;"_"&amp;TRIM(E1788))</f>
        <v>OH_PREBLE COUNTY, OH</v>
      </c>
      <c r="D1788" s="265" t="s">
        <v>71</v>
      </c>
      <c r="E1788" s="266" t="s">
        <v>4559</v>
      </c>
      <c r="F1788" s="252">
        <f t="shared" si="87"/>
        <v>51100</v>
      </c>
      <c r="G1788" s="252">
        <f t="shared" si="87"/>
        <v>58400</v>
      </c>
      <c r="H1788" s="252">
        <f t="shared" si="87"/>
        <v>65700</v>
      </c>
      <c r="I1788" s="252">
        <f t="shared" si="87"/>
        <v>72950</v>
      </c>
      <c r="J1788" s="252">
        <f t="shared" si="87"/>
        <v>78800</v>
      </c>
      <c r="K1788" s="252">
        <f t="shared" si="87"/>
        <v>84650</v>
      </c>
      <c r="L1788" s="252">
        <f t="shared" si="87"/>
        <v>90500</v>
      </c>
      <c r="M1788" s="252">
        <f t="shared" si="87"/>
        <v>96300</v>
      </c>
    </row>
    <row r="1789" spans="1:13" ht="21.95" customHeight="1" x14ac:dyDescent="0.25">
      <c r="A1789" s="36" t="s">
        <v>2904</v>
      </c>
      <c r="B1789" s="36" t="str">
        <f t="shared" si="88"/>
        <v>OH_PUTNAM COUNTY, OH</v>
      </c>
      <c r="D1789" s="265" t="s">
        <v>71</v>
      </c>
      <c r="E1789" s="266" t="s">
        <v>4560</v>
      </c>
      <c r="F1789" s="252">
        <f t="shared" si="87"/>
        <v>60450</v>
      </c>
      <c r="G1789" s="252">
        <f t="shared" si="87"/>
        <v>69050</v>
      </c>
      <c r="H1789" s="252">
        <f t="shared" si="87"/>
        <v>77700</v>
      </c>
      <c r="I1789" s="252">
        <f t="shared" si="87"/>
        <v>86300</v>
      </c>
      <c r="J1789" s="252">
        <f t="shared" si="87"/>
        <v>93250</v>
      </c>
      <c r="K1789" s="252">
        <f t="shared" si="87"/>
        <v>100150</v>
      </c>
      <c r="L1789" s="252">
        <f t="shared" si="87"/>
        <v>107050</v>
      </c>
      <c r="M1789" s="252">
        <f t="shared" si="87"/>
        <v>113950</v>
      </c>
    </row>
    <row r="1790" spans="1:13" ht="21.95" customHeight="1" x14ac:dyDescent="0.25">
      <c r="A1790" s="36" t="s">
        <v>2904</v>
      </c>
      <c r="B1790" s="36" t="str">
        <f t="shared" si="88"/>
        <v>OH_ROSS COUNTY, OH</v>
      </c>
      <c r="D1790" s="265" t="s">
        <v>71</v>
      </c>
      <c r="E1790" s="266" t="s">
        <v>4561</v>
      </c>
      <c r="F1790" s="252">
        <f t="shared" si="87"/>
        <v>47750</v>
      </c>
      <c r="G1790" s="252">
        <f t="shared" si="87"/>
        <v>54550</v>
      </c>
      <c r="H1790" s="252">
        <f t="shared" si="87"/>
        <v>61350</v>
      </c>
      <c r="I1790" s="252">
        <f t="shared" si="87"/>
        <v>68150</v>
      </c>
      <c r="J1790" s="252">
        <f t="shared" si="87"/>
        <v>73650</v>
      </c>
      <c r="K1790" s="252">
        <f t="shared" si="87"/>
        <v>79100</v>
      </c>
      <c r="L1790" s="252">
        <f t="shared" si="87"/>
        <v>84550</v>
      </c>
      <c r="M1790" s="252">
        <f t="shared" si="87"/>
        <v>90000</v>
      </c>
    </row>
    <row r="1791" spans="1:13" ht="21.95" customHeight="1" x14ac:dyDescent="0.25">
      <c r="A1791" s="36" t="s">
        <v>2904</v>
      </c>
      <c r="B1791" s="36" t="str">
        <f t="shared" si="88"/>
        <v>OH_SANDUSKY COUNTY, OH</v>
      </c>
      <c r="D1791" s="265" t="s">
        <v>71</v>
      </c>
      <c r="E1791" s="266" t="s">
        <v>4562</v>
      </c>
      <c r="F1791" s="252">
        <f t="shared" si="87"/>
        <v>49000</v>
      </c>
      <c r="G1791" s="252">
        <f t="shared" si="87"/>
        <v>56000</v>
      </c>
      <c r="H1791" s="252">
        <f t="shared" si="87"/>
        <v>63000</v>
      </c>
      <c r="I1791" s="252">
        <f t="shared" si="87"/>
        <v>70000</v>
      </c>
      <c r="J1791" s="252">
        <f t="shared" si="87"/>
        <v>75600</v>
      </c>
      <c r="K1791" s="252">
        <f t="shared" si="87"/>
        <v>81200</v>
      </c>
      <c r="L1791" s="252">
        <f t="shared" si="87"/>
        <v>86800</v>
      </c>
      <c r="M1791" s="252">
        <f t="shared" si="87"/>
        <v>92400</v>
      </c>
    </row>
    <row r="1792" spans="1:13" ht="21.95" customHeight="1" x14ac:dyDescent="0.25">
      <c r="A1792" s="36" t="s">
        <v>2904</v>
      </c>
      <c r="B1792" s="36" t="str">
        <f t="shared" si="88"/>
        <v>OH_SCIOTO COUNTY, OH</v>
      </c>
      <c r="D1792" s="265" t="s">
        <v>71</v>
      </c>
      <c r="E1792" s="266" t="s">
        <v>4563</v>
      </c>
      <c r="F1792" s="252">
        <f t="shared" si="87"/>
        <v>47750</v>
      </c>
      <c r="G1792" s="252">
        <f t="shared" si="87"/>
        <v>54550</v>
      </c>
      <c r="H1792" s="252">
        <f t="shared" si="87"/>
        <v>61350</v>
      </c>
      <c r="I1792" s="252">
        <f t="shared" si="87"/>
        <v>68150</v>
      </c>
      <c r="J1792" s="252">
        <f t="shared" si="87"/>
        <v>73650</v>
      </c>
      <c r="K1792" s="252">
        <f t="shared" si="87"/>
        <v>79100</v>
      </c>
      <c r="L1792" s="252">
        <f t="shared" si="87"/>
        <v>84550</v>
      </c>
      <c r="M1792" s="252">
        <f t="shared" si="87"/>
        <v>90000</v>
      </c>
    </row>
    <row r="1793" spans="1:13" ht="21.95" customHeight="1" x14ac:dyDescent="0.25">
      <c r="A1793" s="36" t="s">
        <v>2904</v>
      </c>
      <c r="B1793" s="36" t="str">
        <f t="shared" si="88"/>
        <v>OH_SENECA COUNTY, OH</v>
      </c>
      <c r="D1793" s="265" t="s">
        <v>71</v>
      </c>
      <c r="E1793" s="266" t="s">
        <v>4564</v>
      </c>
      <c r="F1793" s="252">
        <f t="shared" si="87"/>
        <v>47750</v>
      </c>
      <c r="G1793" s="252">
        <f t="shared" si="87"/>
        <v>54550</v>
      </c>
      <c r="H1793" s="252">
        <f t="shared" si="87"/>
        <v>61350</v>
      </c>
      <c r="I1793" s="252">
        <f t="shared" si="87"/>
        <v>68150</v>
      </c>
      <c r="J1793" s="252">
        <f t="shared" si="87"/>
        <v>73650</v>
      </c>
      <c r="K1793" s="252">
        <f t="shared" si="87"/>
        <v>79100</v>
      </c>
      <c r="L1793" s="252">
        <f t="shared" si="87"/>
        <v>84550</v>
      </c>
      <c r="M1793" s="252">
        <f t="shared" si="87"/>
        <v>90000</v>
      </c>
    </row>
    <row r="1794" spans="1:13" ht="21.95" customHeight="1" x14ac:dyDescent="0.25">
      <c r="A1794" s="36" t="s">
        <v>2904</v>
      </c>
      <c r="B1794" s="36" t="str">
        <f t="shared" si="88"/>
        <v>OH_SHELBY COUNTY, OH</v>
      </c>
      <c r="D1794" s="265" t="s">
        <v>71</v>
      </c>
      <c r="E1794" s="266" t="s">
        <v>4565</v>
      </c>
      <c r="F1794" s="252">
        <f t="shared" si="87"/>
        <v>54150</v>
      </c>
      <c r="G1794" s="252">
        <f t="shared" si="87"/>
        <v>61850</v>
      </c>
      <c r="H1794" s="252">
        <f t="shared" si="87"/>
        <v>69600</v>
      </c>
      <c r="I1794" s="252">
        <f t="shared" si="87"/>
        <v>77300</v>
      </c>
      <c r="J1794" s="252">
        <f t="shared" si="87"/>
        <v>83500</v>
      </c>
      <c r="K1794" s="252">
        <f t="shared" si="87"/>
        <v>89700</v>
      </c>
      <c r="L1794" s="252">
        <f t="shared" si="87"/>
        <v>95900</v>
      </c>
      <c r="M1794" s="252">
        <f t="shared" si="87"/>
        <v>102050</v>
      </c>
    </row>
    <row r="1795" spans="1:13" ht="21.95" customHeight="1" x14ac:dyDescent="0.25">
      <c r="A1795" s="36" t="s">
        <v>2904</v>
      </c>
      <c r="B1795" s="36" t="str">
        <f t="shared" si="88"/>
        <v>OH_SPRINGFIELD, OH MSA</v>
      </c>
      <c r="D1795" s="265" t="s">
        <v>71</v>
      </c>
      <c r="E1795" s="266" t="s">
        <v>4566</v>
      </c>
      <c r="F1795" s="252">
        <f t="shared" si="87"/>
        <v>48450</v>
      </c>
      <c r="G1795" s="252">
        <f t="shared" si="87"/>
        <v>55400</v>
      </c>
      <c r="H1795" s="252">
        <f t="shared" ref="F1795:M1827" si="89">VLOOKUP($B1795,LOOKUP_AMI_TABLE,5+((H$7-1)),FALSE)</f>
        <v>62300</v>
      </c>
      <c r="I1795" s="252">
        <f t="shared" si="89"/>
        <v>69200</v>
      </c>
      <c r="J1795" s="252">
        <f t="shared" si="89"/>
        <v>74750</v>
      </c>
      <c r="K1795" s="252">
        <f t="shared" si="89"/>
        <v>80300</v>
      </c>
      <c r="L1795" s="252">
        <f t="shared" si="89"/>
        <v>85850</v>
      </c>
      <c r="M1795" s="252">
        <f t="shared" si="89"/>
        <v>91350</v>
      </c>
    </row>
    <row r="1796" spans="1:13" ht="21.95" customHeight="1" x14ac:dyDescent="0.25">
      <c r="A1796" s="36" t="s">
        <v>2904</v>
      </c>
      <c r="B1796" s="36" t="str">
        <f t="shared" si="88"/>
        <v>OH_TOLEDO, OH HUD METRO FMR AREA</v>
      </c>
      <c r="D1796" s="265" t="s">
        <v>71</v>
      </c>
      <c r="E1796" s="266" t="s">
        <v>4567</v>
      </c>
      <c r="F1796" s="252">
        <f t="shared" si="89"/>
        <v>53100</v>
      </c>
      <c r="G1796" s="252">
        <f t="shared" si="89"/>
        <v>60700</v>
      </c>
      <c r="H1796" s="252">
        <f t="shared" si="89"/>
        <v>68300</v>
      </c>
      <c r="I1796" s="252">
        <f t="shared" si="89"/>
        <v>75850</v>
      </c>
      <c r="J1796" s="252">
        <f t="shared" si="89"/>
        <v>81950</v>
      </c>
      <c r="K1796" s="252">
        <f t="shared" si="89"/>
        <v>88000</v>
      </c>
      <c r="L1796" s="252">
        <f t="shared" si="89"/>
        <v>94100</v>
      </c>
      <c r="M1796" s="252">
        <f t="shared" si="89"/>
        <v>100150</v>
      </c>
    </row>
    <row r="1797" spans="1:13" ht="21.95" customHeight="1" x14ac:dyDescent="0.25">
      <c r="A1797" s="36" t="s">
        <v>2904</v>
      </c>
      <c r="B1797" s="36" t="str">
        <f t="shared" si="88"/>
        <v>OH_TUSCARAWAS COUNTY, OH</v>
      </c>
      <c r="D1797" s="265" t="s">
        <v>71</v>
      </c>
      <c r="E1797" s="266" t="s">
        <v>4568</v>
      </c>
      <c r="F1797" s="252">
        <f t="shared" si="89"/>
        <v>48900</v>
      </c>
      <c r="G1797" s="252">
        <f t="shared" si="89"/>
        <v>55900</v>
      </c>
      <c r="H1797" s="252">
        <f t="shared" si="89"/>
        <v>62900</v>
      </c>
      <c r="I1797" s="252">
        <f t="shared" si="89"/>
        <v>69850</v>
      </c>
      <c r="J1797" s="252">
        <f t="shared" si="89"/>
        <v>75450</v>
      </c>
      <c r="K1797" s="252">
        <f t="shared" si="89"/>
        <v>81050</v>
      </c>
      <c r="L1797" s="252">
        <f t="shared" si="89"/>
        <v>86650</v>
      </c>
      <c r="M1797" s="252">
        <f t="shared" si="89"/>
        <v>92250</v>
      </c>
    </row>
    <row r="1798" spans="1:13" ht="21.95" customHeight="1" x14ac:dyDescent="0.25">
      <c r="A1798" s="36" t="s">
        <v>2904</v>
      </c>
      <c r="B1798" s="36" t="str">
        <f t="shared" si="88"/>
        <v>OH_UNION COUNTY, OH HUD METRO FMR AREA</v>
      </c>
      <c r="D1798" s="265" t="s">
        <v>71</v>
      </c>
      <c r="E1798" s="266" t="s">
        <v>4569</v>
      </c>
      <c r="F1798" s="252">
        <f t="shared" si="89"/>
        <v>71800</v>
      </c>
      <c r="G1798" s="252">
        <f t="shared" si="89"/>
        <v>82050</v>
      </c>
      <c r="H1798" s="252">
        <f t="shared" si="89"/>
        <v>92300</v>
      </c>
      <c r="I1798" s="252">
        <f t="shared" si="89"/>
        <v>102550</v>
      </c>
      <c r="J1798" s="252">
        <f t="shared" si="89"/>
        <v>110800</v>
      </c>
      <c r="K1798" s="252">
        <f t="shared" si="89"/>
        <v>119000</v>
      </c>
      <c r="L1798" s="252">
        <f t="shared" si="89"/>
        <v>127200</v>
      </c>
      <c r="M1798" s="252">
        <f t="shared" si="89"/>
        <v>135400</v>
      </c>
    </row>
    <row r="1799" spans="1:13" ht="21.95" customHeight="1" x14ac:dyDescent="0.25">
      <c r="A1799" s="36" t="s">
        <v>2904</v>
      </c>
      <c r="B1799" s="36" t="str">
        <f t="shared" si="88"/>
        <v>OH_VAN WERT COUNTY, OH</v>
      </c>
      <c r="D1799" s="265" t="s">
        <v>71</v>
      </c>
      <c r="E1799" s="266" t="s">
        <v>4570</v>
      </c>
      <c r="F1799" s="252">
        <f t="shared" si="89"/>
        <v>48550</v>
      </c>
      <c r="G1799" s="252">
        <f t="shared" si="89"/>
        <v>55500</v>
      </c>
      <c r="H1799" s="252">
        <f t="shared" si="89"/>
        <v>62450</v>
      </c>
      <c r="I1799" s="252">
        <f t="shared" si="89"/>
        <v>69350</v>
      </c>
      <c r="J1799" s="252">
        <f t="shared" si="89"/>
        <v>74900</v>
      </c>
      <c r="K1799" s="252">
        <f t="shared" si="89"/>
        <v>80450</v>
      </c>
      <c r="L1799" s="252">
        <f t="shared" si="89"/>
        <v>86000</v>
      </c>
      <c r="M1799" s="252">
        <f t="shared" si="89"/>
        <v>91550</v>
      </c>
    </row>
    <row r="1800" spans="1:13" ht="21.95" customHeight="1" x14ac:dyDescent="0.25">
      <c r="A1800" s="36" t="s">
        <v>2904</v>
      </c>
      <c r="B1800" s="36" t="str">
        <f t="shared" si="88"/>
        <v>OH_VINTON COUNTY, OH</v>
      </c>
      <c r="D1800" s="265" t="s">
        <v>71</v>
      </c>
      <c r="E1800" s="266" t="s">
        <v>4571</v>
      </c>
      <c r="F1800" s="252">
        <f t="shared" si="89"/>
        <v>47750</v>
      </c>
      <c r="G1800" s="252">
        <f t="shared" si="89"/>
        <v>54550</v>
      </c>
      <c r="H1800" s="252">
        <f t="shared" si="89"/>
        <v>61350</v>
      </c>
      <c r="I1800" s="252">
        <f t="shared" si="89"/>
        <v>68150</v>
      </c>
      <c r="J1800" s="252">
        <f t="shared" si="89"/>
        <v>73650</v>
      </c>
      <c r="K1800" s="252">
        <f t="shared" si="89"/>
        <v>79100</v>
      </c>
      <c r="L1800" s="252">
        <f t="shared" si="89"/>
        <v>84550</v>
      </c>
      <c r="M1800" s="252">
        <f t="shared" si="89"/>
        <v>90000</v>
      </c>
    </row>
    <row r="1801" spans="1:13" ht="21.95" customHeight="1" x14ac:dyDescent="0.25">
      <c r="A1801" s="36" t="s">
        <v>2904</v>
      </c>
      <c r="B1801" s="36" t="str">
        <f t="shared" si="88"/>
        <v>OH_WASHINGTON COUNTY, OH</v>
      </c>
      <c r="D1801" s="265" t="s">
        <v>71</v>
      </c>
      <c r="E1801" s="266" t="s">
        <v>4572</v>
      </c>
      <c r="F1801" s="252">
        <f t="shared" si="89"/>
        <v>47750</v>
      </c>
      <c r="G1801" s="252">
        <f t="shared" si="89"/>
        <v>54550</v>
      </c>
      <c r="H1801" s="252">
        <f t="shared" si="89"/>
        <v>61350</v>
      </c>
      <c r="I1801" s="252">
        <f t="shared" si="89"/>
        <v>68150</v>
      </c>
      <c r="J1801" s="252">
        <f t="shared" si="89"/>
        <v>73650</v>
      </c>
      <c r="K1801" s="252">
        <f t="shared" si="89"/>
        <v>79100</v>
      </c>
      <c r="L1801" s="252">
        <f t="shared" si="89"/>
        <v>84550</v>
      </c>
      <c r="M1801" s="252">
        <f t="shared" si="89"/>
        <v>90000</v>
      </c>
    </row>
    <row r="1802" spans="1:13" ht="21.95" customHeight="1" x14ac:dyDescent="0.25">
      <c r="A1802" s="36" t="s">
        <v>2904</v>
      </c>
      <c r="B1802" s="36" t="str">
        <f t="shared" si="88"/>
        <v>OH_WAYNE COUNTY, OH</v>
      </c>
      <c r="D1802" s="265" t="s">
        <v>71</v>
      </c>
      <c r="E1802" s="266" t="s">
        <v>4573</v>
      </c>
      <c r="F1802" s="252">
        <f t="shared" si="89"/>
        <v>50150</v>
      </c>
      <c r="G1802" s="252">
        <f t="shared" si="89"/>
        <v>57300</v>
      </c>
      <c r="H1802" s="252">
        <f t="shared" si="89"/>
        <v>64450</v>
      </c>
      <c r="I1802" s="252">
        <f t="shared" si="89"/>
        <v>71600</v>
      </c>
      <c r="J1802" s="252">
        <f t="shared" si="89"/>
        <v>77350</v>
      </c>
      <c r="K1802" s="252">
        <f t="shared" si="89"/>
        <v>83100</v>
      </c>
      <c r="L1802" s="252">
        <f t="shared" si="89"/>
        <v>88800</v>
      </c>
      <c r="M1802" s="252">
        <f t="shared" si="89"/>
        <v>94550</v>
      </c>
    </row>
    <row r="1803" spans="1:13" ht="21.95" customHeight="1" x14ac:dyDescent="0.25">
      <c r="A1803" s="36" t="s">
        <v>2904</v>
      </c>
      <c r="B1803" s="36" t="str">
        <f t="shared" si="88"/>
        <v>OH_WEIRTON-STEUBENVILLE, WV-OH MSA</v>
      </c>
      <c r="D1803" s="265" t="s">
        <v>71</v>
      </c>
      <c r="E1803" s="266" t="s">
        <v>4574</v>
      </c>
      <c r="F1803" s="252">
        <f t="shared" si="89"/>
        <v>47750</v>
      </c>
      <c r="G1803" s="252">
        <f t="shared" si="89"/>
        <v>54550</v>
      </c>
      <c r="H1803" s="252">
        <f t="shared" si="89"/>
        <v>61350</v>
      </c>
      <c r="I1803" s="252">
        <f t="shared" si="89"/>
        <v>68150</v>
      </c>
      <c r="J1803" s="252">
        <f t="shared" si="89"/>
        <v>73650</v>
      </c>
      <c r="K1803" s="252">
        <f t="shared" si="89"/>
        <v>79100</v>
      </c>
      <c r="L1803" s="252">
        <f t="shared" si="89"/>
        <v>84550</v>
      </c>
      <c r="M1803" s="252">
        <f t="shared" si="89"/>
        <v>90000</v>
      </c>
    </row>
    <row r="1804" spans="1:13" ht="21.95" customHeight="1" x14ac:dyDescent="0.25">
      <c r="A1804" s="36" t="s">
        <v>2904</v>
      </c>
      <c r="B1804" s="36" t="str">
        <f t="shared" si="88"/>
        <v>OH_WHEELING, WV-OH MSA</v>
      </c>
      <c r="D1804" s="265" t="s">
        <v>71</v>
      </c>
      <c r="E1804" s="266" t="s">
        <v>4575</v>
      </c>
      <c r="F1804" s="252">
        <f t="shared" si="89"/>
        <v>46000</v>
      </c>
      <c r="G1804" s="252">
        <f t="shared" si="89"/>
        <v>52600</v>
      </c>
      <c r="H1804" s="252">
        <f t="shared" si="89"/>
        <v>59150</v>
      </c>
      <c r="I1804" s="252">
        <f t="shared" si="89"/>
        <v>65700</v>
      </c>
      <c r="J1804" s="252">
        <f t="shared" si="89"/>
        <v>71000</v>
      </c>
      <c r="K1804" s="252">
        <f t="shared" si="89"/>
        <v>76250</v>
      </c>
      <c r="L1804" s="252">
        <f t="shared" si="89"/>
        <v>81500</v>
      </c>
      <c r="M1804" s="252">
        <f t="shared" si="89"/>
        <v>86750</v>
      </c>
    </row>
    <row r="1805" spans="1:13" ht="21.95" customHeight="1" x14ac:dyDescent="0.25">
      <c r="A1805" s="36" t="s">
        <v>2904</v>
      </c>
      <c r="B1805" s="36" t="str">
        <f t="shared" si="88"/>
        <v>OH_WILLIAMS COUNTY, OH</v>
      </c>
      <c r="D1805" s="265" t="s">
        <v>71</v>
      </c>
      <c r="E1805" s="266" t="s">
        <v>4576</v>
      </c>
      <c r="F1805" s="252">
        <f t="shared" si="89"/>
        <v>47750</v>
      </c>
      <c r="G1805" s="252">
        <f t="shared" si="89"/>
        <v>54550</v>
      </c>
      <c r="H1805" s="252">
        <f t="shared" si="89"/>
        <v>61350</v>
      </c>
      <c r="I1805" s="252">
        <f t="shared" si="89"/>
        <v>68150</v>
      </c>
      <c r="J1805" s="252">
        <f t="shared" si="89"/>
        <v>73650</v>
      </c>
      <c r="K1805" s="252">
        <f t="shared" si="89"/>
        <v>79100</v>
      </c>
      <c r="L1805" s="252">
        <f t="shared" si="89"/>
        <v>84550</v>
      </c>
      <c r="M1805" s="252">
        <f t="shared" si="89"/>
        <v>90000</v>
      </c>
    </row>
    <row r="1806" spans="1:13" ht="21.95" customHeight="1" x14ac:dyDescent="0.25">
      <c r="A1806" s="36" t="s">
        <v>2904</v>
      </c>
      <c r="B1806" s="36" t="str">
        <f t="shared" si="88"/>
        <v>OH_WYANDOT COUNTY, OH</v>
      </c>
      <c r="D1806" s="265" t="s">
        <v>71</v>
      </c>
      <c r="E1806" s="266" t="s">
        <v>4577</v>
      </c>
      <c r="F1806" s="252">
        <f t="shared" si="89"/>
        <v>50800</v>
      </c>
      <c r="G1806" s="252">
        <f t="shared" si="89"/>
        <v>58050</v>
      </c>
      <c r="H1806" s="252">
        <f t="shared" si="89"/>
        <v>65300</v>
      </c>
      <c r="I1806" s="252">
        <f t="shared" si="89"/>
        <v>72550</v>
      </c>
      <c r="J1806" s="252">
        <f t="shared" si="89"/>
        <v>78400</v>
      </c>
      <c r="K1806" s="252">
        <f t="shared" si="89"/>
        <v>84200</v>
      </c>
      <c r="L1806" s="252">
        <f t="shared" si="89"/>
        <v>90000</v>
      </c>
      <c r="M1806" s="252">
        <f t="shared" si="89"/>
        <v>95800</v>
      </c>
    </row>
    <row r="1807" spans="1:13" ht="21.95" customHeight="1" x14ac:dyDescent="0.25">
      <c r="A1807" s="36" t="s">
        <v>2904</v>
      </c>
      <c r="B1807" s="36" t="str">
        <f t="shared" si="88"/>
        <v>OH_YOUNGSTOWN-WARREN, OH MSA</v>
      </c>
      <c r="D1807" s="265" t="s">
        <v>71</v>
      </c>
      <c r="E1807" s="266" t="s">
        <v>9241</v>
      </c>
      <c r="F1807" s="252">
        <f t="shared" si="89"/>
        <v>47750</v>
      </c>
      <c r="G1807" s="252">
        <f t="shared" si="89"/>
        <v>54550</v>
      </c>
      <c r="H1807" s="252">
        <f t="shared" si="89"/>
        <v>61350</v>
      </c>
      <c r="I1807" s="252">
        <f t="shared" si="89"/>
        <v>68150</v>
      </c>
      <c r="J1807" s="252">
        <f t="shared" si="89"/>
        <v>73650</v>
      </c>
      <c r="K1807" s="252">
        <f t="shared" si="89"/>
        <v>79100</v>
      </c>
      <c r="L1807" s="252">
        <f t="shared" si="89"/>
        <v>84550</v>
      </c>
      <c r="M1807" s="252">
        <f t="shared" si="89"/>
        <v>90000</v>
      </c>
    </row>
    <row r="1808" spans="1:13" ht="21.95" customHeight="1" x14ac:dyDescent="0.25">
      <c r="A1808" s="36" t="s">
        <v>2904</v>
      </c>
      <c r="B1808" s="36" t="str">
        <f t="shared" si="88"/>
        <v>OK_ADAIR COUNTY, OK</v>
      </c>
      <c r="D1808" s="265" t="s">
        <v>27</v>
      </c>
      <c r="E1808" s="266" t="s">
        <v>4578</v>
      </c>
      <c r="F1808" s="252">
        <f t="shared" si="89"/>
        <v>41550</v>
      </c>
      <c r="G1808" s="252">
        <f t="shared" si="89"/>
        <v>47500</v>
      </c>
      <c r="H1808" s="252">
        <f t="shared" si="89"/>
        <v>53450</v>
      </c>
      <c r="I1808" s="252">
        <f t="shared" si="89"/>
        <v>59350</v>
      </c>
      <c r="J1808" s="252">
        <f t="shared" si="89"/>
        <v>64100</v>
      </c>
      <c r="K1808" s="252">
        <f t="shared" si="89"/>
        <v>68850</v>
      </c>
      <c r="L1808" s="252">
        <f t="shared" si="89"/>
        <v>73600</v>
      </c>
      <c r="M1808" s="252">
        <f t="shared" si="89"/>
        <v>78350</v>
      </c>
    </row>
    <row r="1809" spans="1:13" ht="21.95" customHeight="1" x14ac:dyDescent="0.25">
      <c r="A1809" s="36" t="s">
        <v>2904</v>
      </c>
      <c r="B1809" s="36" t="str">
        <f t="shared" si="88"/>
        <v>OK_ALFALFA COUNTY, OK</v>
      </c>
      <c r="D1809" s="265" t="s">
        <v>27</v>
      </c>
      <c r="E1809" s="266" t="s">
        <v>4579</v>
      </c>
      <c r="F1809" s="252">
        <f t="shared" si="89"/>
        <v>55950</v>
      </c>
      <c r="G1809" s="252">
        <f t="shared" si="89"/>
        <v>63950</v>
      </c>
      <c r="H1809" s="252">
        <f t="shared" si="89"/>
        <v>71950</v>
      </c>
      <c r="I1809" s="252">
        <f t="shared" si="89"/>
        <v>79900</v>
      </c>
      <c r="J1809" s="252">
        <f t="shared" si="89"/>
        <v>86300</v>
      </c>
      <c r="K1809" s="252">
        <f t="shared" si="89"/>
        <v>92700</v>
      </c>
      <c r="L1809" s="252">
        <f t="shared" si="89"/>
        <v>99100</v>
      </c>
      <c r="M1809" s="252">
        <f t="shared" si="89"/>
        <v>105500</v>
      </c>
    </row>
    <row r="1810" spans="1:13" ht="21.95" customHeight="1" x14ac:dyDescent="0.25">
      <c r="A1810" s="36" t="s">
        <v>2904</v>
      </c>
      <c r="B1810" s="36" t="str">
        <f t="shared" si="88"/>
        <v>OK_ATOKA COUNTY, OK</v>
      </c>
      <c r="D1810" s="265" t="s">
        <v>27</v>
      </c>
      <c r="E1810" s="266" t="s">
        <v>4580</v>
      </c>
      <c r="F1810" s="252">
        <f t="shared" si="89"/>
        <v>41550</v>
      </c>
      <c r="G1810" s="252">
        <f t="shared" si="89"/>
        <v>47500</v>
      </c>
      <c r="H1810" s="252">
        <f t="shared" si="89"/>
        <v>53450</v>
      </c>
      <c r="I1810" s="252">
        <f t="shared" si="89"/>
        <v>59350</v>
      </c>
      <c r="J1810" s="252">
        <f t="shared" si="89"/>
        <v>64100</v>
      </c>
      <c r="K1810" s="252">
        <f t="shared" si="89"/>
        <v>68850</v>
      </c>
      <c r="L1810" s="252">
        <f t="shared" si="89"/>
        <v>73600</v>
      </c>
      <c r="M1810" s="252">
        <f t="shared" si="89"/>
        <v>78350</v>
      </c>
    </row>
    <row r="1811" spans="1:13" ht="21.95" customHeight="1" x14ac:dyDescent="0.25">
      <c r="A1811" s="36" t="s">
        <v>2904</v>
      </c>
      <c r="B1811" s="36" t="str">
        <f t="shared" si="88"/>
        <v>OK_BEAVER COUNTY, OK</v>
      </c>
      <c r="D1811" s="265" t="s">
        <v>27</v>
      </c>
      <c r="E1811" s="266" t="s">
        <v>4581</v>
      </c>
      <c r="F1811" s="252">
        <f t="shared" si="89"/>
        <v>44250</v>
      </c>
      <c r="G1811" s="252">
        <f t="shared" si="89"/>
        <v>50600</v>
      </c>
      <c r="H1811" s="252">
        <f t="shared" si="89"/>
        <v>56900</v>
      </c>
      <c r="I1811" s="252">
        <f t="shared" si="89"/>
        <v>63200</v>
      </c>
      <c r="J1811" s="252">
        <f t="shared" si="89"/>
        <v>68300</v>
      </c>
      <c r="K1811" s="252">
        <f t="shared" si="89"/>
        <v>73350</v>
      </c>
      <c r="L1811" s="252">
        <f t="shared" si="89"/>
        <v>78400</v>
      </c>
      <c r="M1811" s="252">
        <f t="shared" si="89"/>
        <v>83450</v>
      </c>
    </row>
    <row r="1812" spans="1:13" ht="21.95" customHeight="1" x14ac:dyDescent="0.25">
      <c r="A1812" s="36" t="s">
        <v>2904</v>
      </c>
      <c r="B1812" s="36" t="str">
        <f t="shared" si="88"/>
        <v>OK_BECKHAM COUNTY, OK</v>
      </c>
      <c r="D1812" s="265" t="s">
        <v>27</v>
      </c>
      <c r="E1812" s="266" t="s">
        <v>4582</v>
      </c>
      <c r="F1812" s="252">
        <f t="shared" si="89"/>
        <v>44950</v>
      </c>
      <c r="G1812" s="252">
        <f t="shared" si="89"/>
        <v>51350</v>
      </c>
      <c r="H1812" s="252">
        <f t="shared" si="89"/>
        <v>57750</v>
      </c>
      <c r="I1812" s="252">
        <f t="shared" si="89"/>
        <v>64150</v>
      </c>
      <c r="J1812" s="252">
        <f t="shared" si="89"/>
        <v>69300</v>
      </c>
      <c r="K1812" s="252">
        <f t="shared" si="89"/>
        <v>74450</v>
      </c>
      <c r="L1812" s="252">
        <f t="shared" si="89"/>
        <v>79550</v>
      </c>
      <c r="M1812" s="252">
        <f t="shared" si="89"/>
        <v>84700</v>
      </c>
    </row>
    <row r="1813" spans="1:13" ht="21.95" customHeight="1" x14ac:dyDescent="0.25">
      <c r="A1813" s="36" t="s">
        <v>2904</v>
      </c>
      <c r="B1813" s="36" t="str">
        <f t="shared" si="88"/>
        <v>OK_BLAINE COUNTY, OK</v>
      </c>
      <c r="D1813" s="265" t="s">
        <v>27</v>
      </c>
      <c r="E1813" s="266" t="s">
        <v>4583</v>
      </c>
      <c r="F1813" s="252">
        <f t="shared" si="89"/>
        <v>43900</v>
      </c>
      <c r="G1813" s="252">
        <f t="shared" si="89"/>
        <v>50150</v>
      </c>
      <c r="H1813" s="252">
        <f t="shared" si="89"/>
        <v>56400</v>
      </c>
      <c r="I1813" s="252">
        <f t="shared" si="89"/>
        <v>62650</v>
      </c>
      <c r="J1813" s="252">
        <f t="shared" si="89"/>
        <v>67700</v>
      </c>
      <c r="K1813" s="252">
        <f t="shared" si="89"/>
        <v>72700</v>
      </c>
      <c r="L1813" s="252">
        <f t="shared" si="89"/>
        <v>77700</v>
      </c>
      <c r="M1813" s="252">
        <f t="shared" si="89"/>
        <v>82700</v>
      </c>
    </row>
    <row r="1814" spans="1:13" ht="21.95" customHeight="1" x14ac:dyDescent="0.25">
      <c r="A1814" s="36" t="s">
        <v>2904</v>
      </c>
      <c r="B1814" s="36" t="str">
        <f t="shared" si="88"/>
        <v>OK_BRYAN COUNTY, OK</v>
      </c>
      <c r="D1814" s="265" t="s">
        <v>27</v>
      </c>
      <c r="E1814" s="266" t="s">
        <v>4584</v>
      </c>
      <c r="F1814" s="252">
        <f t="shared" si="89"/>
        <v>41550</v>
      </c>
      <c r="G1814" s="252">
        <f t="shared" si="89"/>
        <v>47500</v>
      </c>
      <c r="H1814" s="252">
        <f t="shared" si="89"/>
        <v>53450</v>
      </c>
      <c r="I1814" s="252">
        <f t="shared" si="89"/>
        <v>59350</v>
      </c>
      <c r="J1814" s="252">
        <f t="shared" si="89"/>
        <v>64100</v>
      </c>
      <c r="K1814" s="252">
        <f t="shared" si="89"/>
        <v>68850</v>
      </c>
      <c r="L1814" s="252">
        <f t="shared" si="89"/>
        <v>73600</v>
      </c>
      <c r="M1814" s="252">
        <f t="shared" si="89"/>
        <v>78350</v>
      </c>
    </row>
    <row r="1815" spans="1:13" ht="21.95" customHeight="1" x14ac:dyDescent="0.25">
      <c r="A1815" s="36" t="s">
        <v>2904</v>
      </c>
      <c r="B1815" s="36" t="str">
        <f t="shared" si="88"/>
        <v>OK_CADDO COUNTY, OK</v>
      </c>
      <c r="D1815" s="265" t="s">
        <v>27</v>
      </c>
      <c r="E1815" s="266" t="s">
        <v>4585</v>
      </c>
      <c r="F1815" s="252">
        <f t="shared" si="89"/>
        <v>41550</v>
      </c>
      <c r="G1815" s="252">
        <f t="shared" si="89"/>
        <v>47500</v>
      </c>
      <c r="H1815" s="252">
        <f t="shared" si="89"/>
        <v>53450</v>
      </c>
      <c r="I1815" s="252">
        <f t="shared" si="89"/>
        <v>59350</v>
      </c>
      <c r="J1815" s="252">
        <f t="shared" si="89"/>
        <v>64100</v>
      </c>
      <c r="K1815" s="252">
        <f t="shared" si="89"/>
        <v>68850</v>
      </c>
      <c r="L1815" s="252">
        <f t="shared" si="89"/>
        <v>73600</v>
      </c>
      <c r="M1815" s="252">
        <f t="shared" si="89"/>
        <v>78350</v>
      </c>
    </row>
    <row r="1816" spans="1:13" ht="21.95" customHeight="1" x14ac:dyDescent="0.25">
      <c r="A1816" s="36" t="s">
        <v>2904</v>
      </c>
      <c r="B1816" s="36" t="str">
        <f t="shared" si="88"/>
        <v>OK_CARTER COUNTY, OK</v>
      </c>
      <c r="D1816" s="265" t="s">
        <v>27</v>
      </c>
      <c r="E1816" s="266" t="s">
        <v>4586</v>
      </c>
      <c r="F1816" s="252">
        <f t="shared" si="89"/>
        <v>45750</v>
      </c>
      <c r="G1816" s="252">
        <f t="shared" si="89"/>
        <v>52250</v>
      </c>
      <c r="H1816" s="252">
        <f t="shared" si="89"/>
        <v>58800</v>
      </c>
      <c r="I1816" s="252">
        <f t="shared" si="89"/>
        <v>65300</v>
      </c>
      <c r="J1816" s="252">
        <f t="shared" si="89"/>
        <v>70550</v>
      </c>
      <c r="K1816" s="252">
        <f t="shared" si="89"/>
        <v>75750</v>
      </c>
      <c r="L1816" s="252">
        <f t="shared" si="89"/>
        <v>81000</v>
      </c>
      <c r="M1816" s="252">
        <f t="shared" si="89"/>
        <v>86200</v>
      </c>
    </row>
    <row r="1817" spans="1:13" ht="21.95" customHeight="1" x14ac:dyDescent="0.25">
      <c r="A1817" s="36" t="s">
        <v>2904</v>
      </c>
      <c r="B1817" s="36" t="str">
        <f t="shared" si="88"/>
        <v>OK_CHEROKEE COUNTY, OK</v>
      </c>
      <c r="D1817" s="265" t="s">
        <v>27</v>
      </c>
      <c r="E1817" s="266" t="s">
        <v>4587</v>
      </c>
      <c r="F1817" s="252">
        <f t="shared" si="89"/>
        <v>41550</v>
      </c>
      <c r="G1817" s="252">
        <f t="shared" si="89"/>
        <v>47500</v>
      </c>
      <c r="H1817" s="252">
        <f t="shared" si="89"/>
        <v>53450</v>
      </c>
      <c r="I1817" s="252">
        <f t="shared" si="89"/>
        <v>59350</v>
      </c>
      <c r="J1817" s="252">
        <f t="shared" si="89"/>
        <v>64100</v>
      </c>
      <c r="K1817" s="252">
        <f t="shared" si="89"/>
        <v>68850</v>
      </c>
      <c r="L1817" s="252">
        <f t="shared" si="89"/>
        <v>73600</v>
      </c>
      <c r="M1817" s="252">
        <f t="shared" si="89"/>
        <v>78350</v>
      </c>
    </row>
    <row r="1818" spans="1:13" ht="21.95" customHeight="1" x14ac:dyDescent="0.25">
      <c r="A1818" s="36" t="s">
        <v>2904</v>
      </c>
      <c r="B1818" s="36" t="str">
        <f t="shared" si="88"/>
        <v>OK_CHOCTAW COUNTY, OK</v>
      </c>
      <c r="D1818" s="265" t="s">
        <v>27</v>
      </c>
      <c r="E1818" s="266" t="s">
        <v>4588</v>
      </c>
      <c r="F1818" s="252">
        <f t="shared" si="89"/>
        <v>41550</v>
      </c>
      <c r="G1818" s="252">
        <f t="shared" si="89"/>
        <v>47500</v>
      </c>
      <c r="H1818" s="252">
        <f t="shared" si="89"/>
        <v>53450</v>
      </c>
      <c r="I1818" s="252">
        <f t="shared" si="89"/>
        <v>59350</v>
      </c>
      <c r="J1818" s="252">
        <f t="shared" si="89"/>
        <v>64100</v>
      </c>
      <c r="K1818" s="252">
        <f t="shared" si="89"/>
        <v>68850</v>
      </c>
      <c r="L1818" s="252">
        <f t="shared" si="89"/>
        <v>73600</v>
      </c>
      <c r="M1818" s="252">
        <f t="shared" si="89"/>
        <v>78350</v>
      </c>
    </row>
    <row r="1819" spans="1:13" ht="21.95" customHeight="1" x14ac:dyDescent="0.25">
      <c r="A1819" s="36" t="s">
        <v>2904</v>
      </c>
      <c r="B1819" s="36" t="str">
        <f t="shared" si="88"/>
        <v>OK_CIMARRON COUNTY, OK</v>
      </c>
      <c r="D1819" s="265" t="s">
        <v>27</v>
      </c>
      <c r="E1819" s="266" t="s">
        <v>4589</v>
      </c>
      <c r="F1819" s="252">
        <f t="shared" si="89"/>
        <v>45750</v>
      </c>
      <c r="G1819" s="252">
        <f t="shared" si="89"/>
        <v>52300</v>
      </c>
      <c r="H1819" s="252">
        <f t="shared" si="89"/>
        <v>58850</v>
      </c>
      <c r="I1819" s="252">
        <f t="shared" si="89"/>
        <v>65350</v>
      </c>
      <c r="J1819" s="252">
        <f t="shared" si="89"/>
        <v>70600</v>
      </c>
      <c r="K1819" s="252">
        <f t="shared" si="89"/>
        <v>75850</v>
      </c>
      <c r="L1819" s="252">
        <f t="shared" si="89"/>
        <v>81050</v>
      </c>
      <c r="M1819" s="252">
        <f t="shared" si="89"/>
        <v>86300</v>
      </c>
    </row>
    <row r="1820" spans="1:13" ht="21.95" customHeight="1" x14ac:dyDescent="0.25">
      <c r="A1820" s="36" t="s">
        <v>2904</v>
      </c>
      <c r="B1820" s="36" t="str">
        <f t="shared" si="88"/>
        <v>OK_COAL COUNTY, OK</v>
      </c>
      <c r="D1820" s="265" t="s">
        <v>27</v>
      </c>
      <c r="E1820" s="266" t="s">
        <v>4590</v>
      </c>
      <c r="F1820" s="252">
        <f t="shared" si="89"/>
        <v>41550</v>
      </c>
      <c r="G1820" s="252">
        <f t="shared" si="89"/>
        <v>47500</v>
      </c>
      <c r="H1820" s="252">
        <f t="shared" si="89"/>
        <v>53450</v>
      </c>
      <c r="I1820" s="252">
        <f t="shared" si="89"/>
        <v>59350</v>
      </c>
      <c r="J1820" s="252">
        <f t="shared" si="89"/>
        <v>64100</v>
      </c>
      <c r="K1820" s="252">
        <f t="shared" si="89"/>
        <v>68850</v>
      </c>
      <c r="L1820" s="252">
        <f t="shared" si="89"/>
        <v>73600</v>
      </c>
      <c r="M1820" s="252">
        <f t="shared" si="89"/>
        <v>78350</v>
      </c>
    </row>
    <row r="1821" spans="1:13" ht="21.95" customHeight="1" x14ac:dyDescent="0.25">
      <c r="A1821" s="36" t="s">
        <v>2904</v>
      </c>
      <c r="B1821" s="36" t="str">
        <f t="shared" si="88"/>
        <v>OK_COTTON COUNTY, OK HUD METRO FMR AREA</v>
      </c>
      <c r="D1821" s="265" t="s">
        <v>27</v>
      </c>
      <c r="E1821" s="266" t="s">
        <v>4591</v>
      </c>
      <c r="F1821" s="252">
        <f t="shared" si="89"/>
        <v>46550</v>
      </c>
      <c r="G1821" s="252">
        <f t="shared" si="89"/>
        <v>53200</v>
      </c>
      <c r="H1821" s="252">
        <f t="shared" si="89"/>
        <v>59850</v>
      </c>
      <c r="I1821" s="252">
        <f t="shared" si="89"/>
        <v>66450</v>
      </c>
      <c r="J1821" s="252">
        <f t="shared" si="89"/>
        <v>71800</v>
      </c>
      <c r="K1821" s="252">
        <f t="shared" si="89"/>
        <v>77100</v>
      </c>
      <c r="L1821" s="252">
        <f t="shared" si="89"/>
        <v>82400</v>
      </c>
      <c r="M1821" s="252">
        <f t="shared" si="89"/>
        <v>87750</v>
      </c>
    </row>
    <row r="1822" spans="1:13" ht="21.95" customHeight="1" x14ac:dyDescent="0.25">
      <c r="A1822" s="36" t="s">
        <v>2904</v>
      </c>
      <c r="B1822" s="36" t="str">
        <f t="shared" si="88"/>
        <v>OK_CRAIG COUNTY, OK</v>
      </c>
      <c r="D1822" s="265" t="s">
        <v>27</v>
      </c>
      <c r="E1822" s="266" t="s">
        <v>4592</v>
      </c>
      <c r="F1822" s="252">
        <f t="shared" si="89"/>
        <v>41550</v>
      </c>
      <c r="G1822" s="252">
        <f t="shared" si="89"/>
        <v>47500</v>
      </c>
      <c r="H1822" s="252">
        <f t="shared" si="89"/>
        <v>53450</v>
      </c>
      <c r="I1822" s="252">
        <f t="shared" si="89"/>
        <v>59350</v>
      </c>
      <c r="J1822" s="252">
        <f t="shared" si="89"/>
        <v>64100</v>
      </c>
      <c r="K1822" s="252">
        <f t="shared" si="89"/>
        <v>68850</v>
      </c>
      <c r="L1822" s="252">
        <f t="shared" si="89"/>
        <v>73600</v>
      </c>
      <c r="M1822" s="252">
        <f t="shared" si="89"/>
        <v>78350</v>
      </c>
    </row>
    <row r="1823" spans="1:13" ht="21.95" customHeight="1" x14ac:dyDescent="0.25">
      <c r="A1823" s="36" t="s">
        <v>2904</v>
      </c>
      <c r="B1823" s="36" t="str">
        <f t="shared" si="88"/>
        <v>OK_CUSTER COUNTY, OK</v>
      </c>
      <c r="D1823" s="265" t="s">
        <v>27</v>
      </c>
      <c r="E1823" s="266" t="s">
        <v>4593</v>
      </c>
      <c r="F1823" s="252">
        <f t="shared" si="89"/>
        <v>46700</v>
      </c>
      <c r="G1823" s="252">
        <f t="shared" si="89"/>
        <v>53350</v>
      </c>
      <c r="H1823" s="252">
        <f t="shared" si="89"/>
        <v>60000</v>
      </c>
      <c r="I1823" s="252">
        <f t="shared" si="89"/>
        <v>66650</v>
      </c>
      <c r="J1823" s="252">
        <f t="shared" si="89"/>
        <v>72000</v>
      </c>
      <c r="K1823" s="252">
        <f t="shared" si="89"/>
        <v>77350</v>
      </c>
      <c r="L1823" s="252">
        <f t="shared" si="89"/>
        <v>82650</v>
      </c>
      <c r="M1823" s="252">
        <f t="shared" si="89"/>
        <v>88000</v>
      </c>
    </row>
    <row r="1824" spans="1:13" ht="21.95" customHeight="1" x14ac:dyDescent="0.25">
      <c r="A1824" s="36" t="s">
        <v>2904</v>
      </c>
      <c r="B1824" s="36" t="str">
        <f t="shared" si="88"/>
        <v>OK_DELAWARE COUNTY, OK</v>
      </c>
      <c r="D1824" s="265" t="s">
        <v>27</v>
      </c>
      <c r="E1824" s="266" t="s">
        <v>4594</v>
      </c>
      <c r="F1824" s="252">
        <f t="shared" si="89"/>
        <v>41850</v>
      </c>
      <c r="G1824" s="252">
        <f t="shared" si="89"/>
        <v>47800</v>
      </c>
      <c r="H1824" s="252">
        <f t="shared" si="89"/>
        <v>53800</v>
      </c>
      <c r="I1824" s="252">
        <f t="shared" si="89"/>
        <v>59750</v>
      </c>
      <c r="J1824" s="252">
        <f t="shared" si="89"/>
        <v>64550</v>
      </c>
      <c r="K1824" s="252">
        <f t="shared" si="89"/>
        <v>69350</v>
      </c>
      <c r="L1824" s="252">
        <f t="shared" si="89"/>
        <v>74100</v>
      </c>
      <c r="M1824" s="252">
        <f t="shared" si="89"/>
        <v>78900</v>
      </c>
    </row>
    <row r="1825" spans="1:13" ht="21.95" customHeight="1" x14ac:dyDescent="0.25">
      <c r="A1825" s="36" t="s">
        <v>2904</v>
      </c>
      <c r="B1825" s="36" t="str">
        <f t="shared" si="88"/>
        <v>OK_DEWEY COUNTY, OK</v>
      </c>
      <c r="D1825" s="265" t="s">
        <v>27</v>
      </c>
      <c r="E1825" s="266" t="s">
        <v>4595</v>
      </c>
      <c r="F1825" s="252">
        <f t="shared" si="89"/>
        <v>43300</v>
      </c>
      <c r="G1825" s="252">
        <f t="shared" si="89"/>
        <v>49500</v>
      </c>
      <c r="H1825" s="252">
        <f t="shared" si="89"/>
        <v>55700</v>
      </c>
      <c r="I1825" s="252">
        <f t="shared" si="89"/>
        <v>61850</v>
      </c>
      <c r="J1825" s="252">
        <f t="shared" si="89"/>
        <v>66800</v>
      </c>
      <c r="K1825" s="252">
        <f t="shared" si="89"/>
        <v>71750</v>
      </c>
      <c r="L1825" s="252">
        <f t="shared" si="89"/>
        <v>76700</v>
      </c>
      <c r="M1825" s="252">
        <f t="shared" si="89"/>
        <v>81650</v>
      </c>
    </row>
    <row r="1826" spans="1:13" ht="21.95" customHeight="1" x14ac:dyDescent="0.25">
      <c r="A1826" s="36" t="s">
        <v>2904</v>
      </c>
      <c r="B1826" s="36" t="str">
        <f t="shared" si="88"/>
        <v>OK_ELLIS COUNTY, OK</v>
      </c>
      <c r="D1826" s="265" t="s">
        <v>27</v>
      </c>
      <c r="E1826" s="266" t="s">
        <v>4596</v>
      </c>
      <c r="F1826" s="252">
        <f t="shared" si="89"/>
        <v>43400</v>
      </c>
      <c r="G1826" s="252">
        <f t="shared" si="89"/>
        <v>49600</v>
      </c>
      <c r="H1826" s="252">
        <f t="shared" si="89"/>
        <v>55800</v>
      </c>
      <c r="I1826" s="252">
        <f t="shared" si="89"/>
        <v>62000</v>
      </c>
      <c r="J1826" s="252">
        <f t="shared" si="89"/>
        <v>67000</v>
      </c>
      <c r="K1826" s="252">
        <f t="shared" si="89"/>
        <v>71950</v>
      </c>
      <c r="L1826" s="252">
        <f t="shared" si="89"/>
        <v>76900</v>
      </c>
      <c r="M1826" s="252">
        <f t="shared" si="89"/>
        <v>81850</v>
      </c>
    </row>
    <row r="1827" spans="1:13" ht="21.95" customHeight="1" x14ac:dyDescent="0.25">
      <c r="A1827" s="36" t="s">
        <v>2904</v>
      </c>
      <c r="B1827" s="36" t="str">
        <f t="shared" si="88"/>
        <v>OK_ENID, OK MSA</v>
      </c>
      <c r="D1827" s="265" t="s">
        <v>27</v>
      </c>
      <c r="E1827" s="266" t="s">
        <v>4597</v>
      </c>
      <c r="F1827" s="252">
        <f t="shared" si="89"/>
        <v>49950</v>
      </c>
      <c r="G1827" s="252">
        <f t="shared" ref="F1827:M1858" si="90">VLOOKUP($B1827,LOOKUP_AMI_TABLE,5+((G$7-1)),FALSE)</f>
        <v>57100</v>
      </c>
      <c r="H1827" s="252">
        <f t="shared" si="90"/>
        <v>64250</v>
      </c>
      <c r="I1827" s="252">
        <f t="shared" si="90"/>
        <v>71350</v>
      </c>
      <c r="J1827" s="252">
        <f t="shared" si="90"/>
        <v>77100</v>
      </c>
      <c r="K1827" s="252">
        <f t="shared" si="90"/>
        <v>82800</v>
      </c>
      <c r="L1827" s="252">
        <f t="shared" si="90"/>
        <v>88500</v>
      </c>
      <c r="M1827" s="252">
        <f t="shared" si="90"/>
        <v>94200</v>
      </c>
    </row>
    <row r="1828" spans="1:13" ht="21.95" customHeight="1" x14ac:dyDescent="0.25">
      <c r="A1828" s="36" t="s">
        <v>2904</v>
      </c>
      <c r="B1828" s="36" t="str">
        <f t="shared" si="88"/>
        <v>OK_FORT SMITH, AR-OK MSA</v>
      </c>
      <c r="D1828" s="265" t="s">
        <v>27</v>
      </c>
      <c r="E1828" s="266" t="s">
        <v>9088</v>
      </c>
      <c r="F1828" s="252">
        <f t="shared" si="90"/>
        <v>40700</v>
      </c>
      <c r="G1828" s="252">
        <f t="shared" si="90"/>
        <v>46500</v>
      </c>
      <c r="H1828" s="252">
        <f t="shared" si="90"/>
        <v>52300</v>
      </c>
      <c r="I1828" s="252">
        <f t="shared" si="90"/>
        <v>58100</v>
      </c>
      <c r="J1828" s="252">
        <f t="shared" si="90"/>
        <v>62750</v>
      </c>
      <c r="K1828" s="252">
        <f t="shared" si="90"/>
        <v>67400</v>
      </c>
      <c r="L1828" s="252">
        <f t="shared" si="90"/>
        <v>72050</v>
      </c>
      <c r="M1828" s="252">
        <f t="shared" si="90"/>
        <v>76700</v>
      </c>
    </row>
    <row r="1829" spans="1:13" ht="21.95" customHeight="1" x14ac:dyDescent="0.25">
      <c r="A1829" s="36" t="s">
        <v>2904</v>
      </c>
      <c r="B1829" s="36" t="str">
        <f t="shared" si="88"/>
        <v>OK_GARVIN COUNTY, OK</v>
      </c>
      <c r="D1829" s="265" t="s">
        <v>27</v>
      </c>
      <c r="E1829" s="266" t="s">
        <v>4598</v>
      </c>
      <c r="F1829" s="252">
        <f t="shared" si="90"/>
        <v>42200</v>
      </c>
      <c r="G1829" s="252">
        <f t="shared" si="90"/>
        <v>48200</v>
      </c>
      <c r="H1829" s="252">
        <f t="shared" si="90"/>
        <v>54250</v>
      </c>
      <c r="I1829" s="252">
        <f t="shared" si="90"/>
        <v>60250</v>
      </c>
      <c r="J1829" s="252">
        <f t="shared" si="90"/>
        <v>65100</v>
      </c>
      <c r="K1829" s="252">
        <f t="shared" si="90"/>
        <v>69900</v>
      </c>
      <c r="L1829" s="252">
        <f t="shared" si="90"/>
        <v>74750</v>
      </c>
      <c r="M1829" s="252">
        <f t="shared" si="90"/>
        <v>79550</v>
      </c>
    </row>
    <row r="1830" spans="1:13" ht="21.95" customHeight="1" x14ac:dyDescent="0.25">
      <c r="A1830" s="36" t="s">
        <v>2904</v>
      </c>
      <c r="B1830" s="36" t="str">
        <f t="shared" si="88"/>
        <v>OK_GRADY COUNTY, OK HUD METRO FMR AREA</v>
      </c>
      <c r="D1830" s="265" t="s">
        <v>27</v>
      </c>
      <c r="E1830" s="266" t="s">
        <v>4599</v>
      </c>
      <c r="F1830" s="252">
        <f t="shared" si="90"/>
        <v>54250</v>
      </c>
      <c r="G1830" s="252">
        <f t="shared" si="90"/>
        <v>62000</v>
      </c>
      <c r="H1830" s="252">
        <f t="shared" si="90"/>
        <v>69750</v>
      </c>
      <c r="I1830" s="252">
        <f t="shared" si="90"/>
        <v>77450</v>
      </c>
      <c r="J1830" s="252">
        <f t="shared" si="90"/>
        <v>83650</v>
      </c>
      <c r="K1830" s="252">
        <f t="shared" si="90"/>
        <v>89850</v>
      </c>
      <c r="L1830" s="252">
        <f t="shared" si="90"/>
        <v>96050</v>
      </c>
      <c r="M1830" s="252">
        <f t="shared" si="90"/>
        <v>102250</v>
      </c>
    </row>
    <row r="1831" spans="1:13" ht="21.95" customHeight="1" x14ac:dyDescent="0.25">
      <c r="A1831" s="36" t="s">
        <v>2904</v>
      </c>
      <c r="B1831" s="36" t="str">
        <f t="shared" si="88"/>
        <v>OK_GRANT COUNTY, OK</v>
      </c>
      <c r="D1831" s="265" t="s">
        <v>27</v>
      </c>
      <c r="E1831" s="266" t="s">
        <v>4600</v>
      </c>
      <c r="F1831" s="252">
        <f t="shared" si="90"/>
        <v>49250</v>
      </c>
      <c r="G1831" s="252">
        <f t="shared" si="90"/>
        <v>56250</v>
      </c>
      <c r="H1831" s="252">
        <f t="shared" si="90"/>
        <v>63300</v>
      </c>
      <c r="I1831" s="252">
        <f t="shared" si="90"/>
        <v>70300</v>
      </c>
      <c r="J1831" s="252">
        <f t="shared" si="90"/>
        <v>75950</v>
      </c>
      <c r="K1831" s="252">
        <f t="shared" si="90"/>
        <v>81550</v>
      </c>
      <c r="L1831" s="252">
        <f t="shared" si="90"/>
        <v>87200</v>
      </c>
      <c r="M1831" s="252">
        <f t="shared" si="90"/>
        <v>92800</v>
      </c>
    </row>
    <row r="1832" spans="1:13" ht="21.95" customHeight="1" x14ac:dyDescent="0.25">
      <c r="A1832" s="36" t="s">
        <v>2904</v>
      </c>
      <c r="B1832" s="36" t="str">
        <f t="shared" si="88"/>
        <v>OK_GREER COUNTY, OK</v>
      </c>
      <c r="D1832" s="265" t="s">
        <v>27</v>
      </c>
      <c r="E1832" s="266" t="s">
        <v>4601</v>
      </c>
      <c r="F1832" s="252">
        <f t="shared" si="90"/>
        <v>42200</v>
      </c>
      <c r="G1832" s="252">
        <f t="shared" si="90"/>
        <v>48200</v>
      </c>
      <c r="H1832" s="252">
        <f t="shared" si="90"/>
        <v>54250</v>
      </c>
      <c r="I1832" s="252">
        <f t="shared" si="90"/>
        <v>60250</v>
      </c>
      <c r="J1832" s="252">
        <f t="shared" si="90"/>
        <v>65100</v>
      </c>
      <c r="K1832" s="252">
        <f t="shared" si="90"/>
        <v>69900</v>
      </c>
      <c r="L1832" s="252">
        <f t="shared" si="90"/>
        <v>74750</v>
      </c>
      <c r="M1832" s="252">
        <f t="shared" si="90"/>
        <v>79550</v>
      </c>
    </row>
    <row r="1833" spans="1:13" ht="21.95" customHeight="1" x14ac:dyDescent="0.25">
      <c r="A1833" s="36" t="s">
        <v>2904</v>
      </c>
      <c r="B1833" s="36" t="str">
        <f t="shared" si="88"/>
        <v>OK_HARMON COUNTY, OK</v>
      </c>
      <c r="D1833" s="265" t="s">
        <v>27</v>
      </c>
      <c r="E1833" s="266" t="s">
        <v>4602</v>
      </c>
      <c r="F1833" s="252">
        <f t="shared" si="90"/>
        <v>41550</v>
      </c>
      <c r="G1833" s="252">
        <f t="shared" si="90"/>
        <v>47500</v>
      </c>
      <c r="H1833" s="252">
        <f t="shared" si="90"/>
        <v>53450</v>
      </c>
      <c r="I1833" s="252">
        <f t="shared" si="90"/>
        <v>59350</v>
      </c>
      <c r="J1833" s="252">
        <f t="shared" si="90"/>
        <v>64100</v>
      </c>
      <c r="K1833" s="252">
        <f t="shared" si="90"/>
        <v>68850</v>
      </c>
      <c r="L1833" s="252">
        <f t="shared" si="90"/>
        <v>73600</v>
      </c>
      <c r="M1833" s="252">
        <f t="shared" si="90"/>
        <v>78350</v>
      </c>
    </row>
    <row r="1834" spans="1:13" ht="21.95" customHeight="1" x14ac:dyDescent="0.25">
      <c r="A1834" s="36" t="s">
        <v>2904</v>
      </c>
      <c r="B1834" s="36" t="str">
        <f t="shared" si="88"/>
        <v>OK_HARPER COUNTY, OK</v>
      </c>
      <c r="D1834" s="265" t="s">
        <v>27</v>
      </c>
      <c r="E1834" s="266" t="s">
        <v>4603</v>
      </c>
      <c r="F1834" s="252">
        <f t="shared" si="90"/>
        <v>44450</v>
      </c>
      <c r="G1834" s="252">
        <f t="shared" si="90"/>
        <v>50800</v>
      </c>
      <c r="H1834" s="252">
        <f t="shared" si="90"/>
        <v>57150</v>
      </c>
      <c r="I1834" s="252">
        <f t="shared" si="90"/>
        <v>63500</v>
      </c>
      <c r="J1834" s="252">
        <f t="shared" si="90"/>
        <v>68600</v>
      </c>
      <c r="K1834" s="252">
        <f t="shared" si="90"/>
        <v>73700</v>
      </c>
      <c r="L1834" s="252">
        <f t="shared" si="90"/>
        <v>78750</v>
      </c>
      <c r="M1834" s="252">
        <f t="shared" si="90"/>
        <v>83850</v>
      </c>
    </row>
    <row r="1835" spans="1:13" ht="21.95" customHeight="1" x14ac:dyDescent="0.25">
      <c r="A1835" s="36" t="s">
        <v>2904</v>
      </c>
      <c r="B1835" s="36" t="str">
        <f t="shared" si="88"/>
        <v>OK_HASKELL COUNTY, OK</v>
      </c>
      <c r="D1835" s="265" t="s">
        <v>27</v>
      </c>
      <c r="E1835" s="266" t="s">
        <v>4604</v>
      </c>
      <c r="F1835" s="252">
        <f t="shared" si="90"/>
        <v>41550</v>
      </c>
      <c r="G1835" s="252">
        <f t="shared" si="90"/>
        <v>47500</v>
      </c>
      <c r="H1835" s="252">
        <f t="shared" si="90"/>
        <v>53450</v>
      </c>
      <c r="I1835" s="252">
        <f t="shared" si="90"/>
        <v>59350</v>
      </c>
      <c r="J1835" s="252">
        <f t="shared" si="90"/>
        <v>64100</v>
      </c>
      <c r="K1835" s="252">
        <f t="shared" si="90"/>
        <v>68850</v>
      </c>
      <c r="L1835" s="252">
        <f t="shared" si="90"/>
        <v>73600</v>
      </c>
      <c r="M1835" s="252">
        <f t="shared" si="90"/>
        <v>78350</v>
      </c>
    </row>
    <row r="1836" spans="1:13" ht="21.95" customHeight="1" x14ac:dyDescent="0.25">
      <c r="A1836" s="36" t="s">
        <v>2904</v>
      </c>
      <c r="B1836" s="36" t="str">
        <f t="shared" si="88"/>
        <v>OK_HUGHES COUNTY, OK</v>
      </c>
      <c r="D1836" s="265" t="s">
        <v>27</v>
      </c>
      <c r="E1836" s="266" t="s">
        <v>4605</v>
      </c>
      <c r="F1836" s="252">
        <f t="shared" si="90"/>
        <v>41550</v>
      </c>
      <c r="G1836" s="252">
        <f t="shared" si="90"/>
        <v>47500</v>
      </c>
      <c r="H1836" s="252">
        <f t="shared" si="90"/>
        <v>53450</v>
      </c>
      <c r="I1836" s="252">
        <f t="shared" si="90"/>
        <v>59350</v>
      </c>
      <c r="J1836" s="252">
        <f t="shared" si="90"/>
        <v>64100</v>
      </c>
      <c r="K1836" s="252">
        <f t="shared" si="90"/>
        <v>68850</v>
      </c>
      <c r="L1836" s="252">
        <f t="shared" si="90"/>
        <v>73600</v>
      </c>
      <c r="M1836" s="252">
        <f t="shared" si="90"/>
        <v>78350</v>
      </c>
    </row>
    <row r="1837" spans="1:13" ht="21.95" customHeight="1" x14ac:dyDescent="0.25">
      <c r="A1837" s="36" t="s">
        <v>2904</v>
      </c>
      <c r="B1837" s="36" t="str">
        <f t="shared" si="88"/>
        <v>OK_JACKSON COUNTY, OK</v>
      </c>
      <c r="D1837" s="265" t="s">
        <v>27</v>
      </c>
      <c r="E1837" s="266" t="s">
        <v>4606</v>
      </c>
      <c r="F1837" s="252">
        <f t="shared" si="90"/>
        <v>47250</v>
      </c>
      <c r="G1837" s="252">
        <f t="shared" si="90"/>
        <v>54000</v>
      </c>
      <c r="H1837" s="252">
        <f t="shared" si="90"/>
        <v>60750</v>
      </c>
      <c r="I1837" s="252">
        <f t="shared" si="90"/>
        <v>67450</v>
      </c>
      <c r="J1837" s="252">
        <f t="shared" si="90"/>
        <v>72850</v>
      </c>
      <c r="K1837" s="252">
        <f t="shared" si="90"/>
        <v>78250</v>
      </c>
      <c r="L1837" s="252">
        <f t="shared" si="90"/>
        <v>83650</v>
      </c>
      <c r="M1837" s="252">
        <f t="shared" si="90"/>
        <v>89050</v>
      </c>
    </row>
    <row r="1838" spans="1:13" ht="21.95" customHeight="1" x14ac:dyDescent="0.25">
      <c r="A1838" s="36" t="s">
        <v>2904</v>
      </c>
      <c r="B1838" s="36" t="str">
        <f t="shared" si="88"/>
        <v>OK_JEFFERSON COUNTY, OK</v>
      </c>
      <c r="D1838" s="265" t="s">
        <v>27</v>
      </c>
      <c r="E1838" s="266" t="s">
        <v>4607</v>
      </c>
      <c r="F1838" s="252">
        <f t="shared" si="90"/>
        <v>41550</v>
      </c>
      <c r="G1838" s="252">
        <f t="shared" si="90"/>
        <v>47500</v>
      </c>
      <c r="H1838" s="252">
        <f t="shared" si="90"/>
        <v>53450</v>
      </c>
      <c r="I1838" s="252">
        <f t="shared" si="90"/>
        <v>59350</v>
      </c>
      <c r="J1838" s="252">
        <f t="shared" si="90"/>
        <v>64100</v>
      </c>
      <c r="K1838" s="252">
        <f t="shared" si="90"/>
        <v>68850</v>
      </c>
      <c r="L1838" s="252">
        <f t="shared" si="90"/>
        <v>73600</v>
      </c>
      <c r="M1838" s="252">
        <f t="shared" si="90"/>
        <v>78350</v>
      </c>
    </row>
    <row r="1839" spans="1:13" ht="21.95" customHeight="1" x14ac:dyDescent="0.25">
      <c r="A1839" s="36" t="s">
        <v>2904</v>
      </c>
      <c r="B1839" s="36" t="str">
        <f t="shared" si="88"/>
        <v>OK_JOHNSTON COUNTY, OK</v>
      </c>
      <c r="D1839" s="265" t="s">
        <v>27</v>
      </c>
      <c r="E1839" s="266" t="s">
        <v>4608</v>
      </c>
      <c r="F1839" s="252">
        <f t="shared" si="90"/>
        <v>41550</v>
      </c>
      <c r="G1839" s="252">
        <f t="shared" si="90"/>
        <v>47500</v>
      </c>
      <c r="H1839" s="252">
        <f t="shared" si="90"/>
        <v>53450</v>
      </c>
      <c r="I1839" s="252">
        <f t="shared" si="90"/>
        <v>59350</v>
      </c>
      <c r="J1839" s="252">
        <f t="shared" si="90"/>
        <v>64100</v>
      </c>
      <c r="K1839" s="252">
        <f t="shared" si="90"/>
        <v>68850</v>
      </c>
      <c r="L1839" s="252">
        <f t="shared" si="90"/>
        <v>73600</v>
      </c>
      <c r="M1839" s="252">
        <f t="shared" si="90"/>
        <v>78350</v>
      </c>
    </row>
    <row r="1840" spans="1:13" ht="21.95" customHeight="1" x14ac:dyDescent="0.25">
      <c r="A1840" s="36" t="s">
        <v>2904</v>
      </c>
      <c r="B1840" s="36" t="str">
        <f t="shared" si="88"/>
        <v>OK_KAY COUNTY, OK</v>
      </c>
      <c r="D1840" s="265" t="s">
        <v>27</v>
      </c>
      <c r="E1840" s="266" t="s">
        <v>4609</v>
      </c>
      <c r="F1840" s="252">
        <f t="shared" si="90"/>
        <v>42300</v>
      </c>
      <c r="G1840" s="252">
        <f t="shared" si="90"/>
        <v>48350</v>
      </c>
      <c r="H1840" s="252">
        <f t="shared" si="90"/>
        <v>54400</v>
      </c>
      <c r="I1840" s="252">
        <f t="shared" si="90"/>
        <v>60400</v>
      </c>
      <c r="J1840" s="252">
        <f t="shared" si="90"/>
        <v>65250</v>
      </c>
      <c r="K1840" s="252">
        <f t="shared" si="90"/>
        <v>70100</v>
      </c>
      <c r="L1840" s="252">
        <f t="shared" si="90"/>
        <v>74900</v>
      </c>
      <c r="M1840" s="252">
        <f t="shared" si="90"/>
        <v>79750</v>
      </c>
    </row>
    <row r="1841" spans="1:13" ht="21.95" customHeight="1" x14ac:dyDescent="0.25">
      <c r="A1841" s="36" t="s">
        <v>2904</v>
      </c>
      <c r="B1841" s="36" t="str">
        <f t="shared" si="88"/>
        <v>OK_KINGFISHER COUNTY, OK</v>
      </c>
      <c r="D1841" s="265" t="s">
        <v>27</v>
      </c>
      <c r="E1841" s="266" t="s">
        <v>4610</v>
      </c>
      <c r="F1841" s="252">
        <f t="shared" si="90"/>
        <v>47600</v>
      </c>
      <c r="G1841" s="252">
        <f t="shared" si="90"/>
        <v>54400</v>
      </c>
      <c r="H1841" s="252">
        <f t="shared" si="90"/>
        <v>61200</v>
      </c>
      <c r="I1841" s="252">
        <f t="shared" si="90"/>
        <v>68000</v>
      </c>
      <c r="J1841" s="252">
        <f t="shared" si="90"/>
        <v>73450</v>
      </c>
      <c r="K1841" s="252">
        <f t="shared" si="90"/>
        <v>78900</v>
      </c>
      <c r="L1841" s="252">
        <f t="shared" si="90"/>
        <v>84350</v>
      </c>
      <c r="M1841" s="252">
        <f t="shared" si="90"/>
        <v>89800</v>
      </c>
    </row>
    <row r="1842" spans="1:13" ht="21.95" customHeight="1" x14ac:dyDescent="0.25">
      <c r="A1842" s="36" t="s">
        <v>2904</v>
      </c>
      <c r="B1842" s="36" t="str">
        <f t="shared" si="88"/>
        <v>OK_KIOWA COUNTY, OK</v>
      </c>
      <c r="D1842" s="265" t="s">
        <v>27</v>
      </c>
      <c r="E1842" s="266" t="s">
        <v>4611</v>
      </c>
      <c r="F1842" s="252">
        <f t="shared" si="90"/>
        <v>41550</v>
      </c>
      <c r="G1842" s="252">
        <f t="shared" si="90"/>
        <v>47500</v>
      </c>
      <c r="H1842" s="252">
        <f t="shared" si="90"/>
        <v>53450</v>
      </c>
      <c r="I1842" s="252">
        <f t="shared" si="90"/>
        <v>59350</v>
      </c>
      <c r="J1842" s="252">
        <f t="shared" si="90"/>
        <v>64100</v>
      </c>
      <c r="K1842" s="252">
        <f t="shared" si="90"/>
        <v>68850</v>
      </c>
      <c r="L1842" s="252">
        <f t="shared" si="90"/>
        <v>73600</v>
      </c>
      <c r="M1842" s="252">
        <f t="shared" si="90"/>
        <v>78350</v>
      </c>
    </row>
    <row r="1843" spans="1:13" ht="21.95" customHeight="1" x14ac:dyDescent="0.25">
      <c r="A1843" s="36" t="s">
        <v>2904</v>
      </c>
      <c r="B1843" s="36" t="str">
        <f t="shared" si="88"/>
        <v>OK_LATIMER COUNTY, OK</v>
      </c>
      <c r="D1843" s="265" t="s">
        <v>27</v>
      </c>
      <c r="E1843" s="266" t="s">
        <v>4612</v>
      </c>
      <c r="F1843" s="252">
        <f t="shared" si="90"/>
        <v>41550</v>
      </c>
      <c r="G1843" s="252">
        <f t="shared" si="90"/>
        <v>47500</v>
      </c>
      <c r="H1843" s="252">
        <f t="shared" si="90"/>
        <v>53450</v>
      </c>
      <c r="I1843" s="252">
        <f t="shared" si="90"/>
        <v>59350</v>
      </c>
      <c r="J1843" s="252">
        <f t="shared" si="90"/>
        <v>64100</v>
      </c>
      <c r="K1843" s="252">
        <f t="shared" si="90"/>
        <v>68850</v>
      </c>
      <c r="L1843" s="252">
        <f t="shared" si="90"/>
        <v>73600</v>
      </c>
      <c r="M1843" s="252">
        <f t="shared" si="90"/>
        <v>78350</v>
      </c>
    </row>
    <row r="1844" spans="1:13" ht="21.95" customHeight="1" x14ac:dyDescent="0.25">
      <c r="A1844" s="36" t="s">
        <v>2904</v>
      </c>
      <c r="B1844" s="36" t="str">
        <f t="shared" si="88"/>
        <v>OK_LAWTON, OK HUD METRO FMR AREA</v>
      </c>
      <c r="D1844" s="265" t="s">
        <v>27</v>
      </c>
      <c r="E1844" s="266" t="s">
        <v>4613</v>
      </c>
      <c r="F1844" s="252">
        <f t="shared" si="90"/>
        <v>41750</v>
      </c>
      <c r="G1844" s="252">
        <f t="shared" si="90"/>
        <v>47700</v>
      </c>
      <c r="H1844" s="252">
        <f t="shared" si="90"/>
        <v>53650</v>
      </c>
      <c r="I1844" s="252">
        <f t="shared" si="90"/>
        <v>59600</v>
      </c>
      <c r="J1844" s="252">
        <f t="shared" si="90"/>
        <v>64400</v>
      </c>
      <c r="K1844" s="252">
        <f t="shared" si="90"/>
        <v>69150</v>
      </c>
      <c r="L1844" s="252">
        <f t="shared" si="90"/>
        <v>73950</v>
      </c>
      <c r="M1844" s="252">
        <f t="shared" si="90"/>
        <v>78700</v>
      </c>
    </row>
    <row r="1845" spans="1:13" ht="21.95" customHeight="1" x14ac:dyDescent="0.25">
      <c r="A1845" s="36" t="s">
        <v>2904</v>
      </c>
      <c r="B1845" s="36" t="str">
        <f t="shared" si="88"/>
        <v>OK_LE FLORE COUNTY, OK</v>
      </c>
      <c r="D1845" s="265" t="s">
        <v>27</v>
      </c>
      <c r="E1845" s="266" t="s">
        <v>4614</v>
      </c>
      <c r="F1845" s="252">
        <f t="shared" si="90"/>
        <v>41550</v>
      </c>
      <c r="G1845" s="252">
        <f t="shared" si="90"/>
        <v>47500</v>
      </c>
      <c r="H1845" s="252">
        <f t="shared" si="90"/>
        <v>53450</v>
      </c>
      <c r="I1845" s="252">
        <f t="shared" si="90"/>
        <v>59350</v>
      </c>
      <c r="J1845" s="252">
        <f t="shared" si="90"/>
        <v>64100</v>
      </c>
      <c r="K1845" s="252">
        <f t="shared" si="90"/>
        <v>68850</v>
      </c>
      <c r="L1845" s="252">
        <f t="shared" si="90"/>
        <v>73600</v>
      </c>
      <c r="M1845" s="252">
        <f t="shared" si="90"/>
        <v>78350</v>
      </c>
    </row>
    <row r="1846" spans="1:13" ht="21.95" customHeight="1" x14ac:dyDescent="0.25">
      <c r="A1846" s="36" t="s">
        <v>2904</v>
      </c>
      <c r="B1846" s="36" t="str">
        <f t="shared" si="88"/>
        <v>OK_LINCOLN COUNTY, OK HUD METRO FMR AREA</v>
      </c>
      <c r="D1846" s="265" t="s">
        <v>27</v>
      </c>
      <c r="E1846" s="266" t="s">
        <v>4615</v>
      </c>
      <c r="F1846" s="252">
        <f t="shared" si="90"/>
        <v>43400</v>
      </c>
      <c r="G1846" s="252">
        <f t="shared" si="90"/>
        <v>49600</v>
      </c>
      <c r="H1846" s="252">
        <f t="shared" si="90"/>
        <v>55800</v>
      </c>
      <c r="I1846" s="252">
        <f t="shared" si="90"/>
        <v>62000</v>
      </c>
      <c r="J1846" s="252">
        <f t="shared" si="90"/>
        <v>67000</v>
      </c>
      <c r="K1846" s="252">
        <f t="shared" si="90"/>
        <v>71950</v>
      </c>
      <c r="L1846" s="252">
        <f t="shared" si="90"/>
        <v>76900</v>
      </c>
      <c r="M1846" s="252">
        <f t="shared" si="90"/>
        <v>81850</v>
      </c>
    </row>
    <row r="1847" spans="1:13" ht="21.95" customHeight="1" x14ac:dyDescent="0.25">
      <c r="A1847" s="36" t="s">
        <v>2904</v>
      </c>
      <c r="B1847" s="36" t="str">
        <f t="shared" si="88"/>
        <v>OK_LOVE COUNTY, OK</v>
      </c>
      <c r="D1847" s="265" t="s">
        <v>27</v>
      </c>
      <c r="E1847" s="266" t="s">
        <v>4616</v>
      </c>
      <c r="F1847" s="252">
        <f t="shared" si="90"/>
        <v>44200</v>
      </c>
      <c r="G1847" s="252">
        <f t="shared" si="90"/>
        <v>50500</v>
      </c>
      <c r="H1847" s="252">
        <f t="shared" si="90"/>
        <v>56800</v>
      </c>
      <c r="I1847" s="252">
        <f t="shared" si="90"/>
        <v>63100</v>
      </c>
      <c r="J1847" s="252">
        <f t="shared" si="90"/>
        <v>68150</v>
      </c>
      <c r="K1847" s="252">
        <f t="shared" si="90"/>
        <v>73200</v>
      </c>
      <c r="L1847" s="252">
        <f t="shared" si="90"/>
        <v>78250</v>
      </c>
      <c r="M1847" s="252">
        <f t="shared" si="90"/>
        <v>83300</v>
      </c>
    </row>
    <row r="1848" spans="1:13" ht="21.95" customHeight="1" x14ac:dyDescent="0.25">
      <c r="A1848" s="36" t="s">
        <v>2904</v>
      </c>
      <c r="B1848" s="36" t="str">
        <f t="shared" si="88"/>
        <v>OK_MAJOR COUNTY, OK</v>
      </c>
      <c r="D1848" s="265" t="s">
        <v>27</v>
      </c>
      <c r="E1848" s="266" t="s">
        <v>4617</v>
      </c>
      <c r="F1848" s="252">
        <f t="shared" si="90"/>
        <v>48100</v>
      </c>
      <c r="G1848" s="252">
        <f t="shared" si="90"/>
        <v>54950</v>
      </c>
      <c r="H1848" s="252">
        <f t="shared" si="90"/>
        <v>61800</v>
      </c>
      <c r="I1848" s="252">
        <f t="shared" si="90"/>
        <v>68650</v>
      </c>
      <c r="J1848" s="252">
        <f t="shared" si="90"/>
        <v>74150</v>
      </c>
      <c r="K1848" s="252">
        <f t="shared" si="90"/>
        <v>79650</v>
      </c>
      <c r="L1848" s="252">
        <f t="shared" si="90"/>
        <v>85150</v>
      </c>
      <c r="M1848" s="252">
        <f t="shared" si="90"/>
        <v>90650</v>
      </c>
    </row>
    <row r="1849" spans="1:13" ht="21.95" customHeight="1" x14ac:dyDescent="0.25">
      <c r="A1849" s="36" t="s">
        <v>2904</v>
      </c>
      <c r="B1849" s="36" t="str">
        <f t="shared" si="88"/>
        <v>OK_MARSHALL COUNTY, OK</v>
      </c>
      <c r="D1849" s="265" t="s">
        <v>27</v>
      </c>
      <c r="E1849" s="266" t="s">
        <v>4618</v>
      </c>
      <c r="F1849" s="252">
        <f t="shared" si="90"/>
        <v>41550</v>
      </c>
      <c r="G1849" s="252">
        <f t="shared" si="90"/>
        <v>47500</v>
      </c>
      <c r="H1849" s="252">
        <f t="shared" si="90"/>
        <v>53450</v>
      </c>
      <c r="I1849" s="252">
        <f t="shared" si="90"/>
        <v>59350</v>
      </c>
      <c r="J1849" s="252">
        <f t="shared" si="90"/>
        <v>64100</v>
      </c>
      <c r="K1849" s="252">
        <f t="shared" si="90"/>
        <v>68850</v>
      </c>
      <c r="L1849" s="252">
        <f t="shared" si="90"/>
        <v>73600</v>
      </c>
      <c r="M1849" s="252">
        <f t="shared" si="90"/>
        <v>78350</v>
      </c>
    </row>
    <row r="1850" spans="1:13" ht="21.95" customHeight="1" x14ac:dyDescent="0.25">
      <c r="A1850" s="36" t="s">
        <v>2904</v>
      </c>
      <c r="B1850" s="36" t="str">
        <f t="shared" si="88"/>
        <v>OK_MAYES COUNTY, OK</v>
      </c>
      <c r="D1850" s="265" t="s">
        <v>27</v>
      </c>
      <c r="E1850" s="266" t="s">
        <v>4619</v>
      </c>
      <c r="F1850" s="252">
        <f t="shared" si="90"/>
        <v>42800</v>
      </c>
      <c r="G1850" s="252">
        <f t="shared" si="90"/>
        <v>48900</v>
      </c>
      <c r="H1850" s="252">
        <f t="shared" si="90"/>
        <v>55000</v>
      </c>
      <c r="I1850" s="252">
        <f t="shared" si="90"/>
        <v>61100</v>
      </c>
      <c r="J1850" s="252">
        <f t="shared" si="90"/>
        <v>66000</v>
      </c>
      <c r="K1850" s="252">
        <f t="shared" si="90"/>
        <v>70900</v>
      </c>
      <c r="L1850" s="252">
        <f t="shared" si="90"/>
        <v>75800</v>
      </c>
      <c r="M1850" s="252">
        <f t="shared" si="90"/>
        <v>80700</v>
      </c>
    </row>
    <row r="1851" spans="1:13" ht="21.95" customHeight="1" x14ac:dyDescent="0.25">
      <c r="A1851" s="36" t="s">
        <v>2904</v>
      </c>
      <c r="B1851" s="36" t="str">
        <f t="shared" si="88"/>
        <v>OK_MCCURTAIN COUNTY, OK</v>
      </c>
      <c r="D1851" s="265" t="s">
        <v>27</v>
      </c>
      <c r="E1851" s="266" t="s">
        <v>4620</v>
      </c>
      <c r="F1851" s="252">
        <f t="shared" si="90"/>
        <v>41550</v>
      </c>
      <c r="G1851" s="252">
        <f t="shared" si="90"/>
        <v>47500</v>
      </c>
      <c r="H1851" s="252">
        <f t="shared" si="90"/>
        <v>53450</v>
      </c>
      <c r="I1851" s="252">
        <f t="shared" si="90"/>
        <v>59350</v>
      </c>
      <c r="J1851" s="252">
        <f t="shared" si="90"/>
        <v>64100</v>
      </c>
      <c r="K1851" s="252">
        <f t="shared" si="90"/>
        <v>68850</v>
      </c>
      <c r="L1851" s="252">
        <f t="shared" si="90"/>
        <v>73600</v>
      </c>
      <c r="M1851" s="252">
        <f t="shared" si="90"/>
        <v>78350</v>
      </c>
    </row>
    <row r="1852" spans="1:13" ht="21.95" customHeight="1" x14ac:dyDescent="0.25">
      <c r="A1852" s="36" t="s">
        <v>2904</v>
      </c>
      <c r="B1852" s="36" t="str">
        <f t="shared" ref="B1852:B1915" si="91">UPPER(TRIM(D1852)&amp;"_"&amp;TRIM(E1852))</f>
        <v>OK_MCINTOSH COUNTY, OK</v>
      </c>
      <c r="D1852" s="265" t="s">
        <v>27</v>
      </c>
      <c r="E1852" s="266" t="s">
        <v>4621</v>
      </c>
      <c r="F1852" s="252">
        <f t="shared" si="90"/>
        <v>41550</v>
      </c>
      <c r="G1852" s="252">
        <f t="shared" si="90"/>
        <v>47500</v>
      </c>
      <c r="H1852" s="252">
        <f t="shared" si="90"/>
        <v>53450</v>
      </c>
      <c r="I1852" s="252">
        <f t="shared" si="90"/>
        <v>59350</v>
      </c>
      <c r="J1852" s="252">
        <f t="shared" si="90"/>
        <v>64100</v>
      </c>
      <c r="K1852" s="252">
        <f t="shared" si="90"/>
        <v>68850</v>
      </c>
      <c r="L1852" s="252">
        <f t="shared" si="90"/>
        <v>73600</v>
      </c>
      <c r="M1852" s="252">
        <f t="shared" si="90"/>
        <v>78350</v>
      </c>
    </row>
    <row r="1853" spans="1:13" ht="21.95" customHeight="1" x14ac:dyDescent="0.25">
      <c r="A1853" s="36" t="s">
        <v>2904</v>
      </c>
      <c r="B1853" s="36" t="str">
        <f t="shared" si="91"/>
        <v>OK_MURRAY COUNTY, OK</v>
      </c>
      <c r="D1853" s="265" t="s">
        <v>27</v>
      </c>
      <c r="E1853" s="266" t="s">
        <v>4622</v>
      </c>
      <c r="F1853" s="252">
        <f t="shared" si="90"/>
        <v>46900</v>
      </c>
      <c r="G1853" s="252">
        <f t="shared" si="90"/>
        <v>53600</v>
      </c>
      <c r="H1853" s="252">
        <f t="shared" si="90"/>
        <v>60300</v>
      </c>
      <c r="I1853" s="252">
        <f t="shared" si="90"/>
        <v>66950</v>
      </c>
      <c r="J1853" s="252">
        <f t="shared" si="90"/>
        <v>72350</v>
      </c>
      <c r="K1853" s="252">
        <f t="shared" si="90"/>
        <v>77700</v>
      </c>
      <c r="L1853" s="252">
        <f t="shared" si="90"/>
        <v>83050</v>
      </c>
      <c r="M1853" s="252">
        <f t="shared" si="90"/>
        <v>88400</v>
      </c>
    </row>
    <row r="1854" spans="1:13" ht="21.95" customHeight="1" x14ac:dyDescent="0.25">
      <c r="A1854" s="36" t="s">
        <v>2904</v>
      </c>
      <c r="B1854" s="36" t="str">
        <f t="shared" si="91"/>
        <v>OK_MUSKOGEE COUNTY, OK</v>
      </c>
      <c r="D1854" s="265" t="s">
        <v>27</v>
      </c>
      <c r="E1854" s="266" t="s">
        <v>4623</v>
      </c>
      <c r="F1854" s="252">
        <f t="shared" si="90"/>
        <v>42800</v>
      </c>
      <c r="G1854" s="252">
        <f t="shared" si="90"/>
        <v>48900</v>
      </c>
      <c r="H1854" s="252">
        <f t="shared" si="90"/>
        <v>55000</v>
      </c>
      <c r="I1854" s="252">
        <f t="shared" si="90"/>
        <v>61100</v>
      </c>
      <c r="J1854" s="252">
        <f t="shared" si="90"/>
        <v>66000</v>
      </c>
      <c r="K1854" s="252">
        <f t="shared" si="90"/>
        <v>70900</v>
      </c>
      <c r="L1854" s="252">
        <f t="shared" si="90"/>
        <v>75800</v>
      </c>
      <c r="M1854" s="252">
        <f t="shared" si="90"/>
        <v>80700</v>
      </c>
    </row>
    <row r="1855" spans="1:13" ht="21.95" customHeight="1" x14ac:dyDescent="0.25">
      <c r="A1855" s="36" t="s">
        <v>2904</v>
      </c>
      <c r="B1855" s="36" t="str">
        <f t="shared" si="91"/>
        <v>OK_NOBLE COUNTY, OK</v>
      </c>
      <c r="D1855" s="265" t="s">
        <v>27</v>
      </c>
      <c r="E1855" s="266" t="s">
        <v>4624</v>
      </c>
      <c r="F1855" s="252">
        <f t="shared" si="90"/>
        <v>51300</v>
      </c>
      <c r="G1855" s="252">
        <f t="shared" si="90"/>
        <v>58600</v>
      </c>
      <c r="H1855" s="252">
        <f t="shared" si="90"/>
        <v>65950</v>
      </c>
      <c r="I1855" s="252">
        <f t="shared" si="90"/>
        <v>73250</v>
      </c>
      <c r="J1855" s="252">
        <f t="shared" si="90"/>
        <v>79150</v>
      </c>
      <c r="K1855" s="252">
        <f t="shared" si="90"/>
        <v>85000</v>
      </c>
      <c r="L1855" s="252">
        <f t="shared" si="90"/>
        <v>90850</v>
      </c>
      <c r="M1855" s="252">
        <f t="shared" si="90"/>
        <v>96700</v>
      </c>
    </row>
    <row r="1856" spans="1:13" ht="21.95" customHeight="1" x14ac:dyDescent="0.25">
      <c r="A1856" s="36" t="s">
        <v>2904</v>
      </c>
      <c r="B1856" s="36" t="str">
        <f t="shared" si="91"/>
        <v>OK_NOWATA COUNTY, OK</v>
      </c>
      <c r="D1856" s="265" t="s">
        <v>27</v>
      </c>
      <c r="E1856" s="266" t="s">
        <v>4625</v>
      </c>
      <c r="F1856" s="252">
        <f t="shared" si="90"/>
        <v>41550</v>
      </c>
      <c r="G1856" s="252">
        <f t="shared" si="90"/>
        <v>47500</v>
      </c>
      <c r="H1856" s="252">
        <f t="shared" si="90"/>
        <v>53450</v>
      </c>
      <c r="I1856" s="252">
        <f t="shared" si="90"/>
        <v>59350</v>
      </c>
      <c r="J1856" s="252">
        <f t="shared" si="90"/>
        <v>64100</v>
      </c>
      <c r="K1856" s="252">
        <f t="shared" si="90"/>
        <v>68850</v>
      </c>
      <c r="L1856" s="252">
        <f t="shared" si="90"/>
        <v>73600</v>
      </c>
      <c r="M1856" s="252">
        <f t="shared" si="90"/>
        <v>78350</v>
      </c>
    </row>
    <row r="1857" spans="1:13" ht="21.95" customHeight="1" x14ac:dyDescent="0.25">
      <c r="A1857" s="36" t="s">
        <v>2904</v>
      </c>
      <c r="B1857" s="36" t="str">
        <f t="shared" si="91"/>
        <v>OK_OKFUSKEE COUNTY, OK</v>
      </c>
      <c r="D1857" s="265" t="s">
        <v>27</v>
      </c>
      <c r="E1857" s="266" t="s">
        <v>4626</v>
      </c>
      <c r="F1857" s="252">
        <f t="shared" si="90"/>
        <v>41550</v>
      </c>
      <c r="G1857" s="252">
        <f t="shared" si="90"/>
        <v>47500</v>
      </c>
      <c r="H1857" s="252">
        <f t="shared" si="90"/>
        <v>53450</v>
      </c>
      <c r="I1857" s="252">
        <f t="shared" si="90"/>
        <v>59350</v>
      </c>
      <c r="J1857" s="252">
        <f t="shared" si="90"/>
        <v>64100</v>
      </c>
      <c r="K1857" s="252">
        <f t="shared" si="90"/>
        <v>68850</v>
      </c>
      <c r="L1857" s="252">
        <f t="shared" si="90"/>
        <v>73600</v>
      </c>
      <c r="M1857" s="252">
        <f t="shared" si="90"/>
        <v>78350</v>
      </c>
    </row>
    <row r="1858" spans="1:13" ht="21.95" customHeight="1" x14ac:dyDescent="0.25">
      <c r="A1858" s="36" t="s">
        <v>2904</v>
      </c>
      <c r="B1858" s="36" t="str">
        <f t="shared" si="91"/>
        <v>OK_OKLAHOMA CITY, OK HUD METRO FMR AREA</v>
      </c>
      <c r="D1858" s="265" t="s">
        <v>27</v>
      </c>
      <c r="E1858" s="266" t="s">
        <v>4627</v>
      </c>
      <c r="F1858" s="252">
        <f t="shared" si="90"/>
        <v>54750</v>
      </c>
      <c r="G1858" s="252">
        <f t="shared" si="90"/>
        <v>62550</v>
      </c>
      <c r="H1858" s="252">
        <f t="shared" si="90"/>
        <v>70350</v>
      </c>
      <c r="I1858" s="252">
        <f t="shared" si="90"/>
        <v>78150</v>
      </c>
      <c r="J1858" s="252">
        <f t="shared" si="90"/>
        <v>84450</v>
      </c>
      <c r="K1858" s="252">
        <f t="shared" si="90"/>
        <v>90700</v>
      </c>
      <c r="L1858" s="252">
        <f t="shared" si="90"/>
        <v>96950</v>
      </c>
      <c r="M1858" s="252">
        <f t="shared" si="90"/>
        <v>103200</v>
      </c>
    </row>
    <row r="1859" spans="1:13" ht="21.95" customHeight="1" x14ac:dyDescent="0.25">
      <c r="A1859" s="36" t="s">
        <v>2904</v>
      </c>
      <c r="B1859" s="36" t="str">
        <f t="shared" si="91"/>
        <v>OK_OKMULGEE COUNTY, OK HUD METRO FMR AREA</v>
      </c>
      <c r="D1859" s="265" t="s">
        <v>27</v>
      </c>
      <c r="E1859" s="266" t="s">
        <v>4628</v>
      </c>
      <c r="F1859" s="252">
        <f t="shared" ref="F1859:M1890" si="92">VLOOKUP($B1859,LOOKUP_AMI_TABLE,5+((F$7-1)),FALSE)</f>
        <v>41550</v>
      </c>
      <c r="G1859" s="252">
        <f t="shared" si="92"/>
        <v>47500</v>
      </c>
      <c r="H1859" s="252">
        <f t="shared" si="92"/>
        <v>53450</v>
      </c>
      <c r="I1859" s="252">
        <f t="shared" si="92"/>
        <v>59350</v>
      </c>
      <c r="J1859" s="252">
        <f t="shared" si="92"/>
        <v>64100</v>
      </c>
      <c r="K1859" s="252">
        <f t="shared" si="92"/>
        <v>68850</v>
      </c>
      <c r="L1859" s="252">
        <f t="shared" si="92"/>
        <v>73600</v>
      </c>
      <c r="M1859" s="252">
        <f t="shared" si="92"/>
        <v>78350</v>
      </c>
    </row>
    <row r="1860" spans="1:13" ht="21.95" customHeight="1" x14ac:dyDescent="0.25">
      <c r="A1860" s="36" t="s">
        <v>2904</v>
      </c>
      <c r="B1860" s="36" t="str">
        <f t="shared" si="91"/>
        <v>OK_OTTAWA COUNTY, OK</v>
      </c>
      <c r="D1860" s="265" t="s">
        <v>27</v>
      </c>
      <c r="E1860" s="266" t="s">
        <v>4629</v>
      </c>
      <c r="F1860" s="252">
        <f t="shared" si="92"/>
        <v>41550</v>
      </c>
      <c r="G1860" s="252">
        <f t="shared" si="92"/>
        <v>47500</v>
      </c>
      <c r="H1860" s="252">
        <f t="shared" si="92"/>
        <v>53450</v>
      </c>
      <c r="I1860" s="252">
        <f t="shared" si="92"/>
        <v>59350</v>
      </c>
      <c r="J1860" s="252">
        <f t="shared" si="92"/>
        <v>64100</v>
      </c>
      <c r="K1860" s="252">
        <f t="shared" si="92"/>
        <v>68850</v>
      </c>
      <c r="L1860" s="252">
        <f t="shared" si="92"/>
        <v>73600</v>
      </c>
      <c r="M1860" s="252">
        <f t="shared" si="92"/>
        <v>78350</v>
      </c>
    </row>
    <row r="1861" spans="1:13" ht="21.95" customHeight="1" x14ac:dyDescent="0.25">
      <c r="A1861" s="36" t="s">
        <v>2904</v>
      </c>
      <c r="B1861" s="36" t="str">
        <f t="shared" si="91"/>
        <v>OK_PAWNEE COUNTY, OK HUD METRO FMR AREA</v>
      </c>
      <c r="D1861" s="265" t="s">
        <v>27</v>
      </c>
      <c r="E1861" s="266" t="s">
        <v>4630</v>
      </c>
      <c r="F1861" s="252">
        <f t="shared" si="92"/>
        <v>43750</v>
      </c>
      <c r="G1861" s="252">
        <f t="shared" si="92"/>
        <v>50000</v>
      </c>
      <c r="H1861" s="252">
        <f t="shared" si="92"/>
        <v>56250</v>
      </c>
      <c r="I1861" s="252">
        <f t="shared" si="92"/>
        <v>62500</v>
      </c>
      <c r="J1861" s="252">
        <f t="shared" si="92"/>
        <v>67500</v>
      </c>
      <c r="K1861" s="252">
        <f t="shared" si="92"/>
        <v>72500</v>
      </c>
      <c r="L1861" s="252">
        <f t="shared" si="92"/>
        <v>77500</v>
      </c>
      <c r="M1861" s="252">
        <f t="shared" si="92"/>
        <v>82500</v>
      </c>
    </row>
    <row r="1862" spans="1:13" ht="21.95" customHeight="1" x14ac:dyDescent="0.25">
      <c r="A1862" s="36" t="s">
        <v>2904</v>
      </c>
      <c r="B1862" s="36" t="str">
        <f t="shared" si="91"/>
        <v>OK_PAYNE COUNTY, OK</v>
      </c>
      <c r="D1862" s="265" t="s">
        <v>27</v>
      </c>
      <c r="E1862" s="266" t="s">
        <v>4631</v>
      </c>
      <c r="F1862" s="252">
        <f t="shared" si="92"/>
        <v>46600</v>
      </c>
      <c r="G1862" s="252">
        <f t="shared" si="92"/>
        <v>53250</v>
      </c>
      <c r="H1862" s="252">
        <f t="shared" si="92"/>
        <v>59900</v>
      </c>
      <c r="I1862" s="252">
        <f t="shared" si="92"/>
        <v>66550</v>
      </c>
      <c r="J1862" s="252">
        <f t="shared" si="92"/>
        <v>71900</v>
      </c>
      <c r="K1862" s="252">
        <f t="shared" si="92"/>
        <v>77200</v>
      </c>
      <c r="L1862" s="252">
        <f t="shared" si="92"/>
        <v>82550</v>
      </c>
      <c r="M1862" s="252">
        <f t="shared" si="92"/>
        <v>87850</v>
      </c>
    </row>
    <row r="1863" spans="1:13" ht="21.95" customHeight="1" x14ac:dyDescent="0.25">
      <c r="A1863" s="36" t="s">
        <v>2904</v>
      </c>
      <c r="B1863" s="36" t="str">
        <f t="shared" si="91"/>
        <v>OK_PITTSBURG COUNTY, OK</v>
      </c>
      <c r="D1863" s="265" t="s">
        <v>27</v>
      </c>
      <c r="E1863" s="266" t="s">
        <v>4632</v>
      </c>
      <c r="F1863" s="252">
        <f t="shared" si="92"/>
        <v>42300</v>
      </c>
      <c r="G1863" s="252">
        <f t="shared" si="92"/>
        <v>48350</v>
      </c>
      <c r="H1863" s="252">
        <f t="shared" si="92"/>
        <v>54400</v>
      </c>
      <c r="I1863" s="252">
        <f t="shared" si="92"/>
        <v>60400</v>
      </c>
      <c r="J1863" s="252">
        <f t="shared" si="92"/>
        <v>65250</v>
      </c>
      <c r="K1863" s="252">
        <f t="shared" si="92"/>
        <v>70100</v>
      </c>
      <c r="L1863" s="252">
        <f t="shared" si="92"/>
        <v>74900</v>
      </c>
      <c r="M1863" s="252">
        <f t="shared" si="92"/>
        <v>79750</v>
      </c>
    </row>
    <row r="1864" spans="1:13" ht="21.95" customHeight="1" x14ac:dyDescent="0.25">
      <c r="A1864" s="36" t="s">
        <v>2904</v>
      </c>
      <c r="B1864" s="36" t="str">
        <f t="shared" si="91"/>
        <v>OK_PONTOTOC COUNTY, OK</v>
      </c>
      <c r="D1864" s="265" t="s">
        <v>27</v>
      </c>
      <c r="E1864" s="266" t="s">
        <v>4633</v>
      </c>
      <c r="F1864" s="252">
        <f t="shared" si="92"/>
        <v>47150</v>
      </c>
      <c r="G1864" s="252">
        <f t="shared" si="92"/>
        <v>53850</v>
      </c>
      <c r="H1864" s="252">
        <f t="shared" si="92"/>
        <v>60600</v>
      </c>
      <c r="I1864" s="252">
        <f t="shared" si="92"/>
        <v>67300</v>
      </c>
      <c r="J1864" s="252">
        <f t="shared" si="92"/>
        <v>72700</v>
      </c>
      <c r="K1864" s="252">
        <f t="shared" si="92"/>
        <v>78100</v>
      </c>
      <c r="L1864" s="252">
        <f t="shared" si="92"/>
        <v>83500</v>
      </c>
      <c r="M1864" s="252">
        <f t="shared" si="92"/>
        <v>88850</v>
      </c>
    </row>
    <row r="1865" spans="1:13" ht="21.95" customHeight="1" x14ac:dyDescent="0.25">
      <c r="A1865" s="36" t="s">
        <v>2904</v>
      </c>
      <c r="B1865" s="36" t="str">
        <f t="shared" si="91"/>
        <v>OK_POTTAWATOMIE COUNTY, OK</v>
      </c>
      <c r="D1865" s="265" t="s">
        <v>27</v>
      </c>
      <c r="E1865" s="266" t="s">
        <v>4634</v>
      </c>
      <c r="F1865" s="252">
        <f t="shared" si="92"/>
        <v>41550</v>
      </c>
      <c r="G1865" s="252">
        <f t="shared" si="92"/>
        <v>47500</v>
      </c>
      <c r="H1865" s="252">
        <f t="shared" si="92"/>
        <v>53450</v>
      </c>
      <c r="I1865" s="252">
        <f t="shared" si="92"/>
        <v>59350</v>
      </c>
      <c r="J1865" s="252">
        <f t="shared" si="92"/>
        <v>64100</v>
      </c>
      <c r="K1865" s="252">
        <f t="shared" si="92"/>
        <v>68850</v>
      </c>
      <c r="L1865" s="252">
        <f t="shared" si="92"/>
        <v>73600</v>
      </c>
      <c r="M1865" s="252">
        <f t="shared" si="92"/>
        <v>78350</v>
      </c>
    </row>
    <row r="1866" spans="1:13" ht="21.95" customHeight="1" x14ac:dyDescent="0.25">
      <c r="A1866" s="36" t="s">
        <v>2904</v>
      </c>
      <c r="B1866" s="36" t="str">
        <f t="shared" si="91"/>
        <v>OK_PUSHMATAHA COUNTY, OK</v>
      </c>
      <c r="D1866" s="265" t="s">
        <v>27</v>
      </c>
      <c r="E1866" s="266" t="s">
        <v>4635</v>
      </c>
      <c r="F1866" s="252">
        <f t="shared" si="92"/>
        <v>41550</v>
      </c>
      <c r="G1866" s="252">
        <f t="shared" si="92"/>
        <v>47500</v>
      </c>
      <c r="H1866" s="252">
        <f t="shared" si="92"/>
        <v>53450</v>
      </c>
      <c r="I1866" s="252">
        <f t="shared" si="92"/>
        <v>59350</v>
      </c>
      <c r="J1866" s="252">
        <f t="shared" si="92"/>
        <v>64100</v>
      </c>
      <c r="K1866" s="252">
        <f t="shared" si="92"/>
        <v>68850</v>
      </c>
      <c r="L1866" s="252">
        <f t="shared" si="92"/>
        <v>73600</v>
      </c>
      <c r="M1866" s="252">
        <f t="shared" si="92"/>
        <v>78350</v>
      </c>
    </row>
    <row r="1867" spans="1:13" ht="21.95" customHeight="1" x14ac:dyDescent="0.25">
      <c r="A1867" s="36" t="s">
        <v>2904</v>
      </c>
      <c r="B1867" s="36" t="str">
        <f t="shared" si="91"/>
        <v>OK_ROGER MILLS COUNTY, OK</v>
      </c>
      <c r="D1867" s="265" t="s">
        <v>27</v>
      </c>
      <c r="E1867" s="266" t="s">
        <v>4636</v>
      </c>
      <c r="F1867" s="252">
        <f t="shared" si="92"/>
        <v>43300</v>
      </c>
      <c r="G1867" s="252">
        <f t="shared" si="92"/>
        <v>49500</v>
      </c>
      <c r="H1867" s="252">
        <f t="shared" si="92"/>
        <v>55700</v>
      </c>
      <c r="I1867" s="252">
        <f t="shared" si="92"/>
        <v>61850</v>
      </c>
      <c r="J1867" s="252">
        <f t="shared" si="92"/>
        <v>66800</v>
      </c>
      <c r="K1867" s="252">
        <f t="shared" si="92"/>
        <v>71750</v>
      </c>
      <c r="L1867" s="252">
        <f t="shared" si="92"/>
        <v>76700</v>
      </c>
      <c r="M1867" s="252">
        <f t="shared" si="92"/>
        <v>81650</v>
      </c>
    </row>
    <row r="1868" spans="1:13" ht="21.95" customHeight="1" x14ac:dyDescent="0.25">
      <c r="A1868" s="36" t="s">
        <v>2904</v>
      </c>
      <c r="B1868" s="36" t="str">
        <f t="shared" si="91"/>
        <v>OK_SEMINOLE COUNTY, OK</v>
      </c>
      <c r="D1868" s="265" t="s">
        <v>27</v>
      </c>
      <c r="E1868" s="266" t="s">
        <v>4637</v>
      </c>
      <c r="F1868" s="252">
        <f t="shared" si="92"/>
        <v>41550</v>
      </c>
      <c r="G1868" s="252">
        <f t="shared" si="92"/>
        <v>47500</v>
      </c>
      <c r="H1868" s="252">
        <f t="shared" si="92"/>
        <v>53450</v>
      </c>
      <c r="I1868" s="252">
        <f t="shared" si="92"/>
        <v>59350</v>
      </c>
      <c r="J1868" s="252">
        <f t="shared" si="92"/>
        <v>64100</v>
      </c>
      <c r="K1868" s="252">
        <f t="shared" si="92"/>
        <v>68850</v>
      </c>
      <c r="L1868" s="252">
        <f t="shared" si="92"/>
        <v>73600</v>
      </c>
      <c r="M1868" s="252">
        <f t="shared" si="92"/>
        <v>78350</v>
      </c>
    </row>
    <row r="1869" spans="1:13" ht="21.95" customHeight="1" x14ac:dyDescent="0.25">
      <c r="A1869" s="36" t="s">
        <v>2904</v>
      </c>
      <c r="B1869" s="36" t="str">
        <f t="shared" si="91"/>
        <v>OK_STEPHENS COUNTY, OK</v>
      </c>
      <c r="D1869" s="265" t="s">
        <v>27</v>
      </c>
      <c r="E1869" s="266" t="s">
        <v>4638</v>
      </c>
      <c r="F1869" s="252">
        <f t="shared" si="92"/>
        <v>45750</v>
      </c>
      <c r="G1869" s="252">
        <f t="shared" si="92"/>
        <v>52300</v>
      </c>
      <c r="H1869" s="252">
        <f t="shared" si="92"/>
        <v>58850</v>
      </c>
      <c r="I1869" s="252">
        <f t="shared" si="92"/>
        <v>65350</v>
      </c>
      <c r="J1869" s="252">
        <f t="shared" si="92"/>
        <v>70600</v>
      </c>
      <c r="K1869" s="252">
        <f t="shared" si="92"/>
        <v>75850</v>
      </c>
      <c r="L1869" s="252">
        <f t="shared" si="92"/>
        <v>81050</v>
      </c>
      <c r="M1869" s="252">
        <f t="shared" si="92"/>
        <v>86300</v>
      </c>
    </row>
    <row r="1870" spans="1:13" ht="21.95" customHeight="1" x14ac:dyDescent="0.25">
      <c r="A1870" s="36" t="s">
        <v>2904</v>
      </c>
      <c r="B1870" s="36" t="str">
        <f t="shared" si="91"/>
        <v>OK_TEXAS COUNTY, OK</v>
      </c>
      <c r="D1870" s="265" t="s">
        <v>27</v>
      </c>
      <c r="E1870" s="266" t="s">
        <v>4639</v>
      </c>
      <c r="F1870" s="252">
        <f t="shared" si="92"/>
        <v>44350</v>
      </c>
      <c r="G1870" s="252">
        <f t="shared" si="92"/>
        <v>50650</v>
      </c>
      <c r="H1870" s="252">
        <f t="shared" si="92"/>
        <v>57000</v>
      </c>
      <c r="I1870" s="252">
        <f t="shared" si="92"/>
        <v>63300</v>
      </c>
      <c r="J1870" s="252">
        <f t="shared" si="92"/>
        <v>68400</v>
      </c>
      <c r="K1870" s="252">
        <f t="shared" si="92"/>
        <v>73450</v>
      </c>
      <c r="L1870" s="252">
        <f t="shared" si="92"/>
        <v>78500</v>
      </c>
      <c r="M1870" s="252">
        <f t="shared" si="92"/>
        <v>83600</v>
      </c>
    </row>
    <row r="1871" spans="1:13" ht="21.95" customHeight="1" x14ac:dyDescent="0.25">
      <c r="A1871" s="36" t="s">
        <v>2904</v>
      </c>
      <c r="B1871" s="36" t="str">
        <f t="shared" si="91"/>
        <v>OK_TILLMAN COUNTY, OK</v>
      </c>
      <c r="D1871" s="265" t="s">
        <v>27</v>
      </c>
      <c r="E1871" s="266" t="s">
        <v>4640</v>
      </c>
      <c r="F1871" s="252">
        <f t="shared" si="92"/>
        <v>41550</v>
      </c>
      <c r="G1871" s="252">
        <f t="shared" si="92"/>
        <v>47500</v>
      </c>
      <c r="H1871" s="252">
        <f t="shared" si="92"/>
        <v>53450</v>
      </c>
      <c r="I1871" s="252">
        <f t="shared" si="92"/>
        <v>59350</v>
      </c>
      <c r="J1871" s="252">
        <f t="shared" si="92"/>
        <v>64100</v>
      </c>
      <c r="K1871" s="252">
        <f t="shared" si="92"/>
        <v>68850</v>
      </c>
      <c r="L1871" s="252">
        <f t="shared" si="92"/>
        <v>73600</v>
      </c>
      <c r="M1871" s="252">
        <f t="shared" si="92"/>
        <v>78350</v>
      </c>
    </row>
    <row r="1872" spans="1:13" ht="21.95" customHeight="1" x14ac:dyDescent="0.25">
      <c r="A1872" s="36" t="s">
        <v>2904</v>
      </c>
      <c r="B1872" s="36" t="str">
        <f t="shared" si="91"/>
        <v>OK_TULSA, OK HUD METRO FMR AREA</v>
      </c>
      <c r="D1872" s="265" t="s">
        <v>27</v>
      </c>
      <c r="E1872" s="266" t="s">
        <v>4641</v>
      </c>
      <c r="F1872" s="252">
        <f t="shared" si="92"/>
        <v>50600</v>
      </c>
      <c r="G1872" s="252">
        <f t="shared" si="92"/>
        <v>57800</v>
      </c>
      <c r="H1872" s="252">
        <f t="shared" si="92"/>
        <v>65050</v>
      </c>
      <c r="I1872" s="252">
        <f t="shared" si="92"/>
        <v>72250</v>
      </c>
      <c r="J1872" s="252">
        <f t="shared" si="92"/>
        <v>78050</v>
      </c>
      <c r="K1872" s="252">
        <f t="shared" si="92"/>
        <v>83850</v>
      </c>
      <c r="L1872" s="252">
        <f t="shared" si="92"/>
        <v>89600</v>
      </c>
      <c r="M1872" s="252">
        <f t="shared" si="92"/>
        <v>95400</v>
      </c>
    </row>
    <row r="1873" spans="1:13" ht="21.95" customHeight="1" x14ac:dyDescent="0.25">
      <c r="A1873" s="36" t="s">
        <v>2904</v>
      </c>
      <c r="B1873" s="36" t="str">
        <f t="shared" si="91"/>
        <v>OK_WASHINGTON COUNTY, OK</v>
      </c>
      <c r="D1873" s="265" t="s">
        <v>27</v>
      </c>
      <c r="E1873" s="266" t="s">
        <v>4642</v>
      </c>
      <c r="F1873" s="252">
        <f t="shared" si="92"/>
        <v>49350</v>
      </c>
      <c r="G1873" s="252">
        <f t="shared" si="92"/>
        <v>56400</v>
      </c>
      <c r="H1873" s="252">
        <f t="shared" si="92"/>
        <v>63450</v>
      </c>
      <c r="I1873" s="252">
        <f t="shared" si="92"/>
        <v>70500</v>
      </c>
      <c r="J1873" s="252">
        <f t="shared" si="92"/>
        <v>76150</v>
      </c>
      <c r="K1873" s="252">
        <f t="shared" si="92"/>
        <v>81800</v>
      </c>
      <c r="L1873" s="252">
        <f t="shared" si="92"/>
        <v>87450</v>
      </c>
      <c r="M1873" s="252">
        <f t="shared" si="92"/>
        <v>93100</v>
      </c>
    </row>
    <row r="1874" spans="1:13" ht="21.95" customHeight="1" x14ac:dyDescent="0.25">
      <c r="A1874" s="36" t="s">
        <v>2904</v>
      </c>
      <c r="B1874" s="36" t="str">
        <f t="shared" si="91"/>
        <v>OK_WASHITA COUNTY, OK</v>
      </c>
      <c r="D1874" s="265" t="s">
        <v>27</v>
      </c>
      <c r="E1874" s="266" t="s">
        <v>4643</v>
      </c>
      <c r="F1874" s="252">
        <f t="shared" si="92"/>
        <v>43650</v>
      </c>
      <c r="G1874" s="252">
        <f t="shared" si="92"/>
        <v>49850</v>
      </c>
      <c r="H1874" s="252">
        <f t="shared" si="92"/>
        <v>56100</v>
      </c>
      <c r="I1874" s="252">
        <f t="shared" si="92"/>
        <v>62300</v>
      </c>
      <c r="J1874" s="252">
        <f t="shared" si="92"/>
        <v>67300</v>
      </c>
      <c r="K1874" s="252">
        <f t="shared" si="92"/>
        <v>72300</v>
      </c>
      <c r="L1874" s="252">
        <f t="shared" si="92"/>
        <v>77300</v>
      </c>
      <c r="M1874" s="252">
        <f t="shared" si="92"/>
        <v>82250</v>
      </c>
    </row>
    <row r="1875" spans="1:13" ht="21.95" customHeight="1" x14ac:dyDescent="0.25">
      <c r="A1875" s="36" t="s">
        <v>2904</v>
      </c>
      <c r="B1875" s="36" t="str">
        <f t="shared" si="91"/>
        <v>OK_WOODS COUNTY, OK</v>
      </c>
      <c r="D1875" s="265" t="s">
        <v>27</v>
      </c>
      <c r="E1875" s="266" t="s">
        <v>4644</v>
      </c>
      <c r="F1875" s="252">
        <f t="shared" si="92"/>
        <v>50050</v>
      </c>
      <c r="G1875" s="252">
        <f t="shared" si="92"/>
        <v>57200</v>
      </c>
      <c r="H1875" s="252">
        <f t="shared" si="92"/>
        <v>64350</v>
      </c>
      <c r="I1875" s="252">
        <f t="shared" si="92"/>
        <v>71450</v>
      </c>
      <c r="J1875" s="252">
        <f t="shared" si="92"/>
        <v>77200</v>
      </c>
      <c r="K1875" s="252">
        <f t="shared" si="92"/>
        <v>82900</v>
      </c>
      <c r="L1875" s="252">
        <f t="shared" si="92"/>
        <v>88600</v>
      </c>
      <c r="M1875" s="252">
        <f t="shared" si="92"/>
        <v>94350</v>
      </c>
    </row>
    <row r="1876" spans="1:13" ht="21.95" customHeight="1" x14ac:dyDescent="0.25">
      <c r="A1876" s="36" t="s">
        <v>2904</v>
      </c>
      <c r="B1876" s="36" t="str">
        <f t="shared" si="91"/>
        <v>OK_WOODWARD COUNTY, OK</v>
      </c>
      <c r="D1876" s="265" t="s">
        <v>27</v>
      </c>
      <c r="E1876" s="266" t="s">
        <v>4645</v>
      </c>
      <c r="F1876" s="252">
        <f t="shared" si="92"/>
        <v>46450</v>
      </c>
      <c r="G1876" s="252">
        <f t="shared" si="92"/>
        <v>53050</v>
      </c>
      <c r="H1876" s="252">
        <f t="shared" si="92"/>
        <v>59700</v>
      </c>
      <c r="I1876" s="252">
        <f t="shared" si="92"/>
        <v>66300</v>
      </c>
      <c r="J1876" s="252">
        <f t="shared" si="92"/>
        <v>71650</v>
      </c>
      <c r="K1876" s="252">
        <f t="shared" si="92"/>
        <v>76950</v>
      </c>
      <c r="L1876" s="252">
        <f t="shared" si="92"/>
        <v>82250</v>
      </c>
      <c r="M1876" s="252">
        <f t="shared" si="92"/>
        <v>87550</v>
      </c>
    </row>
    <row r="1877" spans="1:13" ht="21.95" customHeight="1" x14ac:dyDescent="0.25">
      <c r="A1877" s="36" t="s">
        <v>2904</v>
      </c>
      <c r="B1877" s="36" t="str">
        <f t="shared" si="91"/>
        <v>OR_ALBANY, OR MSA</v>
      </c>
      <c r="D1877" s="265" t="s">
        <v>70</v>
      </c>
      <c r="E1877" s="266" t="s">
        <v>4646</v>
      </c>
      <c r="F1877" s="252">
        <f t="shared" si="92"/>
        <v>51950</v>
      </c>
      <c r="G1877" s="252">
        <f t="shared" si="92"/>
        <v>59350</v>
      </c>
      <c r="H1877" s="252">
        <f t="shared" si="92"/>
        <v>66750</v>
      </c>
      <c r="I1877" s="252">
        <f t="shared" si="92"/>
        <v>74150</v>
      </c>
      <c r="J1877" s="252">
        <f t="shared" si="92"/>
        <v>80100</v>
      </c>
      <c r="K1877" s="252">
        <f t="shared" si="92"/>
        <v>86050</v>
      </c>
      <c r="L1877" s="252">
        <f t="shared" si="92"/>
        <v>91950</v>
      </c>
      <c r="M1877" s="252">
        <f t="shared" si="92"/>
        <v>97900</v>
      </c>
    </row>
    <row r="1878" spans="1:13" ht="21.95" customHeight="1" x14ac:dyDescent="0.25">
      <c r="A1878" s="36" t="s">
        <v>2904</v>
      </c>
      <c r="B1878" s="36" t="str">
        <f t="shared" si="91"/>
        <v>OR_BAKER COUNTY, OR</v>
      </c>
      <c r="D1878" s="265" t="s">
        <v>70</v>
      </c>
      <c r="E1878" s="266" t="s">
        <v>4647</v>
      </c>
      <c r="F1878" s="252">
        <f t="shared" si="92"/>
        <v>48200</v>
      </c>
      <c r="G1878" s="252">
        <f t="shared" si="92"/>
        <v>55050</v>
      </c>
      <c r="H1878" s="252">
        <f t="shared" si="92"/>
        <v>61950</v>
      </c>
      <c r="I1878" s="252">
        <f t="shared" si="92"/>
        <v>68800</v>
      </c>
      <c r="J1878" s="252">
        <f t="shared" si="92"/>
        <v>74350</v>
      </c>
      <c r="K1878" s="252">
        <f t="shared" si="92"/>
        <v>79850</v>
      </c>
      <c r="L1878" s="252">
        <f t="shared" si="92"/>
        <v>85350</v>
      </c>
      <c r="M1878" s="252">
        <f t="shared" si="92"/>
        <v>90850</v>
      </c>
    </row>
    <row r="1879" spans="1:13" ht="21.95" customHeight="1" x14ac:dyDescent="0.25">
      <c r="A1879" s="36" t="s">
        <v>2904</v>
      </c>
      <c r="B1879" s="36" t="str">
        <f t="shared" si="91"/>
        <v>OR_BEND-REDMOND, OR HUD METRO FMR AREA</v>
      </c>
      <c r="D1879" s="265" t="s">
        <v>70</v>
      </c>
      <c r="E1879" s="266" t="s">
        <v>9243</v>
      </c>
      <c r="F1879" s="252">
        <f t="shared" si="92"/>
        <v>64050</v>
      </c>
      <c r="G1879" s="252">
        <f t="shared" si="92"/>
        <v>73200</v>
      </c>
      <c r="H1879" s="252">
        <f t="shared" si="92"/>
        <v>82350</v>
      </c>
      <c r="I1879" s="252">
        <f t="shared" si="92"/>
        <v>91450</v>
      </c>
      <c r="J1879" s="252">
        <f t="shared" si="92"/>
        <v>98800</v>
      </c>
      <c r="K1879" s="252">
        <f t="shared" si="92"/>
        <v>106100</v>
      </c>
      <c r="L1879" s="252">
        <f t="shared" si="92"/>
        <v>113400</v>
      </c>
      <c r="M1879" s="252">
        <f t="shared" si="92"/>
        <v>120750</v>
      </c>
    </row>
    <row r="1880" spans="1:13" ht="21.95" customHeight="1" x14ac:dyDescent="0.25">
      <c r="A1880" s="36" t="s">
        <v>2904</v>
      </c>
      <c r="B1880" s="36" t="str">
        <f t="shared" si="91"/>
        <v>OR_CLATSOP COUNTY, OR</v>
      </c>
      <c r="D1880" s="265" t="s">
        <v>70</v>
      </c>
      <c r="E1880" s="266" t="s">
        <v>4648</v>
      </c>
      <c r="F1880" s="252">
        <f t="shared" si="92"/>
        <v>54000</v>
      </c>
      <c r="G1880" s="252">
        <f t="shared" si="92"/>
        <v>61700</v>
      </c>
      <c r="H1880" s="252">
        <f t="shared" si="92"/>
        <v>69400</v>
      </c>
      <c r="I1880" s="252">
        <f t="shared" si="92"/>
        <v>77100</v>
      </c>
      <c r="J1880" s="252">
        <f t="shared" si="92"/>
        <v>83300</v>
      </c>
      <c r="K1880" s="252">
        <f t="shared" si="92"/>
        <v>89450</v>
      </c>
      <c r="L1880" s="252">
        <f t="shared" si="92"/>
        <v>95650</v>
      </c>
      <c r="M1880" s="252">
        <f t="shared" si="92"/>
        <v>101800</v>
      </c>
    </row>
    <row r="1881" spans="1:13" ht="21.95" customHeight="1" x14ac:dyDescent="0.25">
      <c r="A1881" s="36" t="s">
        <v>2904</v>
      </c>
      <c r="B1881" s="36" t="str">
        <f t="shared" si="91"/>
        <v>OR_COOS COUNTY, OR</v>
      </c>
      <c r="D1881" s="265" t="s">
        <v>70</v>
      </c>
      <c r="E1881" s="266" t="s">
        <v>4649</v>
      </c>
      <c r="F1881" s="252">
        <f t="shared" si="92"/>
        <v>46550</v>
      </c>
      <c r="G1881" s="252">
        <f t="shared" si="92"/>
        <v>53200</v>
      </c>
      <c r="H1881" s="252">
        <f t="shared" si="92"/>
        <v>59850</v>
      </c>
      <c r="I1881" s="252">
        <f t="shared" si="92"/>
        <v>66500</v>
      </c>
      <c r="J1881" s="252">
        <f t="shared" si="92"/>
        <v>71850</v>
      </c>
      <c r="K1881" s="252">
        <f t="shared" si="92"/>
        <v>77150</v>
      </c>
      <c r="L1881" s="252">
        <f t="shared" si="92"/>
        <v>82500</v>
      </c>
      <c r="M1881" s="252">
        <f t="shared" si="92"/>
        <v>87800</v>
      </c>
    </row>
    <row r="1882" spans="1:13" ht="21.95" customHeight="1" x14ac:dyDescent="0.25">
      <c r="A1882" s="36" t="s">
        <v>2904</v>
      </c>
      <c r="B1882" s="36" t="str">
        <f t="shared" si="91"/>
        <v>OR_CORVALLIS, OR MSA</v>
      </c>
      <c r="D1882" s="265" t="s">
        <v>70</v>
      </c>
      <c r="E1882" s="266" t="s">
        <v>4650</v>
      </c>
      <c r="F1882" s="252">
        <f t="shared" si="92"/>
        <v>66050</v>
      </c>
      <c r="G1882" s="252">
        <f t="shared" si="92"/>
        <v>75450</v>
      </c>
      <c r="H1882" s="252">
        <f t="shared" si="92"/>
        <v>84900</v>
      </c>
      <c r="I1882" s="252">
        <f t="shared" si="92"/>
        <v>94300</v>
      </c>
      <c r="J1882" s="252">
        <f t="shared" si="92"/>
        <v>101850</v>
      </c>
      <c r="K1882" s="252">
        <f t="shared" si="92"/>
        <v>109400</v>
      </c>
      <c r="L1882" s="252">
        <f t="shared" si="92"/>
        <v>116950</v>
      </c>
      <c r="M1882" s="252">
        <f t="shared" si="92"/>
        <v>124500</v>
      </c>
    </row>
    <row r="1883" spans="1:13" ht="21.95" customHeight="1" x14ac:dyDescent="0.25">
      <c r="A1883" s="36" t="s">
        <v>2904</v>
      </c>
      <c r="B1883" s="36" t="str">
        <f t="shared" si="91"/>
        <v>OR_CROOK COUNTY, OR HUD METRO FMR AREA</v>
      </c>
      <c r="D1883" s="265" t="s">
        <v>70</v>
      </c>
      <c r="E1883" s="266" t="s">
        <v>9242</v>
      </c>
      <c r="F1883" s="252">
        <f t="shared" si="92"/>
        <v>51100</v>
      </c>
      <c r="G1883" s="252">
        <f t="shared" si="92"/>
        <v>58400</v>
      </c>
      <c r="H1883" s="252">
        <f t="shared" si="92"/>
        <v>65700</v>
      </c>
      <c r="I1883" s="252">
        <f t="shared" si="92"/>
        <v>73000</v>
      </c>
      <c r="J1883" s="252">
        <f t="shared" si="92"/>
        <v>78850</v>
      </c>
      <c r="K1883" s="252">
        <f t="shared" si="92"/>
        <v>84700</v>
      </c>
      <c r="L1883" s="252">
        <f t="shared" si="92"/>
        <v>90550</v>
      </c>
      <c r="M1883" s="252">
        <f t="shared" si="92"/>
        <v>96400</v>
      </c>
    </row>
    <row r="1884" spans="1:13" ht="21.95" customHeight="1" x14ac:dyDescent="0.25">
      <c r="A1884" s="36" t="s">
        <v>2904</v>
      </c>
      <c r="B1884" s="36" t="str">
        <f t="shared" si="91"/>
        <v>OR_CURRY COUNTY, OR</v>
      </c>
      <c r="D1884" s="265" t="s">
        <v>70</v>
      </c>
      <c r="E1884" s="266" t="s">
        <v>4651</v>
      </c>
      <c r="F1884" s="252">
        <f t="shared" si="92"/>
        <v>45600</v>
      </c>
      <c r="G1884" s="252">
        <f t="shared" si="92"/>
        <v>52100</v>
      </c>
      <c r="H1884" s="252">
        <f t="shared" si="92"/>
        <v>58600</v>
      </c>
      <c r="I1884" s="252">
        <f t="shared" si="92"/>
        <v>65100</v>
      </c>
      <c r="J1884" s="252">
        <f t="shared" si="92"/>
        <v>70350</v>
      </c>
      <c r="K1884" s="252">
        <f t="shared" si="92"/>
        <v>75550</v>
      </c>
      <c r="L1884" s="252">
        <f t="shared" si="92"/>
        <v>80750</v>
      </c>
      <c r="M1884" s="252">
        <f t="shared" si="92"/>
        <v>85950</v>
      </c>
    </row>
    <row r="1885" spans="1:13" ht="21.95" customHeight="1" x14ac:dyDescent="0.25">
      <c r="A1885" s="36" t="s">
        <v>2904</v>
      </c>
      <c r="B1885" s="36" t="str">
        <f t="shared" si="91"/>
        <v>OR_DOUGLAS COUNTY, OR</v>
      </c>
      <c r="D1885" s="265" t="s">
        <v>70</v>
      </c>
      <c r="E1885" s="266" t="s">
        <v>4652</v>
      </c>
      <c r="F1885" s="252">
        <f t="shared" si="92"/>
        <v>46850</v>
      </c>
      <c r="G1885" s="252">
        <f t="shared" si="92"/>
        <v>53550</v>
      </c>
      <c r="H1885" s="252">
        <f t="shared" si="92"/>
        <v>60250</v>
      </c>
      <c r="I1885" s="252">
        <f t="shared" si="92"/>
        <v>66900</v>
      </c>
      <c r="J1885" s="252">
        <f t="shared" si="92"/>
        <v>72300</v>
      </c>
      <c r="K1885" s="252">
        <f t="shared" si="92"/>
        <v>77650</v>
      </c>
      <c r="L1885" s="252">
        <f t="shared" si="92"/>
        <v>83000</v>
      </c>
      <c r="M1885" s="252">
        <f t="shared" si="92"/>
        <v>88350</v>
      </c>
    </row>
    <row r="1886" spans="1:13" ht="21.95" customHeight="1" x14ac:dyDescent="0.25">
      <c r="A1886" s="36" t="s">
        <v>2904</v>
      </c>
      <c r="B1886" s="36" t="str">
        <f t="shared" si="91"/>
        <v>OR_EUGENE-SPRINGFIELD, OR MSA</v>
      </c>
      <c r="D1886" s="265" t="s">
        <v>70</v>
      </c>
      <c r="E1886" s="266" t="s">
        <v>4653</v>
      </c>
      <c r="F1886" s="252">
        <f t="shared" si="92"/>
        <v>51350</v>
      </c>
      <c r="G1886" s="252">
        <f t="shared" si="92"/>
        <v>58700</v>
      </c>
      <c r="H1886" s="252">
        <f t="shared" si="92"/>
        <v>66050</v>
      </c>
      <c r="I1886" s="252">
        <f t="shared" si="92"/>
        <v>73350</v>
      </c>
      <c r="J1886" s="252">
        <f t="shared" si="92"/>
        <v>79250</v>
      </c>
      <c r="K1886" s="252">
        <f t="shared" si="92"/>
        <v>85100</v>
      </c>
      <c r="L1886" s="252">
        <f t="shared" si="92"/>
        <v>91000</v>
      </c>
      <c r="M1886" s="252">
        <f t="shared" si="92"/>
        <v>96850</v>
      </c>
    </row>
    <row r="1887" spans="1:13" ht="21.95" customHeight="1" x14ac:dyDescent="0.25">
      <c r="A1887" s="36" t="s">
        <v>2904</v>
      </c>
      <c r="B1887" s="36" t="str">
        <f t="shared" si="91"/>
        <v>OR_GILLIAM COUNTY, OR</v>
      </c>
      <c r="D1887" s="265" t="s">
        <v>70</v>
      </c>
      <c r="E1887" s="266" t="s">
        <v>4654</v>
      </c>
      <c r="F1887" s="252">
        <f t="shared" si="92"/>
        <v>46400</v>
      </c>
      <c r="G1887" s="252">
        <f t="shared" si="92"/>
        <v>53000</v>
      </c>
      <c r="H1887" s="252">
        <f t="shared" si="92"/>
        <v>59650</v>
      </c>
      <c r="I1887" s="252">
        <f t="shared" si="92"/>
        <v>66250</v>
      </c>
      <c r="J1887" s="252">
        <f t="shared" si="92"/>
        <v>71550</v>
      </c>
      <c r="K1887" s="252">
        <f t="shared" si="92"/>
        <v>76850</v>
      </c>
      <c r="L1887" s="252">
        <f t="shared" si="92"/>
        <v>82150</v>
      </c>
      <c r="M1887" s="252">
        <f t="shared" si="92"/>
        <v>87450</v>
      </c>
    </row>
    <row r="1888" spans="1:13" ht="21.95" customHeight="1" x14ac:dyDescent="0.25">
      <c r="A1888" s="36" t="s">
        <v>2904</v>
      </c>
      <c r="B1888" s="36" t="str">
        <f t="shared" si="91"/>
        <v>OR_GRANT COUNTY, OR</v>
      </c>
      <c r="D1888" s="265" t="s">
        <v>70</v>
      </c>
      <c r="E1888" s="266" t="s">
        <v>4655</v>
      </c>
      <c r="F1888" s="252">
        <f t="shared" si="92"/>
        <v>45600</v>
      </c>
      <c r="G1888" s="252">
        <f t="shared" si="92"/>
        <v>52100</v>
      </c>
      <c r="H1888" s="252">
        <f t="shared" si="92"/>
        <v>58600</v>
      </c>
      <c r="I1888" s="252">
        <f t="shared" si="92"/>
        <v>65100</v>
      </c>
      <c r="J1888" s="252">
        <f t="shared" si="92"/>
        <v>70350</v>
      </c>
      <c r="K1888" s="252">
        <f t="shared" si="92"/>
        <v>75550</v>
      </c>
      <c r="L1888" s="252">
        <f t="shared" si="92"/>
        <v>80750</v>
      </c>
      <c r="M1888" s="252">
        <f t="shared" si="92"/>
        <v>85950</v>
      </c>
    </row>
    <row r="1889" spans="1:13" ht="21.95" customHeight="1" x14ac:dyDescent="0.25">
      <c r="A1889" s="36" t="s">
        <v>2904</v>
      </c>
      <c r="B1889" s="36" t="str">
        <f t="shared" si="91"/>
        <v>OR_GRANTS PASS, OR MSA</v>
      </c>
      <c r="D1889" s="265" t="s">
        <v>70</v>
      </c>
      <c r="E1889" s="266" t="s">
        <v>4656</v>
      </c>
      <c r="F1889" s="252">
        <f t="shared" si="92"/>
        <v>47500</v>
      </c>
      <c r="G1889" s="252">
        <f t="shared" si="92"/>
        <v>54300</v>
      </c>
      <c r="H1889" s="252">
        <f t="shared" si="92"/>
        <v>61100</v>
      </c>
      <c r="I1889" s="252">
        <f t="shared" si="92"/>
        <v>67850</v>
      </c>
      <c r="J1889" s="252">
        <f t="shared" si="92"/>
        <v>73300</v>
      </c>
      <c r="K1889" s="252">
        <f t="shared" si="92"/>
        <v>78750</v>
      </c>
      <c r="L1889" s="252">
        <f t="shared" si="92"/>
        <v>84150</v>
      </c>
      <c r="M1889" s="252">
        <f t="shared" si="92"/>
        <v>89600</v>
      </c>
    </row>
    <row r="1890" spans="1:13" ht="21.95" customHeight="1" x14ac:dyDescent="0.25">
      <c r="A1890" s="36" t="s">
        <v>2904</v>
      </c>
      <c r="B1890" s="36" t="str">
        <f t="shared" si="91"/>
        <v>OR_HARNEY COUNTY, OR</v>
      </c>
      <c r="D1890" s="265" t="s">
        <v>70</v>
      </c>
      <c r="E1890" s="266" t="s">
        <v>4657</v>
      </c>
      <c r="F1890" s="252">
        <f t="shared" si="92"/>
        <v>45600</v>
      </c>
      <c r="G1890" s="252">
        <f t="shared" si="92"/>
        <v>52100</v>
      </c>
      <c r="H1890" s="252">
        <f t="shared" si="92"/>
        <v>58600</v>
      </c>
      <c r="I1890" s="252">
        <f t="shared" si="92"/>
        <v>65100</v>
      </c>
      <c r="J1890" s="252">
        <f t="shared" si="92"/>
        <v>70350</v>
      </c>
      <c r="K1890" s="252">
        <f t="shared" si="92"/>
        <v>75550</v>
      </c>
      <c r="L1890" s="252">
        <f t="shared" si="92"/>
        <v>80750</v>
      </c>
      <c r="M1890" s="252">
        <f t="shared" ref="F1890:M1922" si="93">VLOOKUP($B1890,LOOKUP_AMI_TABLE,5+((M$7-1)),FALSE)</f>
        <v>85950</v>
      </c>
    </row>
    <row r="1891" spans="1:13" ht="21.95" customHeight="1" x14ac:dyDescent="0.25">
      <c r="A1891" s="36" t="s">
        <v>2904</v>
      </c>
      <c r="B1891" s="36" t="str">
        <f t="shared" si="91"/>
        <v>OR_HOOD RIVER COUNTY, OR</v>
      </c>
      <c r="D1891" s="265" t="s">
        <v>70</v>
      </c>
      <c r="E1891" s="266" t="s">
        <v>4658</v>
      </c>
      <c r="F1891" s="252">
        <f t="shared" si="93"/>
        <v>59850</v>
      </c>
      <c r="G1891" s="252">
        <f t="shared" si="93"/>
        <v>68400</v>
      </c>
      <c r="H1891" s="252">
        <f t="shared" si="93"/>
        <v>76950</v>
      </c>
      <c r="I1891" s="252">
        <f t="shared" si="93"/>
        <v>85500</v>
      </c>
      <c r="J1891" s="252">
        <f t="shared" si="93"/>
        <v>92350</v>
      </c>
      <c r="K1891" s="252">
        <f t="shared" si="93"/>
        <v>99200</v>
      </c>
      <c r="L1891" s="252">
        <f t="shared" si="93"/>
        <v>106050</v>
      </c>
      <c r="M1891" s="252">
        <f t="shared" si="93"/>
        <v>112900</v>
      </c>
    </row>
    <row r="1892" spans="1:13" ht="21.95" customHeight="1" x14ac:dyDescent="0.25">
      <c r="A1892" s="36" t="s">
        <v>2904</v>
      </c>
      <c r="B1892" s="36" t="str">
        <f t="shared" si="91"/>
        <v>OR_JEFFERSON COUNTY, OR HUD METRO FMR AREA</v>
      </c>
      <c r="D1892" s="265" t="s">
        <v>70</v>
      </c>
      <c r="E1892" s="266" t="s">
        <v>9244</v>
      </c>
      <c r="F1892" s="252">
        <f t="shared" si="93"/>
        <v>47500</v>
      </c>
      <c r="G1892" s="252">
        <f t="shared" si="93"/>
        <v>54300</v>
      </c>
      <c r="H1892" s="252">
        <f t="shared" si="93"/>
        <v>61100</v>
      </c>
      <c r="I1892" s="252">
        <f t="shared" si="93"/>
        <v>67850</v>
      </c>
      <c r="J1892" s="252">
        <f t="shared" si="93"/>
        <v>73300</v>
      </c>
      <c r="K1892" s="252">
        <f t="shared" si="93"/>
        <v>78750</v>
      </c>
      <c r="L1892" s="252">
        <f t="shared" si="93"/>
        <v>84150</v>
      </c>
      <c r="M1892" s="252">
        <f t="shared" si="93"/>
        <v>89600</v>
      </c>
    </row>
    <row r="1893" spans="1:13" ht="21.95" customHeight="1" x14ac:dyDescent="0.25">
      <c r="A1893" s="36" t="s">
        <v>2904</v>
      </c>
      <c r="B1893" s="36" t="str">
        <f t="shared" si="91"/>
        <v>OR_KLAMATH COUNTY, OR</v>
      </c>
      <c r="D1893" s="265" t="s">
        <v>70</v>
      </c>
      <c r="E1893" s="266" t="s">
        <v>4659</v>
      </c>
      <c r="F1893" s="252">
        <f t="shared" si="93"/>
        <v>45600</v>
      </c>
      <c r="G1893" s="252">
        <f t="shared" si="93"/>
        <v>52100</v>
      </c>
      <c r="H1893" s="252">
        <f t="shared" si="93"/>
        <v>58600</v>
      </c>
      <c r="I1893" s="252">
        <f t="shared" si="93"/>
        <v>65100</v>
      </c>
      <c r="J1893" s="252">
        <f t="shared" si="93"/>
        <v>70350</v>
      </c>
      <c r="K1893" s="252">
        <f t="shared" si="93"/>
        <v>75550</v>
      </c>
      <c r="L1893" s="252">
        <f t="shared" si="93"/>
        <v>80750</v>
      </c>
      <c r="M1893" s="252">
        <f t="shared" si="93"/>
        <v>85950</v>
      </c>
    </row>
    <row r="1894" spans="1:13" ht="21.95" customHeight="1" x14ac:dyDescent="0.25">
      <c r="A1894" s="36" t="s">
        <v>2904</v>
      </c>
      <c r="B1894" s="36" t="str">
        <f t="shared" si="91"/>
        <v>OR_LAKE COUNTY, OR</v>
      </c>
      <c r="D1894" s="265" t="s">
        <v>70</v>
      </c>
      <c r="E1894" s="266" t="s">
        <v>4660</v>
      </c>
      <c r="F1894" s="252">
        <f t="shared" si="93"/>
        <v>49500</v>
      </c>
      <c r="G1894" s="252">
        <f t="shared" si="93"/>
        <v>56550</v>
      </c>
      <c r="H1894" s="252">
        <f t="shared" si="93"/>
        <v>63600</v>
      </c>
      <c r="I1894" s="252">
        <f t="shared" si="93"/>
        <v>70650</v>
      </c>
      <c r="J1894" s="252">
        <f t="shared" si="93"/>
        <v>76350</v>
      </c>
      <c r="K1894" s="252">
        <f t="shared" si="93"/>
        <v>82000</v>
      </c>
      <c r="L1894" s="252">
        <f t="shared" si="93"/>
        <v>87650</v>
      </c>
      <c r="M1894" s="252">
        <f t="shared" si="93"/>
        <v>93300</v>
      </c>
    </row>
    <row r="1895" spans="1:13" ht="21.95" customHeight="1" x14ac:dyDescent="0.25">
      <c r="A1895" s="36" t="s">
        <v>2904</v>
      </c>
      <c r="B1895" s="36" t="str">
        <f t="shared" si="91"/>
        <v>OR_LINCOLN COUNTY, OR</v>
      </c>
      <c r="D1895" s="265" t="s">
        <v>70</v>
      </c>
      <c r="E1895" s="266" t="s">
        <v>4661</v>
      </c>
      <c r="F1895" s="252">
        <f t="shared" si="93"/>
        <v>46300</v>
      </c>
      <c r="G1895" s="252">
        <f t="shared" si="93"/>
        <v>52900</v>
      </c>
      <c r="H1895" s="252">
        <f t="shared" si="93"/>
        <v>59500</v>
      </c>
      <c r="I1895" s="252">
        <f t="shared" si="93"/>
        <v>66100</v>
      </c>
      <c r="J1895" s="252">
        <f t="shared" si="93"/>
        <v>71400</v>
      </c>
      <c r="K1895" s="252">
        <f t="shared" si="93"/>
        <v>76700</v>
      </c>
      <c r="L1895" s="252">
        <f t="shared" si="93"/>
        <v>82000</v>
      </c>
      <c r="M1895" s="252">
        <f t="shared" si="93"/>
        <v>87300</v>
      </c>
    </row>
    <row r="1896" spans="1:13" ht="21.95" customHeight="1" x14ac:dyDescent="0.25">
      <c r="A1896" s="36" t="s">
        <v>2904</v>
      </c>
      <c r="B1896" s="36" t="str">
        <f t="shared" si="91"/>
        <v>OR_MALHEUR COUNTY, OR</v>
      </c>
      <c r="D1896" s="265" t="s">
        <v>70</v>
      </c>
      <c r="E1896" s="266" t="s">
        <v>4662</v>
      </c>
      <c r="F1896" s="252">
        <f t="shared" si="93"/>
        <v>45600</v>
      </c>
      <c r="G1896" s="252">
        <f t="shared" si="93"/>
        <v>52100</v>
      </c>
      <c r="H1896" s="252">
        <f t="shared" si="93"/>
        <v>58600</v>
      </c>
      <c r="I1896" s="252">
        <f t="shared" si="93"/>
        <v>65100</v>
      </c>
      <c r="J1896" s="252">
        <f t="shared" si="93"/>
        <v>70350</v>
      </c>
      <c r="K1896" s="252">
        <f t="shared" si="93"/>
        <v>75550</v>
      </c>
      <c r="L1896" s="252">
        <f t="shared" si="93"/>
        <v>80750</v>
      </c>
      <c r="M1896" s="252">
        <f t="shared" si="93"/>
        <v>85950</v>
      </c>
    </row>
    <row r="1897" spans="1:13" ht="21.95" customHeight="1" x14ac:dyDescent="0.25">
      <c r="A1897" s="36" t="s">
        <v>2904</v>
      </c>
      <c r="B1897" s="36" t="str">
        <f t="shared" si="91"/>
        <v>OR_MEDFORD, OR MSA</v>
      </c>
      <c r="D1897" s="265" t="s">
        <v>70</v>
      </c>
      <c r="E1897" s="266" t="s">
        <v>4663</v>
      </c>
      <c r="F1897" s="252">
        <f t="shared" si="93"/>
        <v>51750</v>
      </c>
      <c r="G1897" s="252">
        <f t="shared" si="93"/>
        <v>59150</v>
      </c>
      <c r="H1897" s="252">
        <f t="shared" si="93"/>
        <v>66550</v>
      </c>
      <c r="I1897" s="252">
        <f t="shared" si="93"/>
        <v>73900</v>
      </c>
      <c r="J1897" s="252">
        <f t="shared" si="93"/>
        <v>79850</v>
      </c>
      <c r="K1897" s="252">
        <f t="shared" si="93"/>
        <v>85750</v>
      </c>
      <c r="L1897" s="252">
        <f t="shared" si="93"/>
        <v>91650</v>
      </c>
      <c r="M1897" s="252">
        <f t="shared" si="93"/>
        <v>97550</v>
      </c>
    </row>
    <row r="1898" spans="1:13" ht="21.95" customHeight="1" x14ac:dyDescent="0.25">
      <c r="A1898" s="36" t="s">
        <v>2904</v>
      </c>
      <c r="B1898" s="36" t="str">
        <f t="shared" si="91"/>
        <v>OR_MORROW COUNTY, OR</v>
      </c>
      <c r="D1898" s="265" t="s">
        <v>70</v>
      </c>
      <c r="E1898" s="266" t="s">
        <v>4664</v>
      </c>
      <c r="F1898" s="252">
        <f t="shared" si="93"/>
        <v>48100</v>
      </c>
      <c r="G1898" s="252">
        <f t="shared" si="93"/>
        <v>55000</v>
      </c>
      <c r="H1898" s="252">
        <f t="shared" si="93"/>
        <v>61850</v>
      </c>
      <c r="I1898" s="252">
        <f t="shared" si="93"/>
        <v>68700</v>
      </c>
      <c r="J1898" s="252">
        <f t="shared" si="93"/>
        <v>74200</v>
      </c>
      <c r="K1898" s="252">
        <f t="shared" si="93"/>
        <v>79700</v>
      </c>
      <c r="L1898" s="252">
        <f t="shared" si="93"/>
        <v>85200</v>
      </c>
      <c r="M1898" s="252">
        <f t="shared" si="93"/>
        <v>90700</v>
      </c>
    </row>
    <row r="1899" spans="1:13" ht="21.95" customHeight="1" x14ac:dyDescent="0.25">
      <c r="A1899" s="36" t="s">
        <v>2904</v>
      </c>
      <c r="B1899" s="36" t="str">
        <f t="shared" si="91"/>
        <v>OR_PORTLAND-VANCOUVER-HILLSBORO, OR-WA MSA</v>
      </c>
      <c r="D1899" s="265" t="s">
        <v>70</v>
      </c>
      <c r="E1899" s="266" t="s">
        <v>4665</v>
      </c>
      <c r="F1899" s="252">
        <f t="shared" si="93"/>
        <v>69550</v>
      </c>
      <c r="G1899" s="252">
        <f t="shared" si="93"/>
        <v>79450</v>
      </c>
      <c r="H1899" s="252">
        <f t="shared" si="93"/>
        <v>89400</v>
      </c>
      <c r="I1899" s="252">
        <f t="shared" si="93"/>
        <v>99300</v>
      </c>
      <c r="J1899" s="252">
        <f t="shared" si="93"/>
        <v>107250</v>
      </c>
      <c r="K1899" s="252">
        <f t="shared" si="93"/>
        <v>115200</v>
      </c>
      <c r="L1899" s="252">
        <f t="shared" si="93"/>
        <v>123150</v>
      </c>
      <c r="M1899" s="252">
        <f t="shared" si="93"/>
        <v>131100</v>
      </c>
    </row>
    <row r="1900" spans="1:13" ht="21.95" customHeight="1" x14ac:dyDescent="0.25">
      <c r="A1900" s="36" t="s">
        <v>2904</v>
      </c>
      <c r="B1900" s="36" t="str">
        <f t="shared" si="91"/>
        <v>OR_SALEM, OR MSA</v>
      </c>
      <c r="D1900" s="265" t="s">
        <v>70</v>
      </c>
      <c r="E1900" s="266" t="s">
        <v>4666</v>
      </c>
      <c r="F1900" s="252">
        <f t="shared" si="93"/>
        <v>51900</v>
      </c>
      <c r="G1900" s="252">
        <f t="shared" si="93"/>
        <v>59300</v>
      </c>
      <c r="H1900" s="252">
        <f t="shared" si="93"/>
        <v>66700</v>
      </c>
      <c r="I1900" s="252">
        <f t="shared" si="93"/>
        <v>74100</v>
      </c>
      <c r="J1900" s="252">
        <f t="shared" si="93"/>
        <v>80050</v>
      </c>
      <c r="K1900" s="252">
        <f t="shared" si="93"/>
        <v>86000</v>
      </c>
      <c r="L1900" s="252">
        <f t="shared" si="93"/>
        <v>91900</v>
      </c>
      <c r="M1900" s="252">
        <f t="shared" si="93"/>
        <v>97850</v>
      </c>
    </row>
    <row r="1901" spans="1:13" ht="21.95" customHeight="1" x14ac:dyDescent="0.25">
      <c r="A1901" s="36" t="s">
        <v>2904</v>
      </c>
      <c r="B1901" s="36" t="str">
        <f t="shared" si="91"/>
        <v>OR_SHERMAN COUNTY, OR</v>
      </c>
      <c r="D1901" s="265" t="s">
        <v>70</v>
      </c>
      <c r="E1901" s="266" t="s">
        <v>4667</v>
      </c>
      <c r="F1901" s="252">
        <f t="shared" si="93"/>
        <v>46900</v>
      </c>
      <c r="G1901" s="252">
        <f t="shared" si="93"/>
        <v>53600</v>
      </c>
      <c r="H1901" s="252">
        <f t="shared" si="93"/>
        <v>60300</v>
      </c>
      <c r="I1901" s="252">
        <f t="shared" si="93"/>
        <v>66950</v>
      </c>
      <c r="J1901" s="252">
        <f t="shared" si="93"/>
        <v>72350</v>
      </c>
      <c r="K1901" s="252">
        <f t="shared" si="93"/>
        <v>77700</v>
      </c>
      <c r="L1901" s="252">
        <f t="shared" si="93"/>
        <v>83050</v>
      </c>
      <c r="M1901" s="252">
        <f t="shared" si="93"/>
        <v>88400</v>
      </c>
    </row>
    <row r="1902" spans="1:13" ht="21.95" customHeight="1" x14ac:dyDescent="0.25">
      <c r="A1902" s="36" t="s">
        <v>2904</v>
      </c>
      <c r="B1902" s="36" t="str">
        <f t="shared" si="91"/>
        <v>OR_TILLAMOOK COUNTY, OR</v>
      </c>
      <c r="D1902" s="265" t="s">
        <v>70</v>
      </c>
      <c r="E1902" s="266" t="s">
        <v>4668</v>
      </c>
      <c r="F1902" s="252">
        <f t="shared" si="93"/>
        <v>46800</v>
      </c>
      <c r="G1902" s="252">
        <f t="shared" si="93"/>
        <v>53450</v>
      </c>
      <c r="H1902" s="252">
        <f t="shared" si="93"/>
        <v>60150</v>
      </c>
      <c r="I1902" s="252">
        <f t="shared" si="93"/>
        <v>66800</v>
      </c>
      <c r="J1902" s="252">
        <f t="shared" si="93"/>
        <v>72150</v>
      </c>
      <c r="K1902" s="252">
        <f t="shared" si="93"/>
        <v>77500</v>
      </c>
      <c r="L1902" s="252">
        <f t="shared" si="93"/>
        <v>82850</v>
      </c>
      <c r="M1902" s="252">
        <f t="shared" si="93"/>
        <v>88200</v>
      </c>
    </row>
    <row r="1903" spans="1:13" ht="21.95" customHeight="1" x14ac:dyDescent="0.25">
      <c r="A1903" s="36" t="s">
        <v>2904</v>
      </c>
      <c r="B1903" s="36" t="str">
        <f t="shared" si="91"/>
        <v>OR_UMATILLA COUNTY, OR</v>
      </c>
      <c r="D1903" s="265" t="s">
        <v>70</v>
      </c>
      <c r="E1903" s="266" t="s">
        <v>4669</v>
      </c>
      <c r="F1903" s="252">
        <f t="shared" si="93"/>
        <v>45600</v>
      </c>
      <c r="G1903" s="252">
        <f t="shared" si="93"/>
        <v>52100</v>
      </c>
      <c r="H1903" s="252">
        <f t="shared" si="93"/>
        <v>58600</v>
      </c>
      <c r="I1903" s="252">
        <f t="shared" si="93"/>
        <v>65100</v>
      </c>
      <c r="J1903" s="252">
        <f t="shared" si="93"/>
        <v>70350</v>
      </c>
      <c r="K1903" s="252">
        <f t="shared" si="93"/>
        <v>75550</v>
      </c>
      <c r="L1903" s="252">
        <f t="shared" si="93"/>
        <v>80750</v>
      </c>
      <c r="M1903" s="252">
        <f t="shared" si="93"/>
        <v>85950</v>
      </c>
    </row>
    <row r="1904" spans="1:13" ht="21.95" customHeight="1" x14ac:dyDescent="0.25">
      <c r="A1904" s="36" t="s">
        <v>2904</v>
      </c>
      <c r="B1904" s="36" t="str">
        <f t="shared" si="91"/>
        <v>OR_UNION COUNTY, OR</v>
      </c>
      <c r="D1904" s="265" t="s">
        <v>70</v>
      </c>
      <c r="E1904" s="266" t="s">
        <v>4670</v>
      </c>
      <c r="F1904" s="252">
        <f t="shared" si="93"/>
        <v>46400</v>
      </c>
      <c r="G1904" s="252">
        <f t="shared" si="93"/>
        <v>53000</v>
      </c>
      <c r="H1904" s="252">
        <f t="shared" si="93"/>
        <v>59650</v>
      </c>
      <c r="I1904" s="252">
        <f t="shared" si="93"/>
        <v>66250</v>
      </c>
      <c r="J1904" s="252">
        <f t="shared" si="93"/>
        <v>71550</v>
      </c>
      <c r="K1904" s="252">
        <f t="shared" si="93"/>
        <v>76850</v>
      </c>
      <c r="L1904" s="252">
        <f t="shared" si="93"/>
        <v>82150</v>
      </c>
      <c r="M1904" s="252">
        <f t="shared" si="93"/>
        <v>87450</v>
      </c>
    </row>
    <row r="1905" spans="1:13" ht="21.95" customHeight="1" x14ac:dyDescent="0.25">
      <c r="A1905" s="36" t="s">
        <v>2904</v>
      </c>
      <c r="B1905" s="36" t="str">
        <f t="shared" si="91"/>
        <v>OR_WALLOWA COUNTY, OR</v>
      </c>
      <c r="D1905" s="265" t="s">
        <v>70</v>
      </c>
      <c r="E1905" s="266" t="s">
        <v>4671</v>
      </c>
      <c r="F1905" s="252">
        <f t="shared" si="93"/>
        <v>47350</v>
      </c>
      <c r="G1905" s="252">
        <f t="shared" si="93"/>
        <v>54100</v>
      </c>
      <c r="H1905" s="252">
        <f t="shared" si="93"/>
        <v>60850</v>
      </c>
      <c r="I1905" s="252">
        <f t="shared" si="93"/>
        <v>67600</v>
      </c>
      <c r="J1905" s="252">
        <f t="shared" si="93"/>
        <v>73050</v>
      </c>
      <c r="K1905" s="252">
        <f t="shared" si="93"/>
        <v>78450</v>
      </c>
      <c r="L1905" s="252">
        <f t="shared" si="93"/>
        <v>83850</v>
      </c>
      <c r="M1905" s="252">
        <f t="shared" si="93"/>
        <v>89250</v>
      </c>
    </row>
    <row r="1906" spans="1:13" ht="21.95" customHeight="1" x14ac:dyDescent="0.25">
      <c r="A1906" s="36" t="s">
        <v>2904</v>
      </c>
      <c r="B1906" s="36" t="str">
        <f t="shared" si="91"/>
        <v>OR_WASCO COUNTY, OR</v>
      </c>
      <c r="D1906" s="265" t="s">
        <v>70</v>
      </c>
      <c r="E1906" s="266" t="s">
        <v>4672</v>
      </c>
      <c r="F1906" s="252">
        <f t="shared" si="93"/>
        <v>51100</v>
      </c>
      <c r="G1906" s="252">
        <f t="shared" si="93"/>
        <v>58400</v>
      </c>
      <c r="H1906" s="252">
        <f t="shared" si="93"/>
        <v>65700</v>
      </c>
      <c r="I1906" s="252">
        <f t="shared" si="93"/>
        <v>73000</v>
      </c>
      <c r="J1906" s="252">
        <f t="shared" si="93"/>
        <v>78850</v>
      </c>
      <c r="K1906" s="252">
        <f t="shared" si="93"/>
        <v>84700</v>
      </c>
      <c r="L1906" s="252">
        <f t="shared" si="93"/>
        <v>90550</v>
      </c>
      <c r="M1906" s="252">
        <f t="shared" si="93"/>
        <v>96400</v>
      </c>
    </row>
    <row r="1907" spans="1:13" ht="21.95" customHeight="1" x14ac:dyDescent="0.25">
      <c r="A1907" s="36" t="s">
        <v>2904</v>
      </c>
      <c r="B1907" s="36" t="str">
        <f t="shared" si="91"/>
        <v>OR_WHEELER COUNTY, OR</v>
      </c>
      <c r="D1907" s="265" t="s">
        <v>70</v>
      </c>
      <c r="E1907" s="266" t="s">
        <v>4673</v>
      </c>
      <c r="F1907" s="252">
        <f t="shared" si="93"/>
        <v>45600</v>
      </c>
      <c r="G1907" s="252">
        <f t="shared" si="93"/>
        <v>52100</v>
      </c>
      <c r="H1907" s="252">
        <f t="shared" si="93"/>
        <v>58600</v>
      </c>
      <c r="I1907" s="252">
        <f t="shared" si="93"/>
        <v>65100</v>
      </c>
      <c r="J1907" s="252">
        <f t="shared" si="93"/>
        <v>70350</v>
      </c>
      <c r="K1907" s="252">
        <f t="shared" si="93"/>
        <v>75550</v>
      </c>
      <c r="L1907" s="252">
        <f t="shared" si="93"/>
        <v>80750</v>
      </c>
      <c r="M1907" s="252">
        <f t="shared" si="93"/>
        <v>85950</v>
      </c>
    </row>
    <row r="1908" spans="1:13" ht="21.95" customHeight="1" x14ac:dyDescent="0.25">
      <c r="A1908" s="36" t="s">
        <v>2904</v>
      </c>
      <c r="B1908" s="36" t="str">
        <f t="shared" si="91"/>
        <v>PA_ALLENTOWN-BETHLEHEM-EASTON, PA HUD METRO FMR AREA</v>
      </c>
      <c r="D1908" s="265" t="s">
        <v>69</v>
      </c>
      <c r="E1908" s="266" t="s">
        <v>4674</v>
      </c>
      <c r="F1908" s="252">
        <f t="shared" si="93"/>
        <v>56150</v>
      </c>
      <c r="G1908" s="252">
        <f t="shared" si="93"/>
        <v>64150</v>
      </c>
      <c r="H1908" s="252">
        <f t="shared" si="93"/>
        <v>72150</v>
      </c>
      <c r="I1908" s="252">
        <f t="shared" si="93"/>
        <v>80150</v>
      </c>
      <c r="J1908" s="252">
        <f t="shared" si="93"/>
        <v>86600</v>
      </c>
      <c r="K1908" s="252">
        <f t="shared" si="93"/>
        <v>93000</v>
      </c>
      <c r="L1908" s="252">
        <f t="shared" si="93"/>
        <v>99400</v>
      </c>
      <c r="M1908" s="252">
        <f t="shared" si="93"/>
        <v>105800</v>
      </c>
    </row>
    <row r="1909" spans="1:13" ht="21.95" customHeight="1" x14ac:dyDescent="0.25">
      <c r="A1909" s="36" t="s">
        <v>2904</v>
      </c>
      <c r="B1909" s="36" t="str">
        <f t="shared" si="91"/>
        <v>PA_ALTOONA, PA MSA</v>
      </c>
      <c r="D1909" s="265" t="s">
        <v>69</v>
      </c>
      <c r="E1909" s="266" t="s">
        <v>4675</v>
      </c>
      <c r="F1909" s="252">
        <f t="shared" si="93"/>
        <v>46950</v>
      </c>
      <c r="G1909" s="252">
        <f t="shared" si="93"/>
        <v>53650</v>
      </c>
      <c r="H1909" s="252">
        <f t="shared" si="93"/>
        <v>60350</v>
      </c>
      <c r="I1909" s="252">
        <f t="shared" si="93"/>
        <v>67050</v>
      </c>
      <c r="J1909" s="252">
        <f t="shared" si="93"/>
        <v>72450</v>
      </c>
      <c r="K1909" s="252">
        <f t="shared" si="93"/>
        <v>77800</v>
      </c>
      <c r="L1909" s="252">
        <f t="shared" si="93"/>
        <v>83150</v>
      </c>
      <c r="M1909" s="252">
        <f t="shared" si="93"/>
        <v>88550</v>
      </c>
    </row>
    <row r="1910" spans="1:13" ht="21.95" customHeight="1" x14ac:dyDescent="0.25">
      <c r="A1910" s="36" t="s">
        <v>2904</v>
      </c>
      <c r="B1910" s="36" t="str">
        <f t="shared" si="91"/>
        <v>PA_ARMSTRONG COUNTY, PA HUD METRO FMR AREA</v>
      </c>
      <c r="D1910" s="265" t="s">
        <v>69</v>
      </c>
      <c r="E1910" s="266" t="s">
        <v>4676</v>
      </c>
      <c r="F1910" s="252">
        <f t="shared" si="93"/>
        <v>46900</v>
      </c>
      <c r="G1910" s="252">
        <f t="shared" si="93"/>
        <v>53600</v>
      </c>
      <c r="H1910" s="252">
        <f t="shared" si="93"/>
        <v>60300</v>
      </c>
      <c r="I1910" s="252">
        <f t="shared" si="93"/>
        <v>66950</v>
      </c>
      <c r="J1910" s="252">
        <f t="shared" si="93"/>
        <v>72350</v>
      </c>
      <c r="K1910" s="252">
        <f t="shared" si="93"/>
        <v>77700</v>
      </c>
      <c r="L1910" s="252">
        <f t="shared" si="93"/>
        <v>83050</v>
      </c>
      <c r="M1910" s="252">
        <f t="shared" si="93"/>
        <v>88400</v>
      </c>
    </row>
    <row r="1911" spans="1:13" ht="21.95" customHeight="1" x14ac:dyDescent="0.25">
      <c r="A1911" s="36" t="s">
        <v>2904</v>
      </c>
      <c r="B1911" s="36" t="str">
        <f t="shared" si="91"/>
        <v>PA_BEDFORD COUNTY, PA</v>
      </c>
      <c r="D1911" s="265" t="s">
        <v>69</v>
      </c>
      <c r="E1911" s="266" t="s">
        <v>4677</v>
      </c>
      <c r="F1911" s="252">
        <f t="shared" si="93"/>
        <v>47450</v>
      </c>
      <c r="G1911" s="252">
        <f t="shared" si="93"/>
        <v>54200</v>
      </c>
      <c r="H1911" s="252">
        <f t="shared" si="93"/>
        <v>61000</v>
      </c>
      <c r="I1911" s="252">
        <f t="shared" si="93"/>
        <v>67750</v>
      </c>
      <c r="J1911" s="252">
        <f t="shared" si="93"/>
        <v>73200</v>
      </c>
      <c r="K1911" s="252">
        <f t="shared" si="93"/>
        <v>78600</v>
      </c>
      <c r="L1911" s="252">
        <f t="shared" si="93"/>
        <v>84050</v>
      </c>
      <c r="M1911" s="252">
        <f t="shared" si="93"/>
        <v>89450</v>
      </c>
    </row>
    <row r="1912" spans="1:13" ht="21.95" customHeight="1" x14ac:dyDescent="0.25">
      <c r="A1912" s="36" t="s">
        <v>2904</v>
      </c>
      <c r="B1912" s="36" t="str">
        <f t="shared" si="91"/>
        <v>PA_BRADFORD COUNTY, PA</v>
      </c>
      <c r="D1912" s="265" t="s">
        <v>69</v>
      </c>
      <c r="E1912" s="266" t="s">
        <v>4678</v>
      </c>
      <c r="F1912" s="252">
        <f t="shared" si="93"/>
        <v>48650</v>
      </c>
      <c r="G1912" s="252">
        <f t="shared" si="93"/>
        <v>55600</v>
      </c>
      <c r="H1912" s="252">
        <f t="shared" si="93"/>
        <v>62550</v>
      </c>
      <c r="I1912" s="252">
        <f t="shared" si="93"/>
        <v>69500</v>
      </c>
      <c r="J1912" s="252">
        <f t="shared" si="93"/>
        <v>75100</v>
      </c>
      <c r="K1912" s="252">
        <f t="shared" si="93"/>
        <v>80650</v>
      </c>
      <c r="L1912" s="252">
        <f t="shared" si="93"/>
        <v>86200</v>
      </c>
      <c r="M1912" s="252">
        <f t="shared" si="93"/>
        <v>91750</v>
      </c>
    </row>
    <row r="1913" spans="1:13" ht="21.95" customHeight="1" x14ac:dyDescent="0.25">
      <c r="A1913" s="36" t="s">
        <v>2904</v>
      </c>
      <c r="B1913" s="36" t="str">
        <f t="shared" si="91"/>
        <v>PA_CAMERON COUNTY, PA</v>
      </c>
      <c r="D1913" s="265" t="s">
        <v>69</v>
      </c>
      <c r="E1913" s="266" t="s">
        <v>4679</v>
      </c>
      <c r="F1913" s="252">
        <f t="shared" si="93"/>
        <v>46900</v>
      </c>
      <c r="G1913" s="252">
        <f t="shared" si="93"/>
        <v>53600</v>
      </c>
      <c r="H1913" s="252">
        <f t="shared" si="93"/>
        <v>60300</v>
      </c>
      <c r="I1913" s="252">
        <f t="shared" si="93"/>
        <v>66950</v>
      </c>
      <c r="J1913" s="252">
        <f t="shared" si="93"/>
        <v>72350</v>
      </c>
      <c r="K1913" s="252">
        <f t="shared" si="93"/>
        <v>77700</v>
      </c>
      <c r="L1913" s="252">
        <f t="shared" si="93"/>
        <v>83050</v>
      </c>
      <c r="M1913" s="252">
        <f t="shared" si="93"/>
        <v>88400</v>
      </c>
    </row>
    <row r="1914" spans="1:13" ht="21.95" customHeight="1" x14ac:dyDescent="0.25">
      <c r="A1914" s="36" t="s">
        <v>2904</v>
      </c>
      <c r="B1914" s="36" t="str">
        <f t="shared" si="91"/>
        <v>PA_CHAMBERSBURG, PA MSA</v>
      </c>
      <c r="D1914" s="265" t="s">
        <v>69</v>
      </c>
      <c r="E1914" s="266" t="s">
        <v>9246</v>
      </c>
      <c r="F1914" s="252">
        <f t="shared" si="93"/>
        <v>53500</v>
      </c>
      <c r="G1914" s="252">
        <f t="shared" si="93"/>
        <v>61150</v>
      </c>
      <c r="H1914" s="252">
        <f t="shared" si="93"/>
        <v>68800</v>
      </c>
      <c r="I1914" s="252">
        <f t="shared" si="93"/>
        <v>76400</v>
      </c>
      <c r="J1914" s="252">
        <f t="shared" si="93"/>
        <v>82550</v>
      </c>
      <c r="K1914" s="252">
        <f t="shared" si="93"/>
        <v>88650</v>
      </c>
      <c r="L1914" s="252">
        <f t="shared" si="93"/>
        <v>94750</v>
      </c>
      <c r="M1914" s="252">
        <f t="shared" si="93"/>
        <v>100850</v>
      </c>
    </row>
    <row r="1915" spans="1:13" ht="21.95" customHeight="1" x14ac:dyDescent="0.25">
      <c r="A1915" s="36" t="s">
        <v>2904</v>
      </c>
      <c r="B1915" s="36" t="str">
        <f t="shared" si="91"/>
        <v>PA_CLARION COUNTY, PA</v>
      </c>
      <c r="D1915" s="265" t="s">
        <v>69</v>
      </c>
      <c r="E1915" s="266" t="s">
        <v>4680</v>
      </c>
      <c r="F1915" s="252">
        <f t="shared" si="93"/>
        <v>48100</v>
      </c>
      <c r="G1915" s="252">
        <f t="shared" si="93"/>
        <v>54950</v>
      </c>
      <c r="H1915" s="252">
        <f t="shared" si="93"/>
        <v>61800</v>
      </c>
      <c r="I1915" s="252">
        <f t="shared" si="93"/>
        <v>68650</v>
      </c>
      <c r="J1915" s="252">
        <f t="shared" si="93"/>
        <v>74150</v>
      </c>
      <c r="K1915" s="252">
        <f t="shared" si="93"/>
        <v>79650</v>
      </c>
      <c r="L1915" s="252">
        <f t="shared" si="93"/>
        <v>85150</v>
      </c>
      <c r="M1915" s="252">
        <f t="shared" si="93"/>
        <v>90650</v>
      </c>
    </row>
    <row r="1916" spans="1:13" ht="21.95" customHeight="1" x14ac:dyDescent="0.25">
      <c r="A1916" s="36" t="s">
        <v>2904</v>
      </c>
      <c r="B1916" s="36" t="str">
        <f t="shared" ref="B1916:B1979" si="94">UPPER(TRIM(D1916)&amp;"_"&amp;TRIM(E1916))</f>
        <v>PA_CLEARFIELD COUNTY, PA</v>
      </c>
      <c r="D1916" s="265" t="s">
        <v>69</v>
      </c>
      <c r="E1916" s="266" t="s">
        <v>4681</v>
      </c>
      <c r="F1916" s="252">
        <f t="shared" si="93"/>
        <v>47250</v>
      </c>
      <c r="G1916" s="252">
        <f t="shared" si="93"/>
        <v>54000</v>
      </c>
      <c r="H1916" s="252">
        <f t="shared" si="93"/>
        <v>60750</v>
      </c>
      <c r="I1916" s="252">
        <f t="shared" si="93"/>
        <v>67500</v>
      </c>
      <c r="J1916" s="252">
        <f t="shared" si="93"/>
        <v>72900</v>
      </c>
      <c r="K1916" s="252">
        <f t="shared" si="93"/>
        <v>78300</v>
      </c>
      <c r="L1916" s="252">
        <f t="shared" si="93"/>
        <v>83700</v>
      </c>
      <c r="M1916" s="252">
        <f t="shared" si="93"/>
        <v>89100</v>
      </c>
    </row>
    <row r="1917" spans="1:13" ht="21.95" customHeight="1" x14ac:dyDescent="0.25">
      <c r="A1917" s="36" t="s">
        <v>2904</v>
      </c>
      <c r="B1917" s="36" t="str">
        <f t="shared" si="94"/>
        <v>PA_CLINTON COUNTY, PA</v>
      </c>
      <c r="D1917" s="265" t="s">
        <v>69</v>
      </c>
      <c r="E1917" s="266" t="s">
        <v>4682</v>
      </c>
      <c r="F1917" s="252">
        <f t="shared" si="93"/>
        <v>46900</v>
      </c>
      <c r="G1917" s="252">
        <f t="shared" si="93"/>
        <v>53600</v>
      </c>
      <c r="H1917" s="252">
        <f t="shared" si="93"/>
        <v>60300</v>
      </c>
      <c r="I1917" s="252">
        <f t="shared" si="93"/>
        <v>66950</v>
      </c>
      <c r="J1917" s="252">
        <f t="shared" si="93"/>
        <v>72350</v>
      </c>
      <c r="K1917" s="252">
        <f t="shared" si="93"/>
        <v>77700</v>
      </c>
      <c r="L1917" s="252">
        <f t="shared" si="93"/>
        <v>83050</v>
      </c>
      <c r="M1917" s="252">
        <f t="shared" si="93"/>
        <v>88400</v>
      </c>
    </row>
    <row r="1918" spans="1:13" ht="21.95" customHeight="1" x14ac:dyDescent="0.25">
      <c r="A1918" s="36" t="s">
        <v>2904</v>
      </c>
      <c r="B1918" s="36" t="str">
        <f t="shared" si="94"/>
        <v>PA_COLUMBIA COUNTY, PA</v>
      </c>
      <c r="D1918" s="265" t="s">
        <v>69</v>
      </c>
      <c r="E1918" s="266" t="s">
        <v>9245</v>
      </c>
      <c r="F1918" s="252">
        <f t="shared" si="93"/>
        <v>47250</v>
      </c>
      <c r="G1918" s="252">
        <f t="shared" si="93"/>
        <v>54000</v>
      </c>
      <c r="H1918" s="252">
        <f t="shared" si="93"/>
        <v>60750</v>
      </c>
      <c r="I1918" s="252">
        <f t="shared" si="93"/>
        <v>67450</v>
      </c>
      <c r="J1918" s="252">
        <f t="shared" si="93"/>
        <v>72850</v>
      </c>
      <c r="K1918" s="252">
        <f t="shared" si="93"/>
        <v>78250</v>
      </c>
      <c r="L1918" s="252">
        <f t="shared" si="93"/>
        <v>83650</v>
      </c>
      <c r="M1918" s="252">
        <f t="shared" si="93"/>
        <v>89050</v>
      </c>
    </row>
    <row r="1919" spans="1:13" ht="21.95" customHeight="1" x14ac:dyDescent="0.25">
      <c r="A1919" s="36" t="s">
        <v>2904</v>
      </c>
      <c r="B1919" s="36" t="str">
        <f t="shared" si="94"/>
        <v>PA_CRAWFORD COUNTY, PA</v>
      </c>
      <c r="D1919" s="265" t="s">
        <v>69</v>
      </c>
      <c r="E1919" s="266" t="s">
        <v>4683</v>
      </c>
      <c r="F1919" s="252">
        <f t="shared" si="93"/>
        <v>46900</v>
      </c>
      <c r="G1919" s="252">
        <f t="shared" si="93"/>
        <v>53600</v>
      </c>
      <c r="H1919" s="252">
        <f t="shared" si="93"/>
        <v>60300</v>
      </c>
      <c r="I1919" s="252">
        <f t="shared" si="93"/>
        <v>66950</v>
      </c>
      <c r="J1919" s="252">
        <f t="shared" si="93"/>
        <v>72350</v>
      </c>
      <c r="K1919" s="252">
        <f t="shared" si="93"/>
        <v>77700</v>
      </c>
      <c r="L1919" s="252">
        <f t="shared" si="93"/>
        <v>83050</v>
      </c>
      <c r="M1919" s="252">
        <f t="shared" si="93"/>
        <v>88400</v>
      </c>
    </row>
    <row r="1920" spans="1:13" ht="21.95" customHeight="1" x14ac:dyDescent="0.25">
      <c r="A1920" s="36" t="s">
        <v>2904</v>
      </c>
      <c r="B1920" s="36" t="str">
        <f t="shared" si="94"/>
        <v>PA_ELK COUNTY, PA</v>
      </c>
      <c r="D1920" s="265" t="s">
        <v>69</v>
      </c>
      <c r="E1920" s="266" t="s">
        <v>4684</v>
      </c>
      <c r="F1920" s="252">
        <f t="shared" si="93"/>
        <v>50350</v>
      </c>
      <c r="G1920" s="252">
        <f t="shared" si="93"/>
        <v>57550</v>
      </c>
      <c r="H1920" s="252">
        <f t="shared" si="93"/>
        <v>64750</v>
      </c>
      <c r="I1920" s="252">
        <f t="shared" si="93"/>
        <v>71900</v>
      </c>
      <c r="J1920" s="252">
        <f t="shared" si="93"/>
        <v>77700</v>
      </c>
      <c r="K1920" s="252">
        <f t="shared" si="93"/>
        <v>83450</v>
      </c>
      <c r="L1920" s="252">
        <f t="shared" si="93"/>
        <v>89200</v>
      </c>
      <c r="M1920" s="252">
        <f t="shared" si="93"/>
        <v>94950</v>
      </c>
    </row>
    <row r="1921" spans="1:13" ht="21.95" customHeight="1" x14ac:dyDescent="0.25">
      <c r="A1921" s="36" t="s">
        <v>2904</v>
      </c>
      <c r="B1921" s="36" t="str">
        <f t="shared" si="94"/>
        <v>PA_ERIE, PA MSA</v>
      </c>
      <c r="D1921" s="265" t="s">
        <v>69</v>
      </c>
      <c r="E1921" s="266" t="s">
        <v>4685</v>
      </c>
      <c r="F1921" s="252">
        <f t="shared" si="93"/>
        <v>47250</v>
      </c>
      <c r="G1921" s="252">
        <f t="shared" si="93"/>
        <v>54000</v>
      </c>
      <c r="H1921" s="252">
        <f t="shared" si="93"/>
        <v>60750</v>
      </c>
      <c r="I1921" s="252">
        <f t="shared" si="93"/>
        <v>67500</v>
      </c>
      <c r="J1921" s="252">
        <f t="shared" si="93"/>
        <v>72900</v>
      </c>
      <c r="K1921" s="252">
        <f t="shared" si="93"/>
        <v>78300</v>
      </c>
      <c r="L1921" s="252">
        <f t="shared" si="93"/>
        <v>83700</v>
      </c>
      <c r="M1921" s="252">
        <f t="shared" si="93"/>
        <v>89100</v>
      </c>
    </row>
    <row r="1922" spans="1:13" ht="21.95" customHeight="1" x14ac:dyDescent="0.25">
      <c r="A1922" s="36" t="s">
        <v>2904</v>
      </c>
      <c r="B1922" s="36" t="str">
        <f t="shared" si="94"/>
        <v>PA_FOREST COUNTY, PA</v>
      </c>
      <c r="D1922" s="265" t="s">
        <v>69</v>
      </c>
      <c r="E1922" s="266" t="s">
        <v>4686</v>
      </c>
      <c r="F1922" s="252">
        <f t="shared" si="93"/>
        <v>46900</v>
      </c>
      <c r="G1922" s="252">
        <f t="shared" si="93"/>
        <v>53600</v>
      </c>
      <c r="H1922" s="252">
        <f t="shared" si="93"/>
        <v>60300</v>
      </c>
      <c r="I1922" s="252">
        <f t="shared" si="93"/>
        <v>66950</v>
      </c>
      <c r="J1922" s="252">
        <f t="shared" si="93"/>
        <v>72350</v>
      </c>
      <c r="K1922" s="252">
        <f t="shared" si="93"/>
        <v>77700</v>
      </c>
      <c r="L1922" s="252">
        <f t="shared" ref="F1922:M1954" si="95">VLOOKUP($B1922,LOOKUP_AMI_TABLE,5+((L$7-1)),FALSE)</f>
        <v>83050</v>
      </c>
      <c r="M1922" s="252">
        <f t="shared" si="95"/>
        <v>88400</v>
      </c>
    </row>
    <row r="1923" spans="1:13" ht="21.95" customHeight="1" x14ac:dyDescent="0.25">
      <c r="A1923" s="36" t="s">
        <v>2904</v>
      </c>
      <c r="B1923" s="36" t="str">
        <f t="shared" si="94"/>
        <v>PA_FULTON COUNTY, PA</v>
      </c>
      <c r="D1923" s="265" t="s">
        <v>69</v>
      </c>
      <c r="E1923" s="266" t="s">
        <v>4687</v>
      </c>
      <c r="F1923" s="252">
        <f t="shared" si="95"/>
        <v>49600</v>
      </c>
      <c r="G1923" s="252">
        <f t="shared" si="95"/>
        <v>56650</v>
      </c>
      <c r="H1923" s="252">
        <f t="shared" si="95"/>
        <v>63750</v>
      </c>
      <c r="I1923" s="252">
        <f t="shared" si="95"/>
        <v>70800</v>
      </c>
      <c r="J1923" s="252">
        <f t="shared" si="95"/>
        <v>76500</v>
      </c>
      <c r="K1923" s="252">
        <f t="shared" si="95"/>
        <v>82150</v>
      </c>
      <c r="L1923" s="252">
        <f t="shared" si="95"/>
        <v>87800</v>
      </c>
      <c r="M1923" s="252">
        <f t="shared" si="95"/>
        <v>93500</v>
      </c>
    </row>
    <row r="1924" spans="1:13" ht="21.95" customHeight="1" x14ac:dyDescent="0.25">
      <c r="A1924" s="36" t="s">
        <v>2904</v>
      </c>
      <c r="B1924" s="36" t="str">
        <f t="shared" si="94"/>
        <v>PA_GETTYSBURG, PA MSA</v>
      </c>
      <c r="D1924" s="265" t="s">
        <v>69</v>
      </c>
      <c r="E1924" s="266" t="s">
        <v>4688</v>
      </c>
      <c r="F1924" s="252">
        <f t="shared" si="95"/>
        <v>57350</v>
      </c>
      <c r="G1924" s="252">
        <f t="shared" si="95"/>
        <v>65550</v>
      </c>
      <c r="H1924" s="252">
        <f t="shared" si="95"/>
        <v>73750</v>
      </c>
      <c r="I1924" s="252">
        <f t="shared" si="95"/>
        <v>81900</v>
      </c>
      <c r="J1924" s="252">
        <f t="shared" si="95"/>
        <v>88500</v>
      </c>
      <c r="K1924" s="252">
        <f t="shared" si="95"/>
        <v>95050</v>
      </c>
      <c r="L1924" s="252">
        <f t="shared" si="95"/>
        <v>101600</v>
      </c>
      <c r="M1924" s="252">
        <f t="shared" si="95"/>
        <v>108150</v>
      </c>
    </row>
    <row r="1925" spans="1:13" ht="21.95" customHeight="1" x14ac:dyDescent="0.25">
      <c r="A1925" s="36" t="s">
        <v>2904</v>
      </c>
      <c r="B1925" s="36" t="str">
        <f t="shared" si="94"/>
        <v>PA_GREENE COUNTY, PA</v>
      </c>
      <c r="D1925" s="265" t="s">
        <v>69</v>
      </c>
      <c r="E1925" s="266" t="s">
        <v>4689</v>
      </c>
      <c r="F1925" s="252">
        <f t="shared" si="95"/>
        <v>52150</v>
      </c>
      <c r="G1925" s="252">
        <f t="shared" si="95"/>
        <v>59600</v>
      </c>
      <c r="H1925" s="252">
        <f t="shared" si="95"/>
        <v>67050</v>
      </c>
      <c r="I1925" s="252">
        <f t="shared" si="95"/>
        <v>74500</v>
      </c>
      <c r="J1925" s="252">
        <f t="shared" si="95"/>
        <v>80500</v>
      </c>
      <c r="K1925" s="252">
        <f t="shared" si="95"/>
        <v>86450</v>
      </c>
      <c r="L1925" s="252">
        <f t="shared" si="95"/>
        <v>92400</v>
      </c>
      <c r="M1925" s="252">
        <f t="shared" si="95"/>
        <v>98350</v>
      </c>
    </row>
    <row r="1926" spans="1:13" ht="21.95" customHeight="1" x14ac:dyDescent="0.25">
      <c r="A1926" s="36" t="s">
        <v>2904</v>
      </c>
      <c r="B1926" s="36" t="str">
        <f t="shared" si="94"/>
        <v>PA_HARRISBURG-CARLISLE, PA MSA</v>
      </c>
      <c r="D1926" s="265" t="s">
        <v>69</v>
      </c>
      <c r="E1926" s="266" t="s">
        <v>4690</v>
      </c>
      <c r="F1926" s="252">
        <f t="shared" si="95"/>
        <v>59050</v>
      </c>
      <c r="G1926" s="252">
        <f t="shared" si="95"/>
        <v>67450</v>
      </c>
      <c r="H1926" s="252">
        <f t="shared" si="95"/>
        <v>75900</v>
      </c>
      <c r="I1926" s="252">
        <f t="shared" si="95"/>
        <v>84300</v>
      </c>
      <c r="J1926" s="252">
        <f t="shared" si="95"/>
        <v>91050</v>
      </c>
      <c r="K1926" s="252">
        <f t="shared" si="95"/>
        <v>97800</v>
      </c>
      <c r="L1926" s="252">
        <f t="shared" si="95"/>
        <v>104550</v>
      </c>
      <c r="M1926" s="252">
        <f t="shared" si="95"/>
        <v>111300</v>
      </c>
    </row>
    <row r="1927" spans="1:13" ht="21.95" customHeight="1" x14ac:dyDescent="0.25">
      <c r="A1927" s="36" t="s">
        <v>2904</v>
      </c>
      <c r="B1927" s="36" t="str">
        <f t="shared" si="94"/>
        <v>PA_HUNTINGDON COUNTY, PA</v>
      </c>
      <c r="D1927" s="265" t="s">
        <v>69</v>
      </c>
      <c r="E1927" s="266" t="s">
        <v>4691</v>
      </c>
      <c r="F1927" s="252">
        <f t="shared" si="95"/>
        <v>49500</v>
      </c>
      <c r="G1927" s="252">
        <f t="shared" si="95"/>
        <v>56600</v>
      </c>
      <c r="H1927" s="252">
        <f t="shared" si="95"/>
        <v>63650</v>
      </c>
      <c r="I1927" s="252">
        <f t="shared" si="95"/>
        <v>70700</v>
      </c>
      <c r="J1927" s="252">
        <f t="shared" si="95"/>
        <v>76400</v>
      </c>
      <c r="K1927" s="252">
        <f t="shared" si="95"/>
        <v>82050</v>
      </c>
      <c r="L1927" s="252">
        <f t="shared" si="95"/>
        <v>87700</v>
      </c>
      <c r="M1927" s="252">
        <f t="shared" si="95"/>
        <v>93350</v>
      </c>
    </row>
    <row r="1928" spans="1:13" ht="21.95" customHeight="1" x14ac:dyDescent="0.25">
      <c r="A1928" s="36" t="s">
        <v>2904</v>
      </c>
      <c r="B1928" s="36" t="str">
        <f t="shared" si="94"/>
        <v>PA_INDIANA COUNTY, PA</v>
      </c>
      <c r="D1928" s="265" t="s">
        <v>69</v>
      </c>
      <c r="E1928" s="266" t="s">
        <v>4692</v>
      </c>
      <c r="F1928" s="252">
        <f t="shared" si="95"/>
        <v>46900</v>
      </c>
      <c r="G1928" s="252">
        <f t="shared" si="95"/>
        <v>53600</v>
      </c>
      <c r="H1928" s="252">
        <f t="shared" si="95"/>
        <v>60300</v>
      </c>
      <c r="I1928" s="252">
        <f t="shared" si="95"/>
        <v>66950</v>
      </c>
      <c r="J1928" s="252">
        <f t="shared" si="95"/>
        <v>72350</v>
      </c>
      <c r="K1928" s="252">
        <f t="shared" si="95"/>
        <v>77700</v>
      </c>
      <c r="L1928" s="252">
        <f t="shared" si="95"/>
        <v>83050</v>
      </c>
      <c r="M1928" s="252">
        <f t="shared" si="95"/>
        <v>88400</v>
      </c>
    </row>
    <row r="1929" spans="1:13" ht="21.95" customHeight="1" x14ac:dyDescent="0.25">
      <c r="A1929" s="36" t="s">
        <v>2904</v>
      </c>
      <c r="B1929" s="36" t="str">
        <f t="shared" si="94"/>
        <v>PA_JEFFERSON COUNTY, PA</v>
      </c>
      <c r="D1929" s="265" t="s">
        <v>69</v>
      </c>
      <c r="E1929" s="266" t="s">
        <v>4693</v>
      </c>
      <c r="F1929" s="252">
        <f t="shared" si="95"/>
        <v>46900</v>
      </c>
      <c r="G1929" s="252">
        <f t="shared" si="95"/>
        <v>53600</v>
      </c>
      <c r="H1929" s="252">
        <f t="shared" si="95"/>
        <v>60300</v>
      </c>
      <c r="I1929" s="252">
        <f t="shared" si="95"/>
        <v>66950</v>
      </c>
      <c r="J1929" s="252">
        <f t="shared" si="95"/>
        <v>72350</v>
      </c>
      <c r="K1929" s="252">
        <f t="shared" si="95"/>
        <v>77700</v>
      </c>
      <c r="L1929" s="252">
        <f t="shared" si="95"/>
        <v>83050</v>
      </c>
      <c r="M1929" s="252">
        <f t="shared" si="95"/>
        <v>88400</v>
      </c>
    </row>
    <row r="1930" spans="1:13" ht="21.95" customHeight="1" x14ac:dyDescent="0.25">
      <c r="A1930" s="36" t="s">
        <v>2904</v>
      </c>
      <c r="B1930" s="36" t="str">
        <f t="shared" si="94"/>
        <v>PA_JOHNSTOWN, PA MSA</v>
      </c>
      <c r="D1930" s="265" t="s">
        <v>69</v>
      </c>
      <c r="E1930" s="266" t="s">
        <v>4694</v>
      </c>
      <c r="F1930" s="252">
        <f t="shared" si="95"/>
        <v>47250</v>
      </c>
      <c r="G1930" s="252">
        <f t="shared" si="95"/>
        <v>54000</v>
      </c>
      <c r="H1930" s="252">
        <f t="shared" si="95"/>
        <v>60750</v>
      </c>
      <c r="I1930" s="252">
        <f t="shared" si="95"/>
        <v>67500</v>
      </c>
      <c r="J1930" s="252">
        <f t="shared" si="95"/>
        <v>72900</v>
      </c>
      <c r="K1930" s="252">
        <f t="shared" si="95"/>
        <v>78300</v>
      </c>
      <c r="L1930" s="252">
        <f t="shared" si="95"/>
        <v>83700</v>
      </c>
      <c r="M1930" s="252">
        <f t="shared" si="95"/>
        <v>89100</v>
      </c>
    </row>
    <row r="1931" spans="1:13" ht="21.95" customHeight="1" x14ac:dyDescent="0.25">
      <c r="A1931" s="36" t="s">
        <v>2904</v>
      </c>
      <c r="B1931" s="36" t="str">
        <f t="shared" si="94"/>
        <v>PA_JUNIATA COUNTY, PA</v>
      </c>
      <c r="D1931" s="265" t="s">
        <v>69</v>
      </c>
      <c r="E1931" s="266" t="s">
        <v>4695</v>
      </c>
      <c r="F1931" s="252">
        <f t="shared" si="95"/>
        <v>47700</v>
      </c>
      <c r="G1931" s="252">
        <f t="shared" si="95"/>
        <v>54500</v>
      </c>
      <c r="H1931" s="252">
        <f t="shared" si="95"/>
        <v>61300</v>
      </c>
      <c r="I1931" s="252">
        <f t="shared" si="95"/>
        <v>68100</v>
      </c>
      <c r="J1931" s="252">
        <f t="shared" si="95"/>
        <v>73550</v>
      </c>
      <c r="K1931" s="252">
        <f t="shared" si="95"/>
        <v>79000</v>
      </c>
      <c r="L1931" s="252">
        <f t="shared" si="95"/>
        <v>84450</v>
      </c>
      <c r="M1931" s="252">
        <f t="shared" si="95"/>
        <v>89900</v>
      </c>
    </row>
    <row r="1932" spans="1:13" ht="21.95" customHeight="1" x14ac:dyDescent="0.25">
      <c r="A1932" s="36" t="s">
        <v>2904</v>
      </c>
      <c r="B1932" s="36" t="str">
        <f t="shared" si="94"/>
        <v>PA_LANCASTER, PA MSA</v>
      </c>
      <c r="D1932" s="265" t="s">
        <v>69</v>
      </c>
      <c r="E1932" s="266" t="s">
        <v>4696</v>
      </c>
      <c r="F1932" s="252">
        <f t="shared" si="95"/>
        <v>58200</v>
      </c>
      <c r="G1932" s="252">
        <f t="shared" si="95"/>
        <v>66500</v>
      </c>
      <c r="H1932" s="252">
        <f t="shared" si="95"/>
        <v>74800</v>
      </c>
      <c r="I1932" s="252">
        <f t="shared" si="95"/>
        <v>83100</v>
      </c>
      <c r="J1932" s="252">
        <f t="shared" si="95"/>
        <v>89750</v>
      </c>
      <c r="K1932" s="252">
        <f t="shared" si="95"/>
        <v>96400</v>
      </c>
      <c r="L1932" s="252">
        <f t="shared" si="95"/>
        <v>103050</v>
      </c>
      <c r="M1932" s="252">
        <f t="shared" si="95"/>
        <v>109700</v>
      </c>
    </row>
    <row r="1933" spans="1:13" ht="21.95" customHeight="1" x14ac:dyDescent="0.25">
      <c r="A1933" s="36" t="s">
        <v>2904</v>
      </c>
      <c r="B1933" s="36" t="str">
        <f t="shared" si="94"/>
        <v>PA_LAWRENCE COUNTY, PA HUD METRO FMR AREA</v>
      </c>
      <c r="D1933" s="265" t="s">
        <v>69</v>
      </c>
      <c r="E1933" s="266" t="s">
        <v>9247</v>
      </c>
      <c r="F1933" s="252">
        <f t="shared" si="95"/>
        <v>49800</v>
      </c>
      <c r="G1933" s="252">
        <f t="shared" si="95"/>
        <v>56900</v>
      </c>
      <c r="H1933" s="252">
        <f t="shared" si="95"/>
        <v>64000</v>
      </c>
      <c r="I1933" s="252">
        <f t="shared" si="95"/>
        <v>71100</v>
      </c>
      <c r="J1933" s="252">
        <f t="shared" si="95"/>
        <v>76800</v>
      </c>
      <c r="K1933" s="252">
        <f t="shared" si="95"/>
        <v>82500</v>
      </c>
      <c r="L1933" s="252">
        <f t="shared" si="95"/>
        <v>88200</v>
      </c>
      <c r="M1933" s="252">
        <f t="shared" si="95"/>
        <v>93900</v>
      </c>
    </row>
    <row r="1934" spans="1:13" ht="21.95" customHeight="1" x14ac:dyDescent="0.25">
      <c r="A1934" s="36" t="s">
        <v>2904</v>
      </c>
      <c r="B1934" s="36" t="str">
        <f t="shared" si="94"/>
        <v>PA_LEBANON, PA MSA</v>
      </c>
      <c r="D1934" s="265" t="s">
        <v>69</v>
      </c>
      <c r="E1934" s="266" t="s">
        <v>4697</v>
      </c>
      <c r="F1934" s="252">
        <f t="shared" si="95"/>
        <v>52300</v>
      </c>
      <c r="G1934" s="252">
        <f t="shared" si="95"/>
        <v>59750</v>
      </c>
      <c r="H1934" s="252">
        <f t="shared" si="95"/>
        <v>67200</v>
      </c>
      <c r="I1934" s="252">
        <f t="shared" si="95"/>
        <v>74650</v>
      </c>
      <c r="J1934" s="252">
        <f t="shared" si="95"/>
        <v>80650</v>
      </c>
      <c r="K1934" s="252">
        <f t="shared" si="95"/>
        <v>86600</v>
      </c>
      <c r="L1934" s="252">
        <f t="shared" si="95"/>
        <v>92600</v>
      </c>
      <c r="M1934" s="252">
        <f t="shared" si="95"/>
        <v>98550</v>
      </c>
    </row>
    <row r="1935" spans="1:13" ht="21.95" customHeight="1" x14ac:dyDescent="0.25">
      <c r="A1935" s="36" t="s">
        <v>2904</v>
      </c>
      <c r="B1935" s="36" t="str">
        <f t="shared" si="94"/>
        <v>PA_MCKEAN COUNTY, PA</v>
      </c>
      <c r="D1935" s="265" t="s">
        <v>69</v>
      </c>
      <c r="E1935" s="266" t="s">
        <v>4698</v>
      </c>
      <c r="F1935" s="252">
        <f t="shared" si="95"/>
        <v>47350</v>
      </c>
      <c r="G1935" s="252">
        <f t="shared" si="95"/>
        <v>54100</v>
      </c>
      <c r="H1935" s="252">
        <f t="shared" si="95"/>
        <v>60850</v>
      </c>
      <c r="I1935" s="252">
        <f t="shared" si="95"/>
        <v>67600</v>
      </c>
      <c r="J1935" s="252">
        <f t="shared" si="95"/>
        <v>73050</v>
      </c>
      <c r="K1935" s="252">
        <f t="shared" si="95"/>
        <v>78450</v>
      </c>
      <c r="L1935" s="252">
        <f t="shared" si="95"/>
        <v>83850</v>
      </c>
      <c r="M1935" s="252">
        <f t="shared" si="95"/>
        <v>89250</v>
      </c>
    </row>
    <row r="1936" spans="1:13" ht="21.95" customHeight="1" x14ac:dyDescent="0.25">
      <c r="A1936" s="36" t="s">
        <v>2904</v>
      </c>
      <c r="B1936" s="36" t="str">
        <f t="shared" si="94"/>
        <v>PA_MERCER COUNTY, PA</v>
      </c>
      <c r="D1936" s="265" t="s">
        <v>69</v>
      </c>
      <c r="E1936" s="266" t="s">
        <v>9248</v>
      </c>
      <c r="F1936" s="252">
        <f t="shared" si="95"/>
        <v>46900</v>
      </c>
      <c r="G1936" s="252">
        <f t="shared" si="95"/>
        <v>53600</v>
      </c>
      <c r="H1936" s="252">
        <f t="shared" si="95"/>
        <v>60300</v>
      </c>
      <c r="I1936" s="252">
        <f t="shared" si="95"/>
        <v>66950</v>
      </c>
      <c r="J1936" s="252">
        <f t="shared" si="95"/>
        <v>72350</v>
      </c>
      <c r="K1936" s="252">
        <f t="shared" si="95"/>
        <v>77700</v>
      </c>
      <c r="L1936" s="252">
        <f t="shared" si="95"/>
        <v>83050</v>
      </c>
      <c r="M1936" s="252">
        <f t="shared" si="95"/>
        <v>88400</v>
      </c>
    </row>
    <row r="1937" spans="1:13" ht="21.95" customHeight="1" x14ac:dyDescent="0.25">
      <c r="A1937" s="36" t="s">
        <v>2904</v>
      </c>
      <c r="B1937" s="36" t="str">
        <f t="shared" si="94"/>
        <v>PA_MIFFLIN COUNTY, PA</v>
      </c>
      <c r="D1937" s="265" t="s">
        <v>69</v>
      </c>
      <c r="E1937" s="266" t="s">
        <v>4699</v>
      </c>
      <c r="F1937" s="252">
        <f t="shared" si="95"/>
        <v>46900</v>
      </c>
      <c r="G1937" s="252">
        <f t="shared" si="95"/>
        <v>53600</v>
      </c>
      <c r="H1937" s="252">
        <f t="shared" si="95"/>
        <v>60300</v>
      </c>
      <c r="I1937" s="252">
        <f t="shared" si="95"/>
        <v>66950</v>
      </c>
      <c r="J1937" s="252">
        <f t="shared" si="95"/>
        <v>72350</v>
      </c>
      <c r="K1937" s="252">
        <f t="shared" si="95"/>
        <v>77700</v>
      </c>
      <c r="L1937" s="252">
        <f t="shared" si="95"/>
        <v>83050</v>
      </c>
      <c r="M1937" s="252">
        <f t="shared" si="95"/>
        <v>88400</v>
      </c>
    </row>
    <row r="1938" spans="1:13" ht="21.95" customHeight="1" x14ac:dyDescent="0.25">
      <c r="A1938" s="36" t="s">
        <v>2904</v>
      </c>
      <c r="B1938" s="36" t="str">
        <f t="shared" si="94"/>
        <v>PA_MONROE COUNTY, PA</v>
      </c>
      <c r="D1938" s="265" t="s">
        <v>69</v>
      </c>
      <c r="E1938" s="266" t="s">
        <v>9249</v>
      </c>
      <c r="F1938" s="252">
        <f t="shared" si="95"/>
        <v>58450</v>
      </c>
      <c r="G1938" s="252">
        <f t="shared" si="95"/>
        <v>66800</v>
      </c>
      <c r="H1938" s="252">
        <f t="shared" si="95"/>
        <v>75150</v>
      </c>
      <c r="I1938" s="252">
        <f t="shared" si="95"/>
        <v>83500</v>
      </c>
      <c r="J1938" s="252">
        <f t="shared" si="95"/>
        <v>90200</v>
      </c>
      <c r="K1938" s="252">
        <f t="shared" si="95"/>
        <v>96900</v>
      </c>
      <c r="L1938" s="252">
        <f t="shared" si="95"/>
        <v>103550</v>
      </c>
      <c r="M1938" s="252">
        <f t="shared" si="95"/>
        <v>110250</v>
      </c>
    </row>
    <row r="1939" spans="1:13" ht="21.95" customHeight="1" x14ac:dyDescent="0.25">
      <c r="A1939" s="36" t="s">
        <v>2904</v>
      </c>
      <c r="B1939" s="36" t="str">
        <f t="shared" si="94"/>
        <v>PA_MONTOUR COUNTY, PA</v>
      </c>
      <c r="D1939" s="265" t="s">
        <v>69</v>
      </c>
      <c r="E1939" s="266" t="s">
        <v>9250</v>
      </c>
      <c r="F1939" s="252">
        <f t="shared" si="95"/>
        <v>55850</v>
      </c>
      <c r="G1939" s="252">
        <f t="shared" si="95"/>
        <v>63800</v>
      </c>
      <c r="H1939" s="252">
        <f t="shared" si="95"/>
        <v>71800</v>
      </c>
      <c r="I1939" s="252">
        <f t="shared" si="95"/>
        <v>79750</v>
      </c>
      <c r="J1939" s="252">
        <f t="shared" si="95"/>
        <v>86150</v>
      </c>
      <c r="K1939" s="252">
        <f t="shared" si="95"/>
        <v>92550</v>
      </c>
      <c r="L1939" s="252">
        <f t="shared" si="95"/>
        <v>98900</v>
      </c>
      <c r="M1939" s="252">
        <f t="shared" si="95"/>
        <v>105300</v>
      </c>
    </row>
    <row r="1940" spans="1:13" ht="21.95" customHeight="1" x14ac:dyDescent="0.25">
      <c r="A1940" s="36" t="s">
        <v>2904</v>
      </c>
      <c r="B1940" s="36" t="str">
        <f t="shared" si="94"/>
        <v>PA_NORTHUMBERLAND COUNTY, PA</v>
      </c>
      <c r="D1940" s="265" t="s">
        <v>69</v>
      </c>
      <c r="E1940" s="266" t="s">
        <v>4700</v>
      </c>
      <c r="F1940" s="252">
        <f t="shared" si="95"/>
        <v>46900</v>
      </c>
      <c r="G1940" s="252">
        <f t="shared" si="95"/>
        <v>53600</v>
      </c>
      <c r="H1940" s="252">
        <f t="shared" si="95"/>
        <v>60300</v>
      </c>
      <c r="I1940" s="252">
        <f t="shared" si="95"/>
        <v>66950</v>
      </c>
      <c r="J1940" s="252">
        <f t="shared" si="95"/>
        <v>72350</v>
      </c>
      <c r="K1940" s="252">
        <f t="shared" si="95"/>
        <v>77700</v>
      </c>
      <c r="L1940" s="252">
        <f t="shared" si="95"/>
        <v>83050</v>
      </c>
      <c r="M1940" s="252">
        <f t="shared" si="95"/>
        <v>88400</v>
      </c>
    </row>
    <row r="1941" spans="1:13" ht="21.95" customHeight="1" x14ac:dyDescent="0.25">
      <c r="A1941" s="36" t="s">
        <v>2904</v>
      </c>
      <c r="B1941" s="36" t="str">
        <f t="shared" si="94"/>
        <v>PA_PHILADELPHIA-CAMDEN-WILMINGTON, PA-NJ-DE-MD MSA</v>
      </c>
      <c r="D1941" s="265" t="s">
        <v>69</v>
      </c>
      <c r="E1941" s="266" t="s">
        <v>3212</v>
      </c>
      <c r="F1941" s="252">
        <f t="shared" si="95"/>
        <v>66850</v>
      </c>
      <c r="G1941" s="252">
        <f t="shared" si="95"/>
        <v>76400</v>
      </c>
      <c r="H1941" s="252">
        <f t="shared" si="95"/>
        <v>85950</v>
      </c>
      <c r="I1941" s="252">
        <f t="shared" si="95"/>
        <v>95500</v>
      </c>
      <c r="J1941" s="252">
        <f t="shared" si="95"/>
        <v>103150</v>
      </c>
      <c r="K1941" s="252">
        <f t="shared" si="95"/>
        <v>110800</v>
      </c>
      <c r="L1941" s="252">
        <f t="shared" si="95"/>
        <v>118450</v>
      </c>
      <c r="M1941" s="252">
        <f t="shared" si="95"/>
        <v>126100</v>
      </c>
    </row>
    <row r="1942" spans="1:13" ht="21.95" customHeight="1" x14ac:dyDescent="0.25">
      <c r="A1942" s="36" t="s">
        <v>2904</v>
      </c>
      <c r="B1942" s="36" t="str">
        <f t="shared" si="94"/>
        <v>PA_PIKE COUNTY, PA</v>
      </c>
      <c r="D1942" s="265" t="s">
        <v>69</v>
      </c>
      <c r="E1942" s="266" t="s">
        <v>9251</v>
      </c>
      <c r="F1942" s="252">
        <f t="shared" si="95"/>
        <v>56150</v>
      </c>
      <c r="G1942" s="252">
        <f t="shared" si="95"/>
        <v>64150</v>
      </c>
      <c r="H1942" s="252">
        <f t="shared" si="95"/>
        <v>72150</v>
      </c>
      <c r="I1942" s="252">
        <f t="shared" si="95"/>
        <v>80150</v>
      </c>
      <c r="J1942" s="252">
        <f t="shared" si="95"/>
        <v>86600</v>
      </c>
      <c r="K1942" s="252">
        <f t="shared" si="95"/>
        <v>93000</v>
      </c>
      <c r="L1942" s="252">
        <f t="shared" si="95"/>
        <v>99400</v>
      </c>
      <c r="M1942" s="252">
        <f t="shared" si="95"/>
        <v>105800</v>
      </c>
    </row>
    <row r="1943" spans="1:13" ht="21.95" customHeight="1" x14ac:dyDescent="0.25">
      <c r="A1943" s="36" t="s">
        <v>2904</v>
      </c>
      <c r="B1943" s="36" t="str">
        <f t="shared" si="94"/>
        <v>PA_PITTSBURGH, PA HUD METRO FMR AREA</v>
      </c>
      <c r="D1943" s="265" t="s">
        <v>69</v>
      </c>
      <c r="E1943" s="266" t="s">
        <v>4701</v>
      </c>
      <c r="F1943" s="252">
        <f t="shared" si="95"/>
        <v>60100</v>
      </c>
      <c r="G1943" s="252">
        <f t="shared" si="95"/>
        <v>68700</v>
      </c>
      <c r="H1943" s="252">
        <f t="shared" si="95"/>
        <v>77300</v>
      </c>
      <c r="I1943" s="252">
        <f t="shared" si="95"/>
        <v>85850</v>
      </c>
      <c r="J1943" s="252">
        <f t="shared" si="95"/>
        <v>92750</v>
      </c>
      <c r="K1943" s="252">
        <f t="shared" si="95"/>
        <v>99600</v>
      </c>
      <c r="L1943" s="252">
        <f t="shared" si="95"/>
        <v>106500</v>
      </c>
      <c r="M1943" s="252">
        <f t="shared" si="95"/>
        <v>113350</v>
      </c>
    </row>
    <row r="1944" spans="1:13" ht="21.95" customHeight="1" x14ac:dyDescent="0.25">
      <c r="A1944" s="36" t="s">
        <v>2904</v>
      </c>
      <c r="B1944" s="36" t="str">
        <f t="shared" si="94"/>
        <v>PA_POTTER COUNTY, PA</v>
      </c>
      <c r="D1944" s="265" t="s">
        <v>69</v>
      </c>
      <c r="E1944" s="266" t="s">
        <v>4702</v>
      </c>
      <c r="F1944" s="252">
        <f t="shared" si="95"/>
        <v>46900</v>
      </c>
      <c r="G1944" s="252">
        <f t="shared" si="95"/>
        <v>53600</v>
      </c>
      <c r="H1944" s="252">
        <f t="shared" si="95"/>
        <v>60300</v>
      </c>
      <c r="I1944" s="252">
        <f t="shared" si="95"/>
        <v>66950</v>
      </c>
      <c r="J1944" s="252">
        <f t="shared" si="95"/>
        <v>72350</v>
      </c>
      <c r="K1944" s="252">
        <f t="shared" si="95"/>
        <v>77700</v>
      </c>
      <c r="L1944" s="252">
        <f t="shared" si="95"/>
        <v>83050</v>
      </c>
      <c r="M1944" s="252">
        <f t="shared" si="95"/>
        <v>88400</v>
      </c>
    </row>
    <row r="1945" spans="1:13" ht="21.95" customHeight="1" x14ac:dyDescent="0.25">
      <c r="A1945" s="36" t="s">
        <v>2904</v>
      </c>
      <c r="B1945" s="36" t="str">
        <f t="shared" si="94"/>
        <v>PA_READING, PA MSA</v>
      </c>
      <c r="D1945" s="265" t="s">
        <v>69</v>
      </c>
      <c r="E1945" s="266" t="s">
        <v>4703</v>
      </c>
      <c r="F1945" s="252">
        <f t="shared" si="95"/>
        <v>55900</v>
      </c>
      <c r="G1945" s="252">
        <f t="shared" si="95"/>
        <v>63900</v>
      </c>
      <c r="H1945" s="252">
        <f t="shared" si="95"/>
        <v>71900</v>
      </c>
      <c r="I1945" s="252">
        <f t="shared" si="95"/>
        <v>79850</v>
      </c>
      <c r="J1945" s="252">
        <f t="shared" si="95"/>
        <v>86250</v>
      </c>
      <c r="K1945" s="252">
        <f t="shared" si="95"/>
        <v>92650</v>
      </c>
      <c r="L1945" s="252">
        <f t="shared" si="95"/>
        <v>99050</v>
      </c>
      <c r="M1945" s="252">
        <f t="shared" si="95"/>
        <v>105450</v>
      </c>
    </row>
    <row r="1946" spans="1:13" ht="21.95" customHeight="1" x14ac:dyDescent="0.25">
      <c r="A1946" s="36" t="s">
        <v>2904</v>
      </c>
      <c r="B1946" s="36" t="str">
        <f t="shared" si="94"/>
        <v>PA_SCHUYLKILL COUNTY, PA</v>
      </c>
      <c r="D1946" s="265" t="s">
        <v>69</v>
      </c>
      <c r="E1946" s="266" t="s">
        <v>4704</v>
      </c>
      <c r="F1946" s="252">
        <f t="shared" si="95"/>
        <v>48100</v>
      </c>
      <c r="G1946" s="252">
        <f t="shared" si="95"/>
        <v>54950</v>
      </c>
      <c r="H1946" s="252">
        <f t="shared" si="95"/>
        <v>61800</v>
      </c>
      <c r="I1946" s="252">
        <f t="shared" si="95"/>
        <v>68650</v>
      </c>
      <c r="J1946" s="252">
        <f t="shared" si="95"/>
        <v>74150</v>
      </c>
      <c r="K1946" s="252">
        <f t="shared" si="95"/>
        <v>79650</v>
      </c>
      <c r="L1946" s="252">
        <f t="shared" si="95"/>
        <v>85150</v>
      </c>
      <c r="M1946" s="252">
        <f t="shared" si="95"/>
        <v>90650</v>
      </c>
    </row>
    <row r="1947" spans="1:13" ht="21.95" customHeight="1" x14ac:dyDescent="0.25">
      <c r="A1947" s="36" t="s">
        <v>2904</v>
      </c>
      <c r="B1947" s="36" t="str">
        <f t="shared" si="94"/>
        <v>PA_SCRANTON--WILKES-BARRE, PA MSA</v>
      </c>
      <c r="D1947" s="265" t="s">
        <v>69</v>
      </c>
      <c r="E1947" s="266" t="s">
        <v>4705</v>
      </c>
      <c r="F1947" s="252">
        <f t="shared" si="95"/>
        <v>46900</v>
      </c>
      <c r="G1947" s="252">
        <f t="shared" si="95"/>
        <v>53600</v>
      </c>
      <c r="H1947" s="252">
        <f t="shared" si="95"/>
        <v>60300</v>
      </c>
      <c r="I1947" s="252">
        <f t="shared" si="95"/>
        <v>66950</v>
      </c>
      <c r="J1947" s="252">
        <f t="shared" si="95"/>
        <v>72350</v>
      </c>
      <c r="K1947" s="252">
        <f t="shared" si="95"/>
        <v>77700</v>
      </c>
      <c r="L1947" s="252">
        <f t="shared" si="95"/>
        <v>83050</v>
      </c>
      <c r="M1947" s="252">
        <f t="shared" si="95"/>
        <v>88400</v>
      </c>
    </row>
    <row r="1948" spans="1:13" ht="21.95" customHeight="1" x14ac:dyDescent="0.25">
      <c r="A1948" s="36" t="s">
        <v>2904</v>
      </c>
      <c r="B1948" s="36" t="str">
        <f t="shared" si="94"/>
        <v>PA_SNYDER COUNTY, PA</v>
      </c>
      <c r="D1948" s="265" t="s">
        <v>69</v>
      </c>
      <c r="E1948" s="266" t="s">
        <v>4706</v>
      </c>
      <c r="F1948" s="252">
        <f t="shared" si="95"/>
        <v>48750</v>
      </c>
      <c r="G1948" s="252">
        <f t="shared" si="95"/>
        <v>55700</v>
      </c>
      <c r="H1948" s="252">
        <f t="shared" si="95"/>
        <v>62650</v>
      </c>
      <c r="I1948" s="252">
        <f t="shared" si="95"/>
        <v>69600</v>
      </c>
      <c r="J1948" s="252">
        <f t="shared" si="95"/>
        <v>75200</v>
      </c>
      <c r="K1948" s="252">
        <f t="shared" si="95"/>
        <v>80750</v>
      </c>
      <c r="L1948" s="252">
        <f t="shared" si="95"/>
        <v>86350</v>
      </c>
      <c r="M1948" s="252">
        <f t="shared" si="95"/>
        <v>91900</v>
      </c>
    </row>
    <row r="1949" spans="1:13" ht="21.95" customHeight="1" x14ac:dyDescent="0.25">
      <c r="A1949" s="36" t="s">
        <v>2904</v>
      </c>
      <c r="B1949" s="36" t="str">
        <f t="shared" si="94"/>
        <v>PA_SOMERSET COUNTY, PA</v>
      </c>
      <c r="D1949" s="265" t="s">
        <v>69</v>
      </c>
      <c r="E1949" s="266" t="s">
        <v>4707</v>
      </c>
      <c r="F1949" s="252">
        <f t="shared" si="95"/>
        <v>46900</v>
      </c>
      <c r="G1949" s="252">
        <f t="shared" si="95"/>
        <v>53600</v>
      </c>
      <c r="H1949" s="252">
        <f t="shared" si="95"/>
        <v>60300</v>
      </c>
      <c r="I1949" s="252">
        <f t="shared" si="95"/>
        <v>66950</v>
      </c>
      <c r="J1949" s="252">
        <f t="shared" si="95"/>
        <v>72350</v>
      </c>
      <c r="K1949" s="252">
        <f t="shared" si="95"/>
        <v>77700</v>
      </c>
      <c r="L1949" s="252">
        <f t="shared" si="95"/>
        <v>83050</v>
      </c>
      <c r="M1949" s="252">
        <f t="shared" si="95"/>
        <v>88400</v>
      </c>
    </row>
    <row r="1950" spans="1:13" ht="21.95" customHeight="1" x14ac:dyDescent="0.25">
      <c r="A1950" s="36" t="s">
        <v>2904</v>
      </c>
      <c r="B1950" s="36" t="str">
        <f t="shared" si="94"/>
        <v>PA_STATE COLLEGE, PA MSA</v>
      </c>
      <c r="D1950" s="265" t="s">
        <v>69</v>
      </c>
      <c r="E1950" s="266" t="s">
        <v>4708</v>
      </c>
      <c r="F1950" s="252">
        <f t="shared" si="95"/>
        <v>60550</v>
      </c>
      <c r="G1950" s="252">
        <f t="shared" si="95"/>
        <v>69200</v>
      </c>
      <c r="H1950" s="252">
        <f t="shared" si="95"/>
        <v>77850</v>
      </c>
      <c r="I1950" s="252">
        <f t="shared" si="95"/>
        <v>86500</v>
      </c>
      <c r="J1950" s="252">
        <f t="shared" si="95"/>
        <v>93450</v>
      </c>
      <c r="K1950" s="252">
        <f t="shared" si="95"/>
        <v>100350</v>
      </c>
      <c r="L1950" s="252">
        <f t="shared" si="95"/>
        <v>107300</v>
      </c>
      <c r="M1950" s="252">
        <f t="shared" si="95"/>
        <v>114200</v>
      </c>
    </row>
    <row r="1951" spans="1:13" ht="21.95" customHeight="1" x14ac:dyDescent="0.25">
      <c r="A1951" s="36" t="s">
        <v>2904</v>
      </c>
      <c r="B1951" s="36" t="str">
        <f t="shared" si="94"/>
        <v>PA_SULLIVAN COUNTY, PA</v>
      </c>
      <c r="D1951" s="265" t="s">
        <v>69</v>
      </c>
      <c r="E1951" s="266" t="s">
        <v>4709</v>
      </c>
      <c r="F1951" s="252">
        <f t="shared" si="95"/>
        <v>49500</v>
      </c>
      <c r="G1951" s="252">
        <f t="shared" si="95"/>
        <v>56600</v>
      </c>
      <c r="H1951" s="252">
        <f t="shared" si="95"/>
        <v>63650</v>
      </c>
      <c r="I1951" s="252">
        <f t="shared" si="95"/>
        <v>70700</v>
      </c>
      <c r="J1951" s="252">
        <f t="shared" si="95"/>
        <v>76400</v>
      </c>
      <c r="K1951" s="252">
        <f t="shared" si="95"/>
        <v>82050</v>
      </c>
      <c r="L1951" s="252">
        <f t="shared" si="95"/>
        <v>87700</v>
      </c>
      <c r="M1951" s="252">
        <f t="shared" si="95"/>
        <v>93350</v>
      </c>
    </row>
    <row r="1952" spans="1:13" ht="21.95" customHeight="1" x14ac:dyDescent="0.25">
      <c r="A1952" s="36" t="s">
        <v>2904</v>
      </c>
      <c r="B1952" s="36" t="str">
        <f t="shared" si="94"/>
        <v>PA_SUSQUEHANNA COUNTY, PA</v>
      </c>
      <c r="D1952" s="265" t="s">
        <v>69</v>
      </c>
      <c r="E1952" s="266" t="s">
        <v>4710</v>
      </c>
      <c r="F1952" s="252">
        <f t="shared" si="95"/>
        <v>49200</v>
      </c>
      <c r="G1952" s="252">
        <f t="shared" si="95"/>
        <v>56200</v>
      </c>
      <c r="H1952" s="252">
        <f t="shared" si="95"/>
        <v>63250</v>
      </c>
      <c r="I1952" s="252">
        <f t="shared" si="95"/>
        <v>70250</v>
      </c>
      <c r="J1952" s="252">
        <f t="shared" si="95"/>
        <v>75900</v>
      </c>
      <c r="K1952" s="252">
        <f t="shared" si="95"/>
        <v>81500</v>
      </c>
      <c r="L1952" s="252">
        <f t="shared" si="95"/>
        <v>87150</v>
      </c>
      <c r="M1952" s="252">
        <f t="shared" si="95"/>
        <v>92750</v>
      </c>
    </row>
    <row r="1953" spans="1:13" ht="21.95" customHeight="1" x14ac:dyDescent="0.25">
      <c r="A1953" s="36" t="s">
        <v>2904</v>
      </c>
      <c r="B1953" s="36" t="str">
        <f t="shared" si="94"/>
        <v>PA_TIOGA COUNTY, PA</v>
      </c>
      <c r="D1953" s="265" t="s">
        <v>69</v>
      </c>
      <c r="E1953" s="266" t="s">
        <v>4711</v>
      </c>
      <c r="F1953" s="252">
        <f t="shared" si="95"/>
        <v>46900</v>
      </c>
      <c r="G1953" s="252">
        <f t="shared" si="95"/>
        <v>53600</v>
      </c>
      <c r="H1953" s="252">
        <f t="shared" si="95"/>
        <v>60300</v>
      </c>
      <c r="I1953" s="252">
        <f t="shared" si="95"/>
        <v>66950</v>
      </c>
      <c r="J1953" s="252">
        <f t="shared" si="95"/>
        <v>72350</v>
      </c>
      <c r="K1953" s="252">
        <f t="shared" si="95"/>
        <v>77700</v>
      </c>
      <c r="L1953" s="252">
        <f t="shared" si="95"/>
        <v>83050</v>
      </c>
      <c r="M1953" s="252">
        <f t="shared" si="95"/>
        <v>88400</v>
      </c>
    </row>
    <row r="1954" spans="1:13" ht="21.95" customHeight="1" x14ac:dyDescent="0.25">
      <c r="A1954" s="36" t="s">
        <v>2904</v>
      </c>
      <c r="B1954" s="36" t="str">
        <f t="shared" si="94"/>
        <v>PA_UNION COUNTY, PA</v>
      </c>
      <c r="D1954" s="265" t="s">
        <v>69</v>
      </c>
      <c r="E1954" s="266" t="s">
        <v>4712</v>
      </c>
      <c r="F1954" s="252">
        <f t="shared" si="95"/>
        <v>57900</v>
      </c>
      <c r="G1954" s="252">
        <f t="shared" si="95"/>
        <v>66150</v>
      </c>
      <c r="H1954" s="252">
        <f t="shared" si="95"/>
        <v>74400</v>
      </c>
      <c r="I1954" s="252">
        <f t="shared" si="95"/>
        <v>82650</v>
      </c>
      <c r="J1954" s="252">
        <f t="shared" si="95"/>
        <v>89300</v>
      </c>
      <c r="K1954" s="252">
        <f t="shared" ref="F1954:M1986" si="96">VLOOKUP($B1954,LOOKUP_AMI_TABLE,5+((K$7-1)),FALSE)</f>
        <v>95900</v>
      </c>
      <c r="L1954" s="252">
        <f t="shared" si="96"/>
        <v>102500</v>
      </c>
      <c r="M1954" s="252">
        <f t="shared" si="96"/>
        <v>109100</v>
      </c>
    </row>
    <row r="1955" spans="1:13" ht="21.95" customHeight="1" x14ac:dyDescent="0.25">
      <c r="A1955" s="36" t="s">
        <v>2904</v>
      </c>
      <c r="B1955" s="36" t="str">
        <f t="shared" si="94"/>
        <v>PA_VENANGO COUNTY, PA</v>
      </c>
      <c r="D1955" s="265" t="s">
        <v>69</v>
      </c>
      <c r="E1955" s="266" t="s">
        <v>4713</v>
      </c>
      <c r="F1955" s="252">
        <f t="shared" si="96"/>
        <v>46900</v>
      </c>
      <c r="G1955" s="252">
        <f t="shared" si="96"/>
        <v>53600</v>
      </c>
      <c r="H1955" s="252">
        <f t="shared" si="96"/>
        <v>60300</v>
      </c>
      <c r="I1955" s="252">
        <f t="shared" si="96"/>
        <v>66950</v>
      </c>
      <c r="J1955" s="252">
        <f t="shared" si="96"/>
        <v>72350</v>
      </c>
      <c r="K1955" s="252">
        <f t="shared" si="96"/>
        <v>77700</v>
      </c>
      <c r="L1955" s="252">
        <f t="shared" si="96"/>
        <v>83050</v>
      </c>
      <c r="M1955" s="252">
        <f t="shared" si="96"/>
        <v>88400</v>
      </c>
    </row>
    <row r="1956" spans="1:13" ht="21.95" customHeight="1" x14ac:dyDescent="0.25">
      <c r="A1956" s="36" t="s">
        <v>2904</v>
      </c>
      <c r="B1956" s="36" t="str">
        <f t="shared" si="94"/>
        <v>PA_WARREN COUNTY, PA</v>
      </c>
      <c r="D1956" s="265" t="s">
        <v>69</v>
      </c>
      <c r="E1956" s="266" t="s">
        <v>4714</v>
      </c>
      <c r="F1956" s="252">
        <f t="shared" si="96"/>
        <v>46900</v>
      </c>
      <c r="G1956" s="252">
        <f t="shared" si="96"/>
        <v>53600</v>
      </c>
      <c r="H1956" s="252">
        <f t="shared" si="96"/>
        <v>60300</v>
      </c>
      <c r="I1956" s="252">
        <f t="shared" si="96"/>
        <v>66950</v>
      </c>
      <c r="J1956" s="252">
        <f t="shared" si="96"/>
        <v>72350</v>
      </c>
      <c r="K1956" s="252">
        <f t="shared" si="96"/>
        <v>77700</v>
      </c>
      <c r="L1956" s="252">
        <f t="shared" si="96"/>
        <v>83050</v>
      </c>
      <c r="M1956" s="252">
        <f t="shared" si="96"/>
        <v>88400</v>
      </c>
    </row>
    <row r="1957" spans="1:13" ht="21.95" customHeight="1" x14ac:dyDescent="0.25">
      <c r="A1957" s="36" t="s">
        <v>2904</v>
      </c>
      <c r="B1957" s="36" t="str">
        <f t="shared" si="94"/>
        <v>PA_WAYNE COUNTY, PA</v>
      </c>
      <c r="D1957" s="265" t="s">
        <v>69</v>
      </c>
      <c r="E1957" s="266" t="s">
        <v>4715</v>
      </c>
      <c r="F1957" s="252">
        <f t="shared" si="96"/>
        <v>47000</v>
      </c>
      <c r="G1957" s="252">
        <f t="shared" si="96"/>
        <v>53700</v>
      </c>
      <c r="H1957" s="252">
        <f t="shared" si="96"/>
        <v>60400</v>
      </c>
      <c r="I1957" s="252">
        <f t="shared" si="96"/>
        <v>67100</v>
      </c>
      <c r="J1957" s="252">
        <f t="shared" si="96"/>
        <v>72500</v>
      </c>
      <c r="K1957" s="252">
        <f t="shared" si="96"/>
        <v>77850</v>
      </c>
      <c r="L1957" s="252">
        <f t="shared" si="96"/>
        <v>83250</v>
      </c>
      <c r="M1957" s="252">
        <f t="shared" si="96"/>
        <v>88600</v>
      </c>
    </row>
    <row r="1958" spans="1:13" ht="21.95" customHeight="1" x14ac:dyDescent="0.25">
      <c r="A1958" s="36" t="s">
        <v>2904</v>
      </c>
      <c r="B1958" s="36" t="str">
        <f t="shared" si="94"/>
        <v>PA_WILLIAMSPORT, PA MSA</v>
      </c>
      <c r="D1958" s="265" t="s">
        <v>69</v>
      </c>
      <c r="E1958" s="266" t="s">
        <v>4716</v>
      </c>
      <c r="F1958" s="252">
        <f t="shared" si="96"/>
        <v>49200</v>
      </c>
      <c r="G1958" s="252">
        <f t="shared" si="96"/>
        <v>56200</v>
      </c>
      <c r="H1958" s="252">
        <f t="shared" si="96"/>
        <v>63250</v>
      </c>
      <c r="I1958" s="252">
        <f t="shared" si="96"/>
        <v>70250</v>
      </c>
      <c r="J1958" s="252">
        <f t="shared" si="96"/>
        <v>75900</v>
      </c>
      <c r="K1958" s="252">
        <f t="shared" si="96"/>
        <v>81500</v>
      </c>
      <c r="L1958" s="252">
        <f t="shared" si="96"/>
        <v>87150</v>
      </c>
      <c r="M1958" s="252">
        <f t="shared" si="96"/>
        <v>92750</v>
      </c>
    </row>
    <row r="1959" spans="1:13" ht="21.95" customHeight="1" x14ac:dyDescent="0.25">
      <c r="A1959" s="36" t="s">
        <v>2904</v>
      </c>
      <c r="B1959" s="36" t="str">
        <f t="shared" si="94"/>
        <v>PA_YORK-HANOVER, PA MSA</v>
      </c>
      <c r="D1959" s="265" t="s">
        <v>69</v>
      </c>
      <c r="E1959" s="266" t="s">
        <v>4717</v>
      </c>
      <c r="F1959" s="252">
        <f t="shared" si="96"/>
        <v>59300</v>
      </c>
      <c r="G1959" s="252">
        <f t="shared" si="96"/>
        <v>67750</v>
      </c>
      <c r="H1959" s="252">
        <f t="shared" si="96"/>
        <v>76200</v>
      </c>
      <c r="I1959" s="252">
        <f t="shared" si="96"/>
        <v>84650</v>
      </c>
      <c r="J1959" s="252">
        <f t="shared" si="96"/>
        <v>91450</v>
      </c>
      <c r="K1959" s="252">
        <f t="shared" si="96"/>
        <v>98200</v>
      </c>
      <c r="L1959" s="252">
        <f t="shared" si="96"/>
        <v>105000</v>
      </c>
      <c r="M1959" s="252">
        <f t="shared" si="96"/>
        <v>111750</v>
      </c>
    </row>
    <row r="1960" spans="1:13" ht="21.95" customHeight="1" x14ac:dyDescent="0.25">
      <c r="A1960" s="36" t="s">
        <v>2904</v>
      </c>
      <c r="B1960" s="36" t="str">
        <f t="shared" si="94"/>
        <v>RI_NEWPORT-MIDDLETON-PORTSMOUTH, RI HUD METRO FMR AREA</v>
      </c>
      <c r="D1960" s="265" t="s">
        <v>67</v>
      </c>
      <c r="E1960" s="266" t="s">
        <v>4718</v>
      </c>
      <c r="F1960" s="252">
        <f t="shared" si="96"/>
        <v>72950</v>
      </c>
      <c r="G1960" s="252">
        <f t="shared" si="96"/>
        <v>83400</v>
      </c>
      <c r="H1960" s="252">
        <f t="shared" si="96"/>
        <v>93800</v>
      </c>
      <c r="I1960" s="252">
        <f t="shared" si="96"/>
        <v>104200</v>
      </c>
      <c r="J1960" s="252">
        <f t="shared" si="96"/>
        <v>112550</v>
      </c>
      <c r="K1960" s="252">
        <f t="shared" si="96"/>
        <v>120900</v>
      </c>
      <c r="L1960" s="252">
        <f t="shared" si="96"/>
        <v>129250</v>
      </c>
      <c r="M1960" s="252">
        <f t="shared" si="96"/>
        <v>137550</v>
      </c>
    </row>
    <row r="1961" spans="1:13" ht="21.95" customHeight="1" x14ac:dyDescent="0.25">
      <c r="A1961" s="36" t="s">
        <v>2904</v>
      </c>
      <c r="B1961" s="36" t="str">
        <f t="shared" si="94"/>
        <v>RI_PROVIDENCE-FALL RIVER, RI-MA HUD METRO FMR AREA</v>
      </c>
      <c r="D1961" s="265" t="s">
        <v>67</v>
      </c>
      <c r="E1961" s="266" t="s">
        <v>3876</v>
      </c>
      <c r="F1961" s="252">
        <f t="shared" si="96"/>
        <v>64050</v>
      </c>
      <c r="G1961" s="252">
        <f t="shared" si="96"/>
        <v>73200</v>
      </c>
      <c r="H1961" s="252">
        <f t="shared" si="96"/>
        <v>82350</v>
      </c>
      <c r="I1961" s="252">
        <f t="shared" si="96"/>
        <v>91450</v>
      </c>
      <c r="J1961" s="252">
        <f t="shared" si="96"/>
        <v>98800</v>
      </c>
      <c r="K1961" s="252">
        <f t="shared" si="96"/>
        <v>106100</v>
      </c>
      <c r="L1961" s="252">
        <f t="shared" si="96"/>
        <v>113400</v>
      </c>
      <c r="M1961" s="252">
        <f t="shared" si="96"/>
        <v>120750</v>
      </c>
    </row>
    <row r="1962" spans="1:13" ht="21.95" customHeight="1" x14ac:dyDescent="0.25">
      <c r="A1962" s="36" t="s">
        <v>2904</v>
      </c>
      <c r="B1962" s="36" t="str">
        <f t="shared" si="94"/>
        <v>RI_WESTERLY-HOPKINTON-NEW SHOREHAM, RI HUD METRO FMR AREA</v>
      </c>
      <c r="D1962" s="265" t="s">
        <v>67</v>
      </c>
      <c r="E1962" s="266" t="s">
        <v>4719</v>
      </c>
      <c r="F1962" s="252">
        <f t="shared" si="96"/>
        <v>69300</v>
      </c>
      <c r="G1962" s="252">
        <f t="shared" si="96"/>
        <v>79200</v>
      </c>
      <c r="H1962" s="252">
        <f t="shared" si="96"/>
        <v>89100</v>
      </c>
      <c r="I1962" s="252">
        <f t="shared" si="96"/>
        <v>98950</v>
      </c>
      <c r="J1962" s="252">
        <f t="shared" si="96"/>
        <v>106900</v>
      </c>
      <c r="K1962" s="252">
        <f t="shared" si="96"/>
        <v>114800</v>
      </c>
      <c r="L1962" s="252">
        <f t="shared" si="96"/>
        <v>122700</v>
      </c>
      <c r="M1962" s="252">
        <f t="shared" si="96"/>
        <v>130650</v>
      </c>
    </row>
    <row r="1963" spans="1:13" ht="21.95" customHeight="1" x14ac:dyDescent="0.25">
      <c r="A1963" s="36" t="s">
        <v>2904</v>
      </c>
      <c r="B1963" s="36" t="str">
        <f t="shared" si="94"/>
        <v>SC_ABBEVILLE COUNTY, SC</v>
      </c>
      <c r="D1963" s="265" t="s">
        <v>66</v>
      </c>
      <c r="E1963" s="266" t="s">
        <v>4720</v>
      </c>
      <c r="F1963" s="252">
        <f t="shared" si="96"/>
        <v>40550</v>
      </c>
      <c r="G1963" s="252">
        <f t="shared" si="96"/>
        <v>46350</v>
      </c>
      <c r="H1963" s="252">
        <f t="shared" si="96"/>
        <v>52150</v>
      </c>
      <c r="I1963" s="252">
        <f t="shared" si="96"/>
        <v>57900</v>
      </c>
      <c r="J1963" s="252">
        <f t="shared" si="96"/>
        <v>62550</v>
      </c>
      <c r="K1963" s="252">
        <f t="shared" si="96"/>
        <v>67200</v>
      </c>
      <c r="L1963" s="252">
        <f t="shared" si="96"/>
        <v>71800</v>
      </c>
      <c r="M1963" s="252">
        <f t="shared" si="96"/>
        <v>76450</v>
      </c>
    </row>
    <row r="1964" spans="1:13" ht="21.95" customHeight="1" x14ac:dyDescent="0.25">
      <c r="A1964" s="36" t="s">
        <v>2904</v>
      </c>
      <c r="B1964" s="36" t="str">
        <f t="shared" si="94"/>
        <v>SC_ALLENDALE COUNTY, SC</v>
      </c>
      <c r="D1964" s="265" t="s">
        <v>66</v>
      </c>
      <c r="E1964" s="266" t="s">
        <v>4721</v>
      </c>
      <c r="F1964" s="252">
        <f t="shared" si="96"/>
        <v>38100</v>
      </c>
      <c r="G1964" s="252">
        <f t="shared" si="96"/>
        <v>43550</v>
      </c>
      <c r="H1964" s="252">
        <f t="shared" si="96"/>
        <v>49000</v>
      </c>
      <c r="I1964" s="252">
        <f t="shared" si="96"/>
        <v>54400</v>
      </c>
      <c r="J1964" s="252">
        <f t="shared" si="96"/>
        <v>58800</v>
      </c>
      <c r="K1964" s="252">
        <f t="shared" si="96"/>
        <v>63150</v>
      </c>
      <c r="L1964" s="252">
        <f t="shared" si="96"/>
        <v>67500</v>
      </c>
      <c r="M1964" s="252">
        <f t="shared" si="96"/>
        <v>71850</v>
      </c>
    </row>
    <row r="1965" spans="1:13" ht="21.95" customHeight="1" x14ac:dyDescent="0.25">
      <c r="A1965" s="36" t="s">
        <v>2904</v>
      </c>
      <c r="B1965" s="36" t="str">
        <f t="shared" si="94"/>
        <v>SC_ANDERSON, SC HUD METRO FMR AREA</v>
      </c>
      <c r="D1965" s="265" t="s">
        <v>66</v>
      </c>
      <c r="E1965" s="266" t="s">
        <v>4722</v>
      </c>
      <c r="F1965" s="252">
        <f t="shared" si="96"/>
        <v>48800</v>
      </c>
      <c r="G1965" s="252">
        <f t="shared" si="96"/>
        <v>55800</v>
      </c>
      <c r="H1965" s="252">
        <f t="shared" si="96"/>
        <v>62750</v>
      </c>
      <c r="I1965" s="252">
        <f t="shared" si="96"/>
        <v>69700</v>
      </c>
      <c r="J1965" s="252">
        <f t="shared" si="96"/>
        <v>75300</v>
      </c>
      <c r="K1965" s="252">
        <f t="shared" si="96"/>
        <v>80900</v>
      </c>
      <c r="L1965" s="252">
        <f t="shared" si="96"/>
        <v>86450</v>
      </c>
      <c r="M1965" s="252">
        <f t="shared" si="96"/>
        <v>92050</v>
      </c>
    </row>
    <row r="1966" spans="1:13" ht="21.95" customHeight="1" x14ac:dyDescent="0.25">
      <c r="A1966" s="36" t="s">
        <v>2904</v>
      </c>
      <c r="B1966" s="36" t="str">
        <f t="shared" si="94"/>
        <v>SC_AUGUSTA-RICHMOND COUNTY, GA-SC HUD METRO FMR AREA</v>
      </c>
      <c r="D1966" s="265" t="s">
        <v>66</v>
      </c>
      <c r="E1966" s="266" t="s">
        <v>3264</v>
      </c>
      <c r="F1966" s="252">
        <f t="shared" si="96"/>
        <v>49500</v>
      </c>
      <c r="G1966" s="252">
        <f t="shared" si="96"/>
        <v>56550</v>
      </c>
      <c r="H1966" s="252">
        <f t="shared" si="96"/>
        <v>63600</v>
      </c>
      <c r="I1966" s="252">
        <f t="shared" si="96"/>
        <v>70650</v>
      </c>
      <c r="J1966" s="252">
        <f t="shared" si="96"/>
        <v>76350</v>
      </c>
      <c r="K1966" s="252">
        <f t="shared" si="96"/>
        <v>82000</v>
      </c>
      <c r="L1966" s="252">
        <f t="shared" si="96"/>
        <v>87650</v>
      </c>
      <c r="M1966" s="252">
        <f t="shared" si="96"/>
        <v>93300</v>
      </c>
    </row>
    <row r="1967" spans="1:13" ht="21.95" customHeight="1" x14ac:dyDescent="0.25">
      <c r="A1967" s="36" t="s">
        <v>2904</v>
      </c>
      <c r="B1967" s="36" t="str">
        <f t="shared" si="94"/>
        <v>SC_BAMBERG COUNTY, SC</v>
      </c>
      <c r="D1967" s="265" t="s">
        <v>66</v>
      </c>
      <c r="E1967" s="266" t="s">
        <v>4723</v>
      </c>
      <c r="F1967" s="252">
        <f t="shared" si="96"/>
        <v>38550</v>
      </c>
      <c r="G1967" s="252">
        <f t="shared" si="96"/>
        <v>44050</v>
      </c>
      <c r="H1967" s="252">
        <f t="shared" si="96"/>
        <v>49550</v>
      </c>
      <c r="I1967" s="252">
        <f t="shared" si="96"/>
        <v>55050</v>
      </c>
      <c r="J1967" s="252">
        <f t="shared" si="96"/>
        <v>59500</v>
      </c>
      <c r="K1967" s="252">
        <f t="shared" si="96"/>
        <v>63900</v>
      </c>
      <c r="L1967" s="252">
        <f t="shared" si="96"/>
        <v>68300</v>
      </c>
      <c r="M1967" s="252">
        <f t="shared" si="96"/>
        <v>72700</v>
      </c>
    </row>
    <row r="1968" spans="1:13" ht="21.95" customHeight="1" x14ac:dyDescent="0.25">
      <c r="A1968" s="36" t="s">
        <v>2904</v>
      </c>
      <c r="B1968" s="36" t="str">
        <f t="shared" si="94"/>
        <v>SC_BARNWELL COUNTY, SC</v>
      </c>
      <c r="D1968" s="265" t="s">
        <v>66</v>
      </c>
      <c r="E1968" s="266" t="s">
        <v>4724</v>
      </c>
      <c r="F1968" s="252">
        <f t="shared" si="96"/>
        <v>39700</v>
      </c>
      <c r="G1968" s="252">
        <f t="shared" si="96"/>
        <v>45350</v>
      </c>
      <c r="H1968" s="252">
        <f t="shared" si="96"/>
        <v>51000</v>
      </c>
      <c r="I1968" s="252">
        <f t="shared" si="96"/>
        <v>56650</v>
      </c>
      <c r="J1968" s="252">
        <f t="shared" si="96"/>
        <v>61200</v>
      </c>
      <c r="K1968" s="252">
        <f t="shared" si="96"/>
        <v>65750</v>
      </c>
      <c r="L1968" s="252">
        <f t="shared" si="96"/>
        <v>70250</v>
      </c>
      <c r="M1968" s="252">
        <f t="shared" si="96"/>
        <v>74800</v>
      </c>
    </row>
    <row r="1969" spans="1:13" ht="21.95" customHeight="1" x14ac:dyDescent="0.25">
      <c r="A1969" s="36" t="s">
        <v>2904</v>
      </c>
      <c r="B1969" s="36" t="str">
        <f t="shared" si="94"/>
        <v>SC_BEAUFORT COUNTY, SC HUD METRO FMR AREA</v>
      </c>
      <c r="D1969" s="265" t="s">
        <v>66</v>
      </c>
      <c r="E1969" s="266" t="s">
        <v>4725</v>
      </c>
      <c r="F1969" s="252">
        <f t="shared" si="96"/>
        <v>61700</v>
      </c>
      <c r="G1969" s="252">
        <f t="shared" si="96"/>
        <v>70500</v>
      </c>
      <c r="H1969" s="252">
        <f t="shared" si="96"/>
        <v>79300</v>
      </c>
      <c r="I1969" s="252">
        <f t="shared" si="96"/>
        <v>88100</v>
      </c>
      <c r="J1969" s="252">
        <f t="shared" si="96"/>
        <v>95150</v>
      </c>
      <c r="K1969" s="252">
        <f t="shared" si="96"/>
        <v>102200</v>
      </c>
      <c r="L1969" s="252">
        <f t="shared" si="96"/>
        <v>109250</v>
      </c>
      <c r="M1969" s="252">
        <f t="shared" si="96"/>
        <v>116300</v>
      </c>
    </row>
    <row r="1970" spans="1:13" ht="21.95" customHeight="1" x14ac:dyDescent="0.25">
      <c r="A1970" s="36" t="s">
        <v>2904</v>
      </c>
      <c r="B1970" s="36" t="str">
        <f t="shared" si="94"/>
        <v>SC_CHARLESTON-NORTH CHARLESTON, SC MSA</v>
      </c>
      <c r="D1970" s="265" t="s">
        <v>66</v>
      </c>
      <c r="E1970" s="266" t="s">
        <v>4726</v>
      </c>
      <c r="F1970" s="252">
        <f t="shared" si="96"/>
        <v>62100</v>
      </c>
      <c r="G1970" s="252">
        <f t="shared" si="96"/>
        <v>71000</v>
      </c>
      <c r="H1970" s="252">
        <f t="shared" si="96"/>
        <v>79850</v>
      </c>
      <c r="I1970" s="252">
        <f t="shared" si="96"/>
        <v>88700</v>
      </c>
      <c r="J1970" s="252">
        <f t="shared" si="96"/>
        <v>95800</v>
      </c>
      <c r="K1970" s="252">
        <f t="shared" si="96"/>
        <v>102900</v>
      </c>
      <c r="L1970" s="252">
        <f t="shared" si="96"/>
        <v>110000</v>
      </c>
      <c r="M1970" s="252">
        <f t="shared" si="96"/>
        <v>117100</v>
      </c>
    </row>
    <row r="1971" spans="1:13" ht="21.95" customHeight="1" x14ac:dyDescent="0.25">
      <c r="A1971" s="36" t="s">
        <v>2904</v>
      </c>
      <c r="B1971" s="36" t="str">
        <f t="shared" si="94"/>
        <v>SC_CHARLOTTE-CONCORD-GASTONIA, NC-SC HUD METRO FMR AREA</v>
      </c>
      <c r="D1971" s="265" t="s">
        <v>66</v>
      </c>
      <c r="E1971" s="266" t="s">
        <v>4267</v>
      </c>
      <c r="F1971" s="252">
        <f t="shared" si="96"/>
        <v>62850</v>
      </c>
      <c r="G1971" s="252">
        <f t="shared" si="96"/>
        <v>71800</v>
      </c>
      <c r="H1971" s="252">
        <f t="shared" si="96"/>
        <v>80800</v>
      </c>
      <c r="I1971" s="252">
        <f t="shared" si="96"/>
        <v>89750</v>
      </c>
      <c r="J1971" s="252">
        <f t="shared" si="96"/>
        <v>96950</v>
      </c>
      <c r="K1971" s="252">
        <f t="shared" si="96"/>
        <v>104150</v>
      </c>
      <c r="L1971" s="252">
        <f t="shared" si="96"/>
        <v>111300</v>
      </c>
      <c r="M1971" s="252">
        <f t="shared" si="96"/>
        <v>118500</v>
      </c>
    </row>
    <row r="1972" spans="1:13" ht="21.95" customHeight="1" x14ac:dyDescent="0.25">
      <c r="A1972" s="36" t="s">
        <v>2904</v>
      </c>
      <c r="B1972" s="36" t="str">
        <f t="shared" si="94"/>
        <v>SC_CHEROKEE COUNTY, SC</v>
      </c>
      <c r="D1972" s="265" t="s">
        <v>66</v>
      </c>
      <c r="E1972" s="266" t="s">
        <v>4727</v>
      </c>
      <c r="F1972" s="252">
        <f t="shared" si="96"/>
        <v>40450</v>
      </c>
      <c r="G1972" s="252">
        <f t="shared" si="96"/>
        <v>46200</v>
      </c>
      <c r="H1972" s="252">
        <f t="shared" si="96"/>
        <v>52000</v>
      </c>
      <c r="I1972" s="252">
        <f t="shared" si="96"/>
        <v>57750</v>
      </c>
      <c r="J1972" s="252">
        <f t="shared" si="96"/>
        <v>62400</v>
      </c>
      <c r="K1972" s="252">
        <f t="shared" si="96"/>
        <v>67000</v>
      </c>
      <c r="L1972" s="252">
        <f t="shared" si="96"/>
        <v>71650</v>
      </c>
      <c r="M1972" s="252">
        <f t="shared" si="96"/>
        <v>76250</v>
      </c>
    </row>
    <row r="1973" spans="1:13" ht="21.95" customHeight="1" x14ac:dyDescent="0.25">
      <c r="A1973" s="36" t="s">
        <v>2904</v>
      </c>
      <c r="B1973" s="36" t="str">
        <f t="shared" si="94"/>
        <v>SC_CHESTER COUNTY, SC HUD METRO FMR AREA</v>
      </c>
      <c r="D1973" s="265" t="s">
        <v>66</v>
      </c>
      <c r="E1973" s="266" t="s">
        <v>4728</v>
      </c>
      <c r="F1973" s="252">
        <f t="shared" si="96"/>
        <v>38850</v>
      </c>
      <c r="G1973" s="252">
        <f t="shared" si="96"/>
        <v>44400</v>
      </c>
      <c r="H1973" s="252">
        <f t="shared" si="96"/>
        <v>49950</v>
      </c>
      <c r="I1973" s="252">
        <f t="shared" si="96"/>
        <v>55500</v>
      </c>
      <c r="J1973" s="252">
        <f t="shared" si="96"/>
        <v>59950</v>
      </c>
      <c r="K1973" s="252">
        <f t="shared" si="96"/>
        <v>64400</v>
      </c>
      <c r="L1973" s="252">
        <f t="shared" si="96"/>
        <v>68850</v>
      </c>
      <c r="M1973" s="252">
        <f t="shared" si="96"/>
        <v>73300</v>
      </c>
    </row>
    <row r="1974" spans="1:13" ht="21.95" customHeight="1" x14ac:dyDescent="0.25">
      <c r="A1974" s="36" t="s">
        <v>2904</v>
      </c>
      <c r="B1974" s="36" t="str">
        <f t="shared" si="94"/>
        <v>SC_CHESTERFIELD COUNTY, SC</v>
      </c>
      <c r="D1974" s="265" t="s">
        <v>66</v>
      </c>
      <c r="E1974" s="266" t="s">
        <v>4729</v>
      </c>
      <c r="F1974" s="252">
        <f t="shared" si="96"/>
        <v>38650</v>
      </c>
      <c r="G1974" s="252">
        <f t="shared" si="96"/>
        <v>44200</v>
      </c>
      <c r="H1974" s="252">
        <f t="shared" si="96"/>
        <v>49700</v>
      </c>
      <c r="I1974" s="252">
        <f t="shared" si="96"/>
        <v>55200</v>
      </c>
      <c r="J1974" s="252">
        <f t="shared" si="96"/>
        <v>59650</v>
      </c>
      <c r="K1974" s="252">
        <f t="shared" si="96"/>
        <v>64050</v>
      </c>
      <c r="L1974" s="252">
        <f t="shared" si="96"/>
        <v>68450</v>
      </c>
      <c r="M1974" s="252">
        <f t="shared" si="96"/>
        <v>72900</v>
      </c>
    </row>
    <row r="1975" spans="1:13" ht="21.95" customHeight="1" x14ac:dyDescent="0.25">
      <c r="A1975" s="36" t="s">
        <v>2904</v>
      </c>
      <c r="B1975" s="36" t="str">
        <f t="shared" si="94"/>
        <v>SC_CLARENDON COUNTY, SC</v>
      </c>
      <c r="D1975" s="265" t="s">
        <v>66</v>
      </c>
      <c r="E1975" s="266" t="s">
        <v>9252</v>
      </c>
      <c r="F1975" s="252">
        <f t="shared" si="96"/>
        <v>39900</v>
      </c>
      <c r="G1975" s="252">
        <f t="shared" si="96"/>
        <v>45600</v>
      </c>
      <c r="H1975" s="252">
        <f t="shared" si="96"/>
        <v>51300</v>
      </c>
      <c r="I1975" s="252">
        <f t="shared" si="96"/>
        <v>56950</v>
      </c>
      <c r="J1975" s="252">
        <f t="shared" si="96"/>
        <v>61550</v>
      </c>
      <c r="K1975" s="252">
        <f t="shared" si="96"/>
        <v>66100</v>
      </c>
      <c r="L1975" s="252">
        <f t="shared" si="96"/>
        <v>70650</v>
      </c>
      <c r="M1975" s="252">
        <f t="shared" si="96"/>
        <v>75200</v>
      </c>
    </row>
    <row r="1976" spans="1:13" ht="21.95" customHeight="1" x14ac:dyDescent="0.25">
      <c r="A1976" s="36" t="s">
        <v>2904</v>
      </c>
      <c r="B1976" s="36" t="str">
        <f t="shared" si="94"/>
        <v>SC_COLLETON COUNTY, SC</v>
      </c>
      <c r="D1976" s="265" t="s">
        <v>66</v>
      </c>
      <c r="E1976" s="266" t="s">
        <v>4730</v>
      </c>
      <c r="F1976" s="252">
        <f t="shared" si="96"/>
        <v>38100</v>
      </c>
      <c r="G1976" s="252">
        <f t="shared" si="96"/>
        <v>43550</v>
      </c>
      <c r="H1976" s="252">
        <f t="shared" si="96"/>
        <v>49000</v>
      </c>
      <c r="I1976" s="252">
        <f t="shared" si="96"/>
        <v>54400</v>
      </c>
      <c r="J1976" s="252">
        <f t="shared" si="96"/>
        <v>58800</v>
      </c>
      <c r="K1976" s="252">
        <f t="shared" si="96"/>
        <v>63150</v>
      </c>
      <c r="L1976" s="252">
        <f t="shared" si="96"/>
        <v>67500</v>
      </c>
      <c r="M1976" s="252">
        <f t="shared" si="96"/>
        <v>71850</v>
      </c>
    </row>
    <row r="1977" spans="1:13" ht="21.95" customHeight="1" x14ac:dyDescent="0.25">
      <c r="A1977" s="36" t="s">
        <v>2904</v>
      </c>
      <c r="B1977" s="36" t="str">
        <f t="shared" si="94"/>
        <v>SC_COLUMBIA, SC HUD METRO FMR AREA</v>
      </c>
      <c r="D1977" s="265" t="s">
        <v>66</v>
      </c>
      <c r="E1977" s="266" t="s">
        <v>4731</v>
      </c>
      <c r="F1977" s="252">
        <f t="shared" si="96"/>
        <v>51950</v>
      </c>
      <c r="G1977" s="252">
        <f t="shared" si="96"/>
        <v>59350</v>
      </c>
      <c r="H1977" s="252">
        <f t="shared" si="96"/>
        <v>66750</v>
      </c>
      <c r="I1977" s="252">
        <f t="shared" si="96"/>
        <v>74150</v>
      </c>
      <c r="J1977" s="252">
        <f t="shared" si="96"/>
        <v>80100</v>
      </c>
      <c r="K1977" s="252">
        <f t="shared" si="96"/>
        <v>86050</v>
      </c>
      <c r="L1977" s="252">
        <f t="shared" si="96"/>
        <v>91950</v>
      </c>
      <c r="M1977" s="252">
        <f t="shared" si="96"/>
        <v>97900</v>
      </c>
    </row>
    <row r="1978" spans="1:13" ht="21.95" customHeight="1" x14ac:dyDescent="0.25">
      <c r="A1978" s="36" t="s">
        <v>2904</v>
      </c>
      <c r="B1978" s="36" t="str">
        <f t="shared" si="94"/>
        <v>SC_DARLINGTON COUNTY, SC HUD METRO FMR AREA</v>
      </c>
      <c r="D1978" s="265" t="s">
        <v>66</v>
      </c>
      <c r="E1978" s="266" t="s">
        <v>4732</v>
      </c>
      <c r="F1978" s="252">
        <f t="shared" si="96"/>
        <v>38850</v>
      </c>
      <c r="G1978" s="252">
        <f t="shared" si="96"/>
        <v>44400</v>
      </c>
      <c r="H1978" s="252">
        <f t="shared" si="96"/>
        <v>49950</v>
      </c>
      <c r="I1978" s="252">
        <f t="shared" si="96"/>
        <v>55500</v>
      </c>
      <c r="J1978" s="252">
        <f t="shared" si="96"/>
        <v>59950</v>
      </c>
      <c r="K1978" s="252">
        <f t="shared" si="96"/>
        <v>64400</v>
      </c>
      <c r="L1978" s="252">
        <f t="shared" si="96"/>
        <v>68850</v>
      </c>
      <c r="M1978" s="252">
        <f t="shared" si="96"/>
        <v>73300</v>
      </c>
    </row>
    <row r="1979" spans="1:13" ht="21.95" customHeight="1" x14ac:dyDescent="0.25">
      <c r="A1979" s="36" t="s">
        <v>2904</v>
      </c>
      <c r="B1979" s="36" t="str">
        <f t="shared" si="94"/>
        <v>SC_DILLON COUNTY, SC</v>
      </c>
      <c r="D1979" s="265" t="s">
        <v>66</v>
      </c>
      <c r="E1979" s="266" t="s">
        <v>4733</v>
      </c>
      <c r="F1979" s="252">
        <f t="shared" si="96"/>
        <v>38100</v>
      </c>
      <c r="G1979" s="252">
        <f t="shared" si="96"/>
        <v>43550</v>
      </c>
      <c r="H1979" s="252">
        <f t="shared" si="96"/>
        <v>49000</v>
      </c>
      <c r="I1979" s="252">
        <f t="shared" si="96"/>
        <v>54400</v>
      </c>
      <c r="J1979" s="252">
        <f t="shared" si="96"/>
        <v>58800</v>
      </c>
      <c r="K1979" s="252">
        <f t="shared" si="96"/>
        <v>63150</v>
      </c>
      <c r="L1979" s="252">
        <f t="shared" si="96"/>
        <v>67500</v>
      </c>
      <c r="M1979" s="252">
        <f t="shared" si="96"/>
        <v>71850</v>
      </c>
    </row>
    <row r="1980" spans="1:13" ht="21.95" customHeight="1" x14ac:dyDescent="0.25">
      <c r="A1980" s="36" t="s">
        <v>2904</v>
      </c>
      <c r="B1980" s="36" t="str">
        <f t="shared" ref="B1980:B2043" si="97">UPPER(TRIM(D1980)&amp;"_"&amp;TRIM(E1980))</f>
        <v>SC_FLORENCE, SC HUD METRO FMR AREA</v>
      </c>
      <c r="D1980" s="265" t="s">
        <v>66</v>
      </c>
      <c r="E1980" s="266" t="s">
        <v>4734</v>
      </c>
      <c r="F1980" s="252">
        <f t="shared" si="96"/>
        <v>43150</v>
      </c>
      <c r="G1980" s="252">
        <f t="shared" si="96"/>
        <v>49300</v>
      </c>
      <c r="H1980" s="252">
        <f t="shared" si="96"/>
        <v>55450</v>
      </c>
      <c r="I1980" s="252">
        <f t="shared" si="96"/>
        <v>61600</v>
      </c>
      <c r="J1980" s="252">
        <f t="shared" si="96"/>
        <v>66550</v>
      </c>
      <c r="K1980" s="252">
        <f t="shared" si="96"/>
        <v>71500</v>
      </c>
      <c r="L1980" s="252">
        <f t="shared" si="96"/>
        <v>76400</v>
      </c>
      <c r="M1980" s="252">
        <f t="shared" si="96"/>
        <v>81350</v>
      </c>
    </row>
    <row r="1981" spans="1:13" ht="21.95" customHeight="1" x14ac:dyDescent="0.25">
      <c r="A1981" s="36" t="s">
        <v>2904</v>
      </c>
      <c r="B1981" s="36" t="str">
        <f t="shared" si="97"/>
        <v>SC_GEORGETOWN COUNTY, SC</v>
      </c>
      <c r="D1981" s="265" t="s">
        <v>66</v>
      </c>
      <c r="E1981" s="266" t="s">
        <v>4735</v>
      </c>
      <c r="F1981" s="252">
        <f t="shared" si="96"/>
        <v>46450</v>
      </c>
      <c r="G1981" s="252">
        <f t="shared" si="96"/>
        <v>53050</v>
      </c>
      <c r="H1981" s="252">
        <f t="shared" si="96"/>
        <v>59700</v>
      </c>
      <c r="I1981" s="252">
        <f t="shared" si="96"/>
        <v>66300</v>
      </c>
      <c r="J1981" s="252">
        <f t="shared" si="96"/>
        <v>71650</v>
      </c>
      <c r="K1981" s="252">
        <f t="shared" si="96"/>
        <v>76950</v>
      </c>
      <c r="L1981" s="252">
        <f t="shared" si="96"/>
        <v>82250</v>
      </c>
      <c r="M1981" s="252">
        <f t="shared" si="96"/>
        <v>87550</v>
      </c>
    </row>
    <row r="1982" spans="1:13" ht="21.95" customHeight="1" x14ac:dyDescent="0.25">
      <c r="A1982" s="36" t="s">
        <v>2904</v>
      </c>
      <c r="B1982" s="36" t="str">
        <f t="shared" si="97"/>
        <v>SC_GREENVILLE-MAULDIN-EASLEY, SC HUD METRO FMR AREA</v>
      </c>
      <c r="D1982" s="265" t="s">
        <v>66</v>
      </c>
      <c r="E1982" s="266" t="s">
        <v>4736</v>
      </c>
      <c r="F1982" s="252">
        <f t="shared" si="96"/>
        <v>54150</v>
      </c>
      <c r="G1982" s="252">
        <f t="shared" si="96"/>
        <v>61900</v>
      </c>
      <c r="H1982" s="252">
        <f t="shared" si="96"/>
        <v>69650</v>
      </c>
      <c r="I1982" s="252">
        <f t="shared" si="96"/>
        <v>77350</v>
      </c>
      <c r="J1982" s="252">
        <f t="shared" si="96"/>
        <v>83550</v>
      </c>
      <c r="K1982" s="252">
        <f t="shared" si="96"/>
        <v>89750</v>
      </c>
      <c r="L1982" s="252">
        <f t="shared" si="96"/>
        <v>95950</v>
      </c>
      <c r="M1982" s="252">
        <f t="shared" si="96"/>
        <v>102150</v>
      </c>
    </row>
    <row r="1983" spans="1:13" ht="21.95" customHeight="1" x14ac:dyDescent="0.25">
      <c r="A1983" s="36" t="s">
        <v>2904</v>
      </c>
      <c r="B1983" s="36" t="str">
        <f t="shared" si="97"/>
        <v>SC_GREENWOOD COUNTY, SC</v>
      </c>
      <c r="D1983" s="265" t="s">
        <v>66</v>
      </c>
      <c r="E1983" s="266" t="s">
        <v>4737</v>
      </c>
      <c r="F1983" s="252">
        <f t="shared" si="96"/>
        <v>38100</v>
      </c>
      <c r="G1983" s="252">
        <f t="shared" si="96"/>
        <v>43550</v>
      </c>
      <c r="H1983" s="252">
        <f t="shared" si="96"/>
        <v>49000</v>
      </c>
      <c r="I1983" s="252">
        <f t="shared" si="96"/>
        <v>54400</v>
      </c>
      <c r="J1983" s="252">
        <f t="shared" si="96"/>
        <v>58800</v>
      </c>
      <c r="K1983" s="252">
        <f t="shared" si="96"/>
        <v>63150</v>
      </c>
      <c r="L1983" s="252">
        <f t="shared" si="96"/>
        <v>67500</v>
      </c>
      <c r="M1983" s="252">
        <f t="shared" si="96"/>
        <v>71850</v>
      </c>
    </row>
    <row r="1984" spans="1:13" ht="21.95" customHeight="1" x14ac:dyDescent="0.25">
      <c r="A1984" s="36" t="s">
        <v>2904</v>
      </c>
      <c r="B1984" s="36" t="str">
        <f t="shared" si="97"/>
        <v>SC_HAMPTON COUNTY, SC</v>
      </c>
      <c r="D1984" s="265" t="s">
        <v>66</v>
      </c>
      <c r="E1984" s="266" t="s">
        <v>4738</v>
      </c>
      <c r="F1984" s="252">
        <f t="shared" si="96"/>
        <v>38100</v>
      </c>
      <c r="G1984" s="252">
        <f t="shared" si="96"/>
        <v>43550</v>
      </c>
      <c r="H1984" s="252">
        <f t="shared" si="96"/>
        <v>49000</v>
      </c>
      <c r="I1984" s="252">
        <f t="shared" si="96"/>
        <v>54400</v>
      </c>
      <c r="J1984" s="252">
        <f t="shared" si="96"/>
        <v>58800</v>
      </c>
      <c r="K1984" s="252">
        <f t="shared" si="96"/>
        <v>63150</v>
      </c>
      <c r="L1984" s="252">
        <f t="shared" si="96"/>
        <v>67500</v>
      </c>
      <c r="M1984" s="252">
        <f t="shared" si="96"/>
        <v>71850</v>
      </c>
    </row>
    <row r="1985" spans="1:13" ht="21.95" customHeight="1" x14ac:dyDescent="0.25">
      <c r="A1985" s="36" t="s">
        <v>2904</v>
      </c>
      <c r="B1985" s="36" t="str">
        <f t="shared" si="97"/>
        <v>SC_JASPER COUNTY, SC HUD METRO FMR AREA</v>
      </c>
      <c r="D1985" s="265" t="s">
        <v>66</v>
      </c>
      <c r="E1985" s="266" t="s">
        <v>4739</v>
      </c>
      <c r="F1985" s="252">
        <f t="shared" si="96"/>
        <v>42600</v>
      </c>
      <c r="G1985" s="252">
        <f t="shared" si="96"/>
        <v>48650</v>
      </c>
      <c r="H1985" s="252">
        <f t="shared" si="96"/>
        <v>54750</v>
      </c>
      <c r="I1985" s="252">
        <f t="shared" si="96"/>
        <v>60800</v>
      </c>
      <c r="J1985" s="252">
        <f t="shared" si="96"/>
        <v>65700</v>
      </c>
      <c r="K1985" s="252">
        <f t="shared" si="96"/>
        <v>70550</v>
      </c>
      <c r="L1985" s="252">
        <f t="shared" si="96"/>
        <v>75400</v>
      </c>
      <c r="M1985" s="252">
        <f t="shared" si="96"/>
        <v>80300</v>
      </c>
    </row>
    <row r="1986" spans="1:13" ht="21.95" customHeight="1" x14ac:dyDescent="0.25">
      <c r="A1986" s="36" t="s">
        <v>2904</v>
      </c>
      <c r="B1986" s="36" t="str">
        <f t="shared" si="97"/>
        <v>SC_KERSHAW COUNTY, SC HUD METRO FMR AREA</v>
      </c>
      <c r="D1986" s="265" t="s">
        <v>66</v>
      </c>
      <c r="E1986" s="266" t="s">
        <v>4740</v>
      </c>
      <c r="F1986" s="252">
        <f t="shared" si="96"/>
        <v>47250</v>
      </c>
      <c r="G1986" s="252">
        <f t="shared" si="96"/>
        <v>54000</v>
      </c>
      <c r="H1986" s="252">
        <f t="shared" si="96"/>
        <v>60750</v>
      </c>
      <c r="I1986" s="252">
        <f t="shared" si="96"/>
        <v>67500</v>
      </c>
      <c r="J1986" s="252">
        <f t="shared" ref="F1986:M2018" si="98">VLOOKUP($B1986,LOOKUP_AMI_TABLE,5+((J$7-1)),FALSE)</f>
        <v>72900</v>
      </c>
      <c r="K1986" s="252">
        <f t="shared" si="98"/>
        <v>78300</v>
      </c>
      <c r="L1986" s="252">
        <f t="shared" si="98"/>
        <v>83700</v>
      </c>
      <c r="M1986" s="252">
        <f t="shared" si="98"/>
        <v>89100</v>
      </c>
    </row>
    <row r="1987" spans="1:13" ht="21.95" customHeight="1" x14ac:dyDescent="0.25">
      <c r="A1987" s="36" t="s">
        <v>2904</v>
      </c>
      <c r="B1987" s="36" t="str">
        <f t="shared" si="97"/>
        <v>SC_LANCASTER COUNTY, SC HUD METRO FMR AREA</v>
      </c>
      <c r="D1987" s="265" t="s">
        <v>66</v>
      </c>
      <c r="E1987" s="266" t="s">
        <v>4741</v>
      </c>
      <c r="F1987" s="252">
        <f t="shared" si="98"/>
        <v>52200</v>
      </c>
      <c r="G1987" s="252">
        <f t="shared" si="98"/>
        <v>59650</v>
      </c>
      <c r="H1987" s="252">
        <f t="shared" si="98"/>
        <v>67100</v>
      </c>
      <c r="I1987" s="252">
        <f t="shared" si="98"/>
        <v>74550</v>
      </c>
      <c r="J1987" s="252">
        <f t="shared" si="98"/>
        <v>80550</v>
      </c>
      <c r="K1987" s="252">
        <f t="shared" si="98"/>
        <v>86500</v>
      </c>
      <c r="L1987" s="252">
        <f t="shared" si="98"/>
        <v>92450</v>
      </c>
      <c r="M1987" s="252">
        <f t="shared" si="98"/>
        <v>98450</v>
      </c>
    </row>
    <row r="1988" spans="1:13" ht="21.95" customHeight="1" x14ac:dyDescent="0.25">
      <c r="A1988" s="36" t="s">
        <v>2904</v>
      </c>
      <c r="B1988" s="36" t="str">
        <f t="shared" si="97"/>
        <v>SC_LAURENS COUNTY, SC HUD METRO FMR AREA</v>
      </c>
      <c r="D1988" s="265" t="s">
        <v>66</v>
      </c>
      <c r="E1988" s="266" t="s">
        <v>4742</v>
      </c>
      <c r="F1988" s="252">
        <f t="shared" si="98"/>
        <v>41650</v>
      </c>
      <c r="G1988" s="252">
        <f t="shared" si="98"/>
        <v>47600</v>
      </c>
      <c r="H1988" s="252">
        <f t="shared" si="98"/>
        <v>53550</v>
      </c>
      <c r="I1988" s="252">
        <f t="shared" si="98"/>
        <v>59500</v>
      </c>
      <c r="J1988" s="252">
        <f t="shared" si="98"/>
        <v>64300</v>
      </c>
      <c r="K1988" s="252">
        <f t="shared" si="98"/>
        <v>69050</v>
      </c>
      <c r="L1988" s="252">
        <f t="shared" si="98"/>
        <v>73800</v>
      </c>
      <c r="M1988" s="252">
        <f t="shared" si="98"/>
        <v>78550</v>
      </c>
    </row>
    <row r="1989" spans="1:13" ht="21.95" customHeight="1" x14ac:dyDescent="0.25">
      <c r="A1989" s="36" t="s">
        <v>2904</v>
      </c>
      <c r="B1989" s="36" t="str">
        <f t="shared" si="97"/>
        <v>SC_LEE COUNTY, SC</v>
      </c>
      <c r="D1989" s="265" t="s">
        <v>66</v>
      </c>
      <c r="E1989" s="266" t="s">
        <v>4743</v>
      </c>
      <c r="F1989" s="252">
        <f t="shared" si="98"/>
        <v>38100</v>
      </c>
      <c r="G1989" s="252">
        <f t="shared" si="98"/>
        <v>43550</v>
      </c>
      <c r="H1989" s="252">
        <f t="shared" si="98"/>
        <v>49000</v>
      </c>
      <c r="I1989" s="252">
        <f t="shared" si="98"/>
        <v>54400</v>
      </c>
      <c r="J1989" s="252">
        <f t="shared" si="98"/>
        <v>58800</v>
      </c>
      <c r="K1989" s="252">
        <f t="shared" si="98"/>
        <v>63150</v>
      </c>
      <c r="L1989" s="252">
        <f t="shared" si="98"/>
        <v>67500</v>
      </c>
      <c r="M1989" s="252">
        <f t="shared" si="98"/>
        <v>71850</v>
      </c>
    </row>
    <row r="1990" spans="1:13" ht="21.95" customHeight="1" x14ac:dyDescent="0.25">
      <c r="A1990" s="36" t="s">
        <v>2904</v>
      </c>
      <c r="B1990" s="36" t="str">
        <f t="shared" si="97"/>
        <v>SC_MARION COUNTY, SC</v>
      </c>
      <c r="D1990" s="265" t="s">
        <v>66</v>
      </c>
      <c r="E1990" s="266" t="s">
        <v>4744</v>
      </c>
      <c r="F1990" s="252">
        <f t="shared" si="98"/>
        <v>38100</v>
      </c>
      <c r="G1990" s="252">
        <f t="shared" si="98"/>
        <v>43550</v>
      </c>
      <c r="H1990" s="252">
        <f t="shared" si="98"/>
        <v>49000</v>
      </c>
      <c r="I1990" s="252">
        <f t="shared" si="98"/>
        <v>54400</v>
      </c>
      <c r="J1990" s="252">
        <f t="shared" si="98"/>
        <v>58800</v>
      </c>
      <c r="K1990" s="252">
        <f t="shared" si="98"/>
        <v>63150</v>
      </c>
      <c r="L1990" s="252">
        <f t="shared" si="98"/>
        <v>67500</v>
      </c>
      <c r="M1990" s="252">
        <f t="shared" si="98"/>
        <v>71850</v>
      </c>
    </row>
    <row r="1991" spans="1:13" ht="21.95" customHeight="1" x14ac:dyDescent="0.25">
      <c r="A1991" s="36" t="s">
        <v>2904</v>
      </c>
      <c r="B1991" s="36" t="str">
        <f t="shared" si="97"/>
        <v>SC_MARLBORO COUNTY, SC</v>
      </c>
      <c r="D1991" s="265" t="s">
        <v>66</v>
      </c>
      <c r="E1991" s="266" t="s">
        <v>4745</v>
      </c>
      <c r="F1991" s="252">
        <f t="shared" si="98"/>
        <v>38100</v>
      </c>
      <c r="G1991" s="252">
        <f t="shared" si="98"/>
        <v>43550</v>
      </c>
      <c r="H1991" s="252">
        <f t="shared" si="98"/>
        <v>49000</v>
      </c>
      <c r="I1991" s="252">
        <f t="shared" si="98"/>
        <v>54400</v>
      </c>
      <c r="J1991" s="252">
        <f t="shared" si="98"/>
        <v>58800</v>
      </c>
      <c r="K1991" s="252">
        <f t="shared" si="98"/>
        <v>63150</v>
      </c>
      <c r="L1991" s="252">
        <f t="shared" si="98"/>
        <v>67500</v>
      </c>
      <c r="M1991" s="252">
        <f t="shared" si="98"/>
        <v>71850</v>
      </c>
    </row>
    <row r="1992" spans="1:13" ht="21.95" customHeight="1" x14ac:dyDescent="0.25">
      <c r="A1992" s="36" t="s">
        <v>2904</v>
      </c>
      <c r="B1992" s="36" t="str">
        <f t="shared" si="97"/>
        <v>SC_MCCORMICK COUNTY, SC</v>
      </c>
      <c r="D1992" s="265" t="s">
        <v>66</v>
      </c>
      <c r="E1992" s="266" t="s">
        <v>4746</v>
      </c>
      <c r="F1992" s="252">
        <f t="shared" si="98"/>
        <v>45400</v>
      </c>
      <c r="G1992" s="252">
        <f t="shared" si="98"/>
        <v>51850</v>
      </c>
      <c r="H1992" s="252">
        <f t="shared" si="98"/>
        <v>58350</v>
      </c>
      <c r="I1992" s="252">
        <f t="shared" si="98"/>
        <v>64800</v>
      </c>
      <c r="J1992" s="252">
        <f t="shared" si="98"/>
        <v>70000</v>
      </c>
      <c r="K1992" s="252">
        <f t="shared" si="98"/>
        <v>75200</v>
      </c>
      <c r="L1992" s="252">
        <f t="shared" si="98"/>
        <v>80400</v>
      </c>
      <c r="M1992" s="252">
        <f t="shared" si="98"/>
        <v>85550</v>
      </c>
    </row>
    <row r="1993" spans="1:13" ht="21.95" customHeight="1" x14ac:dyDescent="0.25">
      <c r="A1993" s="36" t="s">
        <v>2904</v>
      </c>
      <c r="B1993" s="36" t="str">
        <f t="shared" si="97"/>
        <v>SC_MYRTLE BEACH-NORTH MYRTLE BEACH-CONWAY, SC HUD METRO FMR AREA</v>
      </c>
      <c r="D1993" s="265" t="s">
        <v>66</v>
      </c>
      <c r="E1993" s="266" t="s">
        <v>4747</v>
      </c>
      <c r="F1993" s="252">
        <f t="shared" si="98"/>
        <v>48650</v>
      </c>
      <c r="G1993" s="252">
        <f t="shared" si="98"/>
        <v>55600</v>
      </c>
      <c r="H1993" s="252">
        <f t="shared" si="98"/>
        <v>62550</v>
      </c>
      <c r="I1993" s="252">
        <f t="shared" si="98"/>
        <v>69450</v>
      </c>
      <c r="J1993" s="252">
        <f t="shared" si="98"/>
        <v>75050</v>
      </c>
      <c r="K1993" s="252">
        <f t="shared" si="98"/>
        <v>80600</v>
      </c>
      <c r="L1993" s="252">
        <f t="shared" si="98"/>
        <v>86150</v>
      </c>
      <c r="M1993" s="252">
        <f t="shared" si="98"/>
        <v>91700</v>
      </c>
    </row>
    <row r="1994" spans="1:13" ht="21.95" customHeight="1" x14ac:dyDescent="0.25">
      <c r="A1994" s="36" t="s">
        <v>2904</v>
      </c>
      <c r="B1994" s="36" t="str">
        <f t="shared" si="97"/>
        <v>SC_NEWBERRY COUNTY, SC</v>
      </c>
      <c r="D1994" s="265" t="s">
        <v>66</v>
      </c>
      <c r="E1994" s="266" t="s">
        <v>4748</v>
      </c>
      <c r="F1994" s="252">
        <f t="shared" si="98"/>
        <v>43750</v>
      </c>
      <c r="G1994" s="252">
        <f t="shared" si="98"/>
        <v>50000</v>
      </c>
      <c r="H1994" s="252">
        <f t="shared" si="98"/>
        <v>56250</v>
      </c>
      <c r="I1994" s="252">
        <f t="shared" si="98"/>
        <v>62450</v>
      </c>
      <c r="J1994" s="252">
        <f t="shared" si="98"/>
        <v>67450</v>
      </c>
      <c r="K1994" s="252">
        <f t="shared" si="98"/>
        <v>72450</v>
      </c>
      <c r="L1994" s="252">
        <f t="shared" si="98"/>
        <v>77450</v>
      </c>
      <c r="M1994" s="252">
        <f t="shared" si="98"/>
        <v>82450</v>
      </c>
    </row>
    <row r="1995" spans="1:13" ht="21.95" customHeight="1" x14ac:dyDescent="0.25">
      <c r="A1995" s="36" t="s">
        <v>2904</v>
      </c>
      <c r="B1995" s="36" t="str">
        <f t="shared" si="97"/>
        <v>SC_OCONEE COUNTY, SC</v>
      </c>
      <c r="D1995" s="265" t="s">
        <v>66</v>
      </c>
      <c r="E1995" s="266" t="s">
        <v>4749</v>
      </c>
      <c r="F1995" s="252">
        <f t="shared" si="98"/>
        <v>45300</v>
      </c>
      <c r="G1995" s="252">
        <f t="shared" si="98"/>
        <v>51800</v>
      </c>
      <c r="H1995" s="252">
        <f t="shared" si="98"/>
        <v>58250</v>
      </c>
      <c r="I1995" s="252">
        <f t="shared" si="98"/>
        <v>64700</v>
      </c>
      <c r="J1995" s="252">
        <f t="shared" si="98"/>
        <v>69900</v>
      </c>
      <c r="K1995" s="252">
        <f t="shared" si="98"/>
        <v>75100</v>
      </c>
      <c r="L1995" s="252">
        <f t="shared" si="98"/>
        <v>80250</v>
      </c>
      <c r="M1995" s="252">
        <f t="shared" si="98"/>
        <v>85450</v>
      </c>
    </row>
    <row r="1996" spans="1:13" ht="21.95" customHeight="1" x14ac:dyDescent="0.25">
      <c r="A1996" s="36" t="s">
        <v>2904</v>
      </c>
      <c r="B1996" s="36" t="str">
        <f t="shared" si="97"/>
        <v>SC_ORANGEBURG COUNTY, SC</v>
      </c>
      <c r="D1996" s="265" t="s">
        <v>66</v>
      </c>
      <c r="E1996" s="266" t="s">
        <v>4750</v>
      </c>
      <c r="F1996" s="252">
        <f t="shared" si="98"/>
        <v>38100</v>
      </c>
      <c r="G1996" s="252">
        <f t="shared" si="98"/>
        <v>43550</v>
      </c>
      <c r="H1996" s="252">
        <f t="shared" si="98"/>
        <v>49000</v>
      </c>
      <c r="I1996" s="252">
        <f t="shared" si="98"/>
        <v>54400</v>
      </c>
      <c r="J1996" s="252">
        <f t="shared" si="98"/>
        <v>58800</v>
      </c>
      <c r="K1996" s="252">
        <f t="shared" si="98"/>
        <v>63150</v>
      </c>
      <c r="L1996" s="252">
        <f t="shared" si="98"/>
        <v>67500</v>
      </c>
      <c r="M1996" s="252">
        <f t="shared" si="98"/>
        <v>71850</v>
      </c>
    </row>
    <row r="1997" spans="1:13" ht="21.95" customHeight="1" x14ac:dyDescent="0.25">
      <c r="A1997" s="36" t="s">
        <v>2904</v>
      </c>
      <c r="B1997" s="36" t="str">
        <f t="shared" si="97"/>
        <v>SC_SPARTANBURG, SC HUD METRO FMR AREA</v>
      </c>
      <c r="D1997" s="265" t="s">
        <v>66</v>
      </c>
      <c r="E1997" s="266" t="s">
        <v>9253</v>
      </c>
      <c r="F1997" s="252">
        <f t="shared" si="98"/>
        <v>46000</v>
      </c>
      <c r="G1997" s="252">
        <f t="shared" si="98"/>
        <v>52600</v>
      </c>
      <c r="H1997" s="252">
        <f t="shared" si="98"/>
        <v>59150</v>
      </c>
      <c r="I1997" s="252">
        <f t="shared" si="98"/>
        <v>65700</v>
      </c>
      <c r="J1997" s="252">
        <f t="shared" si="98"/>
        <v>71000</v>
      </c>
      <c r="K1997" s="252">
        <f t="shared" si="98"/>
        <v>76250</v>
      </c>
      <c r="L1997" s="252">
        <f t="shared" si="98"/>
        <v>81500</v>
      </c>
      <c r="M1997" s="252">
        <f t="shared" si="98"/>
        <v>86750</v>
      </c>
    </row>
    <row r="1998" spans="1:13" ht="21.95" customHeight="1" x14ac:dyDescent="0.25">
      <c r="A1998" s="36" t="s">
        <v>2904</v>
      </c>
      <c r="B1998" s="36" t="str">
        <f t="shared" si="97"/>
        <v>SC_SUMTER, SC MSA</v>
      </c>
      <c r="D1998" s="265" t="s">
        <v>66</v>
      </c>
      <c r="E1998" s="266" t="s">
        <v>9254</v>
      </c>
      <c r="F1998" s="252">
        <f t="shared" si="98"/>
        <v>39950</v>
      </c>
      <c r="G1998" s="252">
        <f t="shared" si="98"/>
        <v>45650</v>
      </c>
      <c r="H1998" s="252">
        <f t="shared" si="98"/>
        <v>51350</v>
      </c>
      <c r="I1998" s="252">
        <f t="shared" si="98"/>
        <v>57050</v>
      </c>
      <c r="J1998" s="252">
        <f t="shared" si="98"/>
        <v>61650</v>
      </c>
      <c r="K1998" s="252">
        <f t="shared" si="98"/>
        <v>66200</v>
      </c>
      <c r="L1998" s="252">
        <f t="shared" si="98"/>
        <v>70750</v>
      </c>
      <c r="M1998" s="252">
        <f t="shared" si="98"/>
        <v>75350</v>
      </c>
    </row>
    <row r="1999" spans="1:13" ht="21.95" customHeight="1" x14ac:dyDescent="0.25">
      <c r="A1999" s="36" t="s">
        <v>2904</v>
      </c>
      <c r="B1999" s="36" t="str">
        <f t="shared" si="97"/>
        <v>SC_UNION COUNTY, SC HUD METRO FMR AREA</v>
      </c>
      <c r="D1999" s="265" t="s">
        <v>66</v>
      </c>
      <c r="E1999" s="266" t="s">
        <v>9255</v>
      </c>
      <c r="F1999" s="252">
        <f t="shared" si="98"/>
        <v>38100</v>
      </c>
      <c r="G1999" s="252">
        <f t="shared" si="98"/>
        <v>43550</v>
      </c>
      <c r="H1999" s="252">
        <f t="shared" si="98"/>
        <v>49000</v>
      </c>
      <c r="I1999" s="252">
        <f t="shared" si="98"/>
        <v>54400</v>
      </c>
      <c r="J1999" s="252">
        <f t="shared" si="98"/>
        <v>58800</v>
      </c>
      <c r="K1999" s="252">
        <f t="shared" si="98"/>
        <v>63150</v>
      </c>
      <c r="L1999" s="252">
        <f t="shared" si="98"/>
        <v>67500</v>
      </c>
      <c r="M1999" s="252">
        <f t="shared" si="98"/>
        <v>71850</v>
      </c>
    </row>
    <row r="2000" spans="1:13" ht="21.95" customHeight="1" x14ac:dyDescent="0.25">
      <c r="A2000" s="36" t="s">
        <v>2904</v>
      </c>
      <c r="B2000" s="36" t="str">
        <f t="shared" si="97"/>
        <v>SC_WILLIAMSBURG COUNTY, SC</v>
      </c>
      <c r="D2000" s="265" t="s">
        <v>66</v>
      </c>
      <c r="E2000" s="266" t="s">
        <v>4751</v>
      </c>
      <c r="F2000" s="252">
        <f t="shared" si="98"/>
        <v>38100</v>
      </c>
      <c r="G2000" s="252">
        <f t="shared" si="98"/>
        <v>43550</v>
      </c>
      <c r="H2000" s="252">
        <f t="shared" si="98"/>
        <v>49000</v>
      </c>
      <c r="I2000" s="252">
        <f t="shared" si="98"/>
        <v>54400</v>
      </c>
      <c r="J2000" s="252">
        <f t="shared" si="98"/>
        <v>58800</v>
      </c>
      <c r="K2000" s="252">
        <f t="shared" si="98"/>
        <v>63150</v>
      </c>
      <c r="L2000" s="252">
        <f t="shared" si="98"/>
        <v>67500</v>
      </c>
      <c r="M2000" s="252">
        <f t="shared" si="98"/>
        <v>71850</v>
      </c>
    </row>
    <row r="2001" spans="1:13" ht="21.95" customHeight="1" x14ac:dyDescent="0.25">
      <c r="A2001" s="36" t="s">
        <v>2904</v>
      </c>
      <c r="B2001" s="36" t="str">
        <f t="shared" si="97"/>
        <v>SD_AURORA COUNTY, SD</v>
      </c>
      <c r="D2001" s="265" t="s">
        <v>65</v>
      </c>
      <c r="E2001" s="266" t="s">
        <v>4752</v>
      </c>
      <c r="F2001" s="252">
        <f t="shared" si="98"/>
        <v>52600</v>
      </c>
      <c r="G2001" s="252">
        <f t="shared" si="98"/>
        <v>60100</v>
      </c>
      <c r="H2001" s="252">
        <f t="shared" si="98"/>
        <v>67600</v>
      </c>
      <c r="I2001" s="252">
        <f t="shared" si="98"/>
        <v>75100</v>
      </c>
      <c r="J2001" s="252">
        <f t="shared" si="98"/>
        <v>81150</v>
      </c>
      <c r="K2001" s="252">
        <f t="shared" si="98"/>
        <v>87150</v>
      </c>
      <c r="L2001" s="252">
        <f t="shared" si="98"/>
        <v>93150</v>
      </c>
      <c r="M2001" s="252">
        <f t="shared" si="98"/>
        <v>99150</v>
      </c>
    </row>
    <row r="2002" spans="1:13" ht="21.95" customHeight="1" x14ac:dyDescent="0.25">
      <c r="A2002" s="36" t="s">
        <v>2904</v>
      </c>
      <c r="B2002" s="36" t="str">
        <f t="shared" si="97"/>
        <v>SD_BEADLE COUNTY, SD</v>
      </c>
      <c r="D2002" s="265" t="s">
        <v>65</v>
      </c>
      <c r="E2002" s="266" t="s">
        <v>4753</v>
      </c>
      <c r="F2002" s="252">
        <f t="shared" si="98"/>
        <v>52600</v>
      </c>
      <c r="G2002" s="252">
        <f t="shared" si="98"/>
        <v>60100</v>
      </c>
      <c r="H2002" s="252">
        <f t="shared" si="98"/>
        <v>67600</v>
      </c>
      <c r="I2002" s="252">
        <f t="shared" si="98"/>
        <v>75100</v>
      </c>
      <c r="J2002" s="252">
        <f t="shared" si="98"/>
        <v>81150</v>
      </c>
      <c r="K2002" s="252">
        <f t="shared" si="98"/>
        <v>87150</v>
      </c>
      <c r="L2002" s="252">
        <f t="shared" si="98"/>
        <v>93150</v>
      </c>
      <c r="M2002" s="252">
        <f t="shared" si="98"/>
        <v>99150</v>
      </c>
    </row>
    <row r="2003" spans="1:13" ht="21.95" customHeight="1" x14ac:dyDescent="0.25">
      <c r="A2003" s="36" t="s">
        <v>2904</v>
      </c>
      <c r="B2003" s="36" t="str">
        <f t="shared" si="97"/>
        <v>SD_BENNETT COUNTY, SD</v>
      </c>
      <c r="D2003" s="265" t="s">
        <v>65</v>
      </c>
      <c r="E2003" s="266" t="s">
        <v>4754</v>
      </c>
      <c r="F2003" s="252">
        <f t="shared" si="98"/>
        <v>52600</v>
      </c>
      <c r="G2003" s="252">
        <f t="shared" si="98"/>
        <v>60100</v>
      </c>
      <c r="H2003" s="252">
        <f t="shared" si="98"/>
        <v>67600</v>
      </c>
      <c r="I2003" s="252">
        <f t="shared" si="98"/>
        <v>75100</v>
      </c>
      <c r="J2003" s="252">
        <f t="shared" si="98"/>
        <v>81150</v>
      </c>
      <c r="K2003" s="252">
        <f t="shared" si="98"/>
        <v>87150</v>
      </c>
      <c r="L2003" s="252">
        <f t="shared" si="98"/>
        <v>93150</v>
      </c>
      <c r="M2003" s="252">
        <f t="shared" si="98"/>
        <v>99150</v>
      </c>
    </row>
    <row r="2004" spans="1:13" ht="21.95" customHeight="1" x14ac:dyDescent="0.25">
      <c r="A2004" s="36" t="s">
        <v>2904</v>
      </c>
      <c r="B2004" s="36" t="str">
        <f t="shared" si="97"/>
        <v>SD_BON HOMME COUNTY, SD</v>
      </c>
      <c r="D2004" s="265" t="s">
        <v>65</v>
      </c>
      <c r="E2004" s="266" t="s">
        <v>4755</v>
      </c>
      <c r="F2004" s="252">
        <f t="shared" si="98"/>
        <v>52600</v>
      </c>
      <c r="G2004" s="252">
        <f t="shared" si="98"/>
        <v>60100</v>
      </c>
      <c r="H2004" s="252">
        <f t="shared" si="98"/>
        <v>67600</v>
      </c>
      <c r="I2004" s="252">
        <f t="shared" si="98"/>
        <v>75100</v>
      </c>
      <c r="J2004" s="252">
        <f t="shared" si="98"/>
        <v>81150</v>
      </c>
      <c r="K2004" s="252">
        <f t="shared" si="98"/>
        <v>87150</v>
      </c>
      <c r="L2004" s="252">
        <f t="shared" si="98"/>
        <v>93150</v>
      </c>
      <c r="M2004" s="252">
        <f t="shared" si="98"/>
        <v>99150</v>
      </c>
    </row>
    <row r="2005" spans="1:13" ht="21.95" customHeight="1" x14ac:dyDescent="0.25">
      <c r="A2005" s="36" t="s">
        <v>2904</v>
      </c>
      <c r="B2005" s="36" t="str">
        <f t="shared" si="97"/>
        <v>SD_BROOKINGS COUNTY, SD</v>
      </c>
      <c r="D2005" s="265" t="s">
        <v>65</v>
      </c>
      <c r="E2005" s="266" t="s">
        <v>4756</v>
      </c>
      <c r="F2005" s="252">
        <f t="shared" si="98"/>
        <v>63500</v>
      </c>
      <c r="G2005" s="252">
        <f t="shared" si="98"/>
        <v>72550</v>
      </c>
      <c r="H2005" s="252">
        <f t="shared" si="98"/>
        <v>81600</v>
      </c>
      <c r="I2005" s="252">
        <f t="shared" si="98"/>
        <v>90650</v>
      </c>
      <c r="J2005" s="252">
        <f t="shared" si="98"/>
        <v>97950</v>
      </c>
      <c r="K2005" s="252">
        <f t="shared" si="98"/>
        <v>105200</v>
      </c>
      <c r="L2005" s="252">
        <f t="shared" si="98"/>
        <v>112450</v>
      </c>
      <c r="M2005" s="252">
        <f t="shared" si="98"/>
        <v>119700</v>
      </c>
    </row>
    <row r="2006" spans="1:13" ht="21.95" customHeight="1" x14ac:dyDescent="0.25">
      <c r="A2006" s="36" t="s">
        <v>2904</v>
      </c>
      <c r="B2006" s="36" t="str">
        <f t="shared" si="97"/>
        <v>SD_BROWN COUNTY, SD</v>
      </c>
      <c r="D2006" s="265" t="s">
        <v>65</v>
      </c>
      <c r="E2006" s="266" t="s">
        <v>4757</v>
      </c>
      <c r="F2006" s="252">
        <f t="shared" si="98"/>
        <v>59050</v>
      </c>
      <c r="G2006" s="252">
        <f t="shared" si="98"/>
        <v>67450</v>
      </c>
      <c r="H2006" s="252">
        <f t="shared" si="98"/>
        <v>75900</v>
      </c>
      <c r="I2006" s="252">
        <f t="shared" si="98"/>
        <v>84300</v>
      </c>
      <c r="J2006" s="252">
        <f t="shared" si="98"/>
        <v>91050</v>
      </c>
      <c r="K2006" s="252">
        <f t="shared" si="98"/>
        <v>97800</v>
      </c>
      <c r="L2006" s="252">
        <f t="shared" si="98"/>
        <v>104550</v>
      </c>
      <c r="M2006" s="252">
        <f t="shared" si="98"/>
        <v>111300</v>
      </c>
    </row>
    <row r="2007" spans="1:13" ht="21.95" customHeight="1" x14ac:dyDescent="0.25">
      <c r="A2007" s="36" t="s">
        <v>2904</v>
      </c>
      <c r="B2007" s="36" t="str">
        <f t="shared" si="97"/>
        <v>SD_BRULE COUNTY, SD</v>
      </c>
      <c r="D2007" s="265" t="s">
        <v>65</v>
      </c>
      <c r="E2007" s="266" t="s">
        <v>4758</v>
      </c>
      <c r="F2007" s="252">
        <f t="shared" si="98"/>
        <v>55800</v>
      </c>
      <c r="G2007" s="252">
        <f t="shared" si="98"/>
        <v>63800</v>
      </c>
      <c r="H2007" s="252">
        <f t="shared" si="98"/>
        <v>71750</v>
      </c>
      <c r="I2007" s="252">
        <f t="shared" si="98"/>
        <v>79700</v>
      </c>
      <c r="J2007" s="252">
        <f t="shared" si="98"/>
        <v>86100</v>
      </c>
      <c r="K2007" s="252">
        <f t="shared" si="98"/>
        <v>92500</v>
      </c>
      <c r="L2007" s="252">
        <f t="shared" si="98"/>
        <v>98850</v>
      </c>
      <c r="M2007" s="252">
        <f t="shared" si="98"/>
        <v>105250</v>
      </c>
    </row>
    <row r="2008" spans="1:13" ht="21.95" customHeight="1" x14ac:dyDescent="0.25">
      <c r="A2008" s="36" t="s">
        <v>2904</v>
      </c>
      <c r="B2008" s="36" t="str">
        <f t="shared" si="97"/>
        <v>SD_BUFFALO COUNTY, SD</v>
      </c>
      <c r="D2008" s="265" t="s">
        <v>65</v>
      </c>
      <c r="E2008" s="266" t="s">
        <v>4759</v>
      </c>
      <c r="F2008" s="252">
        <f t="shared" si="98"/>
        <v>52600</v>
      </c>
      <c r="G2008" s="252">
        <f t="shared" si="98"/>
        <v>60100</v>
      </c>
      <c r="H2008" s="252">
        <f t="shared" si="98"/>
        <v>67600</v>
      </c>
      <c r="I2008" s="252">
        <f t="shared" si="98"/>
        <v>75100</v>
      </c>
      <c r="J2008" s="252">
        <f t="shared" si="98"/>
        <v>81150</v>
      </c>
      <c r="K2008" s="252">
        <f t="shared" si="98"/>
        <v>87150</v>
      </c>
      <c r="L2008" s="252">
        <f t="shared" si="98"/>
        <v>93150</v>
      </c>
      <c r="M2008" s="252">
        <f t="shared" si="98"/>
        <v>99150</v>
      </c>
    </row>
    <row r="2009" spans="1:13" ht="21.95" customHeight="1" x14ac:dyDescent="0.25">
      <c r="A2009" s="36" t="s">
        <v>2904</v>
      </c>
      <c r="B2009" s="36" t="str">
        <f t="shared" si="97"/>
        <v>SD_BUTTE COUNTY, SD</v>
      </c>
      <c r="D2009" s="265" t="s">
        <v>65</v>
      </c>
      <c r="E2009" s="266" t="s">
        <v>4760</v>
      </c>
      <c r="F2009" s="252">
        <f t="shared" si="98"/>
        <v>54950</v>
      </c>
      <c r="G2009" s="252">
        <f t="shared" si="98"/>
        <v>62800</v>
      </c>
      <c r="H2009" s="252">
        <f t="shared" si="98"/>
        <v>70650</v>
      </c>
      <c r="I2009" s="252">
        <f t="shared" si="98"/>
        <v>78500</v>
      </c>
      <c r="J2009" s="252">
        <f t="shared" si="98"/>
        <v>84800</v>
      </c>
      <c r="K2009" s="252">
        <f t="shared" si="98"/>
        <v>91100</v>
      </c>
      <c r="L2009" s="252">
        <f t="shared" si="98"/>
        <v>97350</v>
      </c>
      <c r="M2009" s="252">
        <f t="shared" si="98"/>
        <v>103650</v>
      </c>
    </row>
    <row r="2010" spans="1:13" ht="21.95" customHeight="1" x14ac:dyDescent="0.25">
      <c r="A2010" s="36" t="s">
        <v>2904</v>
      </c>
      <c r="B2010" s="36" t="str">
        <f t="shared" si="97"/>
        <v>SD_CAMPBELL COUNTY, SD</v>
      </c>
      <c r="D2010" s="265" t="s">
        <v>65</v>
      </c>
      <c r="E2010" s="266" t="s">
        <v>4761</v>
      </c>
      <c r="F2010" s="252">
        <f t="shared" si="98"/>
        <v>57150</v>
      </c>
      <c r="G2010" s="252">
        <f t="shared" si="98"/>
        <v>65300</v>
      </c>
      <c r="H2010" s="252">
        <f t="shared" si="98"/>
        <v>73450</v>
      </c>
      <c r="I2010" s="252">
        <f t="shared" si="98"/>
        <v>81600</v>
      </c>
      <c r="J2010" s="252">
        <f t="shared" si="98"/>
        <v>88150</v>
      </c>
      <c r="K2010" s="252">
        <f t="shared" si="98"/>
        <v>94700</v>
      </c>
      <c r="L2010" s="252">
        <f t="shared" si="98"/>
        <v>101200</v>
      </c>
      <c r="M2010" s="252">
        <f t="shared" si="98"/>
        <v>107750</v>
      </c>
    </row>
    <row r="2011" spans="1:13" ht="21.95" customHeight="1" x14ac:dyDescent="0.25">
      <c r="A2011" s="36" t="s">
        <v>2904</v>
      </c>
      <c r="B2011" s="36" t="str">
        <f t="shared" si="97"/>
        <v>SD_CHARLES MIX COUNTY, SD</v>
      </c>
      <c r="D2011" s="265" t="s">
        <v>65</v>
      </c>
      <c r="E2011" s="266" t="s">
        <v>4762</v>
      </c>
      <c r="F2011" s="252">
        <f t="shared" si="98"/>
        <v>52600</v>
      </c>
      <c r="G2011" s="252">
        <f t="shared" si="98"/>
        <v>60100</v>
      </c>
      <c r="H2011" s="252">
        <f t="shared" si="98"/>
        <v>67600</v>
      </c>
      <c r="I2011" s="252">
        <f t="shared" si="98"/>
        <v>75100</v>
      </c>
      <c r="J2011" s="252">
        <f t="shared" si="98"/>
        <v>81150</v>
      </c>
      <c r="K2011" s="252">
        <f t="shared" si="98"/>
        <v>87150</v>
      </c>
      <c r="L2011" s="252">
        <f t="shared" si="98"/>
        <v>93150</v>
      </c>
      <c r="M2011" s="252">
        <f t="shared" si="98"/>
        <v>99150</v>
      </c>
    </row>
    <row r="2012" spans="1:13" ht="21.95" customHeight="1" x14ac:dyDescent="0.25">
      <c r="A2012" s="36" t="s">
        <v>2904</v>
      </c>
      <c r="B2012" s="36" t="str">
        <f t="shared" si="97"/>
        <v>SD_CLARK COUNTY, SD</v>
      </c>
      <c r="D2012" s="265" t="s">
        <v>65</v>
      </c>
      <c r="E2012" s="266" t="s">
        <v>4763</v>
      </c>
      <c r="F2012" s="252">
        <f t="shared" si="98"/>
        <v>52600</v>
      </c>
      <c r="G2012" s="252">
        <f t="shared" si="98"/>
        <v>60100</v>
      </c>
      <c r="H2012" s="252">
        <f t="shared" si="98"/>
        <v>67600</v>
      </c>
      <c r="I2012" s="252">
        <f t="shared" si="98"/>
        <v>75100</v>
      </c>
      <c r="J2012" s="252">
        <f t="shared" si="98"/>
        <v>81150</v>
      </c>
      <c r="K2012" s="252">
        <f t="shared" si="98"/>
        <v>87150</v>
      </c>
      <c r="L2012" s="252">
        <f t="shared" si="98"/>
        <v>93150</v>
      </c>
      <c r="M2012" s="252">
        <f t="shared" si="98"/>
        <v>99150</v>
      </c>
    </row>
    <row r="2013" spans="1:13" ht="21.95" customHeight="1" x14ac:dyDescent="0.25">
      <c r="A2013" s="36" t="s">
        <v>2904</v>
      </c>
      <c r="B2013" s="36" t="str">
        <f t="shared" si="97"/>
        <v>SD_CLAY COUNTY, SD</v>
      </c>
      <c r="D2013" s="265" t="s">
        <v>65</v>
      </c>
      <c r="E2013" s="266" t="s">
        <v>4764</v>
      </c>
      <c r="F2013" s="252">
        <f t="shared" si="98"/>
        <v>58100</v>
      </c>
      <c r="G2013" s="252">
        <f t="shared" si="98"/>
        <v>66400</v>
      </c>
      <c r="H2013" s="252">
        <f t="shared" si="98"/>
        <v>74700</v>
      </c>
      <c r="I2013" s="252">
        <f t="shared" si="98"/>
        <v>82950</v>
      </c>
      <c r="J2013" s="252">
        <f t="shared" si="98"/>
        <v>89600</v>
      </c>
      <c r="K2013" s="252">
        <f t="shared" si="98"/>
        <v>96250</v>
      </c>
      <c r="L2013" s="252">
        <f t="shared" si="98"/>
        <v>102900</v>
      </c>
      <c r="M2013" s="252">
        <f t="shared" si="98"/>
        <v>109500</v>
      </c>
    </row>
    <row r="2014" spans="1:13" ht="21.95" customHeight="1" x14ac:dyDescent="0.25">
      <c r="A2014" s="36" t="s">
        <v>2904</v>
      </c>
      <c r="B2014" s="36" t="str">
        <f t="shared" si="97"/>
        <v>SD_CODINGTON COUNTY, SD</v>
      </c>
      <c r="D2014" s="265" t="s">
        <v>65</v>
      </c>
      <c r="E2014" s="266" t="s">
        <v>4765</v>
      </c>
      <c r="F2014" s="252">
        <f t="shared" si="98"/>
        <v>52600</v>
      </c>
      <c r="G2014" s="252">
        <f t="shared" si="98"/>
        <v>60100</v>
      </c>
      <c r="H2014" s="252">
        <f t="shared" si="98"/>
        <v>67600</v>
      </c>
      <c r="I2014" s="252">
        <f t="shared" si="98"/>
        <v>75100</v>
      </c>
      <c r="J2014" s="252">
        <f t="shared" si="98"/>
        <v>81150</v>
      </c>
      <c r="K2014" s="252">
        <f t="shared" si="98"/>
        <v>87150</v>
      </c>
      <c r="L2014" s="252">
        <f t="shared" si="98"/>
        <v>93150</v>
      </c>
      <c r="M2014" s="252">
        <f t="shared" si="98"/>
        <v>99150</v>
      </c>
    </row>
    <row r="2015" spans="1:13" ht="21.95" customHeight="1" x14ac:dyDescent="0.25">
      <c r="A2015" s="36" t="s">
        <v>2904</v>
      </c>
      <c r="B2015" s="36" t="str">
        <f t="shared" si="97"/>
        <v>SD_CORSON COUNTY, SD</v>
      </c>
      <c r="D2015" s="265" t="s">
        <v>65</v>
      </c>
      <c r="E2015" s="266" t="s">
        <v>4766</v>
      </c>
      <c r="F2015" s="252">
        <f t="shared" si="98"/>
        <v>52600</v>
      </c>
      <c r="G2015" s="252">
        <f t="shared" si="98"/>
        <v>60100</v>
      </c>
      <c r="H2015" s="252">
        <f t="shared" si="98"/>
        <v>67600</v>
      </c>
      <c r="I2015" s="252">
        <f t="shared" si="98"/>
        <v>75100</v>
      </c>
      <c r="J2015" s="252">
        <f t="shared" si="98"/>
        <v>81150</v>
      </c>
      <c r="K2015" s="252">
        <f t="shared" si="98"/>
        <v>87150</v>
      </c>
      <c r="L2015" s="252">
        <f t="shared" si="98"/>
        <v>93150</v>
      </c>
      <c r="M2015" s="252">
        <f t="shared" si="98"/>
        <v>99150</v>
      </c>
    </row>
    <row r="2016" spans="1:13" ht="21.95" customHeight="1" x14ac:dyDescent="0.25">
      <c r="A2016" s="36" t="s">
        <v>2904</v>
      </c>
      <c r="B2016" s="36" t="str">
        <f t="shared" si="97"/>
        <v>SD_CUSTER COUNTY, SD HUD METRO FMR AREA</v>
      </c>
      <c r="D2016" s="265" t="s">
        <v>65</v>
      </c>
      <c r="E2016" s="266" t="s">
        <v>9256</v>
      </c>
      <c r="F2016" s="252">
        <f t="shared" si="98"/>
        <v>55800</v>
      </c>
      <c r="G2016" s="252">
        <f t="shared" si="98"/>
        <v>63800</v>
      </c>
      <c r="H2016" s="252">
        <f t="shared" si="98"/>
        <v>71750</v>
      </c>
      <c r="I2016" s="252">
        <f t="shared" si="98"/>
        <v>79700</v>
      </c>
      <c r="J2016" s="252">
        <f t="shared" si="98"/>
        <v>86100</v>
      </c>
      <c r="K2016" s="252">
        <f t="shared" si="98"/>
        <v>92500</v>
      </c>
      <c r="L2016" s="252">
        <f t="shared" si="98"/>
        <v>98850</v>
      </c>
      <c r="M2016" s="252">
        <f t="shared" si="98"/>
        <v>105250</v>
      </c>
    </row>
    <row r="2017" spans="1:13" ht="21.95" customHeight="1" x14ac:dyDescent="0.25">
      <c r="A2017" s="36" t="s">
        <v>2904</v>
      </c>
      <c r="B2017" s="36" t="str">
        <f t="shared" si="97"/>
        <v>SD_DAVISON COUNTY, SD</v>
      </c>
      <c r="D2017" s="265" t="s">
        <v>65</v>
      </c>
      <c r="E2017" s="266" t="s">
        <v>4767</v>
      </c>
      <c r="F2017" s="252">
        <f t="shared" si="98"/>
        <v>55450</v>
      </c>
      <c r="G2017" s="252">
        <f t="shared" si="98"/>
        <v>63400</v>
      </c>
      <c r="H2017" s="252">
        <f t="shared" si="98"/>
        <v>71300</v>
      </c>
      <c r="I2017" s="252">
        <f t="shared" si="98"/>
        <v>79200</v>
      </c>
      <c r="J2017" s="252">
        <f t="shared" si="98"/>
        <v>85550</v>
      </c>
      <c r="K2017" s="252">
        <f t="shared" si="98"/>
        <v>91900</v>
      </c>
      <c r="L2017" s="252">
        <f t="shared" si="98"/>
        <v>98250</v>
      </c>
      <c r="M2017" s="252">
        <f t="shared" si="98"/>
        <v>104550</v>
      </c>
    </row>
    <row r="2018" spans="1:13" ht="21.95" customHeight="1" x14ac:dyDescent="0.25">
      <c r="A2018" s="36" t="s">
        <v>2904</v>
      </c>
      <c r="B2018" s="36" t="str">
        <f t="shared" si="97"/>
        <v>SD_DAY COUNTY, SD</v>
      </c>
      <c r="D2018" s="265" t="s">
        <v>65</v>
      </c>
      <c r="E2018" s="266" t="s">
        <v>4768</v>
      </c>
      <c r="F2018" s="252">
        <f t="shared" si="98"/>
        <v>52600</v>
      </c>
      <c r="G2018" s="252">
        <f t="shared" si="98"/>
        <v>60100</v>
      </c>
      <c r="H2018" s="252">
        <f t="shared" si="98"/>
        <v>67600</v>
      </c>
      <c r="I2018" s="252">
        <f t="shared" ref="F2018:M2050" si="99">VLOOKUP($B2018,LOOKUP_AMI_TABLE,5+((I$7-1)),FALSE)</f>
        <v>75100</v>
      </c>
      <c r="J2018" s="252">
        <f t="shared" si="99"/>
        <v>81150</v>
      </c>
      <c r="K2018" s="252">
        <f t="shared" si="99"/>
        <v>87150</v>
      </c>
      <c r="L2018" s="252">
        <f t="shared" si="99"/>
        <v>93150</v>
      </c>
      <c r="M2018" s="252">
        <f t="shared" si="99"/>
        <v>99150</v>
      </c>
    </row>
    <row r="2019" spans="1:13" ht="21.95" customHeight="1" x14ac:dyDescent="0.25">
      <c r="A2019" s="36" t="s">
        <v>2904</v>
      </c>
      <c r="B2019" s="36" t="str">
        <f t="shared" si="97"/>
        <v>SD_DEUEL COUNTY, SD</v>
      </c>
      <c r="D2019" s="265" t="s">
        <v>65</v>
      </c>
      <c r="E2019" s="266" t="s">
        <v>4769</v>
      </c>
      <c r="F2019" s="252">
        <f t="shared" si="99"/>
        <v>55800</v>
      </c>
      <c r="G2019" s="252">
        <f t="shared" si="99"/>
        <v>63750</v>
      </c>
      <c r="H2019" s="252">
        <f t="shared" si="99"/>
        <v>71700</v>
      </c>
      <c r="I2019" s="252">
        <f t="shared" si="99"/>
        <v>79650</v>
      </c>
      <c r="J2019" s="252">
        <f t="shared" si="99"/>
        <v>86050</v>
      </c>
      <c r="K2019" s="252">
        <f t="shared" si="99"/>
        <v>92400</v>
      </c>
      <c r="L2019" s="252">
        <f t="shared" si="99"/>
        <v>98800</v>
      </c>
      <c r="M2019" s="252">
        <f t="shared" si="99"/>
        <v>105150</v>
      </c>
    </row>
    <row r="2020" spans="1:13" ht="21.95" customHeight="1" x14ac:dyDescent="0.25">
      <c r="A2020" s="36" t="s">
        <v>2904</v>
      </c>
      <c r="B2020" s="36" t="str">
        <f t="shared" si="97"/>
        <v>SD_DEWEY COUNTY, SD</v>
      </c>
      <c r="D2020" s="265" t="s">
        <v>65</v>
      </c>
      <c r="E2020" s="266" t="s">
        <v>4770</v>
      </c>
      <c r="F2020" s="252">
        <f t="shared" si="99"/>
        <v>52600</v>
      </c>
      <c r="G2020" s="252">
        <f t="shared" si="99"/>
        <v>60100</v>
      </c>
      <c r="H2020" s="252">
        <f t="shared" si="99"/>
        <v>67600</v>
      </c>
      <c r="I2020" s="252">
        <f t="shared" si="99"/>
        <v>75100</v>
      </c>
      <c r="J2020" s="252">
        <f t="shared" si="99"/>
        <v>81150</v>
      </c>
      <c r="K2020" s="252">
        <f t="shared" si="99"/>
        <v>87150</v>
      </c>
      <c r="L2020" s="252">
        <f t="shared" si="99"/>
        <v>93150</v>
      </c>
      <c r="M2020" s="252">
        <f t="shared" si="99"/>
        <v>99150</v>
      </c>
    </row>
    <row r="2021" spans="1:13" ht="21.95" customHeight="1" x14ac:dyDescent="0.25">
      <c r="A2021" s="36" t="s">
        <v>2904</v>
      </c>
      <c r="B2021" s="36" t="str">
        <f t="shared" si="97"/>
        <v>SD_DOUGLAS COUNTY, SD</v>
      </c>
      <c r="D2021" s="265" t="s">
        <v>65</v>
      </c>
      <c r="E2021" s="266" t="s">
        <v>4771</v>
      </c>
      <c r="F2021" s="252">
        <f t="shared" si="99"/>
        <v>56150</v>
      </c>
      <c r="G2021" s="252">
        <f t="shared" si="99"/>
        <v>64150</v>
      </c>
      <c r="H2021" s="252">
        <f t="shared" si="99"/>
        <v>72150</v>
      </c>
      <c r="I2021" s="252">
        <f t="shared" si="99"/>
        <v>80150</v>
      </c>
      <c r="J2021" s="252">
        <f t="shared" si="99"/>
        <v>86600</v>
      </c>
      <c r="K2021" s="252">
        <f t="shared" si="99"/>
        <v>93000</v>
      </c>
      <c r="L2021" s="252">
        <f t="shared" si="99"/>
        <v>99400</v>
      </c>
      <c r="M2021" s="252">
        <f t="shared" si="99"/>
        <v>105800</v>
      </c>
    </row>
    <row r="2022" spans="1:13" ht="21.95" customHeight="1" x14ac:dyDescent="0.25">
      <c r="A2022" s="36" t="s">
        <v>2904</v>
      </c>
      <c r="B2022" s="36" t="str">
        <f t="shared" si="97"/>
        <v>SD_EDMUNDS COUNTY, SD</v>
      </c>
      <c r="D2022" s="265" t="s">
        <v>65</v>
      </c>
      <c r="E2022" s="266" t="s">
        <v>4772</v>
      </c>
      <c r="F2022" s="252">
        <f t="shared" si="99"/>
        <v>54850</v>
      </c>
      <c r="G2022" s="252">
        <f t="shared" si="99"/>
        <v>62650</v>
      </c>
      <c r="H2022" s="252">
        <f t="shared" si="99"/>
        <v>70500</v>
      </c>
      <c r="I2022" s="252">
        <f t="shared" si="99"/>
        <v>78300</v>
      </c>
      <c r="J2022" s="252">
        <f t="shared" si="99"/>
        <v>84600</v>
      </c>
      <c r="K2022" s="252">
        <f t="shared" si="99"/>
        <v>90850</v>
      </c>
      <c r="L2022" s="252">
        <f t="shared" si="99"/>
        <v>97100</v>
      </c>
      <c r="M2022" s="252">
        <f t="shared" si="99"/>
        <v>103400</v>
      </c>
    </row>
    <row r="2023" spans="1:13" ht="21.95" customHeight="1" x14ac:dyDescent="0.25">
      <c r="A2023" s="36" t="s">
        <v>2904</v>
      </c>
      <c r="B2023" s="36" t="str">
        <f t="shared" si="97"/>
        <v>SD_FALL RIVER COUNTY, SD</v>
      </c>
      <c r="D2023" s="265" t="s">
        <v>65</v>
      </c>
      <c r="E2023" s="266" t="s">
        <v>4773</v>
      </c>
      <c r="F2023" s="252">
        <f t="shared" si="99"/>
        <v>52600</v>
      </c>
      <c r="G2023" s="252">
        <f t="shared" si="99"/>
        <v>60100</v>
      </c>
      <c r="H2023" s="252">
        <f t="shared" si="99"/>
        <v>67600</v>
      </c>
      <c r="I2023" s="252">
        <f t="shared" si="99"/>
        <v>75100</v>
      </c>
      <c r="J2023" s="252">
        <f t="shared" si="99"/>
        <v>81150</v>
      </c>
      <c r="K2023" s="252">
        <f t="shared" si="99"/>
        <v>87150</v>
      </c>
      <c r="L2023" s="252">
        <f t="shared" si="99"/>
        <v>93150</v>
      </c>
      <c r="M2023" s="252">
        <f t="shared" si="99"/>
        <v>99150</v>
      </c>
    </row>
    <row r="2024" spans="1:13" ht="21.95" customHeight="1" x14ac:dyDescent="0.25">
      <c r="A2024" s="36" t="s">
        <v>2904</v>
      </c>
      <c r="B2024" s="36" t="str">
        <f t="shared" si="97"/>
        <v>SD_FAULK COUNTY, SD</v>
      </c>
      <c r="D2024" s="265" t="s">
        <v>65</v>
      </c>
      <c r="E2024" s="266" t="s">
        <v>4774</v>
      </c>
      <c r="F2024" s="252">
        <f t="shared" si="99"/>
        <v>58450</v>
      </c>
      <c r="G2024" s="252">
        <f t="shared" si="99"/>
        <v>66800</v>
      </c>
      <c r="H2024" s="252">
        <f t="shared" si="99"/>
        <v>75150</v>
      </c>
      <c r="I2024" s="252">
        <f t="shared" si="99"/>
        <v>83500</v>
      </c>
      <c r="J2024" s="252">
        <f t="shared" si="99"/>
        <v>90200</v>
      </c>
      <c r="K2024" s="252">
        <f t="shared" si="99"/>
        <v>96900</v>
      </c>
      <c r="L2024" s="252">
        <f t="shared" si="99"/>
        <v>103550</v>
      </c>
      <c r="M2024" s="252">
        <f t="shared" si="99"/>
        <v>110250</v>
      </c>
    </row>
    <row r="2025" spans="1:13" ht="21.95" customHeight="1" x14ac:dyDescent="0.25">
      <c r="A2025" s="36" t="s">
        <v>2904</v>
      </c>
      <c r="B2025" s="36" t="str">
        <f t="shared" si="97"/>
        <v>SD_GRANT COUNTY, SD</v>
      </c>
      <c r="D2025" s="265" t="s">
        <v>65</v>
      </c>
      <c r="E2025" s="266" t="s">
        <v>4775</v>
      </c>
      <c r="F2025" s="252">
        <f t="shared" si="99"/>
        <v>56950</v>
      </c>
      <c r="G2025" s="252">
        <f t="shared" si="99"/>
        <v>65050</v>
      </c>
      <c r="H2025" s="252">
        <f t="shared" si="99"/>
        <v>73200</v>
      </c>
      <c r="I2025" s="252">
        <f t="shared" si="99"/>
        <v>81300</v>
      </c>
      <c r="J2025" s="252">
        <f t="shared" si="99"/>
        <v>87850</v>
      </c>
      <c r="K2025" s="252">
        <f t="shared" si="99"/>
        <v>94350</v>
      </c>
      <c r="L2025" s="252">
        <f t="shared" si="99"/>
        <v>100850</v>
      </c>
      <c r="M2025" s="252">
        <f t="shared" si="99"/>
        <v>107350</v>
      </c>
    </row>
    <row r="2026" spans="1:13" ht="21.95" customHeight="1" x14ac:dyDescent="0.25">
      <c r="A2026" s="36" t="s">
        <v>2904</v>
      </c>
      <c r="B2026" s="36" t="str">
        <f t="shared" si="97"/>
        <v>SD_GREGORY COUNTY, SD</v>
      </c>
      <c r="D2026" s="265" t="s">
        <v>65</v>
      </c>
      <c r="E2026" s="266" t="s">
        <v>4776</v>
      </c>
      <c r="F2026" s="252">
        <f t="shared" si="99"/>
        <v>52600</v>
      </c>
      <c r="G2026" s="252">
        <f t="shared" si="99"/>
        <v>60100</v>
      </c>
      <c r="H2026" s="252">
        <f t="shared" si="99"/>
        <v>67600</v>
      </c>
      <c r="I2026" s="252">
        <f t="shared" si="99"/>
        <v>75100</v>
      </c>
      <c r="J2026" s="252">
        <f t="shared" si="99"/>
        <v>81150</v>
      </c>
      <c r="K2026" s="252">
        <f t="shared" si="99"/>
        <v>87150</v>
      </c>
      <c r="L2026" s="252">
        <f t="shared" si="99"/>
        <v>93150</v>
      </c>
      <c r="M2026" s="252">
        <f t="shared" si="99"/>
        <v>99150</v>
      </c>
    </row>
    <row r="2027" spans="1:13" ht="21.95" customHeight="1" x14ac:dyDescent="0.25">
      <c r="A2027" s="36" t="s">
        <v>2904</v>
      </c>
      <c r="B2027" s="36" t="str">
        <f t="shared" si="97"/>
        <v>SD_HAAKON COUNTY, SD</v>
      </c>
      <c r="D2027" s="265" t="s">
        <v>65</v>
      </c>
      <c r="E2027" s="266" t="s">
        <v>4777</v>
      </c>
      <c r="F2027" s="252">
        <f t="shared" si="99"/>
        <v>52600</v>
      </c>
      <c r="G2027" s="252">
        <f t="shared" si="99"/>
        <v>60100</v>
      </c>
      <c r="H2027" s="252">
        <f t="shared" si="99"/>
        <v>67600</v>
      </c>
      <c r="I2027" s="252">
        <f t="shared" si="99"/>
        <v>75100</v>
      </c>
      <c r="J2027" s="252">
        <f t="shared" si="99"/>
        <v>81150</v>
      </c>
      <c r="K2027" s="252">
        <f t="shared" si="99"/>
        <v>87150</v>
      </c>
      <c r="L2027" s="252">
        <f t="shared" si="99"/>
        <v>93150</v>
      </c>
      <c r="M2027" s="252">
        <f t="shared" si="99"/>
        <v>99150</v>
      </c>
    </row>
    <row r="2028" spans="1:13" ht="21.95" customHeight="1" x14ac:dyDescent="0.25">
      <c r="A2028" s="36" t="s">
        <v>2904</v>
      </c>
      <c r="B2028" s="36" t="str">
        <f t="shared" si="97"/>
        <v>SD_HAMLIN COUNTY, SD</v>
      </c>
      <c r="D2028" s="265" t="s">
        <v>65</v>
      </c>
      <c r="E2028" s="266" t="s">
        <v>4778</v>
      </c>
      <c r="F2028" s="252">
        <f t="shared" si="99"/>
        <v>54950</v>
      </c>
      <c r="G2028" s="252">
        <f t="shared" si="99"/>
        <v>62800</v>
      </c>
      <c r="H2028" s="252">
        <f t="shared" si="99"/>
        <v>70650</v>
      </c>
      <c r="I2028" s="252">
        <f t="shared" si="99"/>
        <v>78500</v>
      </c>
      <c r="J2028" s="252">
        <f t="shared" si="99"/>
        <v>84800</v>
      </c>
      <c r="K2028" s="252">
        <f t="shared" si="99"/>
        <v>91100</v>
      </c>
      <c r="L2028" s="252">
        <f t="shared" si="99"/>
        <v>97350</v>
      </c>
      <c r="M2028" s="252">
        <f t="shared" si="99"/>
        <v>103650</v>
      </c>
    </row>
    <row r="2029" spans="1:13" ht="21.95" customHeight="1" x14ac:dyDescent="0.25">
      <c r="A2029" s="36" t="s">
        <v>2904</v>
      </c>
      <c r="B2029" s="36" t="str">
        <f t="shared" si="97"/>
        <v>SD_HAND COUNTY, SD</v>
      </c>
      <c r="D2029" s="265" t="s">
        <v>65</v>
      </c>
      <c r="E2029" s="266" t="s">
        <v>4779</v>
      </c>
      <c r="F2029" s="252">
        <f t="shared" si="99"/>
        <v>57800</v>
      </c>
      <c r="G2029" s="252">
        <f t="shared" si="99"/>
        <v>66050</v>
      </c>
      <c r="H2029" s="252">
        <f t="shared" si="99"/>
        <v>74300</v>
      </c>
      <c r="I2029" s="252">
        <f t="shared" si="99"/>
        <v>82550</v>
      </c>
      <c r="J2029" s="252">
        <f t="shared" si="99"/>
        <v>89200</v>
      </c>
      <c r="K2029" s="252">
        <f t="shared" si="99"/>
        <v>95800</v>
      </c>
      <c r="L2029" s="252">
        <f t="shared" si="99"/>
        <v>102400</v>
      </c>
      <c r="M2029" s="252">
        <f t="shared" si="99"/>
        <v>109000</v>
      </c>
    </row>
    <row r="2030" spans="1:13" ht="21.95" customHeight="1" x14ac:dyDescent="0.25">
      <c r="A2030" s="36" t="s">
        <v>2904</v>
      </c>
      <c r="B2030" s="36" t="str">
        <f t="shared" si="97"/>
        <v>SD_HANSON COUNTY, SD</v>
      </c>
      <c r="D2030" s="265" t="s">
        <v>65</v>
      </c>
      <c r="E2030" s="266" t="s">
        <v>4780</v>
      </c>
      <c r="F2030" s="252">
        <f t="shared" si="99"/>
        <v>59850</v>
      </c>
      <c r="G2030" s="252">
        <f t="shared" si="99"/>
        <v>68400</v>
      </c>
      <c r="H2030" s="252">
        <f t="shared" si="99"/>
        <v>76950</v>
      </c>
      <c r="I2030" s="252">
        <f t="shared" si="99"/>
        <v>85450</v>
      </c>
      <c r="J2030" s="252">
        <f t="shared" si="99"/>
        <v>92300</v>
      </c>
      <c r="K2030" s="252">
        <f t="shared" si="99"/>
        <v>99150</v>
      </c>
      <c r="L2030" s="252">
        <f t="shared" si="99"/>
        <v>106000</v>
      </c>
      <c r="M2030" s="252">
        <f t="shared" si="99"/>
        <v>112800</v>
      </c>
    </row>
    <row r="2031" spans="1:13" ht="21.95" customHeight="1" x14ac:dyDescent="0.25">
      <c r="A2031" s="36" t="s">
        <v>2904</v>
      </c>
      <c r="B2031" s="36" t="str">
        <f t="shared" si="97"/>
        <v>SD_HARDING COUNTY, SD</v>
      </c>
      <c r="D2031" s="265" t="s">
        <v>65</v>
      </c>
      <c r="E2031" s="266" t="s">
        <v>4781</v>
      </c>
      <c r="F2031" s="252">
        <f t="shared" si="99"/>
        <v>52600</v>
      </c>
      <c r="G2031" s="252">
        <f t="shared" si="99"/>
        <v>60100</v>
      </c>
      <c r="H2031" s="252">
        <f t="shared" si="99"/>
        <v>67600</v>
      </c>
      <c r="I2031" s="252">
        <f t="shared" si="99"/>
        <v>75100</v>
      </c>
      <c r="J2031" s="252">
        <f t="shared" si="99"/>
        <v>81150</v>
      </c>
      <c r="K2031" s="252">
        <f t="shared" si="99"/>
        <v>87150</v>
      </c>
      <c r="L2031" s="252">
        <f t="shared" si="99"/>
        <v>93150</v>
      </c>
      <c r="M2031" s="252">
        <f t="shared" si="99"/>
        <v>99150</v>
      </c>
    </row>
    <row r="2032" spans="1:13" ht="21.95" customHeight="1" x14ac:dyDescent="0.25">
      <c r="A2032" s="36" t="s">
        <v>2904</v>
      </c>
      <c r="B2032" s="36" t="str">
        <f t="shared" si="97"/>
        <v>SD_HUGHES COUNTY, SD</v>
      </c>
      <c r="D2032" s="265" t="s">
        <v>65</v>
      </c>
      <c r="E2032" s="266" t="s">
        <v>4782</v>
      </c>
      <c r="F2032" s="252">
        <f t="shared" si="99"/>
        <v>57250</v>
      </c>
      <c r="G2032" s="252">
        <f t="shared" si="99"/>
        <v>65400</v>
      </c>
      <c r="H2032" s="252">
        <f t="shared" si="99"/>
        <v>73600</v>
      </c>
      <c r="I2032" s="252">
        <f t="shared" si="99"/>
        <v>81750</v>
      </c>
      <c r="J2032" s="252">
        <f t="shared" si="99"/>
        <v>88300</v>
      </c>
      <c r="K2032" s="252">
        <f t="shared" si="99"/>
        <v>94850</v>
      </c>
      <c r="L2032" s="252">
        <f t="shared" si="99"/>
        <v>101400</v>
      </c>
      <c r="M2032" s="252">
        <f t="shared" si="99"/>
        <v>107950</v>
      </c>
    </row>
    <row r="2033" spans="1:13" ht="21.95" customHeight="1" x14ac:dyDescent="0.25">
      <c r="A2033" s="36" t="s">
        <v>2904</v>
      </c>
      <c r="B2033" s="36" t="str">
        <f t="shared" si="97"/>
        <v>SD_HUTCHINSON COUNTY, SD</v>
      </c>
      <c r="D2033" s="265" t="s">
        <v>65</v>
      </c>
      <c r="E2033" s="266" t="s">
        <v>4783</v>
      </c>
      <c r="F2033" s="252">
        <f t="shared" si="99"/>
        <v>58150</v>
      </c>
      <c r="G2033" s="252">
        <f t="shared" si="99"/>
        <v>66450</v>
      </c>
      <c r="H2033" s="252">
        <f t="shared" si="99"/>
        <v>74750</v>
      </c>
      <c r="I2033" s="252">
        <f t="shared" si="99"/>
        <v>83050</v>
      </c>
      <c r="J2033" s="252">
        <f t="shared" si="99"/>
        <v>89700</v>
      </c>
      <c r="K2033" s="252">
        <f t="shared" si="99"/>
        <v>96350</v>
      </c>
      <c r="L2033" s="252">
        <f t="shared" si="99"/>
        <v>103000</v>
      </c>
      <c r="M2033" s="252">
        <f t="shared" si="99"/>
        <v>109650</v>
      </c>
    </row>
    <row r="2034" spans="1:13" ht="21.95" customHeight="1" x14ac:dyDescent="0.25">
      <c r="A2034" s="36" t="s">
        <v>2904</v>
      </c>
      <c r="B2034" s="36" t="str">
        <f t="shared" si="97"/>
        <v>SD_HYDE COUNTY, SD</v>
      </c>
      <c r="D2034" s="265" t="s">
        <v>65</v>
      </c>
      <c r="E2034" s="266" t="s">
        <v>4784</v>
      </c>
      <c r="F2034" s="252">
        <f t="shared" si="99"/>
        <v>54950</v>
      </c>
      <c r="G2034" s="252">
        <f t="shared" si="99"/>
        <v>62800</v>
      </c>
      <c r="H2034" s="252">
        <f t="shared" si="99"/>
        <v>70650</v>
      </c>
      <c r="I2034" s="252">
        <f t="shared" si="99"/>
        <v>78500</v>
      </c>
      <c r="J2034" s="252">
        <f t="shared" si="99"/>
        <v>84800</v>
      </c>
      <c r="K2034" s="252">
        <f t="shared" si="99"/>
        <v>91100</v>
      </c>
      <c r="L2034" s="252">
        <f t="shared" si="99"/>
        <v>97350</v>
      </c>
      <c r="M2034" s="252">
        <f t="shared" si="99"/>
        <v>103650</v>
      </c>
    </row>
    <row r="2035" spans="1:13" ht="21.95" customHeight="1" x14ac:dyDescent="0.25">
      <c r="A2035" s="36" t="s">
        <v>2904</v>
      </c>
      <c r="B2035" s="36" t="str">
        <f t="shared" si="97"/>
        <v>SD_JACKSON COUNTY, SD</v>
      </c>
      <c r="D2035" s="265" t="s">
        <v>65</v>
      </c>
      <c r="E2035" s="266" t="s">
        <v>4785</v>
      </c>
      <c r="F2035" s="252">
        <f t="shared" si="99"/>
        <v>52600</v>
      </c>
      <c r="G2035" s="252">
        <f t="shared" si="99"/>
        <v>60100</v>
      </c>
      <c r="H2035" s="252">
        <f t="shared" si="99"/>
        <v>67600</v>
      </c>
      <c r="I2035" s="252">
        <f t="shared" si="99"/>
        <v>75100</v>
      </c>
      <c r="J2035" s="252">
        <f t="shared" si="99"/>
        <v>81150</v>
      </c>
      <c r="K2035" s="252">
        <f t="shared" si="99"/>
        <v>87150</v>
      </c>
      <c r="L2035" s="252">
        <f t="shared" si="99"/>
        <v>93150</v>
      </c>
      <c r="M2035" s="252">
        <f t="shared" si="99"/>
        <v>99150</v>
      </c>
    </row>
    <row r="2036" spans="1:13" ht="21.95" customHeight="1" x14ac:dyDescent="0.25">
      <c r="A2036" s="36" t="s">
        <v>2904</v>
      </c>
      <c r="B2036" s="36" t="str">
        <f t="shared" si="97"/>
        <v>SD_JERAULD COUNTY, SD</v>
      </c>
      <c r="D2036" s="265" t="s">
        <v>65</v>
      </c>
      <c r="E2036" s="266" t="s">
        <v>4786</v>
      </c>
      <c r="F2036" s="252">
        <f t="shared" si="99"/>
        <v>55800</v>
      </c>
      <c r="G2036" s="252">
        <f t="shared" si="99"/>
        <v>63800</v>
      </c>
      <c r="H2036" s="252">
        <f t="shared" si="99"/>
        <v>71750</v>
      </c>
      <c r="I2036" s="252">
        <f t="shared" si="99"/>
        <v>79700</v>
      </c>
      <c r="J2036" s="252">
        <f t="shared" si="99"/>
        <v>86100</v>
      </c>
      <c r="K2036" s="252">
        <f t="shared" si="99"/>
        <v>92500</v>
      </c>
      <c r="L2036" s="252">
        <f t="shared" si="99"/>
        <v>98850</v>
      </c>
      <c r="M2036" s="252">
        <f t="shared" si="99"/>
        <v>105250</v>
      </c>
    </row>
    <row r="2037" spans="1:13" ht="21.95" customHeight="1" x14ac:dyDescent="0.25">
      <c r="A2037" s="36" t="s">
        <v>2904</v>
      </c>
      <c r="B2037" s="36" t="str">
        <f t="shared" si="97"/>
        <v>SD_JONES COUNTY, SD</v>
      </c>
      <c r="D2037" s="265" t="s">
        <v>65</v>
      </c>
      <c r="E2037" s="266" t="s">
        <v>4787</v>
      </c>
      <c r="F2037" s="252">
        <f t="shared" si="99"/>
        <v>52600</v>
      </c>
      <c r="G2037" s="252">
        <f t="shared" si="99"/>
        <v>60100</v>
      </c>
      <c r="H2037" s="252">
        <f t="shared" si="99"/>
        <v>67600</v>
      </c>
      <c r="I2037" s="252">
        <f t="shared" si="99"/>
        <v>75100</v>
      </c>
      <c r="J2037" s="252">
        <f t="shared" si="99"/>
        <v>81150</v>
      </c>
      <c r="K2037" s="252">
        <f t="shared" si="99"/>
        <v>87150</v>
      </c>
      <c r="L2037" s="252">
        <f t="shared" si="99"/>
        <v>93150</v>
      </c>
      <c r="M2037" s="252">
        <f t="shared" si="99"/>
        <v>99150</v>
      </c>
    </row>
    <row r="2038" spans="1:13" ht="21.95" customHeight="1" x14ac:dyDescent="0.25">
      <c r="A2038" s="36" t="s">
        <v>2904</v>
      </c>
      <c r="B2038" s="36" t="str">
        <f t="shared" si="97"/>
        <v>SD_KINGSBURY COUNTY, SD</v>
      </c>
      <c r="D2038" s="265" t="s">
        <v>65</v>
      </c>
      <c r="E2038" s="266" t="s">
        <v>4788</v>
      </c>
      <c r="F2038" s="252">
        <f t="shared" si="99"/>
        <v>55400</v>
      </c>
      <c r="G2038" s="252">
        <f t="shared" si="99"/>
        <v>63300</v>
      </c>
      <c r="H2038" s="252">
        <f t="shared" si="99"/>
        <v>71200</v>
      </c>
      <c r="I2038" s="252">
        <f t="shared" si="99"/>
        <v>79100</v>
      </c>
      <c r="J2038" s="252">
        <f t="shared" si="99"/>
        <v>85450</v>
      </c>
      <c r="K2038" s="252">
        <f t="shared" si="99"/>
        <v>91800</v>
      </c>
      <c r="L2038" s="252">
        <f t="shared" si="99"/>
        <v>98100</v>
      </c>
      <c r="M2038" s="252">
        <f t="shared" si="99"/>
        <v>104450</v>
      </c>
    </row>
    <row r="2039" spans="1:13" ht="21.95" customHeight="1" x14ac:dyDescent="0.25">
      <c r="A2039" s="36" t="s">
        <v>2904</v>
      </c>
      <c r="B2039" s="36" t="str">
        <f t="shared" si="97"/>
        <v>SD_LAKE COUNTY, SD</v>
      </c>
      <c r="D2039" s="265" t="s">
        <v>65</v>
      </c>
      <c r="E2039" s="266" t="s">
        <v>4789</v>
      </c>
      <c r="F2039" s="252">
        <f t="shared" si="99"/>
        <v>57700</v>
      </c>
      <c r="G2039" s="252">
        <f t="shared" si="99"/>
        <v>65950</v>
      </c>
      <c r="H2039" s="252">
        <f t="shared" si="99"/>
        <v>74200</v>
      </c>
      <c r="I2039" s="252">
        <f t="shared" si="99"/>
        <v>82400</v>
      </c>
      <c r="J2039" s="252">
        <f t="shared" si="99"/>
        <v>89000</v>
      </c>
      <c r="K2039" s="252">
        <f t="shared" si="99"/>
        <v>95600</v>
      </c>
      <c r="L2039" s="252">
        <f t="shared" si="99"/>
        <v>102200</v>
      </c>
      <c r="M2039" s="252">
        <f t="shared" si="99"/>
        <v>108800</v>
      </c>
    </row>
    <row r="2040" spans="1:13" ht="21.95" customHeight="1" x14ac:dyDescent="0.25">
      <c r="A2040" s="36" t="s">
        <v>2904</v>
      </c>
      <c r="B2040" s="36" t="str">
        <f t="shared" si="97"/>
        <v>SD_LAWRENCE COUNTY, SD</v>
      </c>
      <c r="D2040" s="265" t="s">
        <v>65</v>
      </c>
      <c r="E2040" s="266" t="s">
        <v>4790</v>
      </c>
      <c r="F2040" s="252">
        <f t="shared" si="99"/>
        <v>53850</v>
      </c>
      <c r="G2040" s="252">
        <f t="shared" si="99"/>
        <v>61550</v>
      </c>
      <c r="H2040" s="252">
        <f t="shared" si="99"/>
        <v>69250</v>
      </c>
      <c r="I2040" s="252">
        <f t="shared" si="99"/>
        <v>76900</v>
      </c>
      <c r="J2040" s="252">
        <f t="shared" si="99"/>
        <v>83100</v>
      </c>
      <c r="K2040" s="252">
        <f t="shared" si="99"/>
        <v>89250</v>
      </c>
      <c r="L2040" s="252">
        <f t="shared" si="99"/>
        <v>95400</v>
      </c>
      <c r="M2040" s="252">
        <f t="shared" si="99"/>
        <v>101550</v>
      </c>
    </row>
    <row r="2041" spans="1:13" ht="21.95" customHeight="1" x14ac:dyDescent="0.25">
      <c r="A2041" s="36" t="s">
        <v>2904</v>
      </c>
      <c r="B2041" s="36" t="str">
        <f t="shared" si="97"/>
        <v>SD_LYMAN COUNTY, SD</v>
      </c>
      <c r="D2041" s="265" t="s">
        <v>65</v>
      </c>
      <c r="E2041" s="266" t="s">
        <v>4791</v>
      </c>
      <c r="F2041" s="252">
        <f t="shared" si="99"/>
        <v>52600</v>
      </c>
      <c r="G2041" s="252">
        <f t="shared" si="99"/>
        <v>60100</v>
      </c>
      <c r="H2041" s="252">
        <f t="shared" si="99"/>
        <v>67600</v>
      </c>
      <c r="I2041" s="252">
        <f t="shared" si="99"/>
        <v>75100</v>
      </c>
      <c r="J2041" s="252">
        <f t="shared" si="99"/>
        <v>81150</v>
      </c>
      <c r="K2041" s="252">
        <f t="shared" si="99"/>
        <v>87150</v>
      </c>
      <c r="L2041" s="252">
        <f t="shared" si="99"/>
        <v>93150</v>
      </c>
      <c r="M2041" s="252">
        <f t="shared" si="99"/>
        <v>99150</v>
      </c>
    </row>
    <row r="2042" spans="1:13" ht="21.95" customHeight="1" x14ac:dyDescent="0.25">
      <c r="A2042" s="36" t="s">
        <v>2904</v>
      </c>
      <c r="B2042" s="36" t="str">
        <f t="shared" si="97"/>
        <v>SD_MARSHALL COUNTY, SD</v>
      </c>
      <c r="D2042" s="265" t="s">
        <v>65</v>
      </c>
      <c r="E2042" s="266" t="s">
        <v>4792</v>
      </c>
      <c r="F2042" s="252">
        <f t="shared" si="99"/>
        <v>59200</v>
      </c>
      <c r="G2042" s="252">
        <f t="shared" si="99"/>
        <v>67650</v>
      </c>
      <c r="H2042" s="252">
        <f t="shared" si="99"/>
        <v>76100</v>
      </c>
      <c r="I2042" s="252">
        <f t="shared" si="99"/>
        <v>84550</v>
      </c>
      <c r="J2042" s="252">
        <f t="shared" si="99"/>
        <v>91350</v>
      </c>
      <c r="K2042" s="252">
        <f t="shared" si="99"/>
        <v>98100</v>
      </c>
      <c r="L2042" s="252">
        <f t="shared" si="99"/>
        <v>104850</v>
      </c>
      <c r="M2042" s="252">
        <f t="shared" si="99"/>
        <v>111650</v>
      </c>
    </row>
    <row r="2043" spans="1:13" ht="21.95" customHeight="1" x14ac:dyDescent="0.25">
      <c r="A2043" s="36" t="s">
        <v>2904</v>
      </c>
      <c r="B2043" s="36" t="str">
        <f t="shared" si="97"/>
        <v>SD_MCPHERSON COUNTY, SD</v>
      </c>
      <c r="D2043" s="265" t="s">
        <v>65</v>
      </c>
      <c r="E2043" s="266" t="s">
        <v>4793</v>
      </c>
      <c r="F2043" s="252">
        <f t="shared" si="99"/>
        <v>52600</v>
      </c>
      <c r="G2043" s="252">
        <f t="shared" si="99"/>
        <v>60100</v>
      </c>
      <c r="H2043" s="252">
        <f t="shared" si="99"/>
        <v>67600</v>
      </c>
      <c r="I2043" s="252">
        <f t="shared" si="99"/>
        <v>75100</v>
      </c>
      <c r="J2043" s="252">
        <f t="shared" si="99"/>
        <v>81150</v>
      </c>
      <c r="K2043" s="252">
        <f t="shared" si="99"/>
        <v>87150</v>
      </c>
      <c r="L2043" s="252">
        <f t="shared" si="99"/>
        <v>93150</v>
      </c>
      <c r="M2043" s="252">
        <f t="shared" si="99"/>
        <v>99150</v>
      </c>
    </row>
    <row r="2044" spans="1:13" ht="21.95" customHeight="1" x14ac:dyDescent="0.25">
      <c r="A2044" s="36" t="s">
        <v>2904</v>
      </c>
      <c r="B2044" s="36" t="str">
        <f t="shared" ref="B2044:B2107" si="100">UPPER(TRIM(D2044)&amp;"_"&amp;TRIM(E2044))</f>
        <v>SD_MEADE COUNTY, SD HUD METRO FMR AREA</v>
      </c>
      <c r="D2044" s="265" t="s">
        <v>65</v>
      </c>
      <c r="E2044" s="266" t="s">
        <v>4794</v>
      </c>
      <c r="F2044" s="252">
        <f t="shared" si="99"/>
        <v>55900</v>
      </c>
      <c r="G2044" s="252">
        <f t="shared" si="99"/>
        <v>63900</v>
      </c>
      <c r="H2044" s="252">
        <f t="shared" si="99"/>
        <v>71900</v>
      </c>
      <c r="I2044" s="252">
        <f t="shared" si="99"/>
        <v>79850</v>
      </c>
      <c r="J2044" s="252">
        <f t="shared" si="99"/>
        <v>86250</v>
      </c>
      <c r="K2044" s="252">
        <f t="shared" si="99"/>
        <v>92650</v>
      </c>
      <c r="L2044" s="252">
        <f t="shared" si="99"/>
        <v>99050</v>
      </c>
      <c r="M2044" s="252">
        <f t="shared" si="99"/>
        <v>105450</v>
      </c>
    </row>
    <row r="2045" spans="1:13" ht="21.95" customHeight="1" x14ac:dyDescent="0.25">
      <c r="A2045" s="36" t="s">
        <v>2904</v>
      </c>
      <c r="B2045" s="36" t="str">
        <f t="shared" si="100"/>
        <v>SD_MELLETTE COUNTY, SD</v>
      </c>
      <c r="D2045" s="265" t="s">
        <v>65</v>
      </c>
      <c r="E2045" s="266" t="s">
        <v>4795</v>
      </c>
      <c r="F2045" s="252">
        <f t="shared" si="99"/>
        <v>52600</v>
      </c>
      <c r="G2045" s="252">
        <f t="shared" si="99"/>
        <v>60100</v>
      </c>
      <c r="H2045" s="252">
        <f t="shared" si="99"/>
        <v>67600</v>
      </c>
      <c r="I2045" s="252">
        <f t="shared" si="99"/>
        <v>75100</v>
      </c>
      <c r="J2045" s="252">
        <f t="shared" si="99"/>
        <v>81150</v>
      </c>
      <c r="K2045" s="252">
        <f t="shared" si="99"/>
        <v>87150</v>
      </c>
      <c r="L2045" s="252">
        <f t="shared" si="99"/>
        <v>93150</v>
      </c>
      <c r="M2045" s="252">
        <f t="shared" si="99"/>
        <v>99150</v>
      </c>
    </row>
    <row r="2046" spans="1:13" ht="21.95" customHeight="1" x14ac:dyDescent="0.25">
      <c r="A2046" s="36" t="s">
        <v>2904</v>
      </c>
      <c r="B2046" s="36" t="str">
        <f t="shared" si="100"/>
        <v>SD_MINER COUNTY, SD</v>
      </c>
      <c r="D2046" s="265" t="s">
        <v>65</v>
      </c>
      <c r="E2046" s="266" t="s">
        <v>4796</v>
      </c>
      <c r="F2046" s="252">
        <f t="shared" si="99"/>
        <v>55800</v>
      </c>
      <c r="G2046" s="252">
        <f t="shared" si="99"/>
        <v>63800</v>
      </c>
      <c r="H2046" s="252">
        <f t="shared" si="99"/>
        <v>71750</v>
      </c>
      <c r="I2046" s="252">
        <f t="shared" si="99"/>
        <v>79700</v>
      </c>
      <c r="J2046" s="252">
        <f t="shared" si="99"/>
        <v>86100</v>
      </c>
      <c r="K2046" s="252">
        <f t="shared" si="99"/>
        <v>92500</v>
      </c>
      <c r="L2046" s="252">
        <f t="shared" si="99"/>
        <v>98850</v>
      </c>
      <c r="M2046" s="252">
        <f t="shared" si="99"/>
        <v>105250</v>
      </c>
    </row>
    <row r="2047" spans="1:13" ht="21.95" customHeight="1" x14ac:dyDescent="0.25">
      <c r="A2047" s="36" t="s">
        <v>2904</v>
      </c>
      <c r="B2047" s="36" t="str">
        <f t="shared" si="100"/>
        <v>SD_MOODY COUNTY, SD</v>
      </c>
      <c r="D2047" s="265" t="s">
        <v>65</v>
      </c>
      <c r="E2047" s="266" t="s">
        <v>4797</v>
      </c>
      <c r="F2047" s="252">
        <f t="shared" si="99"/>
        <v>58950</v>
      </c>
      <c r="G2047" s="252">
        <f t="shared" si="99"/>
        <v>67350</v>
      </c>
      <c r="H2047" s="252">
        <f t="shared" si="99"/>
        <v>75750</v>
      </c>
      <c r="I2047" s="252">
        <f t="shared" si="99"/>
        <v>84150</v>
      </c>
      <c r="J2047" s="252">
        <f t="shared" si="99"/>
        <v>90900</v>
      </c>
      <c r="K2047" s="252">
        <f t="shared" si="99"/>
        <v>97650</v>
      </c>
      <c r="L2047" s="252">
        <f t="shared" si="99"/>
        <v>104350</v>
      </c>
      <c r="M2047" s="252">
        <f t="shared" si="99"/>
        <v>111100</v>
      </c>
    </row>
    <row r="2048" spans="1:13" ht="21.95" customHeight="1" x14ac:dyDescent="0.25">
      <c r="A2048" s="36" t="s">
        <v>2904</v>
      </c>
      <c r="B2048" s="36" t="str">
        <f t="shared" si="100"/>
        <v>SD_OGLALA LAKOTA COUNTY</v>
      </c>
      <c r="D2048" s="265" t="s">
        <v>65</v>
      </c>
      <c r="E2048" s="266" t="s">
        <v>4798</v>
      </c>
      <c r="F2048" s="252">
        <f t="shared" si="99"/>
        <v>52600</v>
      </c>
      <c r="G2048" s="252">
        <f t="shared" si="99"/>
        <v>60100</v>
      </c>
      <c r="H2048" s="252">
        <f t="shared" si="99"/>
        <v>67600</v>
      </c>
      <c r="I2048" s="252">
        <f t="shared" si="99"/>
        <v>75100</v>
      </c>
      <c r="J2048" s="252">
        <f t="shared" si="99"/>
        <v>81150</v>
      </c>
      <c r="K2048" s="252">
        <f t="shared" si="99"/>
        <v>87150</v>
      </c>
      <c r="L2048" s="252">
        <f t="shared" si="99"/>
        <v>93150</v>
      </c>
      <c r="M2048" s="252">
        <f t="shared" si="99"/>
        <v>99150</v>
      </c>
    </row>
    <row r="2049" spans="1:13" ht="21.95" customHeight="1" x14ac:dyDescent="0.25">
      <c r="A2049" s="36" t="s">
        <v>2904</v>
      </c>
      <c r="B2049" s="36" t="str">
        <f t="shared" si="100"/>
        <v>SD_PERKINS COUNTY, SD</v>
      </c>
      <c r="D2049" s="265" t="s">
        <v>65</v>
      </c>
      <c r="E2049" s="266" t="s">
        <v>4799</v>
      </c>
      <c r="F2049" s="252">
        <f t="shared" si="99"/>
        <v>52600</v>
      </c>
      <c r="G2049" s="252">
        <f t="shared" si="99"/>
        <v>60100</v>
      </c>
      <c r="H2049" s="252">
        <f t="shared" si="99"/>
        <v>67600</v>
      </c>
      <c r="I2049" s="252">
        <f t="shared" si="99"/>
        <v>75100</v>
      </c>
      <c r="J2049" s="252">
        <f t="shared" si="99"/>
        <v>81150</v>
      </c>
      <c r="K2049" s="252">
        <f t="shared" si="99"/>
        <v>87150</v>
      </c>
      <c r="L2049" s="252">
        <f t="shared" si="99"/>
        <v>93150</v>
      </c>
      <c r="M2049" s="252">
        <f t="shared" si="99"/>
        <v>99150</v>
      </c>
    </row>
    <row r="2050" spans="1:13" ht="21.95" customHeight="1" x14ac:dyDescent="0.25">
      <c r="A2050" s="36" t="s">
        <v>2904</v>
      </c>
      <c r="B2050" s="36" t="str">
        <f t="shared" si="100"/>
        <v>SD_POTTER COUNTY, SD</v>
      </c>
      <c r="D2050" s="265" t="s">
        <v>65</v>
      </c>
      <c r="E2050" s="266" t="s">
        <v>4800</v>
      </c>
      <c r="F2050" s="252">
        <f t="shared" si="99"/>
        <v>55800</v>
      </c>
      <c r="G2050" s="252">
        <f t="shared" si="99"/>
        <v>63800</v>
      </c>
      <c r="H2050" s="252">
        <f t="shared" ref="F2050:M2082" si="101">VLOOKUP($B2050,LOOKUP_AMI_TABLE,5+((H$7-1)),FALSE)</f>
        <v>71750</v>
      </c>
      <c r="I2050" s="252">
        <f t="shared" si="101"/>
        <v>79700</v>
      </c>
      <c r="J2050" s="252">
        <f t="shared" si="101"/>
        <v>86100</v>
      </c>
      <c r="K2050" s="252">
        <f t="shared" si="101"/>
        <v>92500</v>
      </c>
      <c r="L2050" s="252">
        <f t="shared" si="101"/>
        <v>98850</v>
      </c>
      <c r="M2050" s="252">
        <f t="shared" si="101"/>
        <v>105250</v>
      </c>
    </row>
    <row r="2051" spans="1:13" ht="21.95" customHeight="1" x14ac:dyDescent="0.25">
      <c r="A2051" s="36" t="s">
        <v>2904</v>
      </c>
      <c r="B2051" s="36" t="str">
        <f t="shared" si="100"/>
        <v>SD_RAPID CITY, SD HUD METRO FMR AREA</v>
      </c>
      <c r="D2051" s="265" t="s">
        <v>65</v>
      </c>
      <c r="E2051" s="266" t="s">
        <v>4801</v>
      </c>
      <c r="F2051" s="252">
        <f t="shared" si="101"/>
        <v>54950</v>
      </c>
      <c r="G2051" s="252">
        <f t="shared" si="101"/>
        <v>62800</v>
      </c>
      <c r="H2051" s="252">
        <f t="shared" si="101"/>
        <v>70650</v>
      </c>
      <c r="I2051" s="252">
        <f t="shared" si="101"/>
        <v>78500</v>
      </c>
      <c r="J2051" s="252">
        <f t="shared" si="101"/>
        <v>84800</v>
      </c>
      <c r="K2051" s="252">
        <f t="shared" si="101"/>
        <v>91100</v>
      </c>
      <c r="L2051" s="252">
        <f t="shared" si="101"/>
        <v>97350</v>
      </c>
      <c r="M2051" s="252">
        <f t="shared" si="101"/>
        <v>103650</v>
      </c>
    </row>
    <row r="2052" spans="1:13" ht="21.95" customHeight="1" x14ac:dyDescent="0.25">
      <c r="A2052" s="36" t="s">
        <v>2904</v>
      </c>
      <c r="B2052" s="36" t="str">
        <f t="shared" si="100"/>
        <v>SD_ROBERTS COUNTY, SD</v>
      </c>
      <c r="D2052" s="265" t="s">
        <v>65</v>
      </c>
      <c r="E2052" s="266" t="s">
        <v>4802</v>
      </c>
      <c r="F2052" s="252">
        <f t="shared" si="101"/>
        <v>52600</v>
      </c>
      <c r="G2052" s="252">
        <f t="shared" si="101"/>
        <v>60100</v>
      </c>
      <c r="H2052" s="252">
        <f t="shared" si="101"/>
        <v>67600</v>
      </c>
      <c r="I2052" s="252">
        <f t="shared" si="101"/>
        <v>75100</v>
      </c>
      <c r="J2052" s="252">
        <f t="shared" si="101"/>
        <v>81150</v>
      </c>
      <c r="K2052" s="252">
        <f t="shared" si="101"/>
        <v>87150</v>
      </c>
      <c r="L2052" s="252">
        <f t="shared" si="101"/>
        <v>93150</v>
      </c>
      <c r="M2052" s="252">
        <f t="shared" si="101"/>
        <v>99150</v>
      </c>
    </row>
    <row r="2053" spans="1:13" ht="21.95" customHeight="1" x14ac:dyDescent="0.25">
      <c r="A2053" s="36" t="s">
        <v>2904</v>
      </c>
      <c r="B2053" s="36" t="str">
        <f t="shared" si="100"/>
        <v>SD_SANBORN COUNTY, SD</v>
      </c>
      <c r="D2053" s="265" t="s">
        <v>65</v>
      </c>
      <c r="E2053" s="266" t="s">
        <v>4803</v>
      </c>
      <c r="F2053" s="252">
        <f t="shared" si="101"/>
        <v>54950</v>
      </c>
      <c r="G2053" s="252">
        <f t="shared" si="101"/>
        <v>62800</v>
      </c>
      <c r="H2053" s="252">
        <f t="shared" si="101"/>
        <v>70650</v>
      </c>
      <c r="I2053" s="252">
        <f t="shared" si="101"/>
        <v>78500</v>
      </c>
      <c r="J2053" s="252">
        <f t="shared" si="101"/>
        <v>84800</v>
      </c>
      <c r="K2053" s="252">
        <f t="shared" si="101"/>
        <v>91100</v>
      </c>
      <c r="L2053" s="252">
        <f t="shared" si="101"/>
        <v>97350</v>
      </c>
      <c r="M2053" s="252">
        <f t="shared" si="101"/>
        <v>103650</v>
      </c>
    </row>
    <row r="2054" spans="1:13" ht="21.95" customHeight="1" x14ac:dyDescent="0.25">
      <c r="A2054" s="36" t="s">
        <v>2904</v>
      </c>
      <c r="B2054" s="36" t="str">
        <f t="shared" si="100"/>
        <v>SD_SIOUX CITY, IA-NE-SD MSA</v>
      </c>
      <c r="D2054" s="265" t="s">
        <v>65</v>
      </c>
      <c r="E2054" s="266" t="s">
        <v>3448</v>
      </c>
      <c r="F2054" s="252">
        <f t="shared" si="101"/>
        <v>51550</v>
      </c>
      <c r="G2054" s="252">
        <f t="shared" si="101"/>
        <v>58900</v>
      </c>
      <c r="H2054" s="252">
        <f t="shared" si="101"/>
        <v>66250</v>
      </c>
      <c r="I2054" s="252">
        <f t="shared" si="101"/>
        <v>73600</v>
      </c>
      <c r="J2054" s="252">
        <f t="shared" si="101"/>
        <v>79500</v>
      </c>
      <c r="K2054" s="252">
        <f t="shared" si="101"/>
        <v>85400</v>
      </c>
      <c r="L2054" s="252">
        <f t="shared" si="101"/>
        <v>91300</v>
      </c>
      <c r="M2054" s="252">
        <f t="shared" si="101"/>
        <v>97200</v>
      </c>
    </row>
    <row r="2055" spans="1:13" ht="21.95" customHeight="1" x14ac:dyDescent="0.25">
      <c r="A2055" s="36" t="s">
        <v>2904</v>
      </c>
      <c r="B2055" s="36" t="str">
        <f t="shared" si="100"/>
        <v>SD_SIOUX FALLS, SD HUD METRO FMR AREA</v>
      </c>
      <c r="D2055" s="265" t="s">
        <v>65</v>
      </c>
      <c r="E2055" s="266" t="s">
        <v>9257</v>
      </c>
      <c r="F2055" s="252">
        <f t="shared" si="101"/>
        <v>62850</v>
      </c>
      <c r="G2055" s="252">
        <f t="shared" si="101"/>
        <v>71800</v>
      </c>
      <c r="H2055" s="252">
        <f t="shared" si="101"/>
        <v>80800</v>
      </c>
      <c r="I2055" s="252">
        <f t="shared" si="101"/>
        <v>89750</v>
      </c>
      <c r="J2055" s="252">
        <f t="shared" si="101"/>
        <v>96950</v>
      </c>
      <c r="K2055" s="252">
        <f t="shared" si="101"/>
        <v>104150</v>
      </c>
      <c r="L2055" s="252">
        <f t="shared" si="101"/>
        <v>111300</v>
      </c>
      <c r="M2055" s="252">
        <f t="shared" si="101"/>
        <v>118500</v>
      </c>
    </row>
    <row r="2056" spans="1:13" ht="21.95" customHeight="1" x14ac:dyDescent="0.25">
      <c r="A2056" s="36" t="s">
        <v>2904</v>
      </c>
      <c r="B2056" s="36" t="str">
        <f t="shared" si="100"/>
        <v>SD_SPINK COUNTY, SD</v>
      </c>
      <c r="D2056" s="265" t="s">
        <v>65</v>
      </c>
      <c r="E2056" s="266" t="s">
        <v>4804</v>
      </c>
      <c r="F2056" s="252">
        <f t="shared" si="101"/>
        <v>55800</v>
      </c>
      <c r="G2056" s="252">
        <f t="shared" si="101"/>
        <v>63800</v>
      </c>
      <c r="H2056" s="252">
        <f t="shared" si="101"/>
        <v>71750</v>
      </c>
      <c r="I2056" s="252">
        <f t="shared" si="101"/>
        <v>79700</v>
      </c>
      <c r="J2056" s="252">
        <f t="shared" si="101"/>
        <v>86100</v>
      </c>
      <c r="K2056" s="252">
        <f t="shared" si="101"/>
        <v>92500</v>
      </c>
      <c r="L2056" s="252">
        <f t="shared" si="101"/>
        <v>98850</v>
      </c>
      <c r="M2056" s="252">
        <f t="shared" si="101"/>
        <v>105250</v>
      </c>
    </row>
    <row r="2057" spans="1:13" ht="21.95" customHeight="1" x14ac:dyDescent="0.25">
      <c r="A2057" s="36" t="s">
        <v>2904</v>
      </c>
      <c r="B2057" s="36" t="str">
        <f t="shared" si="100"/>
        <v>SD_STANLEY COUNTY, SD</v>
      </c>
      <c r="D2057" s="265" t="s">
        <v>65</v>
      </c>
      <c r="E2057" s="266" t="s">
        <v>4805</v>
      </c>
      <c r="F2057" s="252">
        <f t="shared" si="101"/>
        <v>63600</v>
      </c>
      <c r="G2057" s="252">
        <f t="shared" si="101"/>
        <v>72700</v>
      </c>
      <c r="H2057" s="252">
        <f t="shared" si="101"/>
        <v>81800</v>
      </c>
      <c r="I2057" s="252">
        <f t="shared" si="101"/>
        <v>90850</v>
      </c>
      <c r="J2057" s="252">
        <f t="shared" si="101"/>
        <v>98150</v>
      </c>
      <c r="K2057" s="252">
        <f t="shared" si="101"/>
        <v>105400</v>
      </c>
      <c r="L2057" s="252">
        <f t="shared" si="101"/>
        <v>112700</v>
      </c>
      <c r="M2057" s="252">
        <f t="shared" si="101"/>
        <v>119950</v>
      </c>
    </row>
    <row r="2058" spans="1:13" ht="21.95" customHeight="1" x14ac:dyDescent="0.25">
      <c r="A2058" s="36" t="s">
        <v>2904</v>
      </c>
      <c r="B2058" s="36" t="str">
        <f t="shared" si="100"/>
        <v>SD_SULLY COUNTY, SD</v>
      </c>
      <c r="D2058" s="265" t="s">
        <v>65</v>
      </c>
      <c r="E2058" s="266" t="s">
        <v>4806</v>
      </c>
      <c r="F2058" s="252">
        <f t="shared" si="101"/>
        <v>56800</v>
      </c>
      <c r="G2058" s="252">
        <f t="shared" si="101"/>
        <v>64900</v>
      </c>
      <c r="H2058" s="252">
        <f t="shared" si="101"/>
        <v>73000</v>
      </c>
      <c r="I2058" s="252">
        <f t="shared" si="101"/>
        <v>81100</v>
      </c>
      <c r="J2058" s="252">
        <f t="shared" si="101"/>
        <v>87600</v>
      </c>
      <c r="K2058" s="252">
        <f t="shared" si="101"/>
        <v>94100</v>
      </c>
      <c r="L2058" s="252">
        <f t="shared" si="101"/>
        <v>100600</v>
      </c>
      <c r="M2058" s="252">
        <f t="shared" si="101"/>
        <v>107100</v>
      </c>
    </row>
    <row r="2059" spans="1:13" ht="21.95" customHeight="1" x14ac:dyDescent="0.25">
      <c r="A2059" s="36" t="s">
        <v>2904</v>
      </c>
      <c r="B2059" s="36" t="str">
        <f t="shared" si="100"/>
        <v>SD_TODD COUNTY, SD</v>
      </c>
      <c r="D2059" s="265" t="s">
        <v>65</v>
      </c>
      <c r="E2059" s="266" t="s">
        <v>4807</v>
      </c>
      <c r="F2059" s="252">
        <f t="shared" si="101"/>
        <v>52600</v>
      </c>
      <c r="G2059" s="252">
        <f t="shared" si="101"/>
        <v>60100</v>
      </c>
      <c r="H2059" s="252">
        <f t="shared" si="101"/>
        <v>67600</v>
      </c>
      <c r="I2059" s="252">
        <f t="shared" si="101"/>
        <v>75100</v>
      </c>
      <c r="J2059" s="252">
        <f t="shared" si="101"/>
        <v>81150</v>
      </c>
      <c r="K2059" s="252">
        <f t="shared" si="101"/>
        <v>87150</v>
      </c>
      <c r="L2059" s="252">
        <f t="shared" si="101"/>
        <v>93150</v>
      </c>
      <c r="M2059" s="252">
        <f t="shared" si="101"/>
        <v>99150</v>
      </c>
    </row>
    <row r="2060" spans="1:13" ht="21.95" customHeight="1" x14ac:dyDescent="0.25">
      <c r="A2060" s="36" t="s">
        <v>2904</v>
      </c>
      <c r="B2060" s="36" t="str">
        <f t="shared" si="100"/>
        <v>SD_TRIPP COUNTY, SD</v>
      </c>
      <c r="D2060" s="265" t="s">
        <v>65</v>
      </c>
      <c r="E2060" s="266" t="s">
        <v>4808</v>
      </c>
      <c r="F2060" s="252">
        <f t="shared" si="101"/>
        <v>52600</v>
      </c>
      <c r="G2060" s="252">
        <f t="shared" si="101"/>
        <v>60100</v>
      </c>
      <c r="H2060" s="252">
        <f t="shared" si="101"/>
        <v>67600</v>
      </c>
      <c r="I2060" s="252">
        <f t="shared" si="101"/>
        <v>75100</v>
      </c>
      <c r="J2060" s="252">
        <f t="shared" si="101"/>
        <v>81150</v>
      </c>
      <c r="K2060" s="252">
        <f t="shared" si="101"/>
        <v>87150</v>
      </c>
      <c r="L2060" s="252">
        <f t="shared" si="101"/>
        <v>93150</v>
      </c>
      <c r="M2060" s="252">
        <f t="shared" si="101"/>
        <v>99150</v>
      </c>
    </row>
    <row r="2061" spans="1:13" ht="21.95" customHeight="1" x14ac:dyDescent="0.25">
      <c r="A2061" s="36" t="s">
        <v>2904</v>
      </c>
      <c r="B2061" s="36" t="str">
        <f t="shared" si="100"/>
        <v>SD_WALWORTH COUNTY, SD</v>
      </c>
      <c r="D2061" s="265" t="s">
        <v>65</v>
      </c>
      <c r="E2061" s="266" t="s">
        <v>4809</v>
      </c>
      <c r="F2061" s="252">
        <f t="shared" si="101"/>
        <v>52600</v>
      </c>
      <c r="G2061" s="252">
        <f t="shared" si="101"/>
        <v>60100</v>
      </c>
      <c r="H2061" s="252">
        <f t="shared" si="101"/>
        <v>67600</v>
      </c>
      <c r="I2061" s="252">
        <f t="shared" si="101"/>
        <v>75100</v>
      </c>
      <c r="J2061" s="252">
        <f t="shared" si="101"/>
        <v>81150</v>
      </c>
      <c r="K2061" s="252">
        <f t="shared" si="101"/>
        <v>87150</v>
      </c>
      <c r="L2061" s="252">
        <f t="shared" si="101"/>
        <v>93150</v>
      </c>
      <c r="M2061" s="252">
        <f t="shared" si="101"/>
        <v>99150</v>
      </c>
    </row>
    <row r="2062" spans="1:13" ht="21.95" customHeight="1" x14ac:dyDescent="0.25">
      <c r="A2062" s="36" t="s">
        <v>2904</v>
      </c>
      <c r="B2062" s="36" t="str">
        <f t="shared" si="100"/>
        <v>SD_YANKTON COUNTY, SD</v>
      </c>
      <c r="D2062" s="265" t="s">
        <v>65</v>
      </c>
      <c r="E2062" s="266" t="s">
        <v>4810</v>
      </c>
      <c r="F2062" s="252">
        <f t="shared" si="101"/>
        <v>57300</v>
      </c>
      <c r="G2062" s="252">
        <f t="shared" si="101"/>
        <v>65500</v>
      </c>
      <c r="H2062" s="252">
        <f t="shared" si="101"/>
        <v>73700</v>
      </c>
      <c r="I2062" s="252">
        <f t="shared" si="101"/>
        <v>81850</v>
      </c>
      <c r="J2062" s="252">
        <f t="shared" si="101"/>
        <v>88400</v>
      </c>
      <c r="K2062" s="252">
        <f t="shared" si="101"/>
        <v>94950</v>
      </c>
      <c r="L2062" s="252">
        <f t="shared" si="101"/>
        <v>101500</v>
      </c>
      <c r="M2062" s="252">
        <f t="shared" si="101"/>
        <v>108050</v>
      </c>
    </row>
    <row r="2063" spans="1:13" ht="21.95" customHeight="1" x14ac:dyDescent="0.25">
      <c r="A2063" s="36" t="s">
        <v>2904</v>
      </c>
      <c r="B2063" s="36" t="str">
        <f t="shared" si="100"/>
        <v>SD_ZIEBACH COUNTY, SD</v>
      </c>
      <c r="D2063" s="265" t="s">
        <v>65</v>
      </c>
      <c r="E2063" s="266" t="s">
        <v>4811</v>
      </c>
      <c r="F2063" s="252">
        <f t="shared" si="101"/>
        <v>52600</v>
      </c>
      <c r="G2063" s="252">
        <f t="shared" si="101"/>
        <v>60100</v>
      </c>
      <c r="H2063" s="252">
        <f t="shared" si="101"/>
        <v>67600</v>
      </c>
      <c r="I2063" s="252">
        <f t="shared" si="101"/>
        <v>75100</v>
      </c>
      <c r="J2063" s="252">
        <f t="shared" si="101"/>
        <v>81150</v>
      </c>
      <c r="K2063" s="252">
        <f t="shared" si="101"/>
        <v>87150</v>
      </c>
      <c r="L2063" s="252">
        <f t="shared" si="101"/>
        <v>93150</v>
      </c>
      <c r="M2063" s="252">
        <f t="shared" si="101"/>
        <v>99150</v>
      </c>
    </row>
    <row r="2064" spans="1:13" ht="21.95" customHeight="1" x14ac:dyDescent="0.25">
      <c r="A2064" s="36" t="s">
        <v>2904</v>
      </c>
      <c r="B2064" s="36" t="str">
        <f t="shared" si="100"/>
        <v>TN_BEDFORD COUNTY, TN</v>
      </c>
      <c r="D2064" s="265" t="s">
        <v>64</v>
      </c>
      <c r="E2064" s="266" t="s">
        <v>4812</v>
      </c>
      <c r="F2064" s="252">
        <f t="shared" si="101"/>
        <v>44000</v>
      </c>
      <c r="G2064" s="252">
        <f t="shared" si="101"/>
        <v>50250</v>
      </c>
      <c r="H2064" s="252">
        <f t="shared" si="101"/>
        <v>56550</v>
      </c>
      <c r="I2064" s="252">
        <f t="shared" si="101"/>
        <v>62800</v>
      </c>
      <c r="J2064" s="252">
        <f t="shared" si="101"/>
        <v>67850</v>
      </c>
      <c r="K2064" s="252">
        <f t="shared" si="101"/>
        <v>72850</v>
      </c>
      <c r="L2064" s="252">
        <f t="shared" si="101"/>
        <v>77900</v>
      </c>
      <c r="M2064" s="252">
        <f t="shared" si="101"/>
        <v>82900</v>
      </c>
    </row>
    <row r="2065" spans="1:13" ht="21.95" customHeight="1" x14ac:dyDescent="0.25">
      <c r="A2065" s="36" t="s">
        <v>2904</v>
      </c>
      <c r="B2065" s="36" t="str">
        <f t="shared" si="100"/>
        <v>TN_BENTON COUNTY, TN</v>
      </c>
      <c r="D2065" s="265" t="s">
        <v>64</v>
      </c>
      <c r="E2065" s="266" t="s">
        <v>4813</v>
      </c>
      <c r="F2065" s="252">
        <f t="shared" si="101"/>
        <v>42350</v>
      </c>
      <c r="G2065" s="252">
        <f t="shared" si="101"/>
        <v>48400</v>
      </c>
      <c r="H2065" s="252">
        <f t="shared" si="101"/>
        <v>54450</v>
      </c>
      <c r="I2065" s="252">
        <f t="shared" si="101"/>
        <v>60500</v>
      </c>
      <c r="J2065" s="252">
        <f t="shared" si="101"/>
        <v>65350</v>
      </c>
      <c r="K2065" s="252">
        <f t="shared" si="101"/>
        <v>70200</v>
      </c>
      <c r="L2065" s="252">
        <f t="shared" si="101"/>
        <v>75050</v>
      </c>
      <c r="M2065" s="252">
        <f t="shared" si="101"/>
        <v>79900</v>
      </c>
    </row>
    <row r="2066" spans="1:13" ht="21.95" customHeight="1" x14ac:dyDescent="0.25">
      <c r="A2066" s="36" t="s">
        <v>2904</v>
      </c>
      <c r="B2066" s="36" t="str">
        <f t="shared" si="100"/>
        <v>TN_BLEDSOE COUNTY, TN</v>
      </c>
      <c r="D2066" s="265" t="s">
        <v>64</v>
      </c>
      <c r="E2066" s="266" t="s">
        <v>4814</v>
      </c>
      <c r="F2066" s="252">
        <f t="shared" si="101"/>
        <v>41950</v>
      </c>
      <c r="G2066" s="252">
        <f t="shared" si="101"/>
        <v>47950</v>
      </c>
      <c r="H2066" s="252">
        <f t="shared" si="101"/>
        <v>53950</v>
      </c>
      <c r="I2066" s="252">
        <f t="shared" si="101"/>
        <v>59900</v>
      </c>
      <c r="J2066" s="252">
        <f t="shared" si="101"/>
        <v>64700</v>
      </c>
      <c r="K2066" s="252">
        <f t="shared" si="101"/>
        <v>69500</v>
      </c>
      <c r="L2066" s="252">
        <f t="shared" si="101"/>
        <v>74300</v>
      </c>
      <c r="M2066" s="252">
        <f t="shared" si="101"/>
        <v>79100</v>
      </c>
    </row>
    <row r="2067" spans="1:13" ht="21.95" customHeight="1" x14ac:dyDescent="0.25">
      <c r="A2067" s="36" t="s">
        <v>2904</v>
      </c>
      <c r="B2067" s="36" t="str">
        <f t="shared" si="100"/>
        <v>TN_CAMPBELL COUNTY, TN HUD METRO FMR AREA</v>
      </c>
      <c r="D2067" s="265" t="s">
        <v>64</v>
      </c>
      <c r="E2067" s="266" t="s">
        <v>4815</v>
      </c>
      <c r="F2067" s="252">
        <f t="shared" si="101"/>
        <v>41950</v>
      </c>
      <c r="G2067" s="252">
        <f t="shared" si="101"/>
        <v>47950</v>
      </c>
      <c r="H2067" s="252">
        <f t="shared" si="101"/>
        <v>53950</v>
      </c>
      <c r="I2067" s="252">
        <f t="shared" si="101"/>
        <v>59900</v>
      </c>
      <c r="J2067" s="252">
        <f t="shared" si="101"/>
        <v>64700</v>
      </c>
      <c r="K2067" s="252">
        <f t="shared" si="101"/>
        <v>69500</v>
      </c>
      <c r="L2067" s="252">
        <f t="shared" si="101"/>
        <v>74300</v>
      </c>
      <c r="M2067" s="252">
        <f t="shared" si="101"/>
        <v>79100</v>
      </c>
    </row>
    <row r="2068" spans="1:13" ht="21.95" customHeight="1" x14ac:dyDescent="0.25">
      <c r="A2068" s="36" t="s">
        <v>2904</v>
      </c>
      <c r="B2068" s="36" t="str">
        <f t="shared" si="100"/>
        <v>TN_CARROLL COUNTY, TN</v>
      </c>
      <c r="D2068" s="265" t="s">
        <v>64</v>
      </c>
      <c r="E2068" s="266" t="s">
        <v>4816</v>
      </c>
      <c r="F2068" s="252">
        <f t="shared" si="101"/>
        <v>44250</v>
      </c>
      <c r="G2068" s="252">
        <f t="shared" si="101"/>
        <v>50600</v>
      </c>
      <c r="H2068" s="252">
        <f t="shared" si="101"/>
        <v>56900</v>
      </c>
      <c r="I2068" s="252">
        <f t="shared" si="101"/>
        <v>63200</v>
      </c>
      <c r="J2068" s="252">
        <f t="shared" si="101"/>
        <v>68300</v>
      </c>
      <c r="K2068" s="252">
        <f t="shared" si="101"/>
        <v>73350</v>
      </c>
      <c r="L2068" s="252">
        <f t="shared" si="101"/>
        <v>78400</v>
      </c>
      <c r="M2068" s="252">
        <f t="shared" si="101"/>
        <v>83450</v>
      </c>
    </row>
    <row r="2069" spans="1:13" ht="21.95" customHeight="1" x14ac:dyDescent="0.25">
      <c r="A2069" s="36" t="s">
        <v>2904</v>
      </c>
      <c r="B2069" s="36" t="str">
        <f t="shared" si="100"/>
        <v>TN_CHATTANOOGA, TN-GA MSA</v>
      </c>
      <c r="D2069" s="265" t="s">
        <v>64</v>
      </c>
      <c r="E2069" s="266" t="s">
        <v>3278</v>
      </c>
      <c r="F2069" s="252">
        <f t="shared" si="101"/>
        <v>53500</v>
      </c>
      <c r="G2069" s="252">
        <f t="shared" si="101"/>
        <v>61150</v>
      </c>
      <c r="H2069" s="252">
        <f t="shared" si="101"/>
        <v>68800</v>
      </c>
      <c r="I2069" s="252">
        <f t="shared" si="101"/>
        <v>76400</v>
      </c>
      <c r="J2069" s="252">
        <f t="shared" si="101"/>
        <v>82550</v>
      </c>
      <c r="K2069" s="252">
        <f t="shared" si="101"/>
        <v>88650</v>
      </c>
      <c r="L2069" s="252">
        <f t="shared" si="101"/>
        <v>94750</v>
      </c>
      <c r="M2069" s="252">
        <f t="shared" si="101"/>
        <v>100850</v>
      </c>
    </row>
    <row r="2070" spans="1:13" ht="21.95" customHeight="1" x14ac:dyDescent="0.25">
      <c r="A2070" s="36" t="s">
        <v>2904</v>
      </c>
      <c r="B2070" s="36" t="str">
        <f t="shared" si="100"/>
        <v>TN_CLAIBORNE COUNTY, TN</v>
      </c>
      <c r="D2070" s="265" t="s">
        <v>64</v>
      </c>
      <c r="E2070" s="266" t="s">
        <v>4817</v>
      </c>
      <c r="F2070" s="252">
        <f t="shared" si="101"/>
        <v>41950</v>
      </c>
      <c r="G2070" s="252">
        <f t="shared" si="101"/>
        <v>47950</v>
      </c>
      <c r="H2070" s="252">
        <f t="shared" si="101"/>
        <v>53950</v>
      </c>
      <c r="I2070" s="252">
        <f t="shared" si="101"/>
        <v>59900</v>
      </c>
      <c r="J2070" s="252">
        <f t="shared" si="101"/>
        <v>64700</v>
      </c>
      <c r="K2070" s="252">
        <f t="shared" si="101"/>
        <v>69500</v>
      </c>
      <c r="L2070" s="252">
        <f t="shared" si="101"/>
        <v>74300</v>
      </c>
      <c r="M2070" s="252">
        <f t="shared" si="101"/>
        <v>79100</v>
      </c>
    </row>
    <row r="2071" spans="1:13" ht="21.95" customHeight="1" x14ac:dyDescent="0.25">
      <c r="A2071" s="36" t="s">
        <v>2904</v>
      </c>
      <c r="B2071" s="36" t="str">
        <f t="shared" si="100"/>
        <v>TN_CLARKSVILLE, TN-KY HUD METRO FMR AREA</v>
      </c>
      <c r="D2071" s="265" t="s">
        <v>64</v>
      </c>
      <c r="E2071" s="266" t="s">
        <v>3749</v>
      </c>
      <c r="F2071" s="252">
        <f t="shared" si="101"/>
        <v>49100</v>
      </c>
      <c r="G2071" s="252">
        <f t="shared" si="101"/>
        <v>56100</v>
      </c>
      <c r="H2071" s="252">
        <f t="shared" si="101"/>
        <v>63100</v>
      </c>
      <c r="I2071" s="252">
        <f t="shared" si="101"/>
        <v>70100</v>
      </c>
      <c r="J2071" s="252">
        <f t="shared" si="101"/>
        <v>75750</v>
      </c>
      <c r="K2071" s="252">
        <f t="shared" si="101"/>
        <v>81350</v>
      </c>
      <c r="L2071" s="252">
        <f t="shared" si="101"/>
        <v>86950</v>
      </c>
      <c r="M2071" s="252">
        <f t="shared" si="101"/>
        <v>92550</v>
      </c>
    </row>
    <row r="2072" spans="1:13" ht="21.95" customHeight="1" x14ac:dyDescent="0.25">
      <c r="A2072" s="36" t="s">
        <v>2904</v>
      </c>
      <c r="B2072" s="36" t="str">
        <f t="shared" si="100"/>
        <v>TN_CLAY COUNTY, TN</v>
      </c>
      <c r="D2072" s="265" t="s">
        <v>64</v>
      </c>
      <c r="E2072" s="266" t="s">
        <v>4818</v>
      </c>
      <c r="F2072" s="252">
        <f t="shared" si="101"/>
        <v>41950</v>
      </c>
      <c r="G2072" s="252">
        <f t="shared" si="101"/>
        <v>47950</v>
      </c>
      <c r="H2072" s="252">
        <f t="shared" si="101"/>
        <v>53950</v>
      </c>
      <c r="I2072" s="252">
        <f t="shared" si="101"/>
        <v>59900</v>
      </c>
      <c r="J2072" s="252">
        <f t="shared" si="101"/>
        <v>64700</v>
      </c>
      <c r="K2072" s="252">
        <f t="shared" si="101"/>
        <v>69500</v>
      </c>
      <c r="L2072" s="252">
        <f t="shared" si="101"/>
        <v>74300</v>
      </c>
      <c r="M2072" s="252">
        <f t="shared" si="101"/>
        <v>79100</v>
      </c>
    </row>
    <row r="2073" spans="1:13" ht="21.95" customHeight="1" x14ac:dyDescent="0.25">
      <c r="A2073" s="36" t="s">
        <v>2904</v>
      </c>
      <c r="B2073" s="36" t="str">
        <f t="shared" si="100"/>
        <v>TN_CLEVELAND, TN MSA</v>
      </c>
      <c r="D2073" s="265" t="s">
        <v>64</v>
      </c>
      <c r="E2073" s="266" t="s">
        <v>4819</v>
      </c>
      <c r="F2073" s="252">
        <f t="shared" si="101"/>
        <v>46500</v>
      </c>
      <c r="G2073" s="252">
        <f t="shared" si="101"/>
        <v>53150</v>
      </c>
      <c r="H2073" s="252">
        <f t="shared" si="101"/>
        <v>59800</v>
      </c>
      <c r="I2073" s="252">
        <f t="shared" si="101"/>
        <v>66400</v>
      </c>
      <c r="J2073" s="252">
        <f t="shared" si="101"/>
        <v>71750</v>
      </c>
      <c r="K2073" s="252">
        <f t="shared" si="101"/>
        <v>77050</v>
      </c>
      <c r="L2073" s="252">
        <f t="shared" si="101"/>
        <v>82350</v>
      </c>
      <c r="M2073" s="252">
        <f t="shared" si="101"/>
        <v>87650</v>
      </c>
    </row>
    <row r="2074" spans="1:13" ht="21.95" customHeight="1" x14ac:dyDescent="0.25">
      <c r="A2074" s="36" t="s">
        <v>2904</v>
      </c>
      <c r="B2074" s="36" t="str">
        <f t="shared" si="100"/>
        <v>TN_COCKE COUNTY, TN</v>
      </c>
      <c r="D2074" s="265" t="s">
        <v>64</v>
      </c>
      <c r="E2074" s="266" t="s">
        <v>4820</v>
      </c>
      <c r="F2074" s="252">
        <f t="shared" si="101"/>
        <v>41950</v>
      </c>
      <c r="G2074" s="252">
        <f t="shared" si="101"/>
        <v>47950</v>
      </c>
      <c r="H2074" s="252">
        <f t="shared" si="101"/>
        <v>53950</v>
      </c>
      <c r="I2074" s="252">
        <f t="shared" si="101"/>
        <v>59900</v>
      </c>
      <c r="J2074" s="252">
        <f t="shared" si="101"/>
        <v>64700</v>
      </c>
      <c r="K2074" s="252">
        <f t="shared" si="101"/>
        <v>69500</v>
      </c>
      <c r="L2074" s="252">
        <f t="shared" si="101"/>
        <v>74300</v>
      </c>
      <c r="M2074" s="252">
        <f t="shared" si="101"/>
        <v>79100</v>
      </c>
    </row>
    <row r="2075" spans="1:13" ht="21.95" customHeight="1" x14ac:dyDescent="0.25">
      <c r="A2075" s="36" t="s">
        <v>2904</v>
      </c>
      <c r="B2075" s="36" t="str">
        <f t="shared" si="100"/>
        <v>TN_COFFEE COUNTY, TN</v>
      </c>
      <c r="D2075" s="265" t="s">
        <v>64</v>
      </c>
      <c r="E2075" s="266" t="s">
        <v>4821</v>
      </c>
      <c r="F2075" s="252">
        <f t="shared" si="101"/>
        <v>42800</v>
      </c>
      <c r="G2075" s="252">
        <f t="shared" si="101"/>
        <v>48900</v>
      </c>
      <c r="H2075" s="252">
        <f t="shared" si="101"/>
        <v>55000</v>
      </c>
      <c r="I2075" s="252">
        <f t="shared" si="101"/>
        <v>61100</v>
      </c>
      <c r="J2075" s="252">
        <f t="shared" si="101"/>
        <v>66000</v>
      </c>
      <c r="K2075" s="252">
        <f t="shared" si="101"/>
        <v>70900</v>
      </c>
      <c r="L2075" s="252">
        <f t="shared" si="101"/>
        <v>75800</v>
      </c>
      <c r="M2075" s="252">
        <f t="shared" si="101"/>
        <v>80700</v>
      </c>
    </row>
    <row r="2076" spans="1:13" ht="21.95" customHeight="1" x14ac:dyDescent="0.25">
      <c r="A2076" s="36" t="s">
        <v>2904</v>
      </c>
      <c r="B2076" s="36" t="str">
        <f t="shared" si="100"/>
        <v>TN_CROCKETT COUNTY, TN HUD METRO FMR AREA</v>
      </c>
      <c r="D2076" s="265" t="s">
        <v>64</v>
      </c>
      <c r="E2076" s="266" t="s">
        <v>4822</v>
      </c>
      <c r="F2076" s="252">
        <f t="shared" si="101"/>
        <v>44750</v>
      </c>
      <c r="G2076" s="252">
        <f t="shared" si="101"/>
        <v>51150</v>
      </c>
      <c r="H2076" s="252">
        <f t="shared" si="101"/>
        <v>57550</v>
      </c>
      <c r="I2076" s="252">
        <f t="shared" si="101"/>
        <v>63900</v>
      </c>
      <c r="J2076" s="252">
        <f t="shared" si="101"/>
        <v>69050</v>
      </c>
      <c r="K2076" s="252">
        <f t="shared" si="101"/>
        <v>74150</v>
      </c>
      <c r="L2076" s="252">
        <f t="shared" si="101"/>
        <v>79250</v>
      </c>
      <c r="M2076" s="252">
        <f t="shared" si="101"/>
        <v>84350</v>
      </c>
    </row>
    <row r="2077" spans="1:13" ht="21.95" customHeight="1" x14ac:dyDescent="0.25">
      <c r="A2077" s="36" t="s">
        <v>2904</v>
      </c>
      <c r="B2077" s="36" t="str">
        <f t="shared" si="100"/>
        <v>TN_CUMBERLAND COUNTY, TN</v>
      </c>
      <c r="D2077" s="265" t="s">
        <v>64</v>
      </c>
      <c r="E2077" s="266" t="s">
        <v>4823</v>
      </c>
      <c r="F2077" s="252">
        <f t="shared" si="101"/>
        <v>42350</v>
      </c>
      <c r="G2077" s="252">
        <f t="shared" si="101"/>
        <v>48400</v>
      </c>
      <c r="H2077" s="252">
        <f t="shared" si="101"/>
        <v>54450</v>
      </c>
      <c r="I2077" s="252">
        <f t="shared" si="101"/>
        <v>60500</v>
      </c>
      <c r="J2077" s="252">
        <f t="shared" si="101"/>
        <v>65350</v>
      </c>
      <c r="K2077" s="252">
        <f t="shared" si="101"/>
        <v>70200</v>
      </c>
      <c r="L2077" s="252">
        <f t="shared" si="101"/>
        <v>75050</v>
      </c>
      <c r="M2077" s="252">
        <f t="shared" si="101"/>
        <v>79900</v>
      </c>
    </row>
    <row r="2078" spans="1:13" ht="21.95" customHeight="1" x14ac:dyDescent="0.25">
      <c r="A2078" s="36" t="s">
        <v>2904</v>
      </c>
      <c r="B2078" s="36" t="str">
        <f t="shared" si="100"/>
        <v>TN_DECATUR COUNTY, TN</v>
      </c>
      <c r="D2078" s="265" t="s">
        <v>64</v>
      </c>
      <c r="E2078" s="266" t="s">
        <v>4824</v>
      </c>
      <c r="F2078" s="252">
        <f t="shared" si="101"/>
        <v>41950</v>
      </c>
      <c r="G2078" s="252">
        <f t="shared" si="101"/>
        <v>47950</v>
      </c>
      <c r="H2078" s="252">
        <f t="shared" si="101"/>
        <v>53950</v>
      </c>
      <c r="I2078" s="252">
        <f t="shared" si="101"/>
        <v>59900</v>
      </c>
      <c r="J2078" s="252">
        <f t="shared" si="101"/>
        <v>64700</v>
      </c>
      <c r="K2078" s="252">
        <f t="shared" si="101"/>
        <v>69500</v>
      </c>
      <c r="L2078" s="252">
        <f t="shared" si="101"/>
        <v>74300</v>
      </c>
      <c r="M2078" s="252">
        <f t="shared" si="101"/>
        <v>79100</v>
      </c>
    </row>
    <row r="2079" spans="1:13" ht="21.95" customHeight="1" x14ac:dyDescent="0.25">
      <c r="A2079" s="36" t="s">
        <v>2904</v>
      </c>
      <c r="B2079" s="36" t="str">
        <f t="shared" si="100"/>
        <v>TN_DEKALB COUNTY, TN</v>
      </c>
      <c r="D2079" s="265" t="s">
        <v>64</v>
      </c>
      <c r="E2079" s="266" t="s">
        <v>4825</v>
      </c>
      <c r="F2079" s="252">
        <f t="shared" si="101"/>
        <v>41950</v>
      </c>
      <c r="G2079" s="252">
        <f t="shared" si="101"/>
        <v>47950</v>
      </c>
      <c r="H2079" s="252">
        <f t="shared" si="101"/>
        <v>53950</v>
      </c>
      <c r="I2079" s="252">
        <f t="shared" si="101"/>
        <v>59900</v>
      </c>
      <c r="J2079" s="252">
        <f t="shared" si="101"/>
        <v>64700</v>
      </c>
      <c r="K2079" s="252">
        <f t="shared" si="101"/>
        <v>69500</v>
      </c>
      <c r="L2079" s="252">
        <f t="shared" si="101"/>
        <v>74300</v>
      </c>
      <c r="M2079" s="252">
        <f t="shared" si="101"/>
        <v>79100</v>
      </c>
    </row>
    <row r="2080" spans="1:13" ht="21.95" customHeight="1" x14ac:dyDescent="0.25">
      <c r="A2080" s="36" t="s">
        <v>2904</v>
      </c>
      <c r="B2080" s="36" t="str">
        <f t="shared" si="100"/>
        <v>TN_DYER COUNTY, TN</v>
      </c>
      <c r="D2080" s="265" t="s">
        <v>64</v>
      </c>
      <c r="E2080" s="266" t="s">
        <v>4826</v>
      </c>
      <c r="F2080" s="252">
        <f t="shared" si="101"/>
        <v>42350</v>
      </c>
      <c r="G2080" s="252">
        <f t="shared" si="101"/>
        <v>48400</v>
      </c>
      <c r="H2080" s="252">
        <f t="shared" si="101"/>
        <v>54450</v>
      </c>
      <c r="I2080" s="252">
        <f t="shared" si="101"/>
        <v>60500</v>
      </c>
      <c r="J2080" s="252">
        <f t="shared" si="101"/>
        <v>65350</v>
      </c>
      <c r="K2080" s="252">
        <f t="shared" si="101"/>
        <v>70200</v>
      </c>
      <c r="L2080" s="252">
        <f t="shared" si="101"/>
        <v>75050</v>
      </c>
      <c r="M2080" s="252">
        <f t="shared" si="101"/>
        <v>79900</v>
      </c>
    </row>
    <row r="2081" spans="1:13" ht="21.95" customHeight="1" x14ac:dyDescent="0.25">
      <c r="A2081" s="36" t="s">
        <v>2904</v>
      </c>
      <c r="B2081" s="36" t="str">
        <f t="shared" si="100"/>
        <v>TN_FENTRESS COUNTY, TN</v>
      </c>
      <c r="D2081" s="265" t="s">
        <v>64</v>
      </c>
      <c r="E2081" s="266" t="s">
        <v>4827</v>
      </c>
      <c r="F2081" s="252">
        <f t="shared" si="101"/>
        <v>41950</v>
      </c>
      <c r="G2081" s="252">
        <f t="shared" si="101"/>
        <v>47950</v>
      </c>
      <c r="H2081" s="252">
        <f t="shared" si="101"/>
        <v>53950</v>
      </c>
      <c r="I2081" s="252">
        <f t="shared" si="101"/>
        <v>59900</v>
      </c>
      <c r="J2081" s="252">
        <f t="shared" si="101"/>
        <v>64700</v>
      </c>
      <c r="K2081" s="252">
        <f t="shared" si="101"/>
        <v>69500</v>
      </c>
      <c r="L2081" s="252">
        <f t="shared" si="101"/>
        <v>74300</v>
      </c>
      <c r="M2081" s="252">
        <f t="shared" si="101"/>
        <v>79100</v>
      </c>
    </row>
    <row r="2082" spans="1:13" ht="21.95" customHeight="1" x14ac:dyDescent="0.25">
      <c r="A2082" s="36" t="s">
        <v>2904</v>
      </c>
      <c r="B2082" s="36" t="str">
        <f t="shared" si="100"/>
        <v>TN_FRANKLIN COUNTY, TN</v>
      </c>
      <c r="D2082" s="265" t="s">
        <v>64</v>
      </c>
      <c r="E2082" s="266" t="s">
        <v>4828</v>
      </c>
      <c r="F2082" s="252">
        <f t="shared" si="101"/>
        <v>46500</v>
      </c>
      <c r="G2082" s="252">
        <f t="shared" ref="F2082:M2113" si="102">VLOOKUP($B2082,LOOKUP_AMI_TABLE,5+((G$7-1)),FALSE)</f>
        <v>53150</v>
      </c>
      <c r="H2082" s="252">
        <f t="shared" si="102"/>
        <v>59800</v>
      </c>
      <c r="I2082" s="252">
        <f t="shared" si="102"/>
        <v>66400</v>
      </c>
      <c r="J2082" s="252">
        <f t="shared" si="102"/>
        <v>71750</v>
      </c>
      <c r="K2082" s="252">
        <f t="shared" si="102"/>
        <v>77050</v>
      </c>
      <c r="L2082" s="252">
        <f t="shared" si="102"/>
        <v>82350</v>
      </c>
      <c r="M2082" s="252">
        <f t="shared" si="102"/>
        <v>87650</v>
      </c>
    </row>
    <row r="2083" spans="1:13" ht="21.95" customHeight="1" x14ac:dyDescent="0.25">
      <c r="A2083" s="36" t="s">
        <v>2904</v>
      </c>
      <c r="B2083" s="36" t="str">
        <f t="shared" si="100"/>
        <v>TN_GIBSON COUNTY, TN HUD METRO FMR AREA</v>
      </c>
      <c r="D2083" s="265" t="s">
        <v>64</v>
      </c>
      <c r="E2083" s="266" t="s">
        <v>4829</v>
      </c>
      <c r="F2083" s="252">
        <f t="shared" si="102"/>
        <v>43150</v>
      </c>
      <c r="G2083" s="252">
        <f t="shared" si="102"/>
        <v>49300</v>
      </c>
      <c r="H2083" s="252">
        <f t="shared" si="102"/>
        <v>55450</v>
      </c>
      <c r="I2083" s="252">
        <f t="shared" si="102"/>
        <v>61600</v>
      </c>
      <c r="J2083" s="252">
        <f t="shared" si="102"/>
        <v>66550</v>
      </c>
      <c r="K2083" s="252">
        <f t="shared" si="102"/>
        <v>71500</v>
      </c>
      <c r="L2083" s="252">
        <f t="shared" si="102"/>
        <v>76400</v>
      </c>
      <c r="M2083" s="252">
        <f t="shared" si="102"/>
        <v>81350</v>
      </c>
    </row>
    <row r="2084" spans="1:13" ht="21.95" customHeight="1" x14ac:dyDescent="0.25">
      <c r="A2084" s="36" t="s">
        <v>2904</v>
      </c>
      <c r="B2084" s="36" t="str">
        <f t="shared" si="100"/>
        <v>TN_GILES COUNTY, TN</v>
      </c>
      <c r="D2084" s="265" t="s">
        <v>64</v>
      </c>
      <c r="E2084" s="266" t="s">
        <v>4830</v>
      </c>
      <c r="F2084" s="252">
        <f t="shared" si="102"/>
        <v>47850</v>
      </c>
      <c r="G2084" s="252">
        <f t="shared" si="102"/>
        <v>54650</v>
      </c>
      <c r="H2084" s="252">
        <f t="shared" si="102"/>
        <v>61500</v>
      </c>
      <c r="I2084" s="252">
        <f t="shared" si="102"/>
        <v>68300</v>
      </c>
      <c r="J2084" s="252">
        <f t="shared" si="102"/>
        <v>73800</v>
      </c>
      <c r="K2084" s="252">
        <f t="shared" si="102"/>
        <v>79250</v>
      </c>
      <c r="L2084" s="252">
        <f t="shared" si="102"/>
        <v>84700</v>
      </c>
      <c r="M2084" s="252">
        <f t="shared" si="102"/>
        <v>90200</v>
      </c>
    </row>
    <row r="2085" spans="1:13" ht="21.95" customHeight="1" x14ac:dyDescent="0.25">
      <c r="A2085" s="36" t="s">
        <v>2904</v>
      </c>
      <c r="B2085" s="36" t="str">
        <f t="shared" si="100"/>
        <v>TN_GRAINGER COUNTY, TN HUD METRO FMR AREA</v>
      </c>
      <c r="D2085" s="265" t="s">
        <v>64</v>
      </c>
      <c r="E2085" s="266" t="s">
        <v>4831</v>
      </c>
      <c r="F2085" s="252">
        <f t="shared" si="102"/>
        <v>41950</v>
      </c>
      <c r="G2085" s="252">
        <f t="shared" si="102"/>
        <v>47950</v>
      </c>
      <c r="H2085" s="252">
        <f t="shared" si="102"/>
        <v>53950</v>
      </c>
      <c r="I2085" s="252">
        <f t="shared" si="102"/>
        <v>59900</v>
      </c>
      <c r="J2085" s="252">
        <f t="shared" si="102"/>
        <v>64700</v>
      </c>
      <c r="K2085" s="252">
        <f t="shared" si="102"/>
        <v>69500</v>
      </c>
      <c r="L2085" s="252">
        <f t="shared" si="102"/>
        <v>74300</v>
      </c>
      <c r="M2085" s="252">
        <f t="shared" si="102"/>
        <v>79100</v>
      </c>
    </row>
    <row r="2086" spans="1:13" ht="21.95" customHeight="1" x14ac:dyDescent="0.25">
      <c r="A2086" s="36" t="s">
        <v>2904</v>
      </c>
      <c r="B2086" s="36" t="str">
        <f t="shared" si="100"/>
        <v>TN_GREENE COUNTY, TN</v>
      </c>
      <c r="D2086" s="265" t="s">
        <v>64</v>
      </c>
      <c r="E2086" s="266" t="s">
        <v>4832</v>
      </c>
      <c r="F2086" s="252">
        <f t="shared" si="102"/>
        <v>41950</v>
      </c>
      <c r="G2086" s="252">
        <f t="shared" si="102"/>
        <v>47950</v>
      </c>
      <c r="H2086" s="252">
        <f t="shared" si="102"/>
        <v>53950</v>
      </c>
      <c r="I2086" s="252">
        <f t="shared" si="102"/>
        <v>59900</v>
      </c>
      <c r="J2086" s="252">
        <f t="shared" si="102"/>
        <v>64700</v>
      </c>
      <c r="K2086" s="252">
        <f t="shared" si="102"/>
        <v>69500</v>
      </c>
      <c r="L2086" s="252">
        <f t="shared" si="102"/>
        <v>74300</v>
      </c>
      <c r="M2086" s="252">
        <f t="shared" si="102"/>
        <v>79100</v>
      </c>
    </row>
    <row r="2087" spans="1:13" ht="21.95" customHeight="1" x14ac:dyDescent="0.25">
      <c r="A2087" s="36" t="s">
        <v>2904</v>
      </c>
      <c r="B2087" s="36" t="str">
        <f t="shared" si="100"/>
        <v>TN_GRUNDY COUNTY, TN</v>
      </c>
      <c r="D2087" s="265" t="s">
        <v>64</v>
      </c>
      <c r="E2087" s="266" t="s">
        <v>4833</v>
      </c>
      <c r="F2087" s="252">
        <f t="shared" si="102"/>
        <v>41950</v>
      </c>
      <c r="G2087" s="252">
        <f t="shared" si="102"/>
        <v>47950</v>
      </c>
      <c r="H2087" s="252">
        <f t="shared" si="102"/>
        <v>53950</v>
      </c>
      <c r="I2087" s="252">
        <f t="shared" si="102"/>
        <v>59900</v>
      </c>
      <c r="J2087" s="252">
        <f t="shared" si="102"/>
        <v>64700</v>
      </c>
      <c r="K2087" s="252">
        <f t="shared" si="102"/>
        <v>69500</v>
      </c>
      <c r="L2087" s="252">
        <f t="shared" si="102"/>
        <v>74300</v>
      </c>
      <c r="M2087" s="252">
        <f t="shared" si="102"/>
        <v>79100</v>
      </c>
    </row>
    <row r="2088" spans="1:13" ht="21.95" customHeight="1" x14ac:dyDescent="0.25">
      <c r="A2088" s="36" t="s">
        <v>2904</v>
      </c>
      <c r="B2088" s="36" t="str">
        <f t="shared" si="100"/>
        <v>TN_HANCOCK COUNTY, TN</v>
      </c>
      <c r="D2088" s="265" t="s">
        <v>64</v>
      </c>
      <c r="E2088" s="266" t="s">
        <v>4834</v>
      </c>
      <c r="F2088" s="252">
        <f t="shared" si="102"/>
        <v>41950</v>
      </c>
      <c r="G2088" s="252">
        <f t="shared" si="102"/>
        <v>47950</v>
      </c>
      <c r="H2088" s="252">
        <f t="shared" si="102"/>
        <v>53950</v>
      </c>
      <c r="I2088" s="252">
        <f t="shared" si="102"/>
        <v>59900</v>
      </c>
      <c r="J2088" s="252">
        <f t="shared" si="102"/>
        <v>64700</v>
      </c>
      <c r="K2088" s="252">
        <f t="shared" si="102"/>
        <v>69500</v>
      </c>
      <c r="L2088" s="252">
        <f t="shared" si="102"/>
        <v>74300</v>
      </c>
      <c r="M2088" s="252">
        <f t="shared" si="102"/>
        <v>79100</v>
      </c>
    </row>
    <row r="2089" spans="1:13" ht="21.95" customHeight="1" x14ac:dyDescent="0.25">
      <c r="A2089" s="36" t="s">
        <v>2904</v>
      </c>
      <c r="B2089" s="36" t="str">
        <f t="shared" si="100"/>
        <v>TN_HARDEMAN COUNTY, TN</v>
      </c>
      <c r="D2089" s="265" t="s">
        <v>64</v>
      </c>
      <c r="E2089" s="266" t="s">
        <v>4835</v>
      </c>
      <c r="F2089" s="252">
        <f t="shared" si="102"/>
        <v>41950</v>
      </c>
      <c r="G2089" s="252">
        <f t="shared" si="102"/>
        <v>47950</v>
      </c>
      <c r="H2089" s="252">
        <f t="shared" si="102"/>
        <v>53950</v>
      </c>
      <c r="I2089" s="252">
        <f t="shared" si="102"/>
        <v>59900</v>
      </c>
      <c r="J2089" s="252">
        <f t="shared" si="102"/>
        <v>64700</v>
      </c>
      <c r="K2089" s="252">
        <f t="shared" si="102"/>
        <v>69500</v>
      </c>
      <c r="L2089" s="252">
        <f t="shared" si="102"/>
        <v>74300</v>
      </c>
      <c r="M2089" s="252">
        <f t="shared" si="102"/>
        <v>79100</v>
      </c>
    </row>
    <row r="2090" spans="1:13" ht="21.95" customHeight="1" x14ac:dyDescent="0.25">
      <c r="A2090" s="36" t="s">
        <v>2904</v>
      </c>
      <c r="B2090" s="36" t="str">
        <f t="shared" si="100"/>
        <v>TN_HARDIN COUNTY, TN</v>
      </c>
      <c r="D2090" s="265" t="s">
        <v>64</v>
      </c>
      <c r="E2090" s="266" t="s">
        <v>4836</v>
      </c>
      <c r="F2090" s="252">
        <f t="shared" si="102"/>
        <v>41950</v>
      </c>
      <c r="G2090" s="252">
        <f t="shared" si="102"/>
        <v>47950</v>
      </c>
      <c r="H2090" s="252">
        <f t="shared" si="102"/>
        <v>53950</v>
      </c>
      <c r="I2090" s="252">
        <f t="shared" si="102"/>
        <v>59900</v>
      </c>
      <c r="J2090" s="252">
        <f t="shared" si="102"/>
        <v>64700</v>
      </c>
      <c r="K2090" s="252">
        <f t="shared" si="102"/>
        <v>69500</v>
      </c>
      <c r="L2090" s="252">
        <f t="shared" si="102"/>
        <v>74300</v>
      </c>
      <c r="M2090" s="252">
        <f t="shared" si="102"/>
        <v>79100</v>
      </c>
    </row>
    <row r="2091" spans="1:13" ht="21.95" customHeight="1" x14ac:dyDescent="0.25">
      <c r="A2091" s="36" t="s">
        <v>2904</v>
      </c>
      <c r="B2091" s="36" t="str">
        <f t="shared" si="100"/>
        <v>TN_HAYWOOD COUNTY, TN</v>
      </c>
      <c r="D2091" s="265" t="s">
        <v>64</v>
      </c>
      <c r="E2091" s="266" t="s">
        <v>4837</v>
      </c>
      <c r="F2091" s="252">
        <f t="shared" si="102"/>
        <v>41950</v>
      </c>
      <c r="G2091" s="252">
        <f t="shared" si="102"/>
        <v>47950</v>
      </c>
      <c r="H2091" s="252">
        <f t="shared" si="102"/>
        <v>53950</v>
      </c>
      <c r="I2091" s="252">
        <f t="shared" si="102"/>
        <v>59900</v>
      </c>
      <c r="J2091" s="252">
        <f t="shared" si="102"/>
        <v>64700</v>
      </c>
      <c r="K2091" s="252">
        <f t="shared" si="102"/>
        <v>69500</v>
      </c>
      <c r="L2091" s="252">
        <f t="shared" si="102"/>
        <v>74300</v>
      </c>
      <c r="M2091" s="252">
        <f t="shared" si="102"/>
        <v>79100</v>
      </c>
    </row>
    <row r="2092" spans="1:13" ht="21.95" customHeight="1" x14ac:dyDescent="0.25">
      <c r="A2092" s="36" t="s">
        <v>2904</v>
      </c>
      <c r="B2092" s="36" t="str">
        <f t="shared" si="100"/>
        <v>TN_HENDERSON COUNTY, TN</v>
      </c>
      <c r="D2092" s="265" t="s">
        <v>64</v>
      </c>
      <c r="E2092" s="266" t="s">
        <v>4838</v>
      </c>
      <c r="F2092" s="252">
        <f t="shared" si="102"/>
        <v>43400</v>
      </c>
      <c r="G2092" s="252">
        <f t="shared" si="102"/>
        <v>49600</v>
      </c>
      <c r="H2092" s="252">
        <f t="shared" si="102"/>
        <v>55800</v>
      </c>
      <c r="I2092" s="252">
        <f t="shared" si="102"/>
        <v>62000</v>
      </c>
      <c r="J2092" s="252">
        <f t="shared" si="102"/>
        <v>67000</v>
      </c>
      <c r="K2092" s="252">
        <f t="shared" si="102"/>
        <v>71950</v>
      </c>
      <c r="L2092" s="252">
        <f t="shared" si="102"/>
        <v>76900</v>
      </c>
      <c r="M2092" s="252">
        <f t="shared" si="102"/>
        <v>81850</v>
      </c>
    </row>
    <row r="2093" spans="1:13" ht="21.95" customHeight="1" x14ac:dyDescent="0.25">
      <c r="A2093" s="36" t="s">
        <v>2904</v>
      </c>
      <c r="B2093" s="36" t="str">
        <f t="shared" si="100"/>
        <v>TN_HENRY COUNTY, TN</v>
      </c>
      <c r="D2093" s="265" t="s">
        <v>64</v>
      </c>
      <c r="E2093" s="266" t="s">
        <v>4839</v>
      </c>
      <c r="F2093" s="252">
        <f t="shared" si="102"/>
        <v>41950</v>
      </c>
      <c r="G2093" s="252">
        <f t="shared" si="102"/>
        <v>47950</v>
      </c>
      <c r="H2093" s="252">
        <f t="shared" si="102"/>
        <v>53950</v>
      </c>
      <c r="I2093" s="252">
        <f t="shared" si="102"/>
        <v>59900</v>
      </c>
      <c r="J2093" s="252">
        <f t="shared" si="102"/>
        <v>64700</v>
      </c>
      <c r="K2093" s="252">
        <f t="shared" si="102"/>
        <v>69500</v>
      </c>
      <c r="L2093" s="252">
        <f t="shared" si="102"/>
        <v>74300</v>
      </c>
      <c r="M2093" s="252">
        <f t="shared" si="102"/>
        <v>79100</v>
      </c>
    </row>
    <row r="2094" spans="1:13" ht="21.95" customHeight="1" x14ac:dyDescent="0.25">
      <c r="A2094" s="36" t="s">
        <v>2904</v>
      </c>
      <c r="B2094" s="36" t="str">
        <f t="shared" si="100"/>
        <v>TN_HICKMAN COUNTY, TN HUD METRO FMR AREA</v>
      </c>
      <c r="D2094" s="265" t="s">
        <v>64</v>
      </c>
      <c r="E2094" s="266" t="s">
        <v>9259</v>
      </c>
      <c r="F2094" s="252">
        <f t="shared" si="102"/>
        <v>42200</v>
      </c>
      <c r="G2094" s="252">
        <f t="shared" si="102"/>
        <v>48200</v>
      </c>
      <c r="H2094" s="252">
        <f t="shared" si="102"/>
        <v>54250</v>
      </c>
      <c r="I2094" s="252">
        <f t="shared" si="102"/>
        <v>60250</v>
      </c>
      <c r="J2094" s="252">
        <f t="shared" si="102"/>
        <v>65100</v>
      </c>
      <c r="K2094" s="252">
        <f t="shared" si="102"/>
        <v>69900</v>
      </c>
      <c r="L2094" s="252">
        <f t="shared" si="102"/>
        <v>74750</v>
      </c>
      <c r="M2094" s="252">
        <f t="shared" si="102"/>
        <v>79550</v>
      </c>
    </row>
    <row r="2095" spans="1:13" ht="21.95" customHeight="1" x14ac:dyDescent="0.25">
      <c r="A2095" s="36" t="s">
        <v>2904</v>
      </c>
      <c r="B2095" s="36" t="str">
        <f t="shared" si="100"/>
        <v>TN_HOUSTON COUNTY, TN</v>
      </c>
      <c r="D2095" s="265" t="s">
        <v>64</v>
      </c>
      <c r="E2095" s="266" t="s">
        <v>4840</v>
      </c>
      <c r="F2095" s="252">
        <f t="shared" si="102"/>
        <v>43350</v>
      </c>
      <c r="G2095" s="252">
        <f t="shared" si="102"/>
        <v>49550</v>
      </c>
      <c r="H2095" s="252">
        <f t="shared" si="102"/>
        <v>55750</v>
      </c>
      <c r="I2095" s="252">
        <f t="shared" si="102"/>
        <v>61900</v>
      </c>
      <c r="J2095" s="252">
        <f t="shared" si="102"/>
        <v>66900</v>
      </c>
      <c r="K2095" s="252">
        <f t="shared" si="102"/>
        <v>71850</v>
      </c>
      <c r="L2095" s="252">
        <f t="shared" si="102"/>
        <v>76800</v>
      </c>
      <c r="M2095" s="252">
        <f t="shared" si="102"/>
        <v>81750</v>
      </c>
    </row>
    <row r="2096" spans="1:13" ht="21.95" customHeight="1" x14ac:dyDescent="0.25">
      <c r="A2096" s="36" t="s">
        <v>2904</v>
      </c>
      <c r="B2096" s="36" t="str">
        <f t="shared" si="100"/>
        <v>TN_HUMPHREYS COUNTY, TN</v>
      </c>
      <c r="D2096" s="265" t="s">
        <v>64</v>
      </c>
      <c r="E2096" s="266" t="s">
        <v>4841</v>
      </c>
      <c r="F2096" s="252">
        <f t="shared" si="102"/>
        <v>44900</v>
      </c>
      <c r="G2096" s="252">
        <f t="shared" si="102"/>
        <v>51300</v>
      </c>
      <c r="H2096" s="252">
        <f t="shared" si="102"/>
        <v>57700</v>
      </c>
      <c r="I2096" s="252">
        <f t="shared" si="102"/>
        <v>64100</v>
      </c>
      <c r="J2096" s="252">
        <f t="shared" si="102"/>
        <v>69250</v>
      </c>
      <c r="K2096" s="252">
        <f t="shared" si="102"/>
        <v>74400</v>
      </c>
      <c r="L2096" s="252">
        <f t="shared" si="102"/>
        <v>79500</v>
      </c>
      <c r="M2096" s="252">
        <f t="shared" si="102"/>
        <v>84650</v>
      </c>
    </row>
    <row r="2097" spans="1:13" ht="21.95" customHeight="1" x14ac:dyDescent="0.25">
      <c r="A2097" s="36" t="s">
        <v>2904</v>
      </c>
      <c r="B2097" s="36" t="str">
        <f t="shared" si="100"/>
        <v>TN_JACKSON COUNTY, TN</v>
      </c>
      <c r="D2097" s="265" t="s">
        <v>64</v>
      </c>
      <c r="E2097" s="266" t="s">
        <v>4842</v>
      </c>
      <c r="F2097" s="252">
        <f t="shared" si="102"/>
        <v>42150</v>
      </c>
      <c r="G2097" s="252">
        <f t="shared" si="102"/>
        <v>48150</v>
      </c>
      <c r="H2097" s="252">
        <f t="shared" si="102"/>
        <v>54150</v>
      </c>
      <c r="I2097" s="252">
        <f t="shared" si="102"/>
        <v>60150</v>
      </c>
      <c r="J2097" s="252">
        <f t="shared" si="102"/>
        <v>65000</v>
      </c>
      <c r="K2097" s="252">
        <f t="shared" si="102"/>
        <v>69800</v>
      </c>
      <c r="L2097" s="252">
        <f t="shared" si="102"/>
        <v>74600</v>
      </c>
      <c r="M2097" s="252">
        <f t="shared" si="102"/>
        <v>79400</v>
      </c>
    </row>
    <row r="2098" spans="1:13" ht="21.95" customHeight="1" x14ac:dyDescent="0.25">
      <c r="A2098" s="36" t="s">
        <v>2904</v>
      </c>
      <c r="B2098" s="36" t="str">
        <f t="shared" si="100"/>
        <v>TN_JACKSON, TN HUD METRO FMR AREA</v>
      </c>
      <c r="D2098" s="265" t="s">
        <v>64</v>
      </c>
      <c r="E2098" s="266" t="s">
        <v>4843</v>
      </c>
      <c r="F2098" s="252">
        <f t="shared" si="102"/>
        <v>46050</v>
      </c>
      <c r="G2098" s="252">
        <f t="shared" si="102"/>
        <v>52600</v>
      </c>
      <c r="H2098" s="252">
        <f t="shared" si="102"/>
        <v>59200</v>
      </c>
      <c r="I2098" s="252">
        <f t="shared" si="102"/>
        <v>65750</v>
      </c>
      <c r="J2098" s="252">
        <f t="shared" si="102"/>
        <v>71050</v>
      </c>
      <c r="K2098" s="252">
        <f t="shared" si="102"/>
        <v>76300</v>
      </c>
      <c r="L2098" s="252">
        <f t="shared" si="102"/>
        <v>81550</v>
      </c>
      <c r="M2098" s="252">
        <f t="shared" si="102"/>
        <v>86800</v>
      </c>
    </row>
    <row r="2099" spans="1:13" ht="21.95" customHeight="1" x14ac:dyDescent="0.25">
      <c r="A2099" s="36" t="s">
        <v>2904</v>
      </c>
      <c r="B2099" s="36" t="str">
        <f t="shared" si="100"/>
        <v>TN_JOHNSON CITY, TN MSA</v>
      </c>
      <c r="D2099" s="265" t="s">
        <v>64</v>
      </c>
      <c r="E2099" s="266" t="s">
        <v>4844</v>
      </c>
      <c r="F2099" s="252">
        <f t="shared" si="102"/>
        <v>47500</v>
      </c>
      <c r="G2099" s="252">
        <f t="shared" si="102"/>
        <v>54300</v>
      </c>
      <c r="H2099" s="252">
        <f t="shared" si="102"/>
        <v>61100</v>
      </c>
      <c r="I2099" s="252">
        <f t="shared" si="102"/>
        <v>67850</v>
      </c>
      <c r="J2099" s="252">
        <f t="shared" si="102"/>
        <v>73300</v>
      </c>
      <c r="K2099" s="252">
        <f t="shared" si="102"/>
        <v>78750</v>
      </c>
      <c r="L2099" s="252">
        <f t="shared" si="102"/>
        <v>84150</v>
      </c>
      <c r="M2099" s="252">
        <f t="shared" si="102"/>
        <v>89600</v>
      </c>
    </row>
    <row r="2100" spans="1:13" ht="21.95" customHeight="1" x14ac:dyDescent="0.25">
      <c r="A2100" s="36" t="s">
        <v>2904</v>
      </c>
      <c r="B2100" s="36" t="str">
        <f t="shared" si="100"/>
        <v>TN_JOHNSON COUNTY, TN</v>
      </c>
      <c r="D2100" s="265" t="s">
        <v>64</v>
      </c>
      <c r="E2100" s="266" t="s">
        <v>4845</v>
      </c>
      <c r="F2100" s="252">
        <f t="shared" si="102"/>
        <v>41950</v>
      </c>
      <c r="G2100" s="252">
        <f t="shared" si="102"/>
        <v>47950</v>
      </c>
      <c r="H2100" s="252">
        <f t="shared" si="102"/>
        <v>53950</v>
      </c>
      <c r="I2100" s="252">
        <f t="shared" si="102"/>
        <v>59900</v>
      </c>
      <c r="J2100" s="252">
        <f t="shared" si="102"/>
        <v>64700</v>
      </c>
      <c r="K2100" s="252">
        <f t="shared" si="102"/>
        <v>69500</v>
      </c>
      <c r="L2100" s="252">
        <f t="shared" si="102"/>
        <v>74300</v>
      </c>
      <c r="M2100" s="252">
        <f t="shared" si="102"/>
        <v>79100</v>
      </c>
    </row>
    <row r="2101" spans="1:13" ht="21.95" customHeight="1" x14ac:dyDescent="0.25">
      <c r="A2101" s="36" t="s">
        <v>2904</v>
      </c>
      <c r="B2101" s="36" t="str">
        <f t="shared" si="100"/>
        <v>TN_KINGSPORT-BRISTOL, TN-VA MSA</v>
      </c>
      <c r="D2101" s="265" t="s">
        <v>64</v>
      </c>
      <c r="E2101" s="266" t="s">
        <v>9258</v>
      </c>
      <c r="F2101" s="252">
        <f t="shared" si="102"/>
        <v>42950</v>
      </c>
      <c r="G2101" s="252">
        <f t="shared" si="102"/>
        <v>49100</v>
      </c>
      <c r="H2101" s="252">
        <f t="shared" si="102"/>
        <v>55250</v>
      </c>
      <c r="I2101" s="252">
        <f t="shared" si="102"/>
        <v>61350</v>
      </c>
      <c r="J2101" s="252">
        <f t="shared" si="102"/>
        <v>66300</v>
      </c>
      <c r="K2101" s="252">
        <f t="shared" si="102"/>
        <v>71200</v>
      </c>
      <c r="L2101" s="252">
        <f t="shared" si="102"/>
        <v>76100</v>
      </c>
      <c r="M2101" s="252">
        <f t="shared" si="102"/>
        <v>81000</v>
      </c>
    </row>
    <row r="2102" spans="1:13" ht="21.95" customHeight="1" x14ac:dyDescent="0.25">
      <c r="A2102" s="36" t="s">
        <v>2904</v>
      </c>
      <c r="B2102" s="36" t="str">
        <f t="shared" si="100"/>
        <v>TN_KNOXVILLE, TN HUD METRO FMR AREA</v>
      </c>
      <c r="D2102" s="265" t="s">
        <v>64</v>
      </c>
      <c r="E2102" s="266" t="s">
        <v>4846</v>
      </c>
      <c r="F2102" s="252">
        <f t="shared" si="102"/>
        <v>55650</v>
      </c>
      <c r="G2102" s="252">
        <f t="shared" si="102"/>
        <v>63600</v>
      </c>
      <c r="H2102" s="252">
        <f t="shared" si="102"/>
        <v>71550</v>
      </c>
      <c r="I2102" s="252">
        <f t="shared" si="102"/>
        <v>79500</v>
      </c>
      <c r="J2102" s="252">
        <f t="shared" si="102"/>
        <v>85900</v>
      </c>
      <c r="K2102" s="252">
        <f t="shared" si="102"/>
        <v>92250</v>
      </c>
      <c r="L2102" s="252">
        <f t="shared" si="102"/>
        <v>98600</v>
      </c>
      <c r="M2102" s="252">
        <f t="shared" si="102"/>
        <v>104950</v>
      </c>
    </row>
    <row r="2103" spans="1:13" ht="21.95" customHeight="1" x14ac:dyDescent="0.25">
      <c r="A2103" s="36" t="s">
        <v>2904</v>
      </c>
      <c r="B2103" s="36" t="str">
        <f t="shared" si="100"/>
        <v>TN_LAKE COUNTY, TN</v>
      </c>
      <c r="D2103" s="265" t="s">
        <v>64</v>
      </c>
      <c r="E2103" s="266" t="s">
        <v>4847</v>
      </c>
      <c r="F2103" s="252">
        <f t="shared" si="102"/>
        <v>41950</v>
      </c>
      <c r="G2103" s="252">
        <f t="shared" si="102"/>
        <v>47950</v>
      </c>
      <c r="H2103" s="252">
        <f t="shared" si="102"/>
        <v>53950</v>
      </c>
      <c r="I2103" s="252">
        <f t="shared" si="102"/>
        <v>59900</v>
      </c>
      <c r="J2103" s="252">
        <f t="shared" si="102"/>
        <v>64700</v>
      </c>
      <c r="K2103" s="252">
        <f t="shared" si="102"/>
        <v>69500</v>
      </c>
      <c r="L2103" s="252">
        <f t="shared" si="102"/>
        <v>74300</v>
      </c>
      <c r="M2103" s="252">
        <f t="shared" si="102"/>
        <v>79100</v>
      </c>
    </row>
    <row r="2104" spans="1:13" ht="21.95" customHeight="1" x14ac:dyDescent="0.25">
      <c r="A2104" s="36" t="s">
        <v>2904</v>
      </c>
      <c r="B2104" s="36" t="str">
        <f t="shared" si="100"/>
        <v>TN_LAUDERDALE COUNTY, TN</v>
      </c>
      <c r="D2104" s="265" t="s">
        <v>64</v>
      </c>
      <c r="E2104" s="266" t="s">
        <v>4848</v>
      </c>
      <c r="F2104" s="252">
        <f t="shared" si="102"/>
        <v>41950</v>
      </c>
      <c r="G2104" s="252">
        <f t="shared" si="102"/>
        <v>47950</v>
      </c>
      <c r="H2104" s="252">
        <f t="shared" si="102"/>
        <v>53950</v>
      </c>
      <c r="I2104" s="252">
        <f t="shared" si="102"/>
        <v>59900</v>
      </c>
      <c r="J2104" s="252">
        <f t="shared" si="102"/>
        <v>64700</v>
      </c>
      <c r="K2104" s="252">
        <f t="shared" si="102"/>
        <v>69500</v>
      </c>
      <c r="L2104" s="252">
        <f t="shared" si="102"/>
        <v>74300</v>
      </c>
      <c r="M2104" s="252">
        <f t="shared" si="102"/>
        <v>79100</v>
      </c>
    </row>
    <row r="2105" spans="1:13" ht="21.95" customHeight="1" x14ac:dyDescent="0.25">
      <c r="A2105" s="36" t="s">
        <v>2904</v>
      </c>
      <c r="B2105" s="36" t="str">
        <f t="shared" si="100"/>
        <v>TN_LAWRENCE COUNTY, TN</v>
      </c>
      <c r="D2105" s="265" t="s">
        <v>64</v>
      </c>
      <c r="E2105" s="266" t="s">
        <v>4849</v>
      </c>
      <c r="F2105" s="252">
        <f t="shared" si="102"/>
        <v>42350</v>
      </c>
      <c r="G2105" s="252">
        <f t="shared" si="102"/>
        <v>48400</v>
      </c>
      <c r="H2105" s="252">
        <f t="shared" si="102"/>
        <v>54450</v>
      </c>
      <c r="I2105" s="252">
        <f t="shared" si="102"/>
        <v>60500</v>
      </c>
      <c r="J2105" s="252">
        <f t="shared" si="102"/>
        <v>65350</v>
      </c>
      <c r="K2105" s="252">
        <f t="shared" si="102"/>
        <v>70200</v>
      </c>
      <c r="L2105" s="252">
        <f t="shared" si="102"/>
        <v>75050</v>
      </c>
      <c r="M2105" s="252">
        <f t="shared" si="102"/>
        <v>79900</v>
      </c>
    </row>
    <row r="2106" spans="1:13" ht="21.95" customHeight="1" x14ac:dyDescent="0.25">
      <c r="A2106" s="36" t="s">
        <v>2904</v>
      </c>
      <c r="B2106" s="36" t="str">
        <f t="shared" si="100"/>
        <v>TN_LEWIS COUNTY, TN</v>
      </c>
      <c r="D2106" s="265" t="s">
        <v>64</v>
      </c>
      <c r="E2106" s="266" t="s">
        <v>4850</v>
      </c>
      <c r="F2106" s="252">
        <f t="shared" si="102"/>
        <v>41950</v>
      </c>
      <c r="G2106" s="252">
        <f t="shared" si="102"/>
        <v>47950</v>
      </c>
      <c r="H2106" s="252">
        <f t="shared" si="102"/>
        <v>53950</v>
      </c>
      <c r="I2106" s="252">
        <f t="shared" si="102"/>
        <v>59900</v>
      </c>
      <c r="J2106" s="252">
        <f t="shared" si="102"/>
        <v>64700</v>
      </c>
      <c r="K2106" s="252">
        <f t="shared" si="102"/>
        <v>69500</v>
      </c>
      <c r="L2106" s="252">
        <f t="shared" si="102"/>
        <v>74300</v>
      </c>
      <c r="M2106" s="252">
        <f t="shared" si="102"/>
        <v>79100</v>
      </c>
    </row>
    <row r="2107" spans="1:13" ht="21.95" customHeight="1" x14ac:dyDescent="0.25">
      <c r="A2107" s="36" t="s">
        <v>2904</v>
      </c>
      <c r="B2107" s="36" t="str">
        <f t="shared" si="100"/>
        <v>TN_LINCOLN COUNTY, TN</v>
      </c>
      <c r="D2107" s="265" t="s">
        <v>64</v>
      </c>
      <c r="E2107" s="266" t="s">
        <v>4851</v>
      </c>
      <c r="F2107" s="252">
        <f t="shared" si="102"/>
        <v>45750</v>
      </c>
      <c r="G2107" s="252">
        <f t="shared" si="102"/>
        <v>52300</v>
      </c>
      <c r="H2107" s="252">
        <f t="shared" si="102"/>
        <v>58850</v>
      </c>
      <c r="I2107" s="252">
        <f t="shared" si="102"/>
        <v>65350</v>
      </c>
      <c r="J2107" s="252">
        <f t="shared" si="102"/>
        <v>70600</v>
      </c>
      <c r="K2107" s="252">
        <f t="shared" si="102"/>
        <v>75850</v>
      </c>
      <c r="L2107" s="252">
        <f t="shared" si="102"/>
        <v>81050</v>
      </c>
      <c r="M2107" s="252">
        <f t="shared" si="102"/>
        <v>86300</v>
      </c>
    </row>
    <row r="2108" spans="1:13" ht="21.95" customHeight="1" x14ac:dyDescent="0.25">
      <c r="A2108" s="36" t="s">
        <v>2904</v>
      </c>
      <c r="B2108" s="36" t="str">
        <f t="shared" ref="B2108:B2171" si="103">UPPER(TRIM(D2108)&amp;"_"&amp;TRIM(E2108))</f>
        <v>TN_MACON COUNTY, TN HUD METRO FMR AREA</v>
      </c>
      <c r="D2108" s="265" t="s">
        <v>64</v>
      </c>
      <c r="E2108" s="266" t="s">
        <v>4852</v>
      </c>
      <c r="F2108" s="252">
        <f t="shared" si="102"/>
        <v>43500</v>
      </c>
      <c r="G2108" s="252">
        <f t="shared" si="102"/>
        <v>49700</v>
      </c>
      <c r="H2108" s="252">
        <f t="shared" si="102"/>
        <v>55900</v>
      </c>
      <c r="I2108" s="252">
        <f t="shared" si="102"/>
        <v>62100</v>
      </c>
      <c r="J2108" s="252">
        <f t="shared" si="102"/>
        <v>67100</v>
      </c>
      <c r="K2108" s="252">
        <f t="shared" si="102"/>
        <v>72050</v>
      </c>
      <c r="L2108" s="252">
        <f t="shared" si="102"/>
        <v>77050</v>
      </c>
      <c r="M2108" s="252">
        <f t="shared" si="102"/>
        <v>82000</v>
      </c>
    </row>
    <row r="2109" spans="1:13" ht="21.95" customHeight="1" x14ac:dyDescent="0.25">
      <c r="A2109" s="36" t="s">
        <v>2904</v>
      </c>
      <c r="B2109" s="36" t="str">
        <f t="shared" si="103"/>
        <v>TN_MARSHALL COUNTY, TN</v>
      </c>
      <c r="D2109" s="265" t="s">
        <v>64</v>
      </c>
      <c r="E2109" s="266" t="s">
        <v>4853</v>
      </c>
      <c r="F2109" s="252">
        <f t="shared" si="102"/>
        <v>47100</v>
      </c>
      <c r="G2109" s="252">
        <f t="shared" si="102"/>
        <v>53800</v>
      </c>
      <c r="H2109" s="252">
        <f t="shared" si="102"/>
        <v>60550</v>
      </c>
      <c r="I2109" s="252">
        <f t="shared" si="102"/>
        <v>67250</v>
      </c>
      <c r="J2109" s="252">
        <f t="shared" si="102"/>
        <v>72650</v>
      </c>
      <c r="K2109" s="252">
        <f t="shared" si="102"/>
        <v>78050</v>
      </c>
      <c r="L2109" s="252">
        <f t="shared" si="102"/>
        <v>83400</v>
      </c>
      <c r="M2109" s="252">
        <f t="shared" si="102"/>
        <v>88800</v>
      </c>
    </row>
    <row r="2110" spans="1:13" ht="21.95" customHeight="1" x14ac:dyDescent="0.25">
      <c r="A2110" s="36" t="s">
        <v>2904</v>
      </c>
      <c r="B2110" s="36" t="str">
        <f t="shared" si="103"/>
        <v>TN_MAURY COUNTY, TN HUD METRO FMR AREA</v>
      </c>
      <c r="D2110" s="265" t="s">
        <v>64</v>
      </c>
      <c r="E2110" s="266" t="s">
        <v>4854</v>
      </c>
      <c r="F2110" s="252">
        <f t="shared" si="102"/>
        <v>52750</v>
      </c>
      <c r="G2110" s="252">
        <f t="shared" si="102"/>
        <v>60300</v>
      </c>
      <c r="H2110" s="252">
        <f t="shared" si="102"/>
        <v>67850</v>
      </c>
      <c r="I2110" s="252">
        <f t="shared" si="102"/>
        <v>75350</v>
      </c>
      <c r="J2110" s="252">
        <f t="shared" si="102"/>
        <v>81400</v>
      </c>
      <c r="K2110" s="252">
        <f t="shared" si="102"/>
        <v>87450</v>
      </c>
      <c r="L2110" s="252">
        <f t="shared" si="102"/>
        <v>93450</v>
      </c>
      <c r="M2110" s="252">
        <f t="shared" si="102"/>
        <v>99500</v>
      </c>
    </row>
    <row r="2111" spans="1:13" ht="21.95" customHeight="1" x14ac:dyDescent="0.25">
      <c r="A2111" s="36" t="s">
        <v>2904</v>
      </c>
      <c r="B2111" s="36" t="str">
        <f t="shared" si="103"/>
        <v>TN_MCMINN COUNTY, TN</v>
      </c>
      <c r="D2111" s="265" t="s">
        <v>64</v>
      </c>
      <c r="E2111" s="266" t="s">
        <v>4855</v>
      </c>
      <c r="F2111" s="252">
        <f t="shared" si="102"/>
        <v>43600</v>
      </c>
      <c r="G2111" s="252">
        <f t="shared" si="102"/>
        <v>49800</v>
      </c>
      <c r="H2111" s="252">
        <f t="shared" si="102"/>
        <v>56050</v>
      </c>
      <c r="I2111" s="252">
        <f t="shared" si="102"/>
        <v>62250</v>
      </c>
      <c r="J2111" s="252">
        <f t="shared" si="102"/>
        <v>67250</v>
      </c>
      <c r="K2111" s="252">
        <f t="shared" si="102"/>
        <v>72250</v>
      </c>
      <c r="L2111" s="252">
        <f t="shared" si="102"/>
        <v>77200</v>
      </c>
      <c r="M2111" s="252">
        <f t="shared" si="102"/>
        <v>82200</v>
      </c>
    </row>
    <row r="2112" spans="1:13" ht="21.95" customHeight="1" x14ac:dyDescent="0.25">
      <c r="A2112" s="36" t="s">
        <v>2904</v>
      </c>
      <c r="B2112" s="36" t="str">
        <f t="shared" si="103"/>
        <v>TN_MCNAIRY COUNTY, TN</v>
      </c>
      <c r="D2112" s="265" t="s">
        <v>64</v>
      </c>
      <c r="E2112" s="266" t="s">
        <v>4856</v>
      </c>
      <c r="F2112" s="252">
        <f t="shared" si="102"/>
        <v>41950</v>
      </c>
      <c r="G2112" s="252">
        <f t="shared" si="102"/>
        <v>47950</v>
      </c>
      <c r="H2112" s="252">
        <f t="shared" si="102"/>
        <v>53950</v>
      </c>
      <c r="I2112" s="252">
        <f t="shared" si="102"/>
        <v>59900</v>
      </c>
      <c r="J2112" s="252">
        <f t="shared" si="102"/>
        <v>64700</v>
      </c>
      <c r="K2112" s="252">
        <f t="shared" si="102"/>
        <v>69500</v>
      </c>
      <c r="L2112" s="252">
        <f t="shared" si="102"/>
        <v>74300</v>
      </c>
      <c r="M2112" s="252">
        <f t="shared" si="102"/>
        <v>79100</v>
      </c>
    </row>
    <row r="2113" spans="1:13" ht="21.95" customHeight="1" x14ac:dyDescent="0.25">
      <c r="A2113" s="36" t="s">
        <v>2904</v>
      </c>
      <c r="B2113" s="36" t="str">
        <f t="shared" si="103"/>
        <v>TN_MEIGS COUNTY, TN</v>
      </c>
      <c r="D2113" s="265" t="s">
        <v>64</v>
      </c>
      <c r="E2113" s="266" t="s">
        <v>4857</v>
      </c>
      <c r="F2113" s="252">
        <f t="shared" si="102"/>
        <v>43700</v>
      </c>
      <c r="G2113" s="252">
        <f t="shared" si="102"/>
        <v>49950</v>
      </c>
      <c r="H2113" s="252">
        <f t="shared" si="102"/>
        <v>56200</v>
      </c>
      <c r="I2113" s="252">
        <f t="shared" si="102"/>
        <v>62400</v>
      </c>
      <c r="J2113" s="252">
        <f t="shared" si="102"/>
        <v>67400</v>
      </c>
      <c r="K2113" s="252">
        <f t="shared" si="102"/>
        <v>72400</v>
      </c>
      <c r="L2113" s="252">
        <f t="shared" si="102"/>
        <v>77400</v>
      </c>
      <c r="M2113" s="252">
        <f t="shared" si="102"/>
        <v>82400</v>
      </c>
    </row>
    <row r="2114" spans="1:13" ht="21.95" customHeight="1" x14ac:dyDescent="0.25">
      <c r="A2114" s="36" t="s">
        <v>2904</v>
      </c>
      <c r="B2114" s="36" t="str">
        <f t="shared" si="103"/>
        <v>TN_MEMPHIS, TN-MS-AR HUD METRO FMR AREA</v>
      </c>
      <c r="D2114" s="265" t="s">
        <v>64</v>
      </c>
      <c r="E2114" s="266" t="s">
        <v>3074</v>
      </c>
      <c r="F2114" s="252">
        <f t="shared" ref="F2114:M2145" si="104">VLOOKUP($B2114,LOOKUP_AMI_TABLE,5+((F$7-1)),FALSE)</f>
        <v>51050</v>
      </c>
      <c r="G2114" s="252">
        <f t="shared" si="104"/>
        <v>58350</v>
      </c>
      <c r="H2114" s="252">
        <f t="shared" si="104"/>
        <v>65650</v>
      </c>
      <c r="I2114" s="252">
        <f t="shared" si="104"/>
        <v>72900</v>
      </c>
      <c r="J2114" s="252">
        <f t="shared" si="104"/>
        <v>78750</v>
      </c>
      <c r="K2114" s="252">
        <f t="shared" si="104"/>
        <v>84600</v>
      </c>
      <c r="L2114" s="252">
        <f t="shared" si="104"/>
        <v>90400</v>
      </c>
      <c r="M2114" s="252">
        <f t="shared" si="104"/>
        <v>96250</v>
      </c>
    </row>
    <row r="2115" spans="1:13" ht="21.95" customHeight="1" x14ac:dyDescent="0.25">
      <c r="A2115" s="36" t="s">
        <v>2904</v>
      </c>
      <c r="B2115" s="36" t="str">
        <f t="shared" si="103"/>
        <v>TN_MONROE COUNTY, TN</v>
      </c>
      <c r="D2115" s="265" t="s">
        <v>64</v>
      </c>
      <c r="E2115" s="266" t="s">
        <v>4858</v>
      </c>
      <c r="F2115" s="252">
        <f t="shared" si="104"/>
        <v>44600</v>
      </c>
      <c r="G2115" s="252">
        <f t="shared" si="104"/>
        <v>50950</v>
      </c>
      <c r="H2115" s="252">
        <f t="shared" si="104"/>
        <v>57300</v>
      </c>
      <c r="I2115" s="252">
        <f t="shared" si="104"/>
        <v>63650</v>
      </c>
      <c r="J2115" s="252">
        <f t="shared" si="104"/>
        <v>68750</v>
      </c>
      <c r="K2115" s="252">
        <f t="shared" si="104"/>
        <v>73850</v>
      </c>
      <c r="L2115" s="252">
        <f t="shared" si="104"/>
        <v>78950</v>
      </c>
      <c r="M2115" s="252">
        <f t="shared" si="104"/>
        <v>84050</v>
      </c>
    </row>
    <row r="2116" spans="1:13" ht="21.95" customHeight="1" x14ac:dyDescent="0.25">
      <c r="A2116" s="36" t="s">
        <v>2904</v>
      </c>
      <c r="B2116" s="36" t="str">
        <f t="shared" si="103"/>
        <v>TN_MOORE COUNTY, TN</v>
      </c>
      <c r="D2116" s="265" t="s">
        <v>64</v>
      </c>
      <c r="E2116" s="266" t="s">
        <v>4859</v>
      </c>
      <c r="F2116" s="252">
        <f t="shared" si="104"/>
        <v>50600</v>
      </c>
      <c r="G2116" s="252">
        <f t="shared" si="104"/>
        <v>57800</v>
      </c>
      <c r="H2116" s="252">
        <f t="shared" si="104"/>
        <v>65050</v>
      </c>
      <c r="I2116" s="252">
        <f t="shared" si="104"/>
        <v>72250</v>
      </c>
      <c r="J2116" s="252">
        <f t="shared" si="104"/>
        <v>78050</v>
      </c>
      <c r="K2116" s="252">
        <f t="shared" si="104"/>
        <v>83850</v>
      </c>
      <c r="L2116" s="252">
        <f t="shared" si="104"/>
        <v>89600</v>
      </c>
      <c r="M2116" s="252">
        <f t="shared" si="104"/>
        <v>95400</v>
      </c>
    </row>
    <row r="2117" spans="1:13" ht="21.95" customHeight="1" x14ac:dyDescent="0.25">
      <c r="A2117" s="36" t="s">
        <v>2904</v>
      </c>
      <c r="B2117" s="36" t="str">
        <f t="shared" si="103"/>
        <v>TN_MORGAN COUNTY, TN HUD METRO FMR AREA</v>
      </c>
      <c r="D2117" s="265" t="s">
        <v>64</v>
      </c>
      <c r="E2117" s="266" t="s">
        <v>4860</v>
      </c>
      <c r="F2117" s="252">
        <f t="shared" si="104"/>
        <v>43150</v>
      </c>
      <c r="G2117" s="252">
        <f t="shared" si="104"/>
        <v>49300</v>
      </c>
      <c r="H2117" s="252">
        <f t="shared" si="104"/>
        <v>55450</v>
      </c>
      <c r="I2117" s="252">
        <f t="shared" si="104"/>
        <v>61600</v>
      </c>
      <c r="J2117" s="252">
        <f t="shared" si="104"/>
        <v>66550</v>
      </c>
      <c r="K2117" s="252">
        <f t="shared" si="104"/>
        <v>71500</v>
      </c>
      <c r="L2117" s="252">
        <f t="shared" si="104"/>
        <v>76400</v>
      </c>
      <c r="M2117" s="252">
        <f t="shared" si="104"/>
        <v>81350</v>
      </c>
    </row>
    <row r="2118" spans="1:13" ht="21.95" customHeight="1" x14ac:dyDescent="0.25">
      <c r="A2118" s="36" t="s">
        <v>2904</v>
      </c>
      <c r="B2118" s="36" t="str">
        <f t="shared" si="103"/>
        <v>TN_MORRISTOWN, TN HUD METRO FMR AREA</v>
      </c>
      <c r="D2118" s="265" t="s">
        <v>64</v>
      </c>
      <c r="E2118" s="266" t="s">
        <v>4861</v>
      </c>
      <c r="F2118" s="252">
        <f t="shared" si="104"/>
        <v>42350</v>
      </c>
      <c r="G2118" s="252">
        <f t="shared" si="104"/>
        <v>48400</v>
      </c>
      <c r="H2118" s="252">
        <f t="shared" si="104"/>
        <v>54450</v>
      </c>
      <c r="I2118" s="252">
        <f t="shared" si="104"/>
        <v>60500</v>
      </c>
      <c r="J2118" s="252">
        <f t="shared" si="104"/>
        <v>65350</v>
      </c>
      <c r="K2118" s="252">
        <f t="shared" si="104"/>
        <v>70200</v>
      </c>
      <c r="L2118" s="252">
        <f t="shared" si="104"/>
        <v>75050</v>
      </c>
      <c r="M2118" s="252">
        <f t="shared" si="104"/>
        <v>79900</v>
      </c>
    </row>
    <row r="2119" spans="1:13" ht="21.95" customHeight="1" x14ac:dyDescent="0.25">
      <c r="A2119" s="36" t="s">
        <v>2904</v>
      </c>
      <c r="B2119" s="36" t="str">
        <f t="shared" si="103"/>
        <v>TN_NASHVILLE-DAVIDSON--MURFREESBORO--FRANKLIN, TN HUD METRO FMR AREA</v>
      </c>
      <c r="D2119" s="265" t="s">
        <v>64</v>
      </c>
      <c r="E2119" s="266" t="s">
        <v>4862</v>
      </c>
      <c r="F2119" s="252">
        <f t="shared" si="104"/>
        <v>64300</v>
      </c>
      <c r="G2119" s="252">
        <f t="shared" si="104"/>
        <v>73500</v>
      </c>
      <c r="H2119" s="252">
        <f t="shared" si="104"/>
        <v>82700</v>
      </c>
      <c r="I2119" s="252">
        <f t="shared" si="104"/>
        <v>91850</v>
      </c>
      <c r="J2119" s="252">
        <f t="shared" si="104"/>
        <v>99200</v>
      </c>
      <c r="K2119" s="252">
        <f t="shared" si="104"/>
        <v>106550</v>
      </c>
      <c r="L2119" s="252">
        <f t="shared" si="104"/>
        <v>113900</v>
      </c>
      <c r="M2119" s="252">
        <f t="shared" si="104"/>
        <v>121250</v>
      </c>
    </row>
    <row r="2120" spans="1:13" ht="21.95" customHeight="1" x14ac:dyDescent="0.25">
      <c r="A2120" s="36" t="s">
        <v>2904</v>
      </c>
      <c r="B2120" s="36" t="str">
        <f t="shared" si="103"/>
        <v>TN_OBION COUNTY, TN</v>
      </c>
      <c r="D2120" s="265" t="s">
        <v>64</v>
      </c>
      <c r="E2120" s="266" t="s">
        <v>4863</v>
      </c>
      <c r="F2120" s="252">
        <f t="shared" si="104"/>
        <v>42350</v>
      </c>
      <c r="G2120" s="252">
        <f t="shared" si="104"/>
        <v>48400</v>
      </c>
      <c r="H2120" s="252">
        <f t="shared" si="104"/>
        <v>54450</v>
      </c>
      <c r="I2120" s="252">
        <f t="shared" si="104"/>
        <v>60500</v>
      </c>
      <c r="J2120" s="252">
        <f t="shared" si="104"/>
        <v>65350</v>
      </c>
      <c r="K2120" s="252">
        <f t="shared" si="104"/>
        <v>70200</v>
      </c>
      <c r="L2120" s="252">
        <f t="shared" si="104"/>
        <v>75050</v>
      </c>
      <c r="M2120" s="252">
        <f t="shared" si="104"/>
        <v>79900</v>
      </c>
    </row>
    <row r="2121" spans="1:13" ht="21.95" customHeight="1" x14ac:dyDescent="0.25">
      <c r="A2121" s="36" t="s">
        <v>2904</v>
      </c>
      <c r="B2121" s="36" t="str">
        <f t="shared" si="103"/>
        <v>TN_OVERTON COUNTY, TN</v>
      </c>
      <c r="D2121" s="265" t="s">
        <v>64</v>
      </c>
      <c r="E2121" s="266" t="s">
        <v>4864</v>
      </c>
      <c r="F2121" s="252">
        <f t="shared" si="104"/>
        <v>42350</v>
      </c>
      <c r="G2121" s="252">
        <f t="shared" si="104"/>
        <v>48400</v>
      </c>
      <c r="H2121" s="252">
        <f t="shared" si="104"/>
        <v>54450</v>
      </c>
      <c r="I2121" s="252">
        <f t="shared" si="104"/>
        <v>60500</v>
      </c>
      <c r="J2121" s="252">
        <f t="shared" si="104"/>
        <v>65350</v>
      </c>
      <c r="K2121" s="252">
        <f t="shared" si="104"/>
        <v>70200</v>
      </c>
      <c r="L2121" s="252">
        <f t="shared" si="104"/>
        <v>75050</v>
      </c>
      <c r="M2121" s="252">
        <f t="shared" si="104"/>
        <v>79900</v>
      </c>
    </row>
    <row r="2122" spans="1:13" ht="21.95" customHeight="1" x14ac:dyDescent="0.25">
      <c r="A2122" s="36" t="s">
        <v>2904</v>
      </c>
      <c r="B2122" s="36" t="str">
        <f t="shared" si="103"/>
        <v>TN_PERRY COUNTY, TN</v>
      </c>
      <c r="D2122" s="265" t="s">
        <v>64</v>
      </c>
      <c r="E2122" s="266" t="s">
        <v>4865</v>
      </c>
      <c r="F2122" s="252">
        <f t="shared" si="104"/>
        <v>41950</v>
      </c>
      <c r="G2122" s="252">
        <f t="shared" si="104"/>
        <v>47950</v>
      </c>
      <c r="H2122" s="252">
        <f t="shared" si="104"/>
        <v>53950</v>
      </c>
      <c r="I2122" s="252">
        <f t="shared" si="104"/>
        <v>59900</v>
      </c>
      <c r="J2122" s="252">
        <f t="shared" si="104"/>
        <v>64700</v>
      </c>
      <c r="K2122" s="252">
        <f t="shared" si="104"/>
        <v>69500</v>
      </c>
      <c r="L2122" s="252">
        <f t="shared" si="104"/>
        <v>74300</v>
      </c>
      <c r="M2122" s="252">
        <f t="shared" si="104"/>
        <v>79100</v>
      </c>
    </row>
    <row r="2123" spans="1:13" ht="21.95" customHeight="1" x14ac:dyDescent="0.25">
      <c r="A2123" s="36" t="s">
        <v>2904</v>
      </c>
      <c r="B2123" s="36" t="str">
        <f t="shared" si="103"/>
        <v>TN_PICKETT COUNTY, TN</v>
      </c>
      <c r="D2123" s="265" t="s">
        <v>64</v>
      </c>
      <c r="E2123" s="266" t="s">
        <v>4866</v>
      </c>
      <c r="F2123" s="252">
        <f t="shared" si="104"/>
        <v>41950</v>
      </c>
      <c r="G2123" s="252">
        <f t="shared" si="104"/>
        <v>47950</v>
      </c>
      <c r="H2123" s="252">
        <f t="shared" si="104"/>
        <v>53950</v>
      </c>
      <c r="I2123" s="252">
        <f t="shared" si="104"/>
        <v>59900</v>
      </c>
      <c r="J2123" s="252">
        <f t="shared" si="104"/>
        <v>64700</v>
      </c>
      <c r="K2123" s="252">
        <f t="shared" si="104"/>
        <v>69500</v>
      </c>
      <c r="L2123" s="252">
        <f t="shared" si="104"/>
        <v>74300</v>
      </c>
      <c r="M2123" s="252">
        <f t="shared" si="104"/>
        <v>79100</v>
      </c>
    </row>
    <row r="2124" spans="1:13" ht="21.95" customHeight="1" x14ac:dyDescent="0.25">
      <c r="A2124" s="36" t="s">
        <v>2904</v>
      </c>
      <c r="B2124" s="36" t="str">
        <f t="shared" si="103"/>
        <v>TN_PUTNAM COUNTY, TN</v>
      </c>
      <c r="D2124" s="265" t="s">
        <v>64</v>
      </c>
      <c r="E2124" s="266" t="s">
        <v>4867</v>
      </c>
      <c r="F2124" s="252">
        <f t="shared" si="104"/>
        <v>44650</v>
      </c>
      <c r="G2124" s="252">
        <f t="shared" si="104"/>
        <v>51000</v>
      </c>
      <c r="H2124" s="252">
        <f t="shared" si="104"/>
        <v>57400</v>
      </c>
      <c r="I2124" s="252">
        <f t="shared" si="104"/>
        <v>63750</v>
      </c>
      <c r="J2124" s="252">
        <f t="shared" si="104"/>
        <v>68850</v>
      </c>
      <c r="K2124" s="252">
        <f t="shared" si="104"/>
        <v>73950</v>
      </c>
      <c r="L2124" s="252">
        <f t="shared" si="104"/>
        <v>79050</v>
      </c>
      <c r="M2124" s="252">
        <f t="shared" si="104"/>
        <v>84150</v>
      </c>
    </row>
    <row r="2125" spans="1:13" ht="21.95" customHeight="1" x14ac:dyDescent="0.25">
      <c r="A2125" s="36" t="s">
        <v>2904</v>
      </c>
      <c r="B2125" s="36" t="str">
        <f t="shared" si="103"/>
        <v>TN_RHEA COUNTY, TN</v>
      </c>
      <c r="D2125" s="265" t="s">
        <v>64</v>
      </c>
      <c r="E2125" s="266" t="s">
        <v>4868</v>
      </c>
      <c r="F2125" s="252">
        <f t="shared" si="104"/>
        <v>41950</v>
      </c>
      <c r="G2125" s="252">
        <f t="shared" si="104"/>
        <v>47950</v>
      </c>
      <c r="H2125" s="252">
        <f t="shared" si="104"/>
        <v>53950</v>
      </c>
      <c r="I2125" s="252">
        <f t="shared" si="104"/>
        <v>59900</v>
      </c>
      <c r="J2125" s="252">
        <f t="shared" si="104"/>
        <v>64700</v>
      </c>
      <c r="K2125" s="252">
        <f t="shared" si="104"/>
        <v>69500</v>
      </c>
      <c r="L2125" s="252">
        <f t="shared" si="104"/>
        <v>74300</v>
      </c>
      <c r="M2125" s="252">
        <f t="shared" si="104"/>
        <v>79100</v>
      </c>
    </row>
    <row r="2126" spans="1:13" ht="21.95" customHeight="1" x14ac:dyDescent="0.25">
      <c r="A2126" s="36" t="s">
        <v>2904</v>
      </c>
      <c r="B2126" s="36" t="str">
        <f t="shared" si="103"/>
        <v>TN_ROANE COUNTY, TN HUD METRO FMR AREA</v>
      </c>
      <c r="D2126" s="265" t="s">
        <v>64</v>
      </c>
      <c r="E2126" s="266" t="s">
        <v>4869</v>
      </c>
      <c r="F2126" s="252">
        <f t="shared" si="104"/>
        <v>50900</v>
      </c>
      <c r="G2126" s="252">
        <f t="shared" si="104"/>
        <v>58150</v>
      </c>
      <c r="H2126" s="252">
        <f t="shared" si="104"/>
        <v>65400</v>
      </c>
      <c r="I2126" s="252">
        <f t="shared" si="104"/>
        <v>72650</v>
      </c>
      <c r="J2126" s="252">
        <f t="shared" si="104"/>
        <v>78500</v>
      </c>
      <c r="K2126" s="252">
        <f t="shared" si="104"/>
        <v>84300</v>
      </c>
      <c r="L2126" s="252">
        <f t="shared" si="104"/>
        <v>90100</v>
      </c>
      <c r="M2126" s="252">
        <f t="shared" si="104"/>
        <v>95900</v>
      </c>
    </row>
    <row r="2127" spans="1:13" ht="21.95" customHeight="1" x14ac:dyDescent="0.25">
      <c r="A2127" s="36" t="s">
        <v>2904</v>
      </c>
      <c r="B2127" s="36" t="str">
        <f t="shared" si="103"/>
        <v>TN_SCOTT COUNTY, TN</v>
      </c>
      <c r="D2127" s="265" t="s">
        <v>64</v>
      </c>
      <c r="E2127" s="266" t="s">
        <v>4870</v>
      </c>
      <c r="F2127" s="252">
        <f t="shared" si="104"/>
        <v>41950</v>
      </c>
      <c r="G2127" s="252">
        <f t="shared" si="104"/>
        <v>47950</v>
      </c>
      <c r="H2127" s="252">
        <f t="shared" si="104"/>
        <v>53950</v>
      </c>
      <c r="I2127" s="252">
        <f t="shared" si="104"/>
        <v>59900</v>
      </c>
      <c r="J2127" s="252">
        <f t="shared" si="104"/>
        <v>64700</v>
      </c>
      <c r="K2127" s="252">
        <f t="shared" si="104"/>
        <v>69500</v>
      </c>
      <c r="L2127" s="252">
        <f t="shared" si="104"/>
        <v>74300</v>
      </c>
      <c r="M2127" s="252">
        <f t="shared" si="104"/>
        <v>79100</v>
      </c>
    </row>
    <row r="2128" spans="1:13" ht="21.95" customHeight="1" x14ac:dyDescent="0.25">
      <c r="A2128" s="36" t="s">
        <v>2904</v>
      </c>
      <c r="B2128" s="36" t="str">
        <f t="shared" si="103"/>
        <v>TN_SEVIER COUNTY, TN</v>
      </c>
      <c r="D2128" s="265" t="s">
        <v>64</v>
      </c>
      <c r="E2128" s="266" t="s">
        <v>4871</v>
      </c>
      <c r="F2128" s="252">
        <f t="shared" si="104"/>
        <v>44800</v>
      </c>
      <c r="G2128" s="252">
        <f t="shared" si="104"/>
        <v>51200</v>
      </c>
      <c r="H2128" s="252">
        <f t="shared" si="104"/>
        <v>57600</v>
      </c>
      <c r="I2128" s="252">
        <f t="shared" si="104"/>
        <v>64000</v>
      </c>
      <c r="J2128" s="252">
        <f t="shared" si="104"/>
        <v>69150</v>
      </c>
      <c r="K2128" s="252">
        <f t="shared" si="104"/>
        <v>74250</v>
      </c>
      <c r="L2128" s="252">
        <f t="shared" si="104"/>
        <v>79400</v>
      </c>
      <c r="M2128" s="252">
        <f t="shared" si="104"/>
        <v>84500</v>
      </c>
    </row>
    <row r="2129" spans="1:13" ht="21.95" customHeight="1" x14ac:dyDescent="0.25">
      <c r="A2129" s="36" t="s">
        <v>2904</v>
      </c>
      <c r="B2129" s="36" t="str">
        <f t="shared" si="103"/>
        <v>TN_SMITH COUNTY, TN HUD METRO FMR AREA</v>
      </c>
      <c r="D2129" s="265" t="s">
        <v>64</v>
      </c>
      <c r="E2129" s="266" t="s">
        <v>4872</v>
      </c>
      <c r="F2129" s="252">
        <f t="shared" si="104"/>
        <v>46600</v>
      </c>
      <c r="G2129" s="252">
        <f t="shared" si="104"/>
        <v>53250</v>
      </c>
      <c r="H2129" s="252">
        <f t="shared" si="104"/>
        <v>59900</v>
      </c>
      <c r="I2129" s="252">
        <f t="shared" si="104"/>
        <v>66550</v>
      </c>
      <c r="J2129" s="252">
        <f t="shared" si="104"/>
        <v>71900</v>
      </c>
      <c r="K2129" s="252">
        <f t="shared" si="104"/>
        <v>77200</v>
      </c>
      <c r="L2129" s="252">
        <f t="shared" si="104"/>
        <v>82550</v>
      </c>
      <c r="M2129" s="252">
        <f t="shared" si="104"/>
        <v>87850</v>
      </c>
    </row>
    <row r="2130" spans="1:13" ht="21.95" customHeight="1" x14ac:dyDescent="0.25">
      <c r="A2130" s="36" t="s">
        <v>2904</v>
      </c>
      <c r="B2130" s="36" t="str">
        <f t="shared" si="103"/>
        <v>TN_STEWART COUNTY, TN HUD METRO FMR AREA</v>
      </c>
      <c r="D2130" s="265" t="s">
        <v>64</v>
      </c>
      <c r="E2130" s="266" t="s">
        <v>4873</v>
      </c>
      <c r="F2130" s="252">
        <f t="shared" si="104"/>
        <v>46000</v>
      </c>
      <c r="G2130" s="252">
        <f t="shared" si="104"/>
        <v>52600</v>
      </c>
      <c r="H2130" s="252">
        <f t="shared" si="104"/>
        <v>59150</v>
      </c>
      <c r="I2130" s="252">
        <f t="shared" si="104"/>
        <v>65700</v>
      </c>
      <c r="J2130" s="252">
        <f t="shared" si="104"/>
        <v>71000</v>
      </c>
      <c r="K2130" s="252">
        <f t="shared" si="104"/>
        <v>76250</v>
      </c>
      <c r="L2130" s="252">
        <f t="shared" si="104"/>
        <v>81500</v>
      </c>
      <c r="M2130" s="252">
        <f t="shared" si="104"/>
        <v>86750</v>
      </c>
    </row>
    <row r="2131" spans="1:13" ht="21.95" customHeight="1" x14ac:dyDescent="0.25">
      <c r="A2131" s="36" t="s">
        <v>2904</v>
      </c>
      <c r="B2131" s="36" t="str">
        <f t="shared" si="103"/>
        <v>TN_VAN BUREN COUNTY, TN</v>
      </c>
      <c r="D2131" s="265" t="s">
        <v>64</v>
      </c>
      <c r="E2131" s="266" t="s">
        <v>4874</v>
      </c>
      <c r="F2131" s="252">
        <f t="shared" si="104"/>
        <v>41950</v>
      </c>
      <c r="G2131" s="252">
        <f t="shared" si="104"/>
        <v>47950</v>
      </c>
      <c r="H2131" s="252">
        <f t="shared" si="104"/>
        <v>53950</v>
      </c>
      <c r="I2131" s="252">
        <f t="shared" si="104"/>
        <v>59900</v>
      </c>
      <c r="J2131" s="252">
        <f t="shared" si="104"/>
        <v>64700</v>
      </c>
      <c r="K2131" s="252">
        <f t="shared" si="104"/>
        <v>69500</v>
      </c>
      <c r="L2131" s="252">
        <f t="shared" si="104"/>
        <v>74300</v>
      </c>
      <c r="M2131" s="252">
        <f t="shared" si="104"/>
        <v>79100</v>
      </c>
    </row>
    <row r="2132" spans="1:13" ht="21.95" customHeight="1" x14ac:dyDescent="0.25">
      <c r="A2132" s="36" t="s">
        <v>2904</v>
      </c>
      <c r="B2132" s="36" t="str">
        <f t="shared" si="103"/>
        <v>TN_WARREN COUNTY, TN</v>
      </c>
      <c r="D2132" s="265" t="s">
        <v>64</v>
      </c>
      <c r="E2132" s="266" t="s">
        <v>4875</v>
      </c>
      <c r="F2132" s="252">
        <f t="shared" si="104"/>
        <v>41950</v>
      </c>
      <c r="G2132" s="252">
        <f t="shared" si="104"/>
        <v>47950</v>
      </c>
      <c r="H2132" s="252">
        <f t="shared" si="104"/>
        <v>53950</v>
      </c>
      <c r="I2132" s="252">
        <f t="shared" si="104"/>
        <v>59900</v>
      </c>
      <c r="J2132" s="252">
        <f t="shared" si="104"/>
        <v>64700</v>
      </c>
      <c r="K2132" s="252">
        <f t="shared" si="104"/>
        <v>69500</v>
      </c>
      <c r="L2132" s="252">
        <f t="shared" si="104"/>
        <v>74300</v>
      </c>
      <c r="M2132" s="252">
        <f t="shared" si="104"/>
        <v>79100</v>
      </c>
    </row>
    <row r="2133" spans="1:13" ht="21.95" customHeight="1" x14ac:dyDescent="0.25">
      <c r="A2133" s="36" t="s">
        <v>2904</v>
      </c>
      <c r="B2133" s="36" t="str">
        <f t="shared" si="103"/>
        <v>TN_WAYNE COUNTY, TN</v>
      </c>
      <c r="D2133" s="265" t="s">
        <v>64</v>
      </c>
      <c r="E2133" s="266" t="s">
        <v>4876</v>
      </c>
      <c r="F2133" s="252">
        <f t="shared" si="104"/>
        <v>41950</v>
      </c>
      <c r="G2133" s="252">
        <f t="shared" si="104"/>
        <v>47950</v>
      </c>
      <c r="H2133" s="252">
        <f t="shared" si="104"/>
        <v>53950</v>
      </c>
      <c r="I2133" s="252">
        <f t="shared" si="104"/>
        <v>59900</v>
      </c>
      <c r="J2133" s="252">
        <f t="shared" si="104"/>
        <v>64700</v>
      </c>
      <c r="K2133" s="252">
        <f t="shared" si="104"/>
        <v>69500</v>
      </c>
      <c r="L2133" s="252">
        <f t="shared" si="104"/>
        <v>74300</v>
      </c>
      <c r="M2133" s="252">
        <f t="shared" si="104"/>
        <v>79100</v>
      </c>
    </row>
    <row r="2134" spans="1:13" ht="21.95" customHeight="1" x14ac:dyDescent="0.25">
      <c r="A2134" s="36" t="s">
        <v>2904</v>
      </c>
      <c r="B2134" s="36" t="str">
        <f t="shared" si="103"/>
        <v>TN_WEAKLEY COUNTY, TN</v>
      </c>
      <c r="D2134" s="265" t="s">
        <v>64</v>
      </c>
      <c r="E2134" s="266" t="s">
        <v>4877</v>
      </c>
      <c r="F2134" s="252">
        <f t="shared" si="104"/>
        <v>42300</v>
      </c>
      <c r="G2134" s="252">
        <f t="shared" si="104"/>
        <v>48350</v>
      </c>
      <c r="H2134" s="252">
        <f t="shared" si="104"/>
        <v>54400</v>
      </c>
      <c r="I2134" s="252">
        <f t="shared" si="104"/>
        <v>60400</v>
      </c>
      <c r="J2134" s="252">
        <f t="shared" si="104"/>
        <v>65250</v>
      </c>
      <c r="K2134" s="252">
        <f t="shared" si="104"/>
        <v>70100</v>
      </c>
      <c r="L2134" s="252">
        <f t="shared" si="104"/>
        <v>74900</v>
      </c>
      <c r="M2134" s="252">
        <f t="shared" si="104"/>
        <v>79750</v>
      </c>
    </row>
    <row r="2135" spans="1:13" ht="21.95" customHeight="1" x14ac:dyDescent="0.25">
      <c r="A2135" s="36" t="s">
        <v>2904</v>
      </c>
      <c r="B2135" s="36" t="str">
        <f t="shared" si="103"/>
        <v>TN_WHITE COUNTY, TN</v>
      </c>
      <c r="D2135" s="265" t="s">
        <v>64</v>
      </c>
      <c r="E2135" s="266" t="s">
        <v>4878</v>
      </c>
      <c r="F2135" s="252">
        <f t="shared" si="104"/>
        <v>41950</v>
      </c>
      <c r="G2135" s="252">
        <f t="shared" si="104"/>
        <v>47950</v>
      </c>
      <c r="H2135" s="252">
        <f t="shared" si="104"/>
        <v>53950</v>
      </c>
      <c r="I2135" s="252">
        <f t="shared" si="104"/>
        <v>59900</v>
      </c>
      <c r="J2135" s="252">
        <f t="shared" si="104"/>
        <v>64700</v>
      </c>
      <c r="K2135" s="252">
        <f t="shared" si="104"/>
        <v>69500</v>
      </c>
      <c r="L2135" s="252">
        <f t="shared" si="104"/>
        <v>74300</v>
      </c>
      <c r="M2135" s="252">
        <f t="shared" si="104"/>
        <v>79100</v>
      </c>
    </row>
    <row r="2136" spans="1:13" ht="21.95" customHeight="1" x14ac:dyDescent="0.25">
      <c r="A2136" s="36" t="s">
        <v>2904</v>
      </c>
      <c r="B2136" s="36" t="str">
        <f t="shared" si="103"/>
        <v>TX_ABILENE, TX MSA</v>
      </c>
      <c r="D2136" s="265" t="s">
        <v>63</v>
      </c>
      <c r="E2136" s="266" t="s">
        <v>4879</v>
      </c>
      <c r="F2136" s="252">
        <f t="shared" si="104"/>
        <v>48900</v>
      </c>
      <c r="G2136" s="252">
        <f t="shared" si="104"/>
        <v>55900</v>
      </c>
      <c r="H2136" s="252">
        <f t="shared" si="104"/>
        <v>62900</v>
      </c>
      <c r="I2136" s="252">
        <f t="shared" si="104"/>
        <v>69850</v>
      </c>
      <c r="J2136" s="252">
        <f t="shared" si="104"/>
        <v>75450</v>
      </c>
      <c r="K2136" s="252">
        <f t="shared" si="104"/>
        <v>81050</v>
      </c>
      <c r="L2136" s="252">
        <f t="shared" si="104"/>
        <v>86650</v>
      </c>
      <c r="M2136" s="252">
        <f t="shared" si="104"/>
        <v>92250</v>
      </c>
    </row>
    <row r="2137" spans="1:13" ht="21.95" customHeight="1" x14ac:dyDescent="0.25">
      <c r="A2137" s="36" t="s">
        <v>2904</v>
      </c>
      <c r="B2137" s="36" t="str">
        <f t="shared" si="103"/>
        <v>TX_AMARILLO, TX HUD METRO FMR AREA</v>
      </c>
      <c r="D2137" s="265" t="s">
        <v>63</v>
      </c>
      <c r="E2137" s="266" t="s">
        <v>4880</v>
      </c>
      <c r="F2137" s="252">
        <f t="shared" si="104"/>
        <v>53600</v>
      </c>
      <c r="G2137" s="252">
        <f t="shared" si="104"/>
        <v>61250</v>
      </c>
      <c r="H2137" s="252">
        <f t="shared" si="104"/>
        <v>68900</v>
      </c>
      <c r="I2137" s="252">
        <f t="shared" si="104"/>
        <v>76550</v>
      </c>
      <c r="J2137" s="252">
        <f t="shared" si="104"/>
        <v>82700</v>
      </c>
      <c r="K2137" s="252">
        <f t="shared" si="104"/>
        <v>88800</v>
      </c>
      <c r="L2137" s="252">
        <f t="shared" si="104"/>
        <v>94950</v>
      </c>
      <c r="M2137" s="252">
        <f t="shared" si="104"/>
        <v>101050</v>
      </c>
    </row>
    <row r="2138" spans="1:13" ht="21.95" customHeight="1" x14ac:dyDescent="0.25">
      <c r="A2138" s="36" t="s">
        <v>2904</v>
      </c>
      <c r="B2138" s="36" t="str">
        <f t="shared" si="103"/>
        <v>TX_ANDERSON COUNTY, TX</v>
      </c>
      <c r="D2138" s="265" t="s">
        <v>63</v>
      </c>
      <c r="E2138" s="266" t="s">
        <v>4881</v>
      </c>
      <c r="F2138" s="252">
        <f t="shared" si="104"/>
        <v>44450</v>
      </c>
      <c r="G2138" s="252">
        <f t="shared" si="104"/>
        <v>50800</v>
      </c>
      <c r="H2138" s="252">
        <f t="shared" si="104"/>
        <v>57150</v>
      </c>
      <c r="I2138" s="252">
        <f t="shared" si="104"/>
        <v>63500</v>
      </c>
      <c r="J2138" s="252">
        <f t="shared" si="104"/>
        <v>68600</v>
      </c>
      <c r="K2138" s="252">
        <f t="shared" si="104"/>
        <v>73700</v>
      </c>
      <c r="L2138" s="252">
        <f t="shared" si="104"/>
        <v>78750</v>
      </c>
      <c r="M2138" s="252">
        <f t="shared" si="104"/>
        <v>83850</v>
      </c>
    </row>
    <row r="2139" spans="1:13" ht="21.95" customHeight="1" x14ac:dyDescent="0.25">
      <c r="A2139" s="36" t="s">
        <v>2904</v>
      </c>
      <c r="B2139" s="36" t="str">
        <f t="shared" si="103"/>
        <v>TX_ANDREWS COUNTY, TX</v>
      </c>
      <c r="D2139" s="265" t="s">
        <v>63</v>
      </c>
      <c r="E2139" s="266" t="s">
        <v>4882</v>
      </c>
      <c r="F2139" s="252">
        <f t="shared" si="104"/>
        <v>54500</v>
      </c>
      <c r="G2139" s="252">
        <f t="shared" si="104"/>
        <v>62300</v>
      </c>
      <c r="H2139" s="252">
        <f t="shared" si="104"/>
        <v>70100</v>
      </c>
      <c r="I2139" s="252">
        <f t="shared" si="104"/>
        <v>77850</v>
      </c>
      <c r="J2139" s="252">
        <f t="shared" si="104"/>
        <v>84100</v>
      </c>
      <c r="K2139" s="252">
        <f t="shared" si="104"/>
        <v>90350</v>
      </c>
      <c r="L2139" s="252">
        <f t="shared" si="104"/>
        <v>96550</v>
      </c>
      <c r="M2139" s="252">
        <f t="shared" si="104"/>
        <v>102800</v>
      </c>
    </row>
    <row r="2140" spans="1:13" ht="21.95" customHeight="1" x14ac:dyDescent="0.25">
      <c r="A2140" s="36" t="s">
        <v>2904</v>
      </c>
      <c r="B2140" s="36" t="str">
        <f t="shared" si="103"/>
        <v>TX_ANGELINA COUNTY, TX</v>
      </c>
      <c r="D2140" s="265" t="s">
        <v>63</v>
      </c>
      <c r="E2140" s="266" t="s">
        <v>4883</v>
      </c>
      <c r="F2140" s="252">
        <f t="shared" si="104"/>
        <v>44450</v>
      </c>
      <c r="G2140" s="252">
        <f t="shared" si="104"/>
        <v>50800</v>
      </c>
      <c r="H2140" s="252">
        <f t="shared" si="104"/>
        <v>57150</v>
      </c>
      <c r="I2140" s="252">
        <f t="shared" si="104"/>
        <v>63500</v>
      </c>
      <c r="J2140" s="252">
        <f t="shared" si="104"/>
        <v>68600</v>
      </c>
      <c r="K2140" s="252">
        <f t="shared" si="104"/>
        <v>73700</v>
      </c>
      <c r="L2140" s="252">
        <f t="shared" si="104"/>
        <v>78750</v>
      </c>
      <c r="M2140" s="252">
        <f t="shared" si="104"/>
        <v>83850</v>
      </c>
    </row>
    <row r="2141" spans="1:13" ht="21.95" customHeight="1" x14ac:dyDescent="0.25">
      <c r="A2141" s="36" t="s">
        <v>2904</v>
      </c>
      <c r="B2141" s="36" t="str">
        <f t="shared" si="103"/>
        <v>TX_ARANSAS COUNTY, TX HUD METRO FMR AREA</v>
      </c>
      <c r="D2141" s="265" t="s">
        <v>63</v>
      </c>
      <c r="E2141" s="266" t="s">
        <v>9260</v>
      </c>
      <c r="F2141" s="252">
        <f t="shared" si="104"/>
        <v>44450</v>
      </c>
      <c r="G2141" s="252">
        <f t="shared" si="104"/>
        <v>50800</v>
      </c>
      <c r="H2141" s="252">
        <f t="shared" si="104"/>
        <v>57150</v>
      </c>
      <c r="I2141" s="252">
        <f t="shared" si="104"/>
        <v>63500</v>
      </c>
      <c r="J2141" s="252">
        <f t="shared" si="104"/>
        <v>68600</v>
      </c>
      <c r="K2141" s="252">
        <f t="shared" si="104"/>
        <v>73700</v>
      </c>
      <c r="L2141" s="252">
        <f t="shared" si="104"/>
        <v>78750</v>
      </c>
      <c r="M2141" s="252">
        <f t="shared" si="104"/>
        <v>83850</v>
      </c>
    </row>
    <row r="2142" spans="1:13" ht="21.95" customHeight="1" x14ac:dyDescent="0.25">
      <c r="A2142" s="36" t="s">
        <v>2904</v>
      </c>
      <c r="B2142" s="36" t="str">
        <f t="shared" si="103"/>
        <v>TX_ATASCOSA COUNTY, TX HUD METRO FMR AREA</v>
      </c>
      <c r="D2142" s="265" t="s">
        <v>63</v>
      </c>
      <c r="E2142" s="266" t="s">
        <v>4884</v>
      </c>
      <c r="F2142" s="252">
        <f t="shared" si="104"/>
        <v>48650</v>
      </c>
      <c r="G2142" s="252">
        <f t="shared" si="104"/>
        <v>55600</v>
      </c>
      <c r="H2142" s="252">
        <f t="shared" si="104"/>
        <v>62550</v>
      </c>
      <c r="I2142" s="252">
        <f t="shared" si="104"/>
        <v>69500</v>
      </c>
      <c r="J2142" s="252">
        <f t="shared" si="104"/>
        <v>75100</v>
      </c>
      <c r="K2142" s="252">
        <f t="shared" si="104"/>
        <v>80650</v>
      </c>
      <c r="L2142" s="252">
        <f t="shared" si="104"/>
        <v>86200</v>
      </c>
      <c r="M2142" s="252">
        <f t="shared" si="104"/>
        <v>91750</v>
      </c>
    </row>
    <row r="2143" spans="1:13" ht="21.95" customHeight="1" x14ac:dyDescent="0.25">
      <c r="A2143" s="36" t="s">
        <v>2904</v>
      </c>
      <c r="B2143" s="36" t="str">
        <f t="shared" si="103"/>
        <v>TX_AUSTIN COUNTY, TX HUD METRO FMR AREA</v>
      </c>
      <c r="D2143" s="265" t="s">
        <v>63</v>
      </c>
      <c r="E2143" s="266" t="s">
        <v>4885</v>
      </c>
      <c r="F2143" s="252">
        <f t="shared" si="104"/>
        <v>56600</v>
      </c>
      <c r="G2143" s="252">
        <f t="shared" si="104"/>
        <v>64650</v>
      </c>
      <c r="H2143" s="252">
        <f t="shared" si="104"/>
        <v>72750</v>
      </c>
      <c r="I2143" s="252">
        <f t="shared" si="104"/>
        <v>80800</v>
      </c>
      <c r="J2143" s="252">
        <f t="shared" si="104"/>
        <v>87300</v>
      </c>
      <c r="K2143" s="252">
        <f t="shared" si="104"/>
        <v>93750</v>
      </c>
      <c r="L2143" s="252">
        <f t="shared" si="104"/>
        <v>100200</v>
      </c>
      <c r="M2143" s="252">
        <f t="shared" si="104"/>
        <v>106700</v>
      </c>
    </row>
    <row r="2144" spans="1:13" ht="21.95" customHeight="1" x14ac:dyDescent="0.25">
      <c r="A2144" s="36" t="s">
        <v>2904</v>
      </c>
      <c r="B2144" s="36" t="str">
        <f t="shared" si="103"/>
        <v>TX_AUSTIN-ROUND ROCK-SAN MARCOS, TX MSA</v>
      </c>
      <c r="D2144" s="265" t="s">
        <v>63</v>
      </c>
      <c r="E2144" s="266" t="s">
        <v>9261</v>
      </c>
      <c r="F2144" s="252">
        <f t="shared" si="104"/>
        <v>72950</v>
      </c>
      <c r="G2144" s="252">
        <f t="shared" si="104"/>
        <v>83400</v>
      </c>
      <c r="H2144" s="252">
        <f t="shared" si="104"/>
        <v>93800</v>
      </c>
      <c r="I2144" s="252">
        <f t="shared" si="104"/>
        <v>104200</v>
      </c>
      <c r="J2144" s="252">
        <f t="shared" si="104"/>
        <v>112550</v>
      </c>
      <c r="K2144" s="252">
        <f t="shared" si="104"/>
        <v>120900</v>
      </c>
      <c r="L2144" s="252">
        <f t="shared" si="104"/>
        <v>129250</v>
      </c>
      <c r="M2144" s="252">
        <f t="shared" si="104"/>
        <v>137550</v>
      </c>
    </row>
    <row r="2145" spans="1:13" ht="21.95" customHeight="1" x14ac:dyDescent="0.25">
      <c r="A2145" s="36" t="s">
        <v>2904</v>
      </c>
      <c r="B2145" s="36" t="str">
        <f t="shared" si="103"/>
        <v>TX_BAILEY COUNTY, TX</v>
      </c>
      <c r="D2145" s="265" t="s">
        <v>63</v>
      </c>
      <c r="E2145" s="266" t="s">
        <v>4886</v>
      </c>
      <c r="F2145" s="252">
        <f t="shared" si="104"/>
        <v>48500</v>
      </c>
      <c r="G2145" s="252">
        <f t="shared" si="104"/>
        <v>55400</v>
      </c>
      <c r="H2145" s="252">
        <f t="shared" si="104"/>
        <v>62350</v>
      </c>
      <c r="I2145" s="252">
        <f t="shared" si="104"/>
        <v>69250</v>
      </c>
      <c r="J2145" s="252">
        <f t="shared" si="104"/>
        <v>74800</v>
      </c>
      <c r="K2145" s="252">
        <f t="shared" si="104"/>
        <v>80350</v>
      </c>
      <c r="L2145" s="252">
        <f t="shared" si="104"/>
        <v>85900</v>
      </c>
      <c r="M2145" s="252">
        <f t="shared" ref="F2145:M2177" si="105">VLOOKUP($B2145,LOOKUP_AMI_TABLE,5+((M$7-1)),FALSE)</f>
        <v>91450</v>
      </c>
    </row>
    <row r="2146" spans="1:13" ht="21.95" customHeight="1" x14ac:dyDescent="0.25">
      <c r="A2146" s="36" t="s">
        <v>2904</v>
      </c>
      <c r="B2146" s="36" t="str">
        <f t="shared" si="103"/>
        <v>TX_BAYLOR COUNTY, TX</v>
      </c>
      <c r="D2146" s="265" t="s">
        <v>63</v>
      </c>
      <c r="E2146" s="266" t="s">
        <v>4887</v>
      </c>
      <c r="F2146" s="252">
        <f t="shared" si="105"/>
        <v>44450</v>
      </c>
      <c r="G2146" s="252">
        <f t="shared" si="105"/>
        <v>50800</v>
      </c>
      <c r="H2146" s="252">
        <f t="shared" si="105"/>
        <v>57150</v>
      </c>
      <c r="I2146" s="252">
        <f t="shared" si="105"/>
        <v>63500</v>
      </c>
      <c r="J2146" s="252">
        <f t="shared" si="105"/>
        <v>68600</v>
      </c>
      <c r="K2146" s="252">
        <f t="shared" si="105"/>
        <v>73700</v>
      </c>
      <c r="L2146" s="252">
        <f t="shared" si="105"/>
        <v>78750</v>
      </c>
      <c r="M2146" s="252">
        <f t="shared" si="105"/>
        <v>83850</v>
      </c>
    </row>
    <row r="2147" spans="1:13" ht="21.95" customHeight="1" x14ac:dyDescent="0.25">
      <c r="A2147" s="36" t="s">
        <v>2904</v>
      </c>
      <c r="B2147" s="36" t="str">
        <f t="shared" si="103"/>
        <v>TX_BEAUMONT-PORT ARTHUR, TX MSA</v>
      </c>
      <c r="D2147" s="265" t="s">
        <v>63</v>
      </c>
      <c r="E2147" s="266" t="s">
        <v>4888</v>
      </c>
      <c r="F2147" s="252">
        <f t="shared" si="105"/>
        <v>47250</v>
      </c>
      <c r="G2147" s="252">
        <f t="shared" si="105"/>
        <v>54000</v>
      </c>
      <c r="H2147" s="252">
        <f t="shared" si="105"/>
        <v>60750</v>
      </c>
      <c r="I2147" s="252">
        <f t="shared" si="105"/>
        <v>67500</v>
      </c>
      <c r="J2147" s="252">
        <f t="shared" si="105"/>
        <v>72900</v>
      </c>
      <c r="K2147" s="252">
        <f t="shared" si="105"/>
        <v>78300</v>
      </c>
      <c r="L2147" s="252">
        <f t="shared" si="105"/>
        <v>83700</v>
      </c>
      <c r="M2147" s="252">
        <f t="shared" si="105"/>
        <v>89100</v>
      </c>
    </row>
    <row r="2148" spans="1:13" ht="21.95" customHeight="1" x14ac:dyDescent="0.25">
      <c r="A2148" s="36" t="s">
        <v>2904</v>
      </c>
      <c r="B2148" s="36" t="str">
        <f t="shared" si="103"/>
        <v>TX_BEE COUNTY, TX</v>
      </c>
      <c r="D2148" s="265" t="s">
        <v>63</v>
      </c>
      <c r="E2148" s="266" t="s">
        <v>4889</v>
      </c>
      <c r="F2148" s="252">
        <f t="shared" si="105"/>
        <v>45300</v>
      </c>
      <c r="G2148" s="252">
        <f t="shared" si="105"/>
        <v>51750</v>
      </c>
      <c r="H2148" s="252">
        <f t="shared" si="105"/>
        <v>58200</v>
      </c>
      <c r="I2148" s="252">
        <f t="shared" si="105"/>
        <v>64650</v>
      </c>
      <c r="J2148" s="252">
        <f t="shared" si="105"/>
        <v>69850</v>
      </c>
      <c r="K2148" s="252">
        <f t="shared" si="105"/>
        <v>75000</v>
      </c>
      <c r="L2148" s="252">
        <f t="shared" si="105"/>
        <v>80200</v>
      </c>
      <c r="M2148" s="252">
        <f t="shared" si="105"/>
        <v>85350</v>
      </c>
    </row>
    <row r="2149" spans="1:13" ht="21.95" customHeight="1" x14ac:dyDescent="0.25">
      <c r="A2149" s="36" t="s">
        <v>2904</v>
      </c>
      <c r="B2149" s="36" t="str">
        <f t="shared" si="103"/>
        <v>TX_BLANCO COUNTY, TX</v>
      </c>
      <c r="D2149" s="265" t="s">
        <v>63</v>
      </c>
      <c r="E2149" s="266" t="s">
        <v>4890</v>
      </c>
      <c r="F2149" s="252">
        <f t="shared" si="105"/>
        <v>56000</v>
      </c>
      <c r="G2149" s="252">
        <f t="shared" si="105"/>
        <v>64000</v>
      </c>
      <c r="H2149" s="252">
        <f t="shared" si="105"/>
        <v>72000</v>
      </c>
      <c r="I2149" s="252">
        <f t="shared" si="105"/>
        <v>80000</v>
      </c>
      <c r="J2149" s="252">
        <f t="shared" si="105"/>
        <v>86400</v>
      </c>
      <c r="K2149" s="252">
        <f t="shared" si="105"/>
        <v>92800</v>
      </c>
      <c r="L2149" s="252">
        <f t="shared" si="105"/>
        <v>99200</v>
      </c>
      <c r="M2149" s="252">
        <f t="shared" si="105"/>
        <v>105600</v>
      </c>
    </row>
    <row r="2150" spans="1:13" ht="21.95" customHeight="1" x14ac:dyDescent="0.25">
      <c r="A2150" s="36" t="s">
        <v>2904</v>
      </c>
      <c r="B2150" s="36" t="str">
        <f t="shared" si="103"/>
        <v>TX_BORDEN COUNTY, TX</v>
      </c>
      <c r="D2150" s="265" t="s">
        <v>63</v>
      </c>
      <c r="E2150" s="266" t="s">
        <v>4891</v>
      </c>
      <c r="F2150" s="252">
        <f t="shared" si="105"/>
        <v>57050</v>
      </c>
      <c r="G2150" s="252">
        <f t="shared" si="105"/>
        <v>65200</v>
      </c>
      <c r="H2150" s="252">
        <f t="shared" si="105"/>
        <v>73350</v>
      </c>
      <c r="I2150" s="252">
        <f t="shared" si="105"/>
        <v>81500</v>
      </c>
      <c r="J2150" s="252">
        <f t="shared" si="105"/>
        <v>88050</v>
      </c>
      <c r="K2150" s="252">
        <f t="shared" si="105"/>
        <v>94550</v>
      </c>
      <c r="L2150" s="252">
        <f t="shared" si="105"/>
        <v>101100</v>
      </c>
      <c r="M2150" s="252">
        <f t="shared" si="105"/>
        <v>107600</v>
      </c>
    </row>
    <row r="2151" spans="1:13" ht="21.95" customHeight="1" x14ac:dyDescent="0.25">
      <c r="A2151" s="36" t="s">
        <v>2904</v>
      </c>
      <c r="B2151" s="36" t="str">
        <f t="shared" si="103"/>
        <v>TX_BOSQUE COUNTY, TX HUD METRO FMR AREA</v>
      </c>
      <c r="D2151" s="265" t="s">
        <v>63</v>
      </c>
      <c r="E2151" s="266" t="s">
        <v>9262</v>
      </c>
      <c r="F2151" s="252">
        <f t="shared" si="105"/>
        <v>48750</v>
      </c>
      <c r="G2151" s="252">
        <f t="shared" si="105"/>
        <v>55700</v>
      </c>
      <c r="H2151" s="252">
        <f t="shared" si="105"/>
        <v>62650</v>
      </c>
      <c r="I2151" s="252">
        <f t="shared" si="105"/>
        <v>69600</v>
      </c>
      <c r="J2151" s="252">
        <f t="shared" si="105"/>
        <v>75200</v>
      </c>
      <c r="K2151" s="252">
        <f t="shared" si="105"/>
        <v>80750</v>
      </c>
      <c r="L2151" s="252">
        <f t="shared" si="105"/>
        <v>86350</v>
      </c>
      <c r="M2151" s="252">
        <f t="shared" si="105"/>
        <v>91900</v>
      </c>
    </row>
    <row r="2152" spans="1:13" ht="21.95" customHeight="1" x14ac:dyDescent="0.25">
      <c r="A2152" s="36" t="s">
        <v>2904</v>
      </c>
      <c r="B2152" s="36" t="str">
        <f t="shared" si="103"/>
        <v>TX_BRAZORIA COUNTY, TX HUD METRO FMR AREA</v>
      </c>
      <c r="D2152" s="265" t="s">
        <v>63</v>
      </c>
      <c r="E2152" s="266" t="s">
        <v>4892</v>
      </c>
      <c r="F2152" s="252">
        <f t="shared" si="105"/>
        <v>65050</v>
      </c>
      <c r="G2152" s="252">
        <f t="shared" si="105"/>
        <v>74350</v>
      </c>
      <c r="H2152" s="252">
        <f t="shared" si="105"/>
        <v>83650</v>
      </c>
      <c r="I2152" s="252">
        <f t="shared" si="105"/>
        <v>92900</v>
      </c>
      <c r="J2152" s="252">
        <f t="shared" si="105"/>
        <v>100350</v>
      </c>
      <c r="K2152" s="252">
        <f t="shared" si="105"/>
        <v>107800</v>
      </c>
      <c r="L2152" s="252">
        <f t="shared" si="105"/>
        <v>115200</v>
      </c>
      <c r="M2152" s="252">
        <f t="shared" si="105"/>
        <v>122650</v>
      </c>
    </row>
    <row r="2153" spans="1:13" ht="21.95" customHeight="1" x14ac:dyDescent="0.25">
      <c r="A2153" s="36" t="s">
        <v>2904</v>
      </c>
      <c r="B2153" s="36" t="str">
        <f t="shared" si="103"/>
        <v>TX_BREWSTER COUNTY, TX</v>
      </c>
      <c r="D2153" s="265" t="s">
        <v>63</v>
      </c>
      <c r="E2153" s="266" t="s">
        <v>4893</v>
      </c>
      <c r="F2153" s="252">
        <f t="shared" si="105"/>
        <v>44650</v>
      </c>
      <c r="G2153" s="252">
        <f t="shared" si="105"/>
        <v>51000</v>
      </c>
      <c r="H2153" s="252">
        <f t="shared" si="105"/>
        <v>57400</v>
      </c>
      <c r="I2153" s="252">
        <f t="shared" si="105"/>
        <v>63750</v>
      </c>
      <c r="J2153" s="252">
        <f t="shared" si="105"/>
        <v>68850</v>
      </c>
      <c r="K2153" s="252">
        <f t="shared" si="105"/>
        <v>73950</v>
      </c>
      <c r="L2153" s="252">
        <f t="shared" si="105"/>
        <v>79050</v>
      </c>
      <c r="M2153" s="252">
        <f t="shared" si="105"/>
        <v>84150</v>
      </c>
    </row>
    <row r="2154" spans="1:13" ht="21.95" customHeight="1" x14ac:dyDescent="0.25">
      <c r="A2154" s="36" t="s">
        <v>2904</v>
      </c>
      <c r="B2154" s="36" t="str">
        <f t="shared" si="103"/>
        <v>TX_BRISCOE COUNTY, TX</v>
      </c>
      <c r="D2154" s="265" t="s">
        <v>63</v>
      </c>
      <c r="E2154" s="266" t="s">
        <v>4894</v>
      </c>
      <c r="F2154" s="252">
        <f t="shared" si="105"/>
        <v>44450</v>
      </c>
      <c r="G2154" s="252">
        <f t="shared" si="105"/>
        <v>50800</v>
      </c>
      <c r="H2154" s="252">
        <f t="shared" si="105"/>
        <v>57150</v>
      </c>
      <c r="I2154" s="252">
        <f t="shared" si="105"/>
        <v>63500</v>
      </c>
      <c r="J2154" s="252">
        <f t="shared" si="105"/>
        <v>68600</v>
      </c>
      <c r="K2154" s="252">
        <f t="shared" si="105"/>
        <v>73700</v>
      </c>
      <c r="L2154" s="252">
        <f t="shared" si="105"/>
        <v>78750</v>
      </c>
      <c r="M2154" s="252">
        <f t="shared" si="105"/>
        <v>83850</v>
      </c>
    </row>
    <row r="2155" spans="1:13" ht="21.95" customHeight="1" x14ac:dyDescent="0.25">
      <c r="A2155" s="36" t="s">
        <v>2904</v>
      </c>
      <c r="B2155" s="36" t="str">
        <f t="shared" si="103"/>
        <v>TX_BROOKS COUNTY, TX</v>
      </c>
      <c r="D2155" s="265" t="s">
        <v>63</v>
      </c>
      <c r="E2155" s="266" t="s">
        <v>4895</v>
      </c>
      <c r="F2155" s="252">
        <f t="shared" si="105"/>
        <v>44450</v>
      </c>
      <c r="G2155" s="252">
        <f t="shared" si="105"/>
        <v>50800</v>
      </c>
      <c r="H2155" s="252">
        <f t="shared" si="105"/>
        <v>57150</v>
      </c>
      <c r="I2155" s="252">
        <f t="shared" si="105"/>
        <v>63500</v>
      </c>
      <c r="J2155" s="252">
        <f t="shared" si="105"/>
        <v>68600</v>
      </c>
      <c r="K2155" s="252">
        <f t="shared" si="105"/>
        <v>73700</v>
      </c>
      <c r="L2155" s="252">
        <f t="shared" si="105"/>
        <v>78750</v>
      </c>
      <c r="M2155" s="252">
        <f t="shared" si="105"/>
        <v>83850</v>
      </c>
    </row>
    <row r="2156" spans="1:13" ht="21.95" customHeight="1" x14ac:dyDescent="0.25">
      <c r="A2156" s="36" t="s">
        <v>2904</v>
      </c>
      <c r="B2156" s="36" t="str">
        <f t="shared" si="103"/>
        <v>TX_BROWN COUNTY, TX</v>
      </c>
      <c r="D2156" s="265" t="s">
        <v>63</v>
      </c>
      <c r="E2156" s="266" t="s">
        <v>4896</v>
      </c>
      <c r="F2156" s="252">
        <f t="shared" si="105"/>
        <v>44450</v>
      </c>
      <c r="G2156" s="252">
        <f t="shared" si="105"/>
        <v>50800</v>
      </c>
      <c r="H2156" s="252">
        <f t="shared" si="105"/>
        <v>57150</v>
      </c>
      <c r="I2156" s="252">
        <f t="shared" si="105"/>
        <v>63500</v>
      </c>
      <c r="J2156" s="252">
        <f t="shared" si="105"/>
        <v>68600</v>
      </c>
      <c r="K2156" s="252">
        <f t="shared" si="105"/>
        <v>73700</v>
      </c>
      <c r="L2156" s="252">
        <f t="shared" si="105"/>
        <v>78750</v>
      </c>
      <c r="M2156" s="252">
        <f t="shared" si="105"/>
        <v>83850</v>
      </c>
    </row>
    <row r="2157" spans="1:13" ht="21.95" customHeight="1" x14ac:dyDescent="0.25">
      <c r="A2157" s="36" t="s">
        <v>2904</v>
      </c>
      <c r="B2157" s="36" t="str">
        <f t="shared" si="103"/>
        <v>TX_BROWNSVILLE-HARLINGEN, TX MSA</v>
      </c>
      <c r="D2157" s="265" t="s">
        <v>63</v>
      </c>
      <c r="E2157" s="266" t="s">
        <v>4897</v>
      </c>
      <c r="F2157" s="252">
        <f t="shared" si="105"/>
        <v>44450</v>
      </c>
      <c r="G2157" s="252">
        <f t="shared" si="105"/>
        <v>50800</v>
      </c>
      <c r="H2157" s="252">
        <f t="shared" si="105"/>
        <v>57150</v>
      </c>
      <c r="I2157" s="252">
        <f t="shared" si="105"/>
        <v>63500</v>
      </c>
      <c r="J2157" s="252">
        <f t="shared" si="105"/>
        <v>68600</v>
      </c>
      <c r="K2157" s="252">
        <f t="shared" si="105"/>
        <v>73700</v>
      </c>
      <c r="L2157" s="252">
        <f t="shared" si="105"/>
        <v>78750</v>
      </c>
      <c r="M2157" s="252">
        <f t="shared" si="105"/>
        <v>83850</v>
      </c>
    </row>
    <row r="2158" spans="1:13" ht="21.95" customHeight="1" x14ac:dyDescent="0.25">
      <c r="A2158" s="36" t="s">
        <v>2904</v>
      </c>
      <c r="B2158" s="36" t="str">
        <f t="shared" si="103"/>
        <v>TX_BURNET COUNTY, TX</v>
      </c>
      <c r="D2158" s="265" t="s">
        <v>63</v>
      </c>
      <c r="E2158" s="266" t="s">
        <v>4898</v>
      </c>
      <c r="F2158" s="252">
        <f t="shared" si="105"/>
        <v>56000</v>
      </c>
      <c r="G2158" s="252">
        <f t="shared" si="105"/>
        <v>64000</v>
      </c>
      <c r="H2158" s="252">
        <f t="shared" si="105"/>
        <v>72000</v>
      </c>
      <c r="I2158" s="252">
        <f t="shared" si="105"/>
        <v>80000</v>
      </c>
      <c r="J2158" s="252">
        <f t="shared" si="105"/>
        <v>86400</v>
      </c>
      <c r="K2158" s="252">
        <f t="shared" si="105"/>
        <v>92800</v>
      </c>
      <c r="L2158" s="252">
        <f t="shared" si="105"/>
        <v>99200</v>
      </c>
      <c r="M2158" s="252">
        <f t="shared" si="105"/>
        <v>105600</v>
      </c>
    </row>
    <row r="2159" spans="1:13" ht="21.95" customHeight="1" x14ac:dyDescent="0.25">
      <c r="A2159" s="36" t="s">
        <v>2904</v>
      </c>
      <c r="B2159" s="36" t="str">
        <f t="shared" si="103"/>
        <v>TX_CALHOUN COUNTY, TX</v>
      </c>
      <c r="D2159" s="265" t="s">
        <v>63</v>
      </c>
      <c r="E2159" s="266" t="s">
        <v>4899</v>
      </c>
      <c r="F2159" s="252">
        <f t="shared" si="105"/>
        <v>51350</v>
      </c>
      <c r="G2159" s="252">
        <f t="shared" si="105"/>
        <v>58650</v>
      </c>
      <c r="H2159" s="252">
        <f t="shared" si="105"/>
        <v>66000</v>
      </c>
      <c r="I2159" s="252">
        <f t="shared" si="105"/>
        <v>73300</v>
      </c>
      <c r="J2159" s="252">
        <f t="shared" si="105"/>
        <v>79200</v>
      </c>
      <c r="K2159" s="252">
        <f t="shared" si="105"/>
        <v>85050</v>
      </c>
      <c r="L2159" s="252">
        <f t="shared" si="105"/>
        <v>90900</v>
      </c>
      <c r="M2159" s="252">
        <f t="shared" si="105"/>
        <v>96800</v>
      </c>
    </row>
    <row r="2160" spans="1:13" ht="21.95" customHeight="1" x14ac:dyDescent="0.25">
      <c r="A2160" s="36" t="s">
        <v>2904</v>
      </c>
      <c r="B2160" s="36" t="str">
        <f t="shared" si="103"/>
        <v>TX_CAMP COUNTY, TX</v>
      </c>
      <c r="D2160" s="265" t="s">
        <v>63</v>
      </c>
      <c r="E2160" s="266" t="s">
        <v>4900</v>
      </c>
      <c r="F2160" s="252">
        <f t="shared" si="105"/>
        <v>44450</v>
      </c>
      <c r="G2160" s="252">
        <f t="shared" si="105"/>
        <v>50800</v>
      </c>
      <c r="H2160" s="252">
        <f t="shared" si="105"/>
        <v>57150</v>
      </c>
      <c r="I2160" s="252">
        <f t="shared" si="105"/>
        <v>63500</v>
      </c>
      <c r="J2160" s="252">
        <f t="shared" si="105"/>
        <v>68600</v>
      </c>
      <c r="K2160" s="252">
        <f t="shared" si="105"/>
        <v>73700</v>
      </c>
      <c r="L2160" s="252">
        <f t="shared" si="105"/>
        <v>78750</v>
      </c>
      <c r="M2160" s="252">
        <f t="shared" si="105"/>
        <v>83850</v>
      </c>
    </row>
    <row r="2161" spans="1:13" ht="21.95" customHeight="1" x14ac:dyDescent="0.25">
      <c r="A2161" s="36" t="s">
        <v>2904</v>
      </c>
      <c r="B2161" s="36" t="str">
        <f t="shared" si="103"/>
        <v>TX_CASS COUNTY, TX</v>
      </c>
      <c r="D2161" s="265" t="s">
        <v>63</v>
      </c>
      <c r="E2161" s="266" t="s">
        <v>4901</v>
      </c>
      <c r="F2161" s="252">
        <f t="shared" si="105"/>
        <v>44450</v>
      </c>
      <c r="G2161" s="252">
        <f t="shared" si="105"/>
        <v>50800</v>
      </c>
      <c r="H2161" s="252">
        <f t="shared" si="105"/>
        <v>57150</v>
      </c>
      <c r="I2161" s="252">
        <f t="shared" si="105"/>
        <v>63500</v>
      </c>
      <c r="J2161" s="252">
        <f t="shared" si="105"/>
        <v>68600</v>
      </c>
      <c r="K2161" s="252">
        <f t="shared" si="105"/>
        <v>73700</v>
      </c>
      <c r="L2161" s="252">
        <f t="shared" si="105"/>
        <v>78750</v>
      </c>
      <c r="M2161" s="252">
        <f t="shared" si="105"/>
        <v>83850</v>
      </c>
    </row>
    <row r="2162" spans="1:13" ht="21.95" customHeight="1" x14ac:dyDescent="0.25">
      <c r="A2162" s="36" t="s">
        <v>2904</v>
      </c>
      <c r="B2162" s="36" t="str">
        <f t="shared" si="103"/>
        <v>TX_CASTRO COUNTY, TX</v>
      </c>
      <c r="D2162" s="265" t="s">
        <v>63</v>
      </c>
      <c r="E2162" s="266" t="s">
        <v>4902</v>
      </c>
      <c r="F2162" s="252">
        <f t="shared" si="105"/>
        <v>44450</v>
      </c>
      <c r="G2162" s="252">
        <f t="shared" si="105"/>
        <v>50800</v>
      </c>
      <c r="H2162" s="252">
        <f t="shared" si="105"/>
        <v>57150</v>
      </c>
      <c r="I2162" s="252">
        <f t="shared" si="105"/>
        <v>63500</v>
      </c>
      <c r="J2162" s="252">
        <f t="shared" si="105"/>
        <v>68600</v>
      </c>
      <c r="K2162" s="252">
        <f t="shared" si="105"/>
        <v>73700</v>
      </c>
      <c r="L2162" s="252">
        <f t="shared" si="105"/>
        <v>78750</v>
      </c>
      <c r="M2162" s="252">
        <f t="shared" si="105"/>
        <v>83850</v>
      </c>
    </row>
    <row r="2163" spans="1:13" ht="21.95" customHeight="1" x14ac:dyDescent="0.25">
      <c r="A2163" s="36" t="s">
        <v>2904</v>
      </c>
      <c r="B2163" s="36" t="str">
        <f t="shared" si="103"/>
        <v>TX_CHEROKEE COUNTY, TX</v>
      </c>
      <c r="D2163" s="265" t="s">
        <v>63</v>
      </c>
      <c r="E2163" s="266" t="s">
        <v>4903</v>
      </c>
      <c r="F2163" s="252">
        <f t="shared" si="105"/>
        <v>44450</v>
      </c>
      <c r="G2163" s="252">
        <f t="shared" si="105"/>
        <v>50800</v>
      </c>
      <c r="H2163" s="252">
        <f t="shared" si="105"/>
        <v>57150</v>
      </c>
      <c r="I2163" s="252">
        <f t="shared" si="105"/>
        <v>63500</v>
      </c>
      <c r="J2163" s="252">
        <f t="shared" si="105"/>
        <v>68600</v>
      </c>
      <c r="K2163" s="252">
        <f t="shared" si="105"/>
        <v>73700</v>
      </c>
      <c r="L2163" s="252">
        <f t="shared" si="105"/>
        <v>78750</v>
      </c>
      <c r="M2163" s="252">
        <f t="shared" si="105"/>
        <v>83850</v>
      </c>
    </row>
    <row r="2164" spans="1:13" ht="21.95" customHeight="1" x14ac:dyDescent="0.25">
      <c r="A2164" s="36" t="s">
        <v>2904</v>
      </c>
      <c r="B2164" s="36" t="str">
        <f t="shared" si="103"/>
        <v>TX_CHILDRESS COUNTY, TX</v>
      </c>
      <c r="D2164" s="265" t="s">
        <v>63</v>
      </c>
      <c r="E2164" s="266" t="s">
        <v>4904</v>
      </c>
      <c r="F2164" s="252">
        <f t="shared" si="105"/>
        <v>44450</v>
      </c>
      <c r="G2164" s="252">
        <f t="shared" si="105"/>
        <v>50800</v>
      </c>
      <c r="H2164" s="252">
        <f t="shared" si="105"/>
        <v>57150</v>
      </c>
      <c r="I2164" s="252">
        <f t="shared" si="105"/>
        <v>63500</v>
      </c>
      <c r="J2164" s="252">
        <f t="shared" si="105"/>
        <v>68600</v>
      </c>
      <c r="K2164" s="252">
        <f t="shared" si="105"/>
        <v>73700</v>
      </c>
      <c r="L2164" s="252">
        <f t="shared" si="105"/>
        <v>78750</v>
      </c>
      <c r="M2164" s="252">
        <f t="shared" si="105"/>
        <v>83850</v>
      </c>
    </row>
    <row r="2165" spans="1:13" ht="21.95" customHeight="1" x14ac:dyDescent="0.25">
      <c r="A2165" s="36" t="s">
        <v>2904</v>
      </c>
      <c r="B2165" s="36" t="str">
        <f t="shared" si="103"/>
        <v>TX_COCHRAN COUNTY, TX HUD METRO FMR AREA</v>
      </c>
      <c r="D2165" s="265" t="s">
        <v>63</v>
      </c>
      <c r="E2165" s="266" t="s">
        <v>9263</v>
      </c>
      <c r="F2165" s="252">
        <f t="shared" si="105"/>
        <v>44450</v>
      </c>
      <c r="G2165" s="252">
        <f t="shared" si="105"/>
        <v>50800</v>
      </c>
      <c r="H2165" s="252">
        <f t="shared" si="105"/>
        <v>57150</v>
      </c>
      <c r="I2165" s="252">
        <f t="shared" si="105"/>
        <v>63500</v>
      </c>
      <c r="J2165" s="252">
        <f t="shared" si="105"/>
        <v>68600</v>
      </c>
      <c r="K2165" s="252">
        <f t="shared" si="105"/>
        <v>73700</v>
      </c>
      <c r="L2165" s="252">
        <f t="shared" si="105"/>
        <v>78750</v>
      </c>
      <c r="M2165" s="252">
        <f t="shared" si="105"/>
        <v>83850</v>
      </c>
    </row>
    <row r="2166" spans="1:13" ht="21.95" customHeight="1" x14ac:dyDescent="0.25">
      <c r="A2166" s="36" t="s">
        <v>2904</v>
      </c>
      <c r="B2166" s="36" t="str">
        <f t="shared" si="103"/>
        <v>TX_COKE COUNTY, TX</v>
      </c>
      <c r="D2166" s="265" t="s">
        <v>63</v>
      </c>
      <c r="E2166" s="266" t="s">
        <v>4905</v>
      </c>
      <c r="F2166" s="252">
        <f t="shared" si="105"/>
        <v>44450</v>
      </c>
      <c r="G2166" s="252">
        <f t="shared" si="105"/>
        <v>50800</v>
      </c>
      <c r="H2166" s="252">
        <f t="shared" si="105"/>
        <v>57150</v>
      </c>
      <c r="I2166" s="252">
        <f t="shared" si="105"/>
        <v>63500</v>
      </c>
      <c r="J2166" s="252">
        <f t="shared" si="105"/>
        <v>68600</v>
      </c>
      <c r="K2166" s="252">
        <f t="shared" si="105"/>
        <v>73700</v>
      </c>
      <c r="L2166" s="252">
        <f t="shared" si="105"/>
        <v>78750</v>
      </c>
      <c r="M2166" s="252">
        <f t="shared" si="105"/>
        <v>83850</v>
      </c>
    </row>
    <row r="2167" spans="1:13" ht="21.95" customHeight="1" x14ac:dyDescent="0.25">
      <c r="A2167" s="36" t="s">
        <v>2904</v>
      </c>
      <c r="B2167" s="36" t="str">
        <f t="shared" si="103"/>
        <v>TX_COLEMAN COUNTY, TX</v>
      </c>
      <c r="D2167" s="265" t="s">
        <v>63</v>
      </c>
      <c r="E2167" s="266" t="s">
        <v>4906</v>
      </c>
      <c r="F2167" s="252">
        <f t="shared" si="105"/>
        <v>44450</v>
      </c>
      <c r="G2167" s="252">
        <f t="shared" si="105"/>
        <v>50800</v>
      </c>
      <c r="H2167" s="252">
        <f t="shared" si="105"/>
        <v>57150</v>
      </c>
      <c r="I2167" s="252">
        <f t="shared" si="105"/>
        <v>63500</v>
      </c>
      <c r="J2167" s="252">
        <f t="shared" si="105"/>
        <v>68600</v>
      </c>
      <c r="K2167" s="252">
        <f t="shared" si="105"/>
        <v>73700</v>
      </c>
      <c r="L2167" s="252">
        <f t="shared" si="105"/>
        <v>78750</v>
      </c>
      <c r="M2167" s="252">
        <f t="shared" si="105"/>
        <v>83850</v>
      </c>
    </row>
    <row r="2168" spans="1:13" ht="21.95" customHeight="1" x14ac:dyDescent="0.25">
      <c r="A2168" s="36" t="s">
        <v>2904</v>
      </c>
      <c r="B2168" s="36" t="str">
        <f t="shared" si="103"/>
        <v>TX_COLLEGE STATION-BRYAN, TX MSA</v>
      </c>
      <c r="D2168" s="265" t="s">
        <v>63</v>
      </c>
      <c r="E2168" s="266" t="s">
        <v>4907</v>
      </c>
      <c r="F2168" s="252">
        <f t="shared" si="105"/>
        <v>49600</v>
      </c>
      <c r="G2168" s="252">
        <f t="shared" si="105"/>
        <v>56650</v>
      </c>
      <c r="H2168" s="252">
        <f t="shared" si="105"/>
        <v>63750</v>
      </c>
      <c r="I2168" s="252">
        <f t="shared" si="105"/>
        <v>70800</v>
      </c>
      <c r="J2168" s="252">
        <f t="shared" si="105"/>
        <v>76500</v>
      </c>
      <c r="K2168" s="252">
        <f t="shared" si="105"/>
        <v>82150</v>
      </c>
      <c r="L2168" s="252">
        <f t="shared" si="105"/>
        <v>87800</v>
      </c>
      <c r="M2168" s="252">
        <f t="shared" si="105"/>
        <v>93500</v>
      </c>
    </row>
    <row r="2169" spans="1:13" ht="21.95" customHeight="1" x14ac:dyDescent="0.25">
      <c r="A2169" s="36" t="s">
        <v>2904</v>
      </c>
      <c r="B2169" s="36" t="str">
        <f t="shared" si="103"/>
        <v>TX_COLLINGSWORTH COUNTY, TX</v>
      </c>
      <c r="D2169" s="265" t="s">
        <v>63</v>
      </c>
      <c r="E2169" s="266" t="s">
        <v>4908</v>
      </c>
      <c r="F2169" s="252">
        <f t="shared" si="105"/>
        <v>44450</v>
      </c>
      <c r="G2169" s="252">
        <f t="shared" si="105"/>
        <v>50800</v>
      </c>
      <c r="H2169" s="252">
        <f t="shared" si="105"/>
        <v>57150</v>
      </c>
      <c r="I2169" s="252">
        <f t="shared" si="105"/>
        <v>63500</v>
      </c>
      <c r="J2169" s="252">
        <f t="shared" si="105"/>
        <v>68600</v>
      </c>
      <c r="K2169" s="252">
        <f t="shared" si="105"/>
        <v>73700</v>
      </c>
      <c r="L2169" s="252">
        <f t="shared" si="105"/>
        <v>78750</v>
      </c>
      <c r="M2169" s="252">
        <f t="shared" si="105"/>
        <v>83850</v>
      </c>
    </row>
    <row r="2170" spans="1:13" ht="21.95" customHeight="1" x14ac:dyDescent="0.25">
      <c r="A2170" s="36" t="s">
        <v>2904</v>
      </c>
      <c r="B2170" s="36" t="str">
        <f t="shared" si="103"/>
        <v>TX_COLORADO COUNTY, TX</v>
      </c>
      <c r="D2170" s="265" t="s">
        <v>63</v>
      </c>
      <c r="E2170" s="266" t="s">
        <v>4909</v>
      </c>
      <c r="F2170" s="252">
        <f t="shared" si="105"/>
        <v>47800</v>
      </c>
      <c r="G2170" s="252">
        <f t="shared" si="105"/>
        <v>54600</v>
      </c>
      <c r="H2170" s="252">
        <f t="shared" si="105"/>
        <v>61450</v>
      </c>
      <c r="I2170" s="252">
        <f t="shared" si="105"/>
        <v>68250</v>
      </c>
      <c r="J2170" s="252">
        <f t="shared" si="105"/>
        <v>73750</v>
      </c>
      <c r="K2170" s="252">
        <f t="shared" si="105"/>
        <v>79200</v>
      </c>
      <c r="L2170" s="252">
        <f t="shared" si="105"/>
        <v>84650</v>
      </c>
      <c r="M2170" s="252">
        <f t="shared" si="105"/>
        <v>90100</v>
      </c>
    </row>
    <row r="2171" spans="1:13" ht="21.95" customHeight="1" x14ac:dyDescent="0.25">
      <c r="A2171" s="36" t="s">
        <v>2904</v>
      </c>
      <c r="B2171" s="36" t="str">
        <f t="shared" si="103"/>
        <v>TX_COMANCHE COUNTY, TX</v>
      </c>
      <c r="D2171" s="265" t="s">
        <v>63</v>
      </c>
      <c r="E2171" s="266" t="s">
        <v>4910</v>
      </c>
      <c r="F2171" s="252">
        <f t="shared" si="105"/>
        <v>48500</v>
      </c>
      <c r="G2171" s="252">
        <f t="shared" si="105"/>
        <v>55400</v>
      </c>
      <c r="H2171" s="252">
        <f t="shared" si="105"/>
        <v>62350</v>
      </c>
      <c r="I2171" s="252">
        <f t="shared" si="105"/>
        <v>69250</v>
      </c>
      <c r="J2171" s="252">
        <f t="shared" si="105"/>
        <v>74800</v>
      </c>
      <c r="K2171" s="252">
        <f t="shared" si="105"/>
        <v>80350</v>
      </c>
      <c r="L2171" s="252">
        <f t="shared" si="105"/>
        <v>85900</v>
      </c>
      <c r="M2171" s="252">
        <f t="shared" si="105"/>
        <v>91450</v>
      </c>
    </row>
    <row r="2172" spans="1:13" ht="21.95" customHeight="1" x14ac:dyDescent="0.25">
      <c r="A2172" s="36" t="s">
        <v>2904</v>
      </c>
      <c r="B2172" s="36" t="str">
        <f t="shared" ref="B2172:B2235" si="106">UPPER(TRIM(D2172)&amp;"_"&amp;TRIM(E2172))</f>
        <v>TX_CONCHO COUNTY, TX</v>
      </c>
      <c r="D2172" s="265" t="s">
        <v>63</v>
      </c>
      <c r="E2172" s="266" t="s">
        <v>4911</v>
      </c>
      <c r="F2172" s="252">
        <f t="shared" si="105"/>
        <v>44450</v>
      </c>
      <c r="G2172" s="252">
        <f t="shared" si="105"/>
        <v>50800</v>
      </c>
      <c r="H2172" s="252">
        <f t="shared" si="105"/>
        <v>57150</v>
      </c>
      <c r="I2172" s="252">
        <f t="shared" si="105"/>
        <v>63500</v>
      </c>
      <c r="J2172" s="252">
        <f t="shared" si="105"/>
        <v>68600</v>
      </c>
      <c r="K2172" s="252">
        <f t="shared" si="105"/>
        <v>73700</v>
      </c>
      <c r="L2172" s="252">
        <f t="shared" si="105"/>
        <v>78750</v>
      </c>
      <c r="M2172" s="252">
        <f t="shared" si="105"/>
        <v>83850</v>
      </c>
    </row>
    <row r="2173" spans="1:13" ht="21.95" customHeight="1" x14ac:dyDescent="0.25">
      <c r="A2173" s="36" t="s">
        <v>2904</v>
      </c>
      <c r="B2173" s="36" t="str">
        <f t="shared" si="106"/>
        <v>TX_COOKE COUNTY, TX</v>
      </c>
      <c r="D2173" s="265" t="s">
        <v>63</v>
      </c>
      <c r="E2173" s="266" t="s">
        <v>4912</v>
      </c>
      <c r="F2173" s="252">
        <f t="shared" si="105"/>
        <v>55200</v>
      </c>
      <c r="G2173" s="252">
        <f t="shared" si="105"/>
        <v>63050</v>
      </c>
      <c r="H2173" s="252">
        <f t="shared" si="105"/>
        <v>70950</v>
      </c>
      <c r="I2173" s="252">
        <f t="shared" si="105"/>
        <v>78800</v>
      </c>
      <c r="J2173" s="252">
        <f t="shared" si="105"/>
        <v>85150</v>
      </c>
      <c r="K2173" s="252">
        <f t="shared" si="105"/>
        <v>91450</v>
      </c>
      <c r="L2173" s="252">
        <f t="shared" si="105"/>
        <v>97750</v>
      </c>
      <c r="M2173" s="252">
        <f t="shared" si="105"/>
        <v>104050</v>
      </c>
    </row>
    <row r="2174" spans="1:13" ht="21.95" customHeight="1" x14ac:dyDescent="0.25">
      <c r="A2174" s="36" t="s">
        <v>2904</v>
      </c>
      <c r="B2174" s="36" t="str">
        <f t="shared" si="106"/>
        <v>TX_CORPUS CHRISTI, TX HUD METRO FMR AREA</v>
      </c>
      <c r="D2174" s="265" t="s">
        <v>63</v>
      </c>
      <c r="E2174" s="266" t="s">
        <v>9268</v>
      </c>
      <c r="F2174" s="252">
        <f t="shared" si="105"/>
        <v>46350</v>
      </c>
      <c r="G2174" s="252">
        <f t="shared" si="105"/>
        <v>52950</v>
      </c>
      <c r="H2174" s="252">
        <f t="shared" si="105"/>
        <v>59550</v>
      </c>
      <c r="I2174" s="252">
        <f t="shared" si="105"/>
        <v>66150</v>
      </c>
      <c r="J2174" s="252">
        <f t="shared" si="105"/>
        <v>71450</v>
      </c>
      <c r="K2174" s="252">
        <f t="shared" si="105"/>
        <v>76750</v>
      </c>
      <c r="L2174" s="252">
        <f t="shared" si="105"/>
        <v>82050</v>
      </c>
      <c r="M2174" s="252">
        <f t="shared" si="105"/>
        <v>87350</v>
      </c>
    </row>
    <row r="2175" spans="1:13" ht="21.95" customHeight="1" x14ac:dyDescent="0.25">
      <c r="A2175" s="36" t="s">
        <v>2904</v>
      </c>
      <c r="B2175" s="36" t="str">
        <f t="shared" si="106"/>
        <v>TX_COTTLE COUNTY, TX</v>
      </c>
      <c r="D2175" s="265" t="s">
        <v>63</v>
      </c>
      <c r="E2175" s="266" t="s">
        <v>4913</v>
      </c>
      <c r="F2175" s="252">
        <f t="shared" si="105"/>
        <v>44450</v>
      </c>
      <c r="G2175" s="252">
        <f t="shared" si="105"/>
        <v>50800</v>
      </c>
      <c r="H2175" s="252">
        <f t="shared" si="105"/>
        <v>57150</v>
      </c>
      <c r="I2175" s="252">
        <f t="shared" si="105"/>
        <v>63500</v>
      </c>
      <c r="J2175" s="252">
        <f t="shared" si="105"/>
        <v>68600</v>
      </c>
      <c r="K2175" s="252">
        <f t="shared" si="105"/>
        <v>73700</v>
      </c>
      <c r="L2175" s="252">
        <f t="shared" si="105"/>
        <v>78750</v>
      </c>
      <c r="M2175" s="252">
        <f t="shared" si="105"/>
        <v>83850</v>
      </c>
    </row>
    <row r="2176" spans="1:13" ht="21.95" customHeight="1" x14ac:dyDescent="0.25">
      <c r="A2176" s="36" t="s">
        <v>2904</v>
      </c>
      <c r="B2176" s="36" t="str">
        <f t="shared" si="106"/>
        <v>TX_CRANE COUNTY, TX</v>
      </c>
      <c r="D2176" s="265" t="s">
        <v>63</v>
      </c>
      <c r="E2176" s="266" t="s">
        <v>4914</v>
      </c>
      <c r="F2176" s="252">
        <f t="shared" si="105"/>
        <v>50250</v>
      </c>
      <c r="G2176" s="252">
        <f t="shared" si="105"/>
        <v>57400</v>
      </c>
      <c r="H2176" s="252">
        <f t="shared" si="105"/>
        <v>64600</v>
      </c>
      <c r="I2176" s="252">
        <f t="shared" si="105"/>
        <v>71750</v>
      </c>
      <c r="J2176" s="252">
        <f t="shared" si="105"/>
        <v>77500</v>
      </c>
      <c r="K2176" s="252">
        <f t="shared" si="105"/>
        <v>83250</v>
      </c>
      <c r="L2176" s="252">
        <f t="shared" si="105"/>
        <v>89000</v>
      </c>
      <c r="M2176" s="252">
        <f t="shared" si="105"/>
        <v>94750</v>
      </c>
    </row>
    <row r="2177" spans="1:13" ht="21.95" customHeight="1" x14ac:dyDescent="0.25">
      <c r="A2177" s="36" t="s">
        <v>2904</v>
      </c>
      <c r="B2177" s="36" t="str">
        <f t="shared" si="106"/>
        <v>TX_CROCKETT COUNTY, TX</v>
      </c>
      <c r="D2177" s="265" t="s">
        <v>63</v>
      </c>
      <c r="E2177" s="266" t="s">
        <v>4915</v>
      </c>
      <c r="F2177" s="252">
        <f t="shared" si="105"/>
        <v>44450</v>
      </c>
      <c r="G2177" s="252">
        <f t="shared" si="105"/>
        <v>50800</v>
      </c>
      <c r="H2177" s="252">
        <f t="shared" si="105"/>
        <v>57150</v>
      </c>
      <c r="I2177" s="252">
        <f t="shared" si="105"/>
        <v>63500</v>
      </c>
      <c r="J2177" s="252">
        <f t="shared" si="105"/>
        <v>68600</v>
      </c>
      <c r="K2177" s="252">
        <f t="shared" si="105"/>
        <v>73700</v>
      </c>
      <c r="L2177" s="252">
        <f t="shared" ref="F2177:M2209" si="107">VLOOKUP($B2177,LOOKUP_AMI_TABLE,5+((L$7-1)),FALSE)</f>
        <v>78750</v>
      </c>
      <c r="M2177" s="252">
        <f t="shared" si="107"/>
        <v>83850</v>
      </c>
    </row>
    <row r="2178" spans="1:13" ht="21.95" customHeight="1" x14ac:dyDescent="0.25">
      <c r="A2178" s="36" t="s">
        <v>2904</v>
      </c>
      <c r="B2178" s="36" t="str">
        <f t="shared" si="106"/>
        <v>TX_CULBERSON COUNTY, TX</v>
      </c>
      <c r="D2178" s="265" t="s">
        <v>63</v>
      </c>
      <c r="E2178" s="266" t="s">
        <v>4916</v>
      </c>
      <c r="F2178" s="252">
        <f t="shared" si="107"/>
        <v>44450</v>
      </c>
      <c r="G2178" s="252">
        <f t="shared" si="107"/>
        <v>50800</v>
      </c>
      <c r="H2178" s="252">
        <f t="shared" si="107"/>
        <v>57150</v>
      </c>
      <c r="I2178" s="252">
        <f t="shared" si="107"/>
        <v>63500</v>
      </c>
      <c r="J2178" s="252">
        <f t="shared" si="107"/>
        <v>68600</v>
      </c>
      <c r="K2178" s="252">
        <f t="shared" si="107"/>
        <v>73700</v>
      </c>
      <c r="L2178" s="252">
        <f t="shared" si="107"/>
        <v>78750</v>
      </c>
      <c r="M2178" s="252">
        <f t="shared" si="107"/>
        <v>83850</v>
      </c>
    </row>
    <row r="2179" spans="1:13" ht="21.95" customHeight="1" x14ac:dyDescent="0.25">
      <c r="A2179" s="36" t="s">
        <v>2904</v>
      </c>
      <c r="B2179" s="36" t="str">
        <f t="shared" si="106"/>
        <v>TX_DALLAM COUNTY, TX</v>
      </c>
      <c r="D2179" s="265" t="s">
        <v>63</v>
      </c>
      <c r="E2179" s="266" t="s">
        <v>4917</v>
      </c>
      <c r="F2179" s="252">
        <f t="shared" si="107"/>
        <v>49150</v>
      </c>
      <c r="G2179" s="252">
        <f t="shared" si="107"/>
        <v>56200</v>
      </c>
      <c r="H2179" s="252">
        <f t="shared" si="107"/>
        <v>63200</v>
      </c>
      <c r="I2179" s="252">
        <f t="shared" si="107"/>
        <v>70200</v>
      </c>
      <c r="J2179" s="252">
        <f t="shared" si="107"/>
        <v>75850</v>
      </c>
      <c r="K2179" s="252">
        <f t="shared" si="107"/>
        <v>81450</v>
      </c>
      <c r="L2179" s="252">
        <f t="shared" si="107"/>
        <v>87050</v>
      </c>
      <c r="M2179" s="252">
        <f t="shared" si="107"/>
        <v>92700</v>
      </c>
    </row>
    <row r="2180" spans="1:13" ht="21.95" customHeight="1" x14ac:dyDescent="0.25">
      <c r="A2180" s="36" t="s">
        <v>2904</v>
      </c>
      <c r="B2180" s="36" t="str">
        <f t="shared" si="106"/>
        <v>TX_DALLAS, TX HUD METRO FMR AREA</v>
      </c>
      <c r="D2180" s="265" t="s">
        <v>63</v>
      </c>
      <c r="E2180" s="266" t="s">
        <v>4918</v>
      </c>
      <c r="F2180" s="252">
        <f t="shared" si="107"/>
        <v>65700</v>
      </c>
      <c r="G2180" s="252">
        <f t="shared" si="107"/>
        <v>75100</v>
      </c>
      <c r="H2180" s="252">
        <f t="shared" si="107"/>
        <v>84500</v>
      </c>
      <c r="I2180" s="252">
        <f t="shared" si="107"/>
        <v>93850</v>
      </c>
      <c r="J2180" s="252">
        <f t="shared" si="107"/>
        <v>101400</v>
      </c>
      <c r="K2180" s="252">
        <f t="shared" si="107"/>
        <v>108900</v>
      </c>
      <c r="L2180" s="252">
        <f t="shared" si="107"/>
        <v>116400</v>
      </c>
      <c r="M2180" s="252">
        <f t="shared" si="107"/>
        <v>123900</v>
      </c>
    </row>
    <row r="2181" spans="1:13" ht="21.95" customHeight="1" x14ac:dyDescent="0.25">
      <c r="A2181" s="36" t="s">
        <v>2904</v>
      </c>
      <c r="B2181" s="36" t="str">
        <f t="shared" si="106"/>
        <v>TX_DAWSON COUNTY, TX</v>
      </c>
      <c r="D2181" s="265" t="s">
        <v>63</v>
      </c>
      <c r="E2181" s="266" t="s">
        <v>4919</v>
      </c>
      <c r="F2181" s="252">
        <f t="shared" si="107"/>
        <v>44450</v>
      </c>
      <c r="G2181" s="252">
        <f t="shared" si="107"/>
        <v>50800</v>
      </c>
      <c r="H2181" s="252">
        <f t="shared" si="107"/>
        <v>57150</v>
      </c>
      <c r="I2181" s="252">
        <f t="shared" si="107"/>
        <v>63500</v>
      </c>
      <c r="J2181" s="252">
        <f t="shared" si="107"/>
        <v>68600</v>
      </c>
      <c r="K2181" s="252">
        <f t="shared" si="107"/>
        <v>73700</v>
      </c>
      <c r="L2181" s="252">
        <f t="shared" si="107"/>
        <v>78750</v>
      </c>
      <c r="M2181" s="252">
        <f t="shared" si="107"/>
        <v>83850</v>
      </c>
    </row>
    <row r="2182" spans="1:13" ht="21.95" customHeight="1" x14ac:dyDescent="0.25">
      <c r="A2182" s="36" t="s">
        <v>2904</v>
      </c>
      <c r="B2182" s="36" t="str">
        <f t="shared" si="106"/>
        <v>TX_DEAF SMITH COUNTY, TX</v>
      </c>
      <c r="D2182" s="265" t="s">
        <v>63</v>
      </c>
      <c r="E2182" s="266" t="s">
        <v>4920</v>
      </c>
      <c r="F2182" s="252">
        <f t="shared" si="107"/>
        <v>44450</v>
      </c>
      <c r="G2182" s="252">
        <f t="shared" si="107"/>
        <v>50800</v>
      </c>
      <c r="H2182" s="252">
        <f t="shared" si="107"/>
        <v>57150</v>
      </c>
      <c r="I2182" s="252">
        <f t="shared" si="107"/>
        <v>63500</v>
      </c>
      <c r="J2182" s="252">
        <f t="shared" si="107"/>
        <v>68600</v>
      </c>
      <c r="K2182" s="252">
        <f t="shared" si="107"/>
        <v>73700</v>
      </c>
      <c r="L2182" s="252">
        <f t="shared" si="107"/>
        <v>78750</v>
      </c>
      <c r="M2182" s="252">
        <f t="shared" si="107"/>
        <v>83850</v>
      </c>
    </row>
    <row r="2183" spans="1:13" ht="21.95" customHeight="1" x14ac:dyDescent="0.25">
      <c r="A2183" s="36" t="s">
        <v>2904</v>
      </c>
      <c r="B2183" s="36" t="str">
        <f t="shared" si="106"/>
        <v>TX_DELTA COUNTY, TX</v>
      </c>
      <c r="D2183" s="265" t="s">
        <v>63</v>
      </c>
      <c r="E2183" s="266" t="s">
        <v>4921</v>
      </c>
      <c r="F2183" s="252">
        <f t="shared" si="107"/>
        <v>48500</v>
      </c>
      <c r="G2183" s="252">
        <f t="shared" si="107"/>
        <v>55400</v>
      </c>
      <c r="H2183" s="252">
        <f t="shared" si="107"/>
        <v>62350</v>
      </c>
      <c r="I2183" s="252">
        <f t="shared" si="107"/>
        <v>69250</v>
      </c>
      <c r="J2183" s="252">
        <f t="shared" si="107"/>
        <v>74800</v>
      </c>
      <c r="K2183" s="252">
        <f t="shared" si="107"/>
        <v>80350</v>
      </c>
      <c r="L2183" s="252">
        <f t="shared" si="107"/>
        <v>85900</v>
      </c>
      <c r="M2183" s="252">
        <f t="shared" si="107"/>
        <v>91450</v>
      </c>
    </row>
    <row r="2184" spans="1:13" ht="21.95" customHeight="1" x14ac:dyDescent="0.25">
      <c r="A2184" s="36" t="s">
        <v>2904</v>
      </c>
      <c r="B2184" s="36" t="str">
        <f t="shared" si="106"/>
        <v>TX_DEWITT COUNTY, TX</v>
      </c>
      <c r="D2184" s="265" t="s">
        <v>63</v>
      </c>
      <c r="E2184" s="266" t="s">
        <v>4922</v>
      </c>
      <c r="F2184" s="252">
        <f t="shared" si="107"/>
        <v>44450</v>
      </c>
      <c r="G2184" s="252">
        <f t="shared" si="107"/>
        <v>50800</v>
      </c>
      <c r="H2184" s="252">
        <f t="shared" si="107"/>
        <v>57150</v>
      </c>
      <c r="I2184" s="252">
        <f t="shared" si="107"/>
        <v>63500</v>
      </c>
      <c r="J2184" s="252">
        <f t="shared" si="107"/>
        <v>68600</v>
      </c>
      <c r="K2184" s="252">
        <f t="shared" si="107"/>
        <v>73700</v>
      </c>
      <c r="L2184" s="252">
        <f t="shared" si="107"/>
        <v>78750</v>
      </c>
      <c r="M2184" s="252">
        <f t="shared" si="107"/>
        <v>83850</v>
      </c>
    </row>
    <row r="2185" spans="1:13" ht="21.95" customHeight="1" x14ac:dyDescent="0.25">
      <c r="A2185" s="36" t="s">
        <v>2904</v>
      </c>
      <c r="B2185" s="36" t="str">
        <f t="shared" si="106"/>
        <v>TX_DICKENS COUNTY, TX</v>
      </c>
      <c r="D2185" s="265" t="s">
        <v>63</v>
      </c>
      <c r="E2185" s="266" t="s">
        <v>4923</v>
      </c>
      <c r="F2185" s="252">
        <f t="shared" si="107"/>
        <v>44450</v>
      </c>
      <c r="G2185" s="252">
        <f t="shared" si="107"/>
        <v>50800</v>
      </c>
      <c r="H2185" s="252">
        <f t="shared" si="107"/>
        <v>57150</v>
      </c>
      <c r="I2185" s="252">
        <f t="shared" si="107"/>
        <v>63500</v>
      </c>
      <c r="J2185" s="252">
        <f t="shared" si="107"/>
        <v>68600</v>
      </c>
      <c r="K2185" s="252">
        <f t="shared" si="107"/>
        <v>73700</v>
      </c>
      <c r="L2185" s="252">
        <f t="shared" si="107"/>
        <v>78750</v>
      </c>
      <c r="M2185" s="252">
        <f t="shared" si="107"/>
        <v>83850</v>
      </c>
    </row>
    <row r="2186" spans="1:13" ht="21.95" customHeight="1" x14ac:dyDescent="0.25">
      <c r="A2186" s="36" t="s">
        <v>2904</v>
      </c>
      <c r="B2186" s="36" t="str">
        <f t="shared" si="106"/>
        <v>TX_DIMMIT COUNTY, TX</v>
      </c>
      <c r="D2186" s="265" t="s">
        <v>63</v>
      </c>
      <c r="E2186" s="266" t="s">
        <v>4924</v>
      </c>
      <c r="F2186" s="252">
        <f t="shared" si="107"/>
        <v>44450</v>
      </c>
      <c r="G2186" s="252">
        <f t="shared" si="107"/>
        <v>50800</v>
      </c>
      <c r="H2186" s="252">
        <f t="shared" si="107"/>
        <v>57150</v>
      </c>
      <c r="I2186" s="252">
        <f t="shared" si="107"/>
        <v>63500</v>
      </c>
      <c r="J2186" s="252">
        <f t="shared" si="107"/>
        <v>68600</v>
      </c>
      <c r="K2186" s="252">
        <f t="shared" si="107"/>
        <v>73700</v>
      </c>
      <c r="L2186" s="252">
        <f t="shared" si="107"/>
        <v>78750</v>
      </c>
      <c r="M2186" s="252">
        <f t="shared" si="107"/>
        <v>83850</v>
      </c>
    </row>
    <row r="2187" spans="1:13" ht="21.95" customHeight="1" x14ac:dyDescent="0.25">
      <c r="A2187" s="36" t="s">
        <v>2904</v>
      </c>
      <c r="B2187" s="36" t="str">
        <f t="shared" si="106"/>
        <v>TX_DONLEY COUNTY, TX</v>
      </c>
      <c r="D2187" s="265" t="s">
        <v>63</v>
      </c>
      <c r="E2187" s="266" t="s">
        <v>4925</v>
      </c>
      <c r="F2187" s="252">
        <f t="shared" si="107"/>
        <v>47250</v>
      </c>
      <c r="G2187" s="252">
        <f t="shared" si="107"/>
        <v>54000</v>
      </c>
      <c r="H2187" s="252">
        <f t="shared" si="107"/>
        <v>60750</v>
      </c>
      <c r="I2187" s="252">
        <f t="shared" si="107"/>
        <v>67500</v>
      </c>
      <c r="J2187" s="252">
        <f t="shared" si="107"/>
        <v>72900</v>
      </c>
      <c r="K2187" s="252">
        <f t="shared" si="107"/>
        <v>78300</v>
      </c>
      <c r="L2187" s="252">
        <f t="shared" si="107"/>
        <v>83700</v>
      </c>
      <c r="M2187" s="252">
        <f t="shared" si="107"/>
        <v>89100</v>
      </c>
    </row>
    <row r="2188" spans="1:13" ht="21.95" customHeight="1" x14ac:dyDescent="0.25">
      <c r="A2188" s="36" t="s">
        <v>2904</v>
      </c>
      <c r="B2188" s="36" t="str">
        <f t="shared" si="106"/>
        <v>TX_DUVAL COUNTY, TX</v>
      </c>
      <c r="D2188" s="265" t="s">
        <v>63</v>
      </c>
      <c r="E2188" s="266" t="s">
        <v>4926</v>
      </c>
      <c r="F2188" s="252">
        <f t="shared" si="107"/>
        <v>44450</v>
      </c>
      <c r="G2188" s="252">
        <f t="shared" si="107"/>
        <v>50800</v>
      </c>
      <c r="H2188" s="252">
        <f t="shared" si="107"/>
        <v>57150</v>
      </c>
      <c r="I2188" s="252">
        <f t="shared" si="107"/>
        <v>63500</v>
      </c>
      <c r="J2188" s="252">
        <f t="shared" si="107"/>
        <v>68600</v>
      </c>
      <c r="K2188" s="252">
        <f t="shared" si="107"/>
        <v>73700</v>
      </c>
      <c r="L2188" s="252">
        <f t="shared" si="107"/>
        <v>78750</v>
      </c>
      <c r="M2188" s="252">
        <f t="shared" si="107"/>
        <v>83850</v>
      </c>
    </row>
    <row r="2189" spans="1:13" ht="21.95" customHeight="1" x14ac:dyDescent="0.25">
      <c r="A2189" s="36" t="s">
        <v>2904</v>
      </c>
      <c r="B2189" s="36" t="str">
        <f t="shared" si="106"/>
        <v>TX_EAGLE PASS, TX MSA</v>
      </c>
      <c r="D2189" s="265" t="s">
        <v>63</v>
      </c>
      <c r="E2189" s="266" t="s">
        <v>9267</v>
      </c>
      <c r="F2189" s="252">
        <f t="shared" si="107"/>
        <v>44450</v>
      </c>
      <c r="G2189" s="252">
        <f t="shared" si="107"/>
        <v>50800</v>
      </c>
      <c r="H2189" s="252">
        <f t="shared" si="107"/>
        <v>57150</v>
      </c>
      <c r="I2189" s="252">
        <f t="shared" si="107"/>
        <v>63500</v>
      </c>
      <c r="J2189" s="252">
        <f t="shared" si="107"/>
        <v>68600</v>
      </c>
      <c r="K2189" s="252">
        <f t="shared" si="107"/>
        <v>73700</v>
      </c>
      <c r="L2189" s="252">
        <f t="shared" si="107"/>
        <v>78750</v>
      </c>
      <c r="M2189" s="252">
        <f t="shared" si="107"/>
        <v>83850</v>
      </c>
    </row>
    <row r="2190" spans="1:13" ht="21.95" customHeight="1" x14ac:dyDescent="0.25">
      <c r="A2190" s="36" t="s">
        <v>2904</v>
      </c>
      <c r="B2190" s="36" t="str">
        <f t="shared" si="106"/>
        <v>TX_EASTLAND COUNTY, TX</v>
      </c>
      <c r="D2190" s="265" t="s">
        <v>63</v>
      </c>
      <c r="E2190" s="266" t="s">
        <v>4927</v>
      </c>
      <c r="F2190" s="252">
        <f t="shared" si="107"/>
        <v>44450</v>
      </c>
      <c r="G2190" s="252">
        <f t="shared" si="107"/>
        <v>50800</v>
      </c>
      <c r="H2190" s="252">
        <f t="shared" si="107"/>
        <v>57150</v>
      </c>
      <c r="I2190" s="252">
        <f t="shared" si="107"/>
        <v>63500</v>
      </c>
      <c r="J2190" s="252">
        <f t="shared" si="107"/>
        <v>68600</v>
      </c>
      <c r="K2190" s="252">
        <f t="shared" si="107"/>
        <v>73700</v>
      </c>
      <c r="L2190" s="252">
        <f t="shared" si="107"/>
        <v>78750</v>
      </c>
      <c r="M2190" s="252">
        <f t="shared" si="107"/>
        <v>83850</v>
      </c>
    </row>
    <row r="2191" spans="1:13" ht="21.95" customHeight="1" x14ac:dyDescent="0.25">
      <c r="A2191" s="36" t="s">
        <v>2904</v>
      </c>
      <c r="B2191" s="36" t="str">
        <f t="shared" si="106"/>
        <v>TX_EDWARDS COUNTY, TX</v>
      </c>
      <c r="D2191" s="265" t="s">
        <v>63</v>
      </c>
      <c r="E2191" s="266" t="s">
        <v>4928</v>
      </c>
      <c r="F2191" s="252">
        <f t="shared" si="107"/>
        <v>44450</v>
      </c>
      <c r="G2191" s="252">
        <f t="shared" si="107"/>
        <v>50800</v>
      </c>
      <c r="H2191" s="252">
        <f t="shared" si="107"/>
        <v>57150</v>
      </c>
      <c r="I2191" s="252">
        <f t="shared" si="107"/>
        <v>63500</v>
      </c>
      <c r="J2191" s="252">
        <f t="shared" si="107"/>
        <v>68600</v>
      </c>
      <c r="K2191" s="252">
        <f t="shared" si="107"/>
        <v>73700</v>
      </c>
      <c r="L2191" s="252">
        <f t="shared" si="107"/>
        <v>78750</v>
      </c>
      <c r="M2191" s="252">
        <f t="shared" si="107"/>
        <v>83850</v>
      </c>
    </row>
    <row r="2192" spans="1:13" ht="21.95" customHeight="1" x14ac:dyDescent="0.25">
      <c r="A2192" s="36" t="s">
        <v>2904</v>
      </c>
      <c r="B2192" s="36" t="str">
        <f t="shared" si="106"/>
        <v>TX_EL PASO, TX HUD METRO FMR AREA</v>
      </c>
      <c r="D2192" s="265" t="s">
        <v>63</v>
      </c>
      <c r="E2192" s="266" t="s">
        <v>4929</v>
      </c>
      <c r="F2192" s="252">
        <f t="shared" si="107"/>
        <v>44450</v>
      </c>
      <c r="G2192" s="252">
        <f t="shared" si="107"/>
        <v>50800</v>
      </c>
      <c r="H2192" s="252">
        <f t="shared" si="107"/>
        <v>57150</v>
      </c>
      <c r="I2192" s="252">
        <f t="shared" si="107"/>
        <v>63500</v>
      </c>
      <c r="J2192" s="252">
        <f t="shared" si="107"/>
        <v>68600</v>
      </c>
      <c r="K2192" s="252">
        <f t="shared" si="107"/>
        <v>73700</v>
      </c>
      <c r="L2192" s="252">
        <f t="shared" si="107"/>
        <v>78750</v>
      </c>
      <c r="M2192" s="252">
        <f t="shared" si="107"/>
        <v>83850</v>
      </c>
    </row>
    <row r="2193" spans="1:13" ht="21.95" customHeight="1" x14ac:dyDescent="0.25">
      <c r="A2193" s="36" t="s">
        <v>2904</v>
      </c>
      <c r="B2193" s="36" t="str">
        <f t="shared" si="106"/>
        <v>TX_ERATH COUNTY, TX</v>
      </c>
      <c r="D2193" s="265" t="s">
        <v>63</v>
      </c>
      <c r="E2193" s="266" t="s">
        <v>4930</v>
      </c>
      <c r="F2193" s="252">
        <f t="shared" si="107"/>
        <v>51650</v>
      </c>
      <c r="G2193" s="252">
        <f t="shared" si="107"/>
        <v>59000</v>
      </c>
      <c r="H2193" s="252">
        <f t="shared" si="107"/>
        <v>66400</v>
      </c>
      <c r="I2193" s="252">
        <f t="shared" si="107"/>
        <v>73750</v>
      </c>
      <c r="J2193" s="252">
        <f t="shared" si="107"/>
        <v>79650</v>
      </c>
      <c r="K2193" s="252">
        <f t="shared" si="107"/>
        <v>85550</v>
      </c>
      <c r="L2193" s="252">
        <f t="shared" si="107"/>
        <v>91450</v>
      </c>
      <c r="M2193" s="252">
        <f t="shared" si="107"/>
        <v>97350</v>
      </c>
    </row>
    <row r="2194" spans="1:13" ht="21.95" customHeight="1" x14ac:dyDescent="0.25">
      <c r="A2194" s="36" t="s">
        <v>2904</v>
      </c>
      <c r="B2194" s="36" t="str">
        <f t="shared" si="106"/>
        <v>TX_FALLS COUNTY, TX HUD METRO FMR AREA</v>
      </c>
      <c r="D2194" s="265" t="s">
        <v>63</v>
      </c>
      <c r="E2194" s="266" t="s">
        <v>4931</v>
      </c>
      <c r="F2194" s="252">
        <f t="shared" si="107"/>
        <v>44450</v>
      </c>
      <c r="G2194" s="252">
        <f t="shared" si="107"/>
        <v>50800</v>
      </c>
      <c r="H2194" s="252">
        <f t="shared" si="107"/>
        <v>57150</v>
      </c>
      <c r="I2194" s="252">
        <f t="shared" si="107"/>
        <v>63500</v>
      </c>
      <c r="J2194" s="252">
        <f t="shared" si="107"/>
        <v>68600</v>
      </c>
      <c r="K2194" s="252">
        <f t="shared" si="107"/>
        <v>73700</v>
      </c>
      <c r="L2194" s="252">
        <f t="shared" si="107"/>
        <v>78750</v>
      </c>
      <c r="M2194" s="252">
        <f t="shared" si="107"/>
        <v>83850</v>
      </c>
    </row>
    <row r="2195" spans="1:13" ht="21.95" customHeight="1" x14ac:dyDescent="0.25">
      <c r="A2195" s="36" t="s">
        <v>2904</v>
      </c>
      <c r="B2195" s="36" t="str">
        <f t="shared" si="106"/>
        <v>TX_FANNIN COUNTY, TX</v>
      </c>
      <c r="D2195" s="265" t="s">
        <v>63</v>
      </c>
      <c r="E2195" s="266" t="s">
        <v>4932</v>
      </c>
      <c r="F2195" s="252">
        <f t="shared" si="107"/>
        <v>50650</v>
      </c>
      <c r="G2195" s="252">
        <f t="shared" si="107"/>
        <v>57850</v>
      </c>
      <c r="H2195" s="252">
        <f t="shared" si="107"/>
        <v>65100</v>
      </c>
      <c r="I2195" s="252">
        <f t="shared" si="107"/>
        <v>72300</v>
      </c>
      <c r="J2195" s="252">
        <f t="shared" si="107"/>
        <v>78100</v>
      </c>
      <c r="K2195" s="252">
        <f t="shared" si="107"/>
        <v>83900</v>
      </c>
      <c r="L2195" s="252">
        <f t="shared" si="107"/>
        <v>89700</v>
      </c>
      <c r="M2195" s="252">
        <f t="shared" si="107"/>
        <v>95450</v>
      </c>
    </row>
    <row r="2196" spans="1:13" ht="21.95" customHeight="1" x14ac:dyDescent="0.25">
      <c r="A2196" s="36" t="s">
        <v>2904</v>
      </c>
      <c r="B2196" s="36" t="str">
        <f t="shared" si="106"/>
        <v>TX_FAYETTE COUNTY, TX</v>
      </c>
      <c r="D2196" s="265" t="s">
        <v>63</v>
      </c>
      <c r="E2196" s="266" t="s">
        <v>4933</v>
      </c>
      <c r="F2196" s="252">
        <f t="shared" si="107"/>
        <v>57200</v>
      </c>
      <c r="G2196" s="252">
        <f t="shared" si="107"/>
        <v>65400</v>
      </c>
      <c r="H2196" s="252">
        <f t="shared" si="107"/>
        <v>73550</v>
      </c>
      <c r="I2196" s="252">
        <f t="shared" si="107"/>
        <v>81700</v>
      </c>
      <c r="J2196" s="252">
        <f t="shared" si="107"/>
        <v>88250</v>
      </c>
      <c r="K2196" s="252">
        <f t="shared" si="107"/>
        <v>94800</v>
      </c>
      <c r="L2196" s="252">
        <f t="shared" si="107"/>
        <v>101350</v>
      </c>
      <c r="M2196" s="252">
        <f t="shared" si="107"/>
        <v>107850</v>
      </c>
    </row>
    <row r="2197" spans="1:13" ht="21.95" customHeight="1" x14ac:dyDescent="0.25">
      <c r="A2197" s="36" t="s">
        <v>2904</v>
      </c>
      <c r="B2197" s="36" t="str">
        <f t="shared" si="106"/>
        <v>TX_FISHER COUNTY, TX</v>
      </c>
      <c r="D2197" s="265" t="s">
        <v>63</v>
      </c>
      <c r="E2197" s="266" t="s">
        <v>4934</v>
      </c>
      <c r="F2197" s="252">
        <f t="shared" si="107"/>
        <v>45850</v>
      </c>
      <c r="G2197" s="252">
        <f t="shared" si="107"/>
        <v>52400</v>
      </c>
      <c r="H2197" s="252">
        <f t="shared" si="107"/>
        <v>58950</v>
      </c>
      <c r="I2197" s="252">
        <f t="shared" si="107"/>
        <v>65500</v>
      </c>
      <c r="J2197" s="252">
        <f t="shared" si="107"/>
        <v>70750</v>
      </c>
      <c r="K2197" s="252">
        <f t="shared" si="107"/>
        <v>76000</v>
      </c>
      <c r="L2197" s="252">
        <f t="shared" si="107"/>
        <v>81250</v>
      </c>
      <c r="M2197" s="252">
        <f t="shared" si="107"/>
        <v>86500</v>
      </c>
    </row>
    <row r="2198" spans="1:13" ht="21.95" customHeight="1" x14ac:dyDescent="0.25">
      <c r="A2198" s="36" t="s">
        <v>2904</v>
      </c>
      <c r="B2198" s="36" t="str">
        <f t="shared" si="106"/>
        <v>TX_FLOYD COUNTY, TX</v>
      </c>
      <c r="D2198" s="265" t="s">
        <v>63</v>
      </c>
      <c r="E2198" s="266" t="s">
        <v>4935</v>
      </c>
      <c r="F2198" s="252">
        <f t="shared" si="107"/>
        <v>44450</v>
      </c>
      <c r="G2198" s="252">
        <f t="shared" si="107"/>
        <v>50800</v>
      </c>
      <c r="H2198" s="252">
        <f t="shared" si="107"/>
        <v>57150</v>
      </c>
      <c r="I2198" s="252">
        <f t="shared" si="107"/>
        <v>63500</v>
      </c>
      <c r="J2198" s="252">
        <f t="shared" si="107"/>
        <v>68600</v>
      </c>
      <c r="K2198" s="252">
        <f t="shared" si="107"/>
        <v>73700</v>
      </c>
      <c r="L2198" s="252">
        <f t="shared" si="107"/>
        <v>78750</v>
      </c>
      <c r="M2198" s="252">
        <f t="shared" si="107"/>
        <v>83850</v>
      </c>
    </row>
    <row r="2199" spans="1:13" ht="21.95" customHeight="1" x14ac:dyDescent="0.25">
      <c r="A2199" s="36" t="s">
        <v>2904</v>
      </c>
      <c r="B2199" s="36" t="str">
        <f t="shared" si="106"/>
        <v>TX_FOARD COUNTY, TX</v>
      </c>
      <c r="D2199" s="265" t="s">
        <v>63</v>
      </c>
      <c r="E2199" s="266" t="s">
        <v>4936</v>
      </c>
      <c r="F2199" s="252">
        <f t="shared" si="107"/>
        <v>44450</v>
      </c>
      <c r="G2199" s="252">
        <f t="shared" si="107"/>
        <v>50800</v>
      </c>
      <c r="H2199" s="252">
        <f t="shared" si="107"/>
        <v>57150</v>
      </c>
      <c r="I2199" s="252">
        <f t="shared" si="107"/>
        <v>63500</v>
      </c>
      <c r="J2199" s="252">
        <f t="shared" si="107"/>
        <v>68600</v>
      </c>
      <c r="K2199" s="252">
        <f t="shared" si="107"/>
        <v>73700</v>
      </c>
      <c r="L2199" s="252">
        <f t="shared" si="107"/>
        <v>78750</v>
      </c>
      <c r="M2199" s="252">
        <f t="shared" si="107"/>
        <v>83850</v>
      </c>
    </row>
    <row r="2200" spans="1:13" ht="21.95" customHeight="1" x14ac:dyDescent="0.25">
      <c r="A2200" s="36" t="s">
        <v>2904</v>
      </c>
      <c r="B2200" s="36" t="str">
        <f t="shared" si="106"/>
        <v>TX_FORT WORTH-ARLINGTON, TX HUD METRO FMR AREA</v>
      </c>
      <c r="D2200" s="265" t="s">
        <v>63</v>
      </c>
      <c r="E2200" s="266" t="s">
        <v>4937</v>
      </c>
      <c r="F2200" s="252">
        <f t="shared" si="107"/>
        <v>59750</v>
      </c>
      <c r="G2200" s="252">
        <f t="shared" si="107"/>
        <v>68300</v>
      </c>
      <c r="H2200" s="252">
        <f t="shared" si="107"/>
        <v>76850</v>
      </c>
      <c r="I2200" s="252">
        <f t="shared" si="107"/>
        <v>85350</v>
      </c>
      <c r="J2200" s="252">
        <f t="shared" si="107"/>
        <v>92200</v>
      </c>
      <c r="K2200" s="252">
        <f t="shared" si="107"/>
        <v>99050</v>
      </c>
      <c r="L2200" s="252">
        <f t="shared" si="107"/>
        <v>105850</v>
      </c>
      <c r="M2200" s="252">
        <f t="shared" si="107"/>
        <v>112700</v>
      </c>
    </row>
    <row r="2201" spans="1:13" ht="21.95" customHeight="1" x14ac:dyDescent="0.25">
      <c r="A2201" s="36" t="s">
        <v>2904</v>
      </c>
      <c r="B2201" s="36" t="str">
        <f t="shared" si="106"/>
        <v>TX_FRANKLIN COUNTY, TX</v>
      </c>
      <c r="D2201" s="265" t="s">
        <v>63</v>
      </c>
      <c r="E2201" s="266" t="s">
        <v>4938</v>
      </c>
      <c r="F2201" s="252">
        <f t="shared" si="107"/>
        <v>46100</v>
      </c>
      <c r="G2201" s="252">
        <f t="shared" si="107"/>
        <v>52700</v>
      </c>
      <c r="H2201" s="252">
        <f t="shared" si="107"/>
        <v>59300</v>
      </c>
      <c r="I2201" s="252">
        <f t="shared" si="107"/>
        <v>65850</v>
      </c>
      <c r="J2201" s="252">
        <f t="shared" si="107"/>
        <v>71150</v>
      </c>
      <c r="K2201" s="252">
        <f t="shared" si="107"/>
        <v>76400</v>
      </c>
      <c r="L2201" s="252">
        <f t="shared" si="107"/>
        <v>81700</v>
      </c>
      <c r="M2201" s="252">
        <f t="shared" si="107"/>
        <v>86950</v>
      </c>
    </row>
    <row r="2202" spans="1:13" ht="21.95" customHeight="1" x14ac:dyDescent="0.25">
      <c r="A2202" s="36" t="s">
        <v>2904</v>
      </c>
      <c r="B2202" s="36" t="str">
        <f t="shared" si="106"/>
        <v>TX_FREESTONE COUNTY, TX</v>
      </c>
      <c r="D2202" s="265" t="s">
        <v>63</v>
      </c>
      <c r="E2202" s="266" t="s">
        <v>4939</v>
      </c>
      <c r="F2202" s="252">
        <f t="shared" si="107"/>
        <v>49100</v>
      </c>
      <c r="G2202" s="252">
        <f t="shared" si="107"/>
        <v>56100</v>
      </c>
      <c r="H2202" s="252">
        <f t="shared" si="107"/>
        <v>63100</v>
      </c>
      <c r="I2202" s="252">
        <f t="shared" si="107"/>
        <v>70100</v>
      </c>
      <c r="J2202" s="252">
        <f t="shared" si="107"/>
        <v>75750</v>
      </c>
      <c r="K2202" s="252">
        <f t="shared" si="107"/>
        <v>81350</v>
      </c>
      <c r="L2202" s="252">
        <f t="shared" si="107"/>
        <v>86950</v>
      </c>
      <c r="M2202" s="252">
        <f t="shared" si="107"/>
        <v>92550</v>
      </c>
    </row>
    <row r="2203" spans="1:13" ht="21.95" customHeight="1" x14ac:dyDescent="0.25">
      <c r="A2203" s="36" t="s">
        <v>2904</v>
      </c>
      <c r="B2203" s="36" t="str">
        <f t="shared" si="106"/>
        <v>TX_FRIO COUNTY, TX</v>
      </c>
      <c r="D2203" s="265" t="s">
        <v>63</v>
      </c>
      <c r="E2203" s="266" t="s">
        <v>4940</v>
      </c>
      <c r="F2203" s="252">
        <f t="shared" si="107"/>
        <v>44450</v>
      </c>
      <c r="G2203" s="252">
        <f t="shared" si="107"/>
        <v>50800</v>
      </c>
      <c r="H2203" s="252">
        <f t="shared" si="107"/>
        <v>57150</v>
      </c>
      <c r="I2203" s="252">
        <f t="shared" si="107"/>
        <v>63500</v>
      </c>
      <c r="J2203" s="252">
        <f t="shared" si="107"/>
        <v>68600</v>
      </c>
      <c r="K2203" s="252">
        <f t="shared" si="107"/>
        <v>73700</v>
      </c>
      <c r="L2203" s="252">
        <f t="shared" si="107"/>
        <v>78750</v>
      </c>
      <c r="M2203" s="252">
        <f t="shared" si="107"/>
        <v>83850</v>
      </c>
    </row>
    <row r="2204" spans="1:13" ht="21.95" customHeight="1" x14ac:dyDescent="0.25">
      <c r="A2204" s="36" t="s">
        <v>2904</v>
      </c>
      <c r="B2204" s="36" t="str">
        <f t="shared" si="106"/>
        <v>TX_GAINES COUNTY, TX</v>
      </c>
      <c r="D2204" s="265" t="s">
        <v>63</v>
      </c>
      <c r="E2204" s="266" t="s">
        <v>4941</v>
      </c>
      <c r="F2204" s="252">
        <f t="shared" si="107"/>
        <v>54000</v>
      </c>
      <c r="G2204" s="252">
        <f t="shared" si="107"/>
        <v>61700</v>
      </c>
      <c r="H2204" s="252">
        <f t="shared" si="107"/>
        <v>69400</v>
      </c>
      <c r="I2204" s="252">
        <f t="shared" si="107"/>
        <v>77100</v>
      </c>
      <c r="J2204" s="252">
        <f t="shared" si="107"/>
        <v>83300</v>
      </c>
      <c r="K2204" s="252">
        <f t="shared" si="107"/>
        <v>89450</v>
      </c>
      <c r="L2204" s="252">
        <f t="shared" si="107"/>
        <v>95650</v>
      </c>
      <c r="M2204" s="252">
        <f t="shared" si="107"/>
        <v>101800</v>
      </c>
    </row>
    <row r="2205" spans="1:13" ht="21.95" customHeight="1" x14ac:dyDescent="0.25">
      <c r="A2205" s="36" t="s">
        <v>2904</v>
      </c>
      <c r="B2205" s="36" t="str">
        <f t="shared" si="106"/>
        <v>TX_GARZA COUNTY, TX HUD METRO FMR AREA</v>
      </c>
      <c r="D2205" s="265" t="s">
        <v>63</v>
      </c>
      <c r="E2205" s="266" t="s">
        <v>9264</v>
      </c>
      <c r="F2205" s="252">
        <f t="shared" si="107"/>
        <v>50050</v>
      </c>
      <c r="G2205" s="252">
        <f t="shared" si="107"/>
        <v>57200</v>
      </c>
      <c r="H2205" s="252">
        <f t="shared" si="107"/>
        <v>64350</v>
      </c>
      <c r="I2205" s="252">
        <f t="shared" si="107"/>
        <v>71450</v>
      </c>
      <c r="J2205" s="252">
        <f t="shared" si="107"/>
        <v>77200</v>
      </c>
      <c r="K2205" s="252">
        <f t="shared" si="107"/>
        <v>82900</v>
      </c>
      <c r="L2205" s="252">
        <f t="shared" si="107"/>
        <v>88600</v>
      </c>
      <c r="M2205" s="252">
        <f t="shared" si="107"/>
        <v>94350</v>
      </c>
    </row>
    <row r="2206" spans="1:13" ht="21.95" customHeight="1" x14ac:dyDescent="0.25">
      <c r="A2206" s="36" t="s">
        <v>2904</v>
      </c>
      <c r="B2206" s="36" t="str">
        <f t="shared" si="106"/>
        <v>TX_GILLESPIE COUNTY, TX</v>
      </c>
      <c r="D2206" s="265" t="s">
        <v>63</v>
      </c>
      <c r="E2206" s="266" t="s">
        <v>4942</v>
      </c>
      <c r="F2206" s="252">
        <f t="shared" si="107"/>
        <v>56650</v>
      </c>
      <c r="G2206" s="252">
        <f t="shared" si="107"/>
        <v>64750</v>
      </c>
      <c r="H2206" s="252">
        <f t="shared" si="107"/>
        <v>72850</v>
      </c>
      <c r="I2206" s="252">
        <f t="shared" si="107"/>
        <v>80900</v>
      </c>
      <c r="J2206" s="252">
        <f t="shared" si="107"/>
        <v>87400</v>
      </c>
      <c r="K2206" s="252">
        <f t="shared" si="107"/>
        <v>93850</v>
      </c>
      <c r="L2206" s="252">
        <f t="shared" si="107"/>
        <v>100350</v>
      </c>
      <c r="M2206" s="252">
        <f t="shared" si="107"/>
        <v>106800</v>
      </c>
    </row>
    <row r="2207" spans="1:13" ht="21.95" customHeight="1" x14ac:dyDescent="0.25">
      <c r="A2207" s="36" t="s">
        <v>2904</v>
      </c>
      <c r="B2207" s="36" t="str">
        <f t="shared" si="106"/>
        <v>TX_GLASSCOCK COUNTY, TX</v>
      </c>
      <c r="D2207" s="265" t="s">
        <v>63</v>
      </c>
      <c r="E2207" s="266" t="s">
        <v>4943</v>
      </c>
      <c r="F2207" s="252">
        <f t="shared" si="107"/>
        <v>61950</v>
      </c>
      <c r="G2207" s="252">
        <f t="shared" si="107"/>
        <v>70800</v>
      </c>
      <c r="H2207" s="252">
        <f t="shared" si="107"/>
        <v>79650</v>
      </c>
      <c r="I2207" s="252">
        <f t="shared" si="107"/>
        <v>88500</v>
      </c>
      <c r="J2207" s="252">
        <f t="shared" si="107"/>
        <v>95600</v>
      </c>
      <c r="K2207" s="252">
        <f t="shared" si="107"/>
        <v>102700</v>
      </c>
      <c r="L2207" s="252">
        <f t="shared" si="107"/>
        <v>109750</v>
      </c>
      <c r="M2207" s="252">
        <f t="shared" si="107"/>
        <v>116850</v>
      </c>
    </row>
    <row r="2208" spans="1:13" ht="21.95" customHeight="1" x14ac:dyDescent="0.25">
      <c r="A2208" s="36" t="s">
        <v>2904</v>
      </c>
      <c r="B2208" s="36" t="str">
        <f t="shared" si="106"/>
        <v>TX_GONZALES COUNTY, TX</v>
      </c>
      <c r="D2208" s="265" t="s">
        <v>63</v>
      </c>
      <c r="E2208" s="266" t="s">
        <v>4944</v>
      </c>
      <c r="F2208" s="252">
        <f t="shared" si="107"/>
        <v>44450</v>
      </c>
      <c r="G2208" s="252">
        <f t="shared" si="107"/>
        <v>50800</v>
      </c>
      <c r="H2208" s="252">
        <f t="shared" si="107"/>
        <v>57150</v>
      </c>
      <c r="I2208" s="252">
        <f t="shared" si="107"/>
        <v>63500</v>
      </c>
      <c r="J2208" s="252">
        <f t="shared" si="107"/>
        <v>68600</v>
      </c>
      <c r="K2208" s="252">
        <f t="shared" si="107"/>
        <v>73700</v>
      </c>
      <c r="L2208" s="252">
        <f t="shared" si="107"/>
        <v>78750</v>
      </c>
      <c r="M2208" s="252">
        <f t="shared" si="107"/>
        <v>83850</v>
      </c>
    </row>
    <row r="2209" spans="1:13" ht="21.95" customHeight="1" x14ac:dyDescent="0.25">
      <c r="A2209" s="36" t="s">
        <v>2904</v>
      </c>
      <c r="B2209" s="36" t="str">
        <f t="shared" si="106"/>
        <v>TX_GRAY COUNTY, TX</v>
      </c>
      <c r="D2209" s="265" t="s">
        <v>63</v>
      </c>
      <c r="E2209" s="266" t="s">
        <v>4945</v>
      </c>
      <c r="F2209" s="252">
        <f t="shared" si="107"/>
        <v>44450</v>
      </c>
      <c r="G2209" s="252">
        <f t="shared" si="107"/>
        <v>50800</v>
      </c>
      <c r="H2209" s="252">
        <f t="shared" si="107"/>
        <v>57150</v>
      </c>
      <c r="I2209" s="252">
        <f t="shared" si="107"/>
        <v>63500</v>
      </c>
      <c r="J2209" s="252">
        <f t="shared" si="107"/>
        <v>68600</v>
      </c>
      <c r="K2209" s="252">
        <f t="shared" ref="F2209:M2241" si="108">VLOOKUP($B2209,LOOKUP_AMI_TABLE,5+((K$7-1)),FALSE)</f>
        <v>73700</v>
      </c>
      <c r="L2209" s="252">
        <f t="shared" si="108"/>
        <v>78750</v>
      </c>
      <c r="M2209" s="252">
        <f t="shared" si="108"/>
        <v>83850</v>
      </c>
    </row>
    <row r="2210" spans="1:13" ht="21.95" customHeight="1" x14ac:dyDescent="0.25">
      <c r="A2210" s="36" t="s">
        <v>2904</v>
      </c>
      <c r="B2210" s="36" t="str">
        <f t="shared" si="106"/>
        <v>TX_GRIMES COUNTY, TX</v>
      </c>
      <c r="D2210" s="265" t="s">
        <v>63</v>
      </c>
      <c r="E2210" s="266" t="s">
        <v>4946</v>
      </c>
      <c r="F2210" s="252">
        <f t="shared" si="108"/>
        <v>48900</v>
      </c>
      <c r="G2210" s="252">
        <f t="shared" si="108"/>
        <v>55900</v>
      </c>
      <c r="H2210" s="252">
        <f t="shared" si="108"/>
        <v>62900</v>
      </c>
      <c r="I2210" s="252">
        <f t="shared" si="108"/>
        <v>69850</v>
      </c>
      <c r="J2210" s="252">
        <f t="shared" si="108"/>
        <v>75450</v>
      </c>
      <c r="K2210" s="252">
        <f t="shared" si="108"/>
        <v>81050</v>
      </c>
      <c r="L2210" s="252">
        <f t="shared" si="108"/>
        <v>86650</v>
      </c>
      <c r="M2210" s="252">
        <f t="shared" si="108"/>
        <v>92250</v>
      </c>
    </row>
    <row r="2211" spans="1:13" ht="21.95" customHeight="1" x14ac:dyDescent="0.25">
      <c r="A2211" s="36" t="s">
        <v>2904</v>
      </c>
      <c r="B2211" s="36" t="str">
        <f t="shared" si="106"/>
        <v>TX_HALE COUNTY, TX</v>
      </c>
      <c r="D2211" s="265" t="s">
        <v>63</v>
      </c>
      <c r="E2211" s="266" t="s">
        <v>4947</v>
      </c>
      <c r="F2211" s="252">
        <f t="shared" si="108"/>
        <v>44450</v>
      </c>
      <c r="G2211" s="252">
        <f t="shared" si="108"/>
        <v>50800</v>
      </c>
      <c r="H2211" s="252">
        <f t="shared" si="108"/>
        <v>57150</v>
      </c>
      <c r="I2211" s="252">
        <f t="shared" si="108"/>
        <v>63500</v>
      </c>
      <c r="J2211" s="252">
        <f t="shared" si="108"/>
        <v>68600</v>
      </c>
      <c r="K2211" s="252">
        <f t="shared" si="108"/>
        <v>73700</v>
      </c>
      <c r="L2211" s="252">
        <f t="shared" si="108"/>
        <v>78750</v>
      </c>
      <c r="M2211" s="252">
        <f t="shared" si="108"/>
        <v>83850</v>
      </c>
    </row>
    <row r="2212" spans="1:13" ht="21.95" customHeight="1" x14ac:dyDescent="0.25">
      <c r="A2212" s="36" t="s">
        <v>2904</v>
      </c>
      <c r="B2212" s="36" t="str">
        <f t="shared" si="106"/>
        <v>TX_HALL COUNTY, TX</v>
      </c>
      <c r="D2212" s="265" t="s">
        <v>63</v>
      </c>
      <c r="E2212" s="266" t="s">
        <v>4948</v>
      </c>
      <c r="F2212" s="252">
        <f t="shared" si="108"/>
        <v>44450</v>
      </c>
      <c r="G2212" s="252">
        <f t="shared" si="108"/>
        <v>50800</v>
      </c>
      <c r="H2212" s="252">
        <f t="shared" si="108"/>
        <v>57150</v>
      </c>
      <c r="I2212" s="252">
        <f t="shared" si="108"/>
        <v>63500</v>
      </c>
      <c r="J2212" s="252">
        <f t="shared" si="108"/>
        <v>68600</v>
      </c>
      <c r="K2212" s="252">
        <f t="shared" si="108"/>
        <v>73700</v>
      </c>
      <c r="L2212" s="252">
        <f t="shared" si="108"/>
        <v>78750</v>
      </c>
      <c r="M2212" s="252">
        <f t="shared" si="108"/>
        <v>83850</v>
      </c>
    </row>
    <row r="2213" spans="1:13" ht="21.95" customHeight="1" x14ac:dyDescent="0.25">
      <c r="A2213" s="36" t="s">
        <v>2904</v>
      </c>
      <c r="B2213" s="36" t="str">
        <f t="shared" si="106"/>
        <v>TX_HAMILTON COUNTY, TX</v>
      </c>
      <c r="D2213" s="265" t="s">
        <v>63</v>
      </c>
      <c r="E2213" s="266" t="s">
        <v>4949</v>
      </c>
      <c r="F2213" s="252">
        <f t="shared" si="108"/>
        <v>46850</v>
      </c>
      <c r="G2213" s="252">
        <f t="shared" si="108"/>
        <v>53550</v>
      </c>
      <c r="H2213" s="252">
        <f t="shared" si="108"/>
        <v>60250</v>
      </c>
      <c r="I2213" s="252">
        <f t="shared" si="108"/>
        <v>66900</v>
      </c>
      <c r="J2213" s="252">
        <f t="shared" si="108"/>
        <v>72300</v>
      </c>
      <c r="K2213" s="252">
        <f t="shared" si="108"/>
        <v>77650</v>
      </c>
      <c r="L2213" s="252">
        <f t="shared" si="108"/>
        <v>83000</v>
      </c>
      <c r="M2213" s="252">
        <f t="shared" si="108"/>
        <v>88350</v>
      </c>
    </row>
    <row r="2214" spans="1:13" ht="21.95" customHeight="1" x14ac:dyDescent="0.25">
      <c r="A2214" s="36" t="s">
        <v>2904</v>
      </c>
      <c r="B2214" s="36" t="str">
        <f t="shared" si="106"/>
        <v>TX_HANSFORD COUNTY, TX</v>
      </c>
      <c r="D2214" s="265" t="s">
        <v>63</v>
      </c>
      <c r="E2214" s="266" t="s">
        <v>4950</v>
      </c>
      <c r="F2214" s="252">
        <f t="shared" si="108"/>
        <v>48500</v>
      </c>
      <c r="G2214" s="252">
        <f t="shared" si="108"/>
        <v>55400</v>
      </c>
      <c r="H2214" s="252">
        <f t="shared" si="108"/>
        <v>62350</v>
      </c>
      <c r="I2214" s="252">
        <f t="shared" si="108"/>
        <v>69250</v>
      </c>
      <c r="J2214" s="252">
        <f t="shared" si="108"/>
        <v>74800</v>
      </c>
      <c r="K2214" s="252">
        <f t="shared" si="108"/>
        <v>80350</v>
      </c>
      <c r="L2214" s="252">
        <f t="shared" si="108"/>
        <v>85900</v>
      </c>
      <c r="M2214" s="252">
        <f t="shared" si="108"/>
        <v>91450</v>
      </c>
    </row>
    <row r="2215" spans="1:13" ht="21.95" customHeight="1" x14ac:dyDescent="0.25">
      <c r="A2215" s="36" t="s">
        <v>2904</v>
      </c>
      <c r="B2215" s="36" t="str">
        <f t="shared" si="106"/>
        <v>TX_HARDEMAN COUNTY, TX</v>
      </c>
      <c r="D2215" s="265" t="s">
        <v>63</v>
      </c>
      <c r="E2215" s="266" t="s">
        <v>4951</v>
      </c>
      <c r="F2215" s="252">
        <f t="shared" si="108"/>
        <v>44450</v>
      </c>
      <c r="G2215" s="252">
        <f t="shared" si="108"/>
        <v>50800</v>
      </c>
      <c r="H2215" s="252">
        <f t="shared" si="108"/>
        <v>57150</v>
      </c>
      <c r="I2215" s="252">
        <f t="shared" si="108"/>
        <v>63500</v>
      </c>
      <c r="J2215" s="252">
        <f t="shared" si="108"/>
        <v>68600</v>
      </c>
      <c r="K2215" s="252">
        <f t="shared" si="108"/>
        <v>73700</v>
      </c>
      <c r="L2215" s="252">
        <f t="shared" si="108"/>
        <v>78750</v>
      </c>
      <c r="M2215" s="252">
        <f t="shared" si="108"/>
        <v>83850</v>
      </c>
    </row>
    <row r="2216" spans="1:13" ht="21.95" customHeight="1" x14ac:dyDescent="0.25">
      <c r="A2216" s="36" t="s">
        <v>2904</v>
      </c>
      <c r="B2216" s="36" t="str">
        <f t="shared" si="106"/>
        <v>TX_HARRISON COUNTY, TX HUD METRO FMR AREA</v>
      </c>
      <c r="D2216" s="265" t="s">
        <v>63</v>
      </c>
      <c r="E2216" s="266" t="s">
        <v>4952</v>
      </c>
      <c r="F2216" s="252">
        <f t="shared" si="108"/>
        <v>52750</v>
      </c>
      <c r="G2216" s="252">
        <f t="shared" si="108"/>
        <v>60250</v>
      </c>
      <c r="H2216" s="252">
        <f t="shared" si="108"/>
        <v>67800</v>
      </c>
      <c r="I2216" s="252">
        <f t="shared" si="108"/>
        <v>75300</v>
      </c>
      <c r="J2216" s="252">
        <f t="shared" si="108"/>
        <v>81350</v>
      </c>
      <c r="K2216" s="252">
        <f t="shared" si="108"/>
        <v>87350</v>
      </c>
      <c r="L2216" s="252">
        <f t="shared" si="108"/>
        <v>93400</v>
      </c>
      <c r="M2216" s="252">
        <f t="shared" si="108"/>
        <v>99400</v>
      </c>
    </row>
    <row r="2217" spans="1:13" ht="21.95" customHeight="1" x14ac:dyDescent="0.25">
      <c r="A2217" s="36" t="s">
        <v>2904</v>
      </c>
      <c r="B2217" s="36" t="str">
        <f t="shared" si="106"/>
        <v>TX_HARTLEY COUNTY, TX</v>
      </c>
      <c r="D2217" s="265" t="s">
        <v>63</v>
      </c>
      <c r="E2217" s="266" t="s">
        <v>4953</v>
      </c>
      <c r="F2217" s="252">
        <f t="shared" si="108"/>
        <v>53800</v>
      </c>
      <c r="G2217" s="252">
        <f t="shared" si="108"/>
        <v>61500</v>
      </c>
      <c r="H2217" s="252">
        <f t="shared" si="108"/>
        <v>69200</v>
      </c>
      <c r="I2217" s="252">
        <f t="shared" si="108"/>
        <v>76850</v>
      </c>
      <c r="J2217" s="252">
        <f t="shared" si="108"/>
        <v>83000</v>
      </c>
      <c r="K2217" s="252">
        <f t="shared" si="108"/>
        <v>89150</v>
      </c>
      <c r="L2217" s="252">
        <f t="shared" si="108"/>
        <v>95300</v>
      </c>
      <c r="M2217" s="252">
        <f t="shared" si="108"/>
        <v>101450</v>
      </c>
    </row>
    <row r="2218" spans="1:13" ht="21.95" customHeight="1" x14ac:dyDescent="0.25">
      <c r="A2218" s="36" t="s">
        <v>2904</v>
      </c>
      <c r="B2218" s="36" t="str">
        <f t="shared" si="106"/>
        <v>TX_HASKELL COUNTY, TX</v>
      </c>
      <c r="D2218" s="265" t="s">
        <v>63</v>
      </c>
      <c r="E2218" s="266" t="s">
        <v>4954</v>
      </c>
      <c r="F2218" s="252">
        <f t="shared" si="108"/>
        <v>44450</v>
      </c>
      <c r="G2218" s="252">
        <f t="shared" si="108"/>
        <v>50800</v>
      </c>
      <c r="H2218" s="252">
        <f t="shared" si="108"/>
        <v>57150</v>
      </c>
      <c r="I2218" s="252">
        <f t="shared" si="108"/>
        <v>63500</v>
      </c>
      <c r="J2218" s="252">
        <f t="shared" si="108"/>
        <v>68600</v>
      </c>
      <c r="K2218" s="252">
        <f t="shared" si="108"/>
        <v>73700</v>
      </c>
      <c r="L2218" s="252">
        <f t="shared" si="108"/>
        <v>78750</v>
      </c>
      <c r="M2218" s="252">
        <f t="shared" si="108"/>
        <v>83850</v>
      </c>
    </row>
    <row r="2219" spans="1:13" ht="21.95" customHeight="1" x14ac:dyDescent="0.25">
      <c r="A2219" s="36" t="s">
        <v>2904</v>
      </c>
      <c r="B2219" s="36" t="str">
        <f t="shared" si="106"/>
        <v>TX_HEMPHILL COUNTY, TX</v>
      </c>
      <c r="D2219" s="265" t="s">
        <v>63</v>
      </c>
      <c r="E2219" s="266" t="s">
        <v>4955</v>
      </c>
      <c r="F2219" s="252">
        <f t="shared" si="108"/>
        <v>58250</v>
      </c>
      <c r="G2219" s="252">
        <f t="shared" si="108"/>
        <v>66600</v>
      </c>
      <c r="H2219" s="252">
        <f t="shared" si="108"/>
        <v>74900</v>
      </c>
      <c r="I2219" s="252">
        <f t="shared" si="108"/>
        <v>83200</v>
      </c>
      <c r="J2219" s="252">
        <f t="shared" si="108"/>
        <v>89900</v>
      </c>
      <c r="K2219" s="252">
        <f t="shared" si="108"/>
        <v>96550</v>
      </c>
      <c r="L2219" s="252">
        <f t="shared" si="108"/>
        <v>103200</v>
      </c>
      <c r="M2219" s="252">
        <f t="shared" si="108"/>
        <v>109850</v>
      </c>
    </row>
    <row r="2220" spans="1:13" ht="21.95" customHeight="1" x14ac:dyDescent="0.25">
      <c r="A2220" s="36" t="s">
        <v>2904</v>
      </c>
      <c r="B2220" s="36" t="str">
        <f t="shared" si="106"/>
        <v>TX_HENDERSON COUNTY, TX</v>
      </c>
      <c r="D2220" s="265" t="s">
        <v>63</v>
      </c>
      <c r="E2220" s="266" t="s">
        <v>4956</v>
      </c>
      <c r="F2220" s="252">
        <f t="shared" si="108"/>
        <v>48500</v>
      </c>
      <c r="G2220" s="252">
        <f t="shared" si="108"/>
        <v>55400</v>
      </c>
      <c r="H2220" s="252">
        <f t="shared" si="108"/>
        <v>62350</v>
      </c>
      <c r="I2220" s="252">
        <f t="shared" si="108"/>
        <v>69250</v>
      </c>
      <c r="J2220" s="252">
        <f t="shared" si="108"/>
        <v>74800</v>
      </c>
      <c r="K2220" s="252">
        <f t="shared" si="108"/>
        <v>80350</v>
      </c>
      <c r="L2220" s="252">
        <f t="shared" si="108"/>
        <v>85900</v>
      </c>
      <c r="M2220" s="252">
        <f t="shared" si="108"/>
        <v>91450</v>
      </c>
    </row>
    <row r="2221" spans="1:13" ht="21.95" customHeight="1" x14ac:dyDescent="0.25">
      <c r="A2221" s="36" t="s">
        <v>2904</v>
      </c>
      <c r="B2221" s="36" t="str">
        <f t="shared" si="106"/>
        <v>TX_HILL COUNTY, TX</v>
      </c>
      <c r="D2221" s="265" t="s">
        <v>63</v>
      </c>
      <c r="E2221" s="266" t="s">
        <v>4957</v>
      </c>
      <c r="F2221" s="252">
        <f t="shared" si="108"/>
        <v>47500</v>
      </c>
      <c r="G2221" s="252">
        <f t="shared" si="108"/>
        <v>54300</v>
      </c>
      <c r="H2221" s="252">
        <f t="shared" si="108"/>
        <v>61100</v>
      </c>
      <c r="I2221" s="252">
        <f t="shared" si="108"/>
        <v>67850</v>
      </c>
      <c r="J2221" s="252">
        <f t="shared" si="108"/>
        <v>73300</v>
      </c>
      <c r="K2221" s="252">
        <f t="shared" si="108"/>
        <v>78750</v>
      </c>
      <c r="L2221" s="252">
        <f t="shared" si="108"/>
        <v>84150</v>
      </c>
      <c r="M2221" s="252">
        <f t="shared" si="108"/>
        <v>89600</v>
      </c>
    </row>
    <row r="2222" spans="1:13" ht="21.95" customHeight="1" x14ac:dyDescent="0.25">
      <c r="A2222" s="36" t="s">
        <v>2904</v>
      </c>
      <c r="B2222" s="36" t="str">
        <f t="shared" si="106"/>
        <v>TX_HOCKLEY COUNTY, TX HUD METRO FMR AREA</v>
      </c>
      <c r="D2222" s="265" t="s">
        <v>63</v>
      </c>
      <c r="E2222" s="266" t="s">
        <v>9265</v>
      </c>
      <c r="F2222" s="252">
        <f t="shared" si="108"/>
        <v>44450</v>
      </c>
      <c r="G2222" s="252">
        <f t="shared" si="108"/>
        <v>50800</v>
      </c>
      <c r="H2222" s="252">
        <f t="shared" si="108"/>
        <v>57150</v>
      </c>
      <c r="I2222" s="252">
        <f t="shared" si="108"/>
        <v>63500</v>
      </c>
      <c r="J2222" s="252">
        <f t="shared" si="108"/>
        <v>68600</v>
      </c>
      <c r="K2222" s="252">
        <f t="shared" si="108"/>
        <v>73700</v>
      </c>
      <c r="L2222" s="252">
        <f t="shared" si="108"/>
        <v>78750</v>
      </c>
      <c r="M2222" s="252">
        <f t="shared" si="108"/>
        <v>83850</v>
      </c>
    </row>
    <row r="2223" spans="1:13" ht="21.95" customHeight="1" x14ac:dyDescent="0.25">
      <c r="A2223" s="36" t="s">
        <v>2904</v>
      </c>
      <c r="B2223" s="36" t="str">
        <f t="shared" si="106"/>
        <v>TX_HOOD COUNTY, TX</v>
      </c>
      <c r="D2223" s="265" t="s">
        <v>63</v>
      </c>
      <c r="E2223" s="266" t="s">
        <v>4958</v>
      </c>
      <c r="F2223" s="252">
        <f t="shared" si="108"/>
        <v>54000</v>
      </c>
      <c r="G2223" s="252">
        <f t="shared" si="108"/>
        <v>61700</v>
      </c>
      <c r="H2223" s="252">
        <f t="shared" si="108"/>
        <v>69400</v>
      </c>
      <c r="I2223" s="252">
        <f t="shared" si="108"/>
        <v>77100</v>
      </c>
      <c r="J2223" s="252">
        <f t="shared" si="108"/>
        <v>83300</v>
      </c>
      <c r="K2223" s="252">
        <f t="shared" si="108"/>
        <v>89450</v>
      </c>
      <c r="L2223" s="252">
        <f t="shared" si="108"/>
        <v>95650</v>
      </c>
      <c r="M2223" s="252">
        <f t="shared" si="108"/>
        <v>101800</v>
      </c>
    </row>
    <row r="2224" spans="1:13" ht="21.95" customHeight="1" x14ac:dyDescent="0.25">
      <c r="A2224" s="36" t="s">
        <v>2904</v>
      </c>
      <c r="B2224" s="36" t="str">
        <f t="shared" si="106"/>
        <v>TX_HOPKINS COUNTY, TX</v>
      </c>
      <c r="D2224" s="265" t="s">
        <v>63</v>
      </c>
      <c r="E2224" s="266" t="s">
        <v>4959</v>
      </c>
      <c r="F2224" s="252">
        <f t="shared" si="108"/>
        <v>47800</v>
      </c>
      <c r="G2224" s="252">
        <f t="shared" si="108"/>
        <v>54600</v>
      </c>
      <c r="H2224" s="252">
        <f t="shared" si="108"/>
        <v>61450</v>
      </c>
      <c r="I2224" s="252">
        <f t="shared" si="108"/>
        <v>68250</v>
      </c>
      <c r="J2224" s="252">
        <f t="shared" si="108"/>
        <v>73750</v>
      </c>
      <c r="K2224" s="252">
        <f t="shared" si="108"/>
        <v>79200</v>
      </c>
      <c r="L2224" s="252">
        <f t="shared" si="108"/>
        <v>84650</v>
      </c>
      <c r="M2224" s="252">
        <f t="shared" si="108"/>
        <v>90100</v>
      </c>
    </row>
    <row r="2225" spans="1:13" ht="21.95" customHeight="1" x14ac:dyDescent="0.25">
      <c r="A2225" s="36" t="s">
        <v>2904</v>
      </c>
      <c r="B2225" s="36" t="str">
        <f t="shared" si="106"/>
        <v>TX_HOUSTON COUNTY, TX</v>
      </c>
      <c r="D2225" s="265" t="s">
        <v>63</v>
      </c>
      <c r="E2225" s="266" t="s">
        <v>4960</v>
      </c>
      <c r="F2225" s="252">
        <f t="shared" si="108"/>
        <v>44450</v>
      </c>
      <c r="G2225" s="252">
        <f t="shared" si="108"/>
        <v>50800</v>
      </c>
      <c r="H2225" s="252">
        <f t="shared" si="108"/>
        <v>57150</v>
      </c>
      <c r="I2225" s="252">
        <f t="shared" si="108"/>
        <v>63500</v>
      </c>
      <c r="J2225" s="252">
        <f t="shared" si="108"/>
        <v>68600</v>
      </c>
      <c r="K2225" s="252">
        <f t="shared" si="108"/>
        <v>73700</v>
      </c>
      <c r="L2225" s="252">
        <f t="shared" si="108"/>
        <v>78750</v>
      </c>
      <c r="M2225" s="252">
        <f t="shared" si="108"/>
        <v>83850</v>
      </c>
    </row>
    <row r="2226" spans="1:13" ht="21.95" customHeight="1" x14ac:dyDescent="0.25">
      <c r="A2226" s="36" t="s">
        <v>2904</v>
      </c>
      <c r="B2226" s="36" t="str">
        <f t="shared" si="106"/>
        <v>TX_HOUSTON-THE WOODLANDS-SUGAR LAND, TX HUD METRO FMR AREA</v>
      </c>
      <c r="D2226" s="265" t="s">
        <v>63</v>
      </c>
      <c r="E2226" s="266" t="s">
        <v>4961</v>
      </c>
      <c r="F2226" s="252">
        <f t="shared" si="108"/>
        <v>56650</v>
      </c>
      <c r="G2226" s="252">
        <f t="shared" si="108"/>
        <v>64750</v>
      </c>
      <c r="H2226" s="252">
        <f t="shared" si="108"/>
        <v>72850</v>
      </c>
      <c r="I2226" s="252">
        <f t="shared" si="108"/>
        <v>80900</v>
      </c>
      <c r="J2226" s="252">
        <f t="shared" si="108"/>
        <v>87400</v>
      </c>
      <c r="K2226" s="252">
        <f t="shared" si="108"/>
        <v>93850</v>
      </c>
      <c r="L2226" s="252">
        <f t="shared" si="108"/>
        <v>100350</v>
      </c>
      <c r="M2226" s="252">
        <f t="shared" si="108"/>
        <v>106800</v>
      </c>
    </row>
    <row r="2227" spans="1:13" ht="21.95" customHeight="1" x14ac:dyDescent="0.25">
      <c r="A2227" s="36" t="s">
        <v>2904</v>
      </c>
      <c r="B2227" s="36" t="str">
        <f t="shared" si="106"/>
        <v>TX_HOWARD COUNTY, TX</v>
      </c>
      <c r="D2227" s="265" t="s">
        <v>63</v>
      </c>
      <c r="E2227" s="266" t="s">
        <v>4962</v>
      </c>
      <c r="F2227" s="252">
        <f t="shared" si="108"/>
        <v>50450</v>
      </c>
      <c r="G2227" s="252">
        <f t="shared" si="108"/>
        <v>57650</v>
      </c>
      <c r="H2227" s="252">
        <f t="shared" si="108"/>
        <v>64850</v>
      </c>
      <c r="I2227" s="252">
        <f t="shared" si="108"/>
        <v>72050</v>
      </c>
      <c r="J2227" s="252">
        <f t="shared" si="108"/>
        <v>77850</v>
      </c>
      <c r="K2227" s="252">
        <f t="shared" si="108"/>
        <v>83600</v>
      </c>
      <c r="L2227" s="252">
        <f t="shared" si="108"/>
        <v>89350</v>
      </c>
      <c r="M2227" s="252">
        <f t="shared" si="108"/>
        <v>95150</v>
      </c>
    </row>
    <row r="2228" spans="1:13" ht="21.95" customHeight="1" x14ac:dyDescent="0.25">
      <c r="A2228" s="36" t="s">
        <v>2904</v>
      </c>
      <c r="B2228" s="36" t="str">
        <f t="shared" si="106"/>
        <v>TX_HUDSPETH COUNTY, TX HUD METRO FMR AREA</v>
      </c>
      <c r="D2228" s="265" t="s">
        <v>63</v>
      </c>
      <c r="E2228" s="266" t="s">
        <v>4963</v>
      </c>
      <c r="F2228" s="252">
        <f t="shared" si="108"/>
        <v>44450</v>
      </c>
      <c r="G2228" s="252">
        <f t="shared" si="108"/>
        <v>50800</v>
      </c>
      <c r="H2228" s="252">
        <f t="shared" si="108"/>
        <v>57150</v>
      </c>
      <c r="I2228" s="252">
        <f t="shared" si="108"/>
        <v>63500</v>
      </c>
      <c r="J2228" s="252">
        <f t="shared" si="108"/>
        <v>68600</v>
      </c>
      <c r="K2228" s="252">
        <f t="shared" si="108"/>
        <v>73700</v>
      </c>
      <c r="L2228" s="252">
        <f t="shared" si="108"/>
        <v>78750</v>
      </c>
      <c r="M2228" s="252">
        <f t="shared" si="108"/>
        <v>83850</v>
      </c>
    </row>
    <row r="2229" spans="1:13" ht="21.95" customHeight="1" x14ac:dyDescent="0.25">
      <c r="A2229" s="36" t="s">
        <v>2904</v>
      </c>
      <c r="B2229" s="36" t="str">
        <f t="shared" si="106"/>
        <v>TX_HUTCHINSON COUNTY, TX</v>
      </c>
      <c r="D2229" s="265" t="s">
        <v>63</v>
      </c>
      <c r="E2229" s="266" t="s">
        <v>4964</v>
      </c>
      <c r="F2229" s="252">
        <f t="shared" si="108"/>
        <v>50050</v>
      </c>
      <c r="G2229" s="252">
        <f t="shared" si="108"/>
        <v>57200</v>
      </c>
      <c r="H2229" s="252">
        <f t="shared" si="108"/>
        <v>64350</v>
      </c>
      <c r="I2229" s="252">
        <f t="shared" si="108"/>
        <v>71450</v>
      </c>
      <c r="J2229" s="252">
        <f t="shared" si="108"/>
        <v>77200</v>
      </c>
      <c r="K2229" s="252">
        <f t="shared" si="108"/>
        <v>82900</v>
      </c>
      <c r="L2229" s="252">
        <f t="shared" si="108"/>
        <v>88600</v>
      </c>
      <c r="M2229" s="252">
        <f t="shared" si="108"/>
        <v>94350</v>
      </c>
    </row>
    <row r="2230" spans="1:13" ht="21.95" customHeight="1" x14ac:dyDescent="0.25">
      <c r="A2230" s="36" t="s">
        <v>2904</v>
      </c>
      <c r="B2230" s="36" t="str">
        <f t="shared" si="106"/>
        <v>TX_JACK COUNTY, TX</v>
      </c>
      <c r="D2230" s="265" t="s">
        <v>63</v>
      </c>
      <c r="E2230" s="266" t="s">
        <v>4965</v>
      </c>
      <c r="F2230" s="252">
        <f t="shared" si="108"/>
        <v>45400</v>
      </c>
      <c r="G2230" s="252">
        <f t="shared" si="108"/>
        <v>51850</v>
      </c>
      <c r="H2230" s="252">
        <f t="shared" si="108"/>
        <v>58350</v>
      </c>
      <c r="I2230" s="252">
        <f t="shared" si="108"/>
        <v>64800</v>
      </c>
      <c r="J2230" s="252">
        <f t="shared" si="108"/>
        <v>70000</v>
      </c>
      <c r="K2230" s="252">
        <f t="shared" si="108"/>
        <v>75200</v>
      </c>
      <c r="L2230" s="252">
        <f t="shared" si="108"/>
        <v>80400</v>
      </c>
      <c r="M2230" s="252">
        <f t="shared" si="108"/>
        <v>85550</v>
      </c>
    </row>
    <row r="2231" spans="1:13" ht="21.95" customHeight="1" x14ac:dyDescent="0.25">
      <c r="A2231" s="36" t="s">
        <v>2904</v>
      </c>
      <c r="B2231" s="36" t="str">
        <f t="shared" si="106"/>
        <v>TX_JACKSON COUNTY, TX</v>
      </c>
      <c r="D2231" s="265" t="s">
        <v>63</v>
      </c>
      <c r="E2231" s="266" t="s">
        <v>4966</v>
      </c>
      <c r="F2231" s="252">
        <f t="shared" si="108"/>
        <v>45150</v>
      </c>
      <c r="G2231" s="252">
        <f t="shared" si="108"/>
        <v>51600</v>
      </c>
      <c r="H2231" s="252">
        <f t="shared" si="108"/>
        <v>58050</v>
      </c>
      <c r="I2231" s="252">
        <f t="shared" si="108"/>
        <v>64500</v>
      </c>
      <c r="J2231" s="252">
        <f t="shared" si="108"/>
        <v>69700</v>
      </c>
      <c r="K2231" s="252">
        <f t="shared" si="108"/>
        <v>74850</v>
      </c>
      <c r="L2231" s="252">
        <f t="shared" si="108"/>
        <v>80000</v>
      </c>
      <c r="M2231" s="252">
        <f t="shared" si="108"/>
        <v>85150</v>
      </c>
    </row>
    <row r="2232" spans="1:13" ht="21.95" customHeight="1" x14ac:dyDescent="0.25">
      <c r="A2232" s="36" t="s">
        <v>2904</v>
      </c>
      <c r="B2232" s="36" t="str">
        <f t="shared" si="106"/>
        <v>TX_JASPER COUNTY, TX</v>
      </c>
      <c r="D2232" s="265" t="s">
        <v>63</v>
      </c>
      <c r="E2232" s="266" t="s">
        <v>4967</v>
      </c>
      <c r="F2232" s="252">
        <f t="shared" si="108"/>
        <v>44450</v>
      </c>
      <c r="G2232" s="252">
        <f t="shared" si="108"/>
        <v>50800</v>
      </c>
      <c r="H2232" s="252">
        <f t="shared" si="108"/>
        <v>57150</v>
      </c>
      <c r="I2232" s="252">
        <f t="shared" si="108"/>
        <v>63500</v>
      </c>
      <c r="J2232" s="252">
        <f t="shared" si="108"/>
        <v>68600</v>
      </c>
      <c r="K2232" s="252">
        <f t="shared" si="108"/>
        <v>73700</v>
      </c>
      <c r="L2232" s="252">
        <f t="shared" si="108"/>
        <v>78750</v>
      </c>
      <c r="M2232" s="252">
        <f t="shared" si="108"/>
        <v>83850</v>
      </c>
    </row>
    <row r="2233" spans="1:13" ht="21.95" customHeight="1" x14ac:dyDescent="0.25">
      <c r="A2233" s="36" t="s">
        <v>2904</v>
      </c>
      <c r="B2233" s="36" t="str">
        <f t="shared" si="106"/>
        <v>TX_JEFF DAVIS COUNTY, TX</v>
      </c>
      <c r="D2233" s="265" t="s">
        <v>63</v>
      </c>
      <c r="E2233" s="266" t="s">
        <v>4968</v>
      </c>
      <c r="F2233" s="252">
        <f t="shared" si="108"/>
        <v>44450</v>
      </c>
      <c r="G2233" s="252">
        <f t="shared" si="108"/>
        <v>50800</v>
      </c>
      <c r="H2233" s="252">
        <f t="shared" si="108"/>
        <v>57150</v>
      </c>
      <c r="I2233" s="252">
        <f t="shared" si="108"/>
        <v>63500</v>
      </c>
      <c r="J2233" s="252">
        <f t="shared" si="108"/>
        <v>68600</v>
      </c>
      <c r="K2233" s="252">
        <f t="shared" si="108"/>
        <v>73700</v>
      </c>
      <c r="L2233" s="252">
        <f t="shared" si="108"/>
        <v>78750</v>
      </c>
      <c r="M2233" s="252">
        <f t="shared" si="108"/>
        <v>83850</v>
      </c>
    </row>
    <row r="2234" spans="1:13" ht="21.95" customHeight="1" x14ac:dyDescent="0.25">
      <c r="A2234" s="36" t="s">
        <v>2904</v>
      </c>
      <c r="B2234" s="36" t="str">
        <f t="shared" si="106"/>
        <v>TX_JIM HOGG COUNTY, TX</v>
      </c>
      <c r="D2234" s="265" t="s">
        <v>63</v>
      </c>
      <c r="E2234" s="266" t="s">
        <v>4969</v>
      </c>
      <c r="F2234" s="252">
        <f t="shared" si="108"/>
        <v>44450</v>
      </c>
      <c r="G2234" s="252">
        <f t="shared" si="108"/>
        <v>50800</v>
      </c>
      <c r="H2234" s="252">
        <f t="shared" si="108"/>
        <v>57150</v>
      </c>
      <c r="I2234" s="252">
        <f t="shared" si="108"/>
        <v>63500</v>
      </c>
      <c r="J2234" s="252">
        <f t="shared" si="108"/>
        <v>68600</v>
      </c>
      <c r="K2234" s="252">
        <f t="shared" si="108"/>
        <v>73700</v>
      </c>
      <c r="L2234" s="252">
        <f t="shared" si="108"/>
        <v>78750</v>
      </c>
      <c r="M2234" s="252">
        <f t="shared" si="108"/>
        <v>83850</v>
      </c>
    </row>
    <row r="2235" spans="1:13" ht="21.95" customHeight="1" x14ac:dyDescent="0.25">
      <c r="A2235" s="36" t="s">
        <v>2904</v>
      </c>
      <c r="B2235" s="36" t="str">
        <f t="shared" si="106"/>
        <v>TX_JIM WELLS COUNTY, TX</v>
      </c>
      <c r="D2235" s="265" t="s">
        <v>63</v>
      </c>
      <c r="E2235" s="266" t="s">
        <v>4970</v>
      </c>
      <c r="F2235" s="252">
        <f t="shared" si="108"/>
        <v>44450</v>
      </c>
      <c r="G2235" s="252">
        <f t="shared" si="108"/>
        <v>50800</v>
      </c>
      <c r="H2235" s="252">
        <f t="shared" si="108"/>
        <v>57150</v>
      </c>
      <c r="I2235" s="252">
        <f t="shared" si="108"/>
        <v>63500</v>
      </c>
      <c r="J2235" s="252">
        <f t="shared" si="108"/>
        <v>68600</v>
      </c>
      <c r="K2235" s="252">
        <f t="shared" si="108"/>
        <v>73700</v>
      </c>
      <c r="L2235" s="252">
        <f t="shared" si="108"/>
        <v>78750</v>
      </c>
      <c r="M2235" s="252">
        <f t="shared" si="108"/>
        <v>83850</v>
      </c>
    </row>
    <row r="2236" spans="1:13" ht="21.95" customHeight="1" x14ac:dyDescent="0.25">
      <c r="A2236" s="36" t="s">
        <v>2904</v>
      </c>
      <c r="B2236" s="36" t="str">
        <f t="shared" ref="B2236:B2299" si="109">UPPER(TRIM(D2236)&amp;"_"&amp;TRIM(E2236))</f>
        <v>TX_KARNES COUNTY, TX</v>
      </c>
      <c r="D2236" s="265" t="s">
        <v>63</v>
      </c>
      <c r="E2236" s="266" t="s">
        <v>4971</v>
      </c>
      <c r="F2236" s="252">
        <f t="shared" si="108"/>
        <v>44450</v>
      </c>
      <c r="G2236" s="252">
        <f t="shared" si="108"/>
        <v>50800</v>
      </c>
      <c r="H2236" s="252">
        <f t="shared" si="108"/>
        <v>57150</v>
      </c>
      <c r="I2236" s="252">
        <f t="shared" si="108"/>
        <v>63500</v>
      </c>
      <c r="J2236" s="252">
        <f t="shared" si="108"/>
        <v>68600</v>
      </c>
      <c r="K2236" s="252">
        <f t="shared" si="108"/>
        <v>73700</v>
      </c>
      <c r="L2236" s="252">
        <f t="shared" si="108"/>
        <v>78750</v>
      </c>
      <c r="M2236" s="252">
        <f t="shared" si="108"/>
        <v>83850</v>
      </c>
    </row>
    <row r="2237" spans="1:13" ht="21.95" customHeight="1" x14ac:dyDescent="0.25">
      <c r="A2237" s="36" t="s">
        <v>2904</v>
      </c>
      <c r="B2237" s="36" t="str">
        <f t="shared" si="109"/>
        <v>TX_KENDALL COUNTY, TX HUD METRO FMR AREA</v>
      </c>
      <c r="D2237" s="265" t="s">
        <v>63</v>
      </c>
      <c r="E2237" s="266" t="s">
        <v>4972</v>
      </c>
      <c r="F2237" s="252">
        <f t="shared" si="108"/>
        <v>72950</v>
      </c>
      <c r="G2237" s="252">
        <f t="shared" si="108"/>
        <v>83400</v>
      </c>
      <c r="H2237" s="252">
        <f t="shared" si="108"/>
        <v>93800</v>
      </c>
      <c r="I2237" s="252">
        <f t="shared" si="108"/>
        <v>104200</v>
      </c>
      <c r="J2237" s="252">
        <f t="shared" si="108"/>
        <v>112550</v>
      </c>
      <c r="K2237" s="252">
        <f t="shared" si="108"/>
        <v>120900</v>
      </c>
      <c r="L2237" s="252">
        <f t="shared" si="108"/>
        <v>129250</v>
      </c>
      <c r="M2237" s="252">
        <f t="shared" si="108"/>
        <v>137550</v>
      </c>
    </row>
    <row r="2238" spans="1:13" ht="21.95" customHeight="1" x14ac:dyDescent="0.25">
      <c r="A2238" s="36" t="s">
        <v>2904</v>
      </c>
      <c r="B2238" s="36" t="str">
        <f t="shared" si="109"/>
        <v>TX_KENEDY COUNTY, TX</v>
      </c>
      <c r="D2238" s="265" t="s">
        <v>63</v>
      </c>
      <c r="E2238" s="266" t="s">
        <v>4973</v>
      </c>
      <c r="F2238" s="252">
        <f t="shared" si="108"/>
        <v>44450</v>
      </c>
      <c r="G2238" s="252">
        <f t="shared" si="108"/>
        <v>50800</v>
      </c>
      <c r="H2238" s="252">
        <f t="shared" si="108"/>
        <v>57150</v>
      </c>
      <c r="I2238" s="252">
        <f t="shared" si="108"/>
        <v>63500</v>
      </c>
      <c r="J2238" s="252">
        <f t="shared" si="108"/>
        <v>68600</v>
      </c>
      <c r="K2238" s="252">
        <f t="shared" si="108"/>
        <v>73700</v>
      </c>
      <c r="L2238" s="252">
        <f t="shared" si="108"/>
        <v>78750</v>
      </c>
      <c r="M2238" s="252">
        <f t="shared" si="108"/>
        <v>83850</v>
      </c>
    </row>
    <row r="2239" spans="1:13" ht="21.95" customHeight="1" x14ac:dyDescent="0.25">
      <c r="A2239" s="36" t="s">
        <v>2904</v>
      </c>
      <c r="B2239" s="36" t="str">
        <f t="shared" si="109"/>
        <v>TX_KENT COUNTY, TX</v>
      </c>
      <c r="D2239" s="265" t="s">
        <v>63</v>
      </c>
      <c r="E2239" s="266" t="s">
        <v>4974</v>
      </c>
      <c r="F2239" s="252">
        <f t="shared" si="108"/>
        <v>51850</v>
      </c>
      <c r="G2239" s="252">
        <f t="shared" si="108"/>
        <v>59250</v>
      </c>
      <c r="H2239" s="252">
        <f t="shared" si="108"/>
        <v>66650</v>
      </c>
      <c r="I2239" s="252">
        <f t="shared" si="108"/>
        <v>74050</v>
      </c>
      <c r="J2239" s="252">
        <f t="shared" si="108"/>
        <v>80000</v>
      </c>
      <c r="K2239" s="252">
        <f t="shared" si="108"/>
        <v>85900</v>
      </c>
      <c r="L2239" s="252">
        <f t="shared" si="108"/>
        <v>91850</v>
      </c>
      <c r="M2239" s="252">
        <f t="shared" si="108"/>
        <v>97750</v>
      </c>
    </row>
    <row r="2240" spans="1:13" ht="21.95" customHeight="1" x14ac:dyDescent="0.25">
      <c r="A2240" s="36" t="s">
        <v>2904</v>
      </c>
      <c r="B2240" s="36" t="str">
        <f t="shared" si="109"/>
        <v>TX_KERR COUNTY, TX</v>
      </c>
      <c r="D2240" s="265" t="s">
        <v>63</v>
      </c>
      <c r="E2240" s="266" t="s">
        <v>4975</v>
      </c>
      <c r="F2240" s="252">
        <f t="shared" si="108"/>
        <v>51350</v>
      </c>
      <c r="G2240" s="252">
        <f t="shared" si="108"/>
        <v>58650</v>
      </c>
      <c r="H2240" s="252">
        <f t="shared" si="108"/>
        <v>66000</v>
      </c>
      <c r="I2240" s="252">
        <f t="shared" si="108"/>
        <v>73300</v>
      </c>
      <c r="J2240" s="252">
        <f t="shared" si="108"/>
        <v>79200</v>
      </c>
      <c r="K2240" s="252">
        <f t="shared" si="108"/>
        <v>85050</v>
      </c>
      <c r="L2240" s="252">
        <f t="shared" si="108"/>
        <v>90900</v>
      </c>
      <c r="M2240" s="252">
        <f t="shared" si="108"/>
        <v>96800</v>
      </c>
    </row>
    <row r="2241" spans="1:13" ht="21.95" customHeight="1" x14ac:dyDescent="0.25">
      <c r="A2241" s="36" t="s">
        <v>2904</v>
      </c>
      <c r="B2241" s="36" t="str">
        <f t="shared" si="109"/>
        <v>TX_KILLEEN-TEMPLE, TX HUD METRO FMR AREA</v>
      </c>
      <c r="D2241" s="265" t="s">
        <v>63</v>
      </c>
      <c r="E2241" s="266" t="s">
        <v>4976</v>
      </c>
      <c r="F2241" s="252">
        <f t="shared" si="108"/>
        <v>46050</v>
      </c>
      <c r="G2241" s="252">
        <f t="shared" si="108"/>
        <v>52600</v>
      </c>
      <c r="H2241" s="252">
        <f t="shared" si="108"/>
        <v>59200</v>
      </c>
      <c r="I2241" s="252">
        <f t="shared" si="108"/>
        <v>65750</v>
      </c>
      <c r="J2241" s="252">
        <f t="shared" ref="F2241:M2273" si="110">VLOOKUP($B2241,LOOKUP_AMI_TABLE,5+((J$7-1)),FALSE)</f>
        <v>71050</v>
      </c>
      <c r="K2241" s="252">
        <f t="shared" si="110"/>
        <v>76300</v>
      </c>
      <c r="L2241" s="252">
        <f t="shared" si="110"/>
        <v>81550</v>
      </c>
      <c r="M2241" s="252">
        <f t="shared" si="110"/>
        <v>86800</v>
      </c>
    </row>
    <row r="2242" spans="1:13" ht="21.95" customHeight="1" x14ac:dyDescent="0.25">
      <c r="A2242" s="36" t="s">
        <v>2904</v>
      </c>
      <c r="B2242" s="36" t="str">
        <f t="shared" si="109"/>
        <v>TX_KIMBLE COUNTY, TX</v>
      </c>
      <c r="D2242" s="265" t="s">
        <v>63</v>
      </c>
      <c r="E2242" s="266" t="s">
        <v>4977</v>
      </c>
      <c r="F2242" s="252">
        <f t="shared" si="110"/>
        <v>48500</v>
      </c>
      <c r="G2242" s="252">
        <f t="shared" si="110"/>
        <v>55400</v>
      </c>
      <c r="H2242" s="252">
        <f t="shared" si="110"/>
        <v>62350</v>
      </c>
      <c r="I2242" s="252">
        <f t="shared" si="110"/>
        <v>69250</v>
      </c>
      <c r="J2242" s="252">
        <f t="shared" si="110"/>
        <v>74800</v>
      </c>
      <c r="K2242" s="252">
        <f t="shared" si="110"/>
        <v>80350</v>
      </c>
      <c r="L2242" s="252">
        <f t="shared" si="110"/>
        <v>85900</v>
      </c>
      <c r="M2242" s="252">
        <f t="shared" si="110"/>
        <v>91450</v>
      </c>
    </row>
    <row r="2243" spans="1:13" ht="21.95" customHeight="1" x14ac:dyDescent="0.25">
      <c r="A2243" s="36" t="s">
        <v>2904</v>
      </c>
      <c r="B2243" s="36" t="str">
        <f t="shared" si="109"/>
        <v>TX_KING COUNTY, TX</v>
      </c>
      <c r="D2243" s="265" t="s">
        <v>63</v>
      </c>
      <c r="E2243" s="266" t="s">
        <v>4978</v>
      </c>
      <c r="F2243" s="252">
        <f t="shared" si="110"/>
        <v>44450</v>
      </c>
      <c r="G2243" s="252">
        <f t="shared" si="110"/>
        <v>50800</v>
      </c>
      <c r="H2243" s="252">
        <f t="shared" si="110"/>
        <v>57150</v>
      </c>
      <c r="I2243" s="252">
        <f t="shared" si="110"/>
        <v>63500</v>
      </c>
      <c r="J2243" s="252">
        <f t="shared" si="110"/>
        <v>68600</v>
      </c>
      <c r="K2243" s="252">
        <f t="shared" si="110"/>
        <v>73700</v>
      </c>
      <c r="L2243" s="252">
        <f t="shared" si="110"/>
        <v>78750</v>
      </c>
      <c r="M2243" s="252">
        <f t="shared" si="110"/>
        <v>83850</v>
      </c>
    </row>
    <row r="2244" spans="1:13" ht="21.95" customHeight="1" x14ac:dyDescent="0.25">
      <c r="A2244" s="36" t="s">
        <v>2904</v>
      </c>
      <c r="B2244" s="36" t="str">
        <f t="shared" si="109"/>
        <v>TX_KINNEY COUNTY, TX</v>
      </c>
      <c r="D2244" s="265" t="s">
        <v>63</v>
      </c>
      <c r="E2244" s="266" t="s">
        <v>4979</v>
      </c>
      <c r="F2244" s="252">
        <f t="shared" si="110"/>
        <v>44450</v>
      </c>
      <c r="G2244" s="252">
        <f t="shared" si="110"/>
        <v>50800</v>
      </c>
      <c r="H2244" s="252">
        <f t="shared" si="110"/>
        <v>57150</v>
      </c>
      <c r="I2244" s="252">
        <f t="shared" si="110"/>
        <v>63500</v>
      </c>
      <c r="J2244" s="252">
        <f t="shared" si="110"/>
        <v>68600</v>
      </c>
      <c r="K2244" s="252">
        <f t="shared" si="110"/>
        <v>73700</v>
      </c>
      <c r="L2244" s="252">
        <f t="shared" si="110"/>
        <v>78750</v>
      </c>
      <c r="M2244" s="252">
        <f t="shared" si="110"/>
        <v>83850</v>
      </c>
    </row>
    <row r="2245" spans="1:13" ht="21.95" customHeight="1" x14ac:dyDescent="0.25">
      <c r="A2245" s="36" t="s">
        <v>2904</v>
      </c>
      <c r="B2245" s="36" t="str">
        <f t="shared" si="109"/>
        <v>TX_KLEBERG COUNTY, TX</v>
      </c>
      <c r="D2245" s="265" t="s">
        <v>63</v>
      </c>
      <c r="E2245" s="266" t="s">
        <v>4980</v>
      </c>
      <c r="F2245" s="252">
        <f t="shared" si="110"/>
        <v>44450</v>
      </c>
      <c r="G2245" s="252">
        <f t="shared" si="110"/>
        <v>50800</v>
      </c>
      <c r="H2245" s="252">
        <f t="shared" si="110"/>
        <v>57150</v>
      </c>
      <c r="I2245" s="252">
        <f t="shared" si="110"/>
        <v>63500</v>
      </c>
      <c r="J2245" s="252">
        <f t="shared" si="110"/>
        <v>68600</v>
      </c>
      <c r="K2245" s="252">
        <f t="shared" si="110"/>
        <v>73700</v>
      </c>
      <c r="L2245" s="252">
        <f t="shared" si="110"/>
        <v>78750</v>
      </c>
      <c r="M2245" s="252">
        <f t="shared" si="110"/>
        <v>83850</v>
      </c>
    </row>
    <row r="2246" spans="1:13" ht="21.95" customHeight="1" x14ac:dyDescent="0.25">
      <c r="A2246" s="36" t="s">
        <v>2904</v>
      </c>
      <c r="B2246" s="36" t="str">
        <f t="shared" si="109"/>
        <v>TX_KNOX COUNTY, TX</v>
      </c>
      <c r="D2246" s="265" t="s">
        <v>63</v>
      </c>
      <c r="E2246" s="266" t="s">
        <v>4981</v>
      </c>
      <c r="F2246" s="252">
        <f t="shared" si="110"/>
        <v>44450</v>
      </c>
      <c r="G2246" s="252">
        <f t="shared" si="110"/>
        <v>50800</v>
      </c>
      <c r="H2246" s="252">
        <f t="shared" si="110"/>
        <v>57150</v>
      </c>
      <c r="I2246" s="252">
        <f t="shared" si="110"/>
        <v>63500</v>
      </c>
      <c r="J2246" s="252">
        <f t="shared" si="110"/>
        <v>68600</v>
      </c>
      <c r="K2246" s="252">
        <f t="shared" si="110"/>
        <v>73700</v>
      </c>
      <c r="L2246" s="252">
        <f t="shared" si="110"/>
        <v>78750</v>
      </c>
      <c r="M2246" s="252">
        <f t="shared" si="110"/>
        <v>83850</v>
      </c>
    </row>
    <row r="2247" spans="1:13" ht="21.95" customHeight="1" x14ac:dyDescent="0.25">
      <c r="A2247" s="36" t="s">
        <v>2904</v>
      </c>
      <c r="B2247" s="36" t="str">
        <f t="shared" si="109"/>
        <v>TX_LAMAR COUNTY, TX</v>
      </c>
      <c r="D2247" s="265" t="s">
        <v>63</v>
      </c>
      <c r="E2247" s="266" t="s">
        <v>4983</v>
      </c>
      <c r="F2247" s="252">
        <f t="shared" si="110"/>
        <v>45450</v>
      </c>
      <c r="G2247" s="252">
        <f t="shared" si="110"/>
        <v>51950</v>
      </c>
      <c r="H2247" s="252">
        <f t="shared" si="110"/>
        <v>58450</v>
      </c>
      <c r="I2247" s="252">
        <f t="shared" si="110"/>
        <v>64900</v>
      </c>
      <c r="J2247" s="252">
        <f t="shared" si="110"/>
        <v>70100</v>
      </c>
      <c r="K2247" s="252">
        <f t="shared" si="110"/>
        <v>75300</v>
      </c>
      <c r="L2247" s="252">
        <f t="shared" si="110"/>
        <v>80500</v>
      </c>
      <c r="M2247" s="252">
        <f t="shared" si="110"/>
        <v>85700</v>
      </c>
    </row>
    <row r="2248" spans="1:13" ht="21.95" customHeight="1" x14ac:dyDescent="0.25">
      <c r="A2248" s="36" t="s">
        <v>2904</v>
      </c>
      <c r="B2248" s="36" t="str">
        <f t="shared" si="109"/>
        <v>TX_LAMB COUNTY, TX</v>
      </c>
      <c r="D2248" s="265" t="s">
        <v>63</v>
      </c>
      <c r="E2248" s="266" t="s">
        <v>4984</v>
      </c>
      <c r="F2248" s="252">
        <f t="shared" si="110"/>
        <v>44450</v>
      </c>
      <c r="G2248" s="252">
        <f t="shared" si="110"/>
        <v>50800</v>
      </c>
      <c r="H2248" s="252">
        <f t="shared" si="110"/>
        <v>57150</v>
      </c>
      <c r="I2248" s="252">
        <f t="shared" si="110"/>
        <v>63500</v>
      </c>
      <c r="J2248" s="252">
        <f t="shared" si="110"/>
        <v>68600</v>
      </c>
      <c r="K2248" s="252">
        <f t="shared" si="110"/>
        <v>73700</v>
      </c>
      <c r="L2248" s="252">
        <f t="shared" si="110"/>
        <v>78750</v>
      </c>
      <c r="M2248" s="252">
        <f t="shared" si="110"/>
        <v>83850</v>
      </c>
    </row>
    <row r="2249" spans="1:13" ht="21.95" customHeight="1" x14ac:dyDescent="0.25">
      <c r="A2249" s="36" t="s">
        <v>2904</v>
      </c>
      <c r="B2249" s="36" t="str">
        <f t="shared" si="109"/>
        <v>TX_LAMPASAS COUNTY, TX HUD METRO FMR AREA</v>
      </c>
      <c r="D2249" s="265" t="s">
        <v>63</v>
      </c>
      <c r="E2249" s="266" t="s">
        <v>4985</v>
      </c>
      <c r="F2249" s="252">
        <f t="shared" si="110"/>
        <v>57300</v>
      </c>
      <c r="G2249" s="252">
        <f t="shared" si="110"/>
        <v>65500</v>
      </c>
      <c r="H2249" s="252">
        <f t="shared" si="110"/>
        <v>73700</v>
      </c>
      <c r="I2249" s="252">
        <f t="shared" si="110"/>
        <v>81850</v>
      </c>
      <c r="J2249" s="252">
        <f t="shared" si="110"/>
        <v>88400</v>
      </c>
      <c r="K2249" s="252">
        <f t="shared" si="110"/>
        <v>94950</v>
      </c>
      <c r="L2249" s="252">
        <f t="shared" si="110"/>
        <v>101500</v>
      </c>
      <c r="M2249" s="252">
        <f t="shared" si="110"/>
        <v>108050</v>
      </c>
    </row>
    <row r="2250" spans="1:13" ht="21.95" customHeight="1" x14ac:dyDescent="0.25">
      <c r="A2250" s="36" t="s">
        <v>2904</v>
      </c>
      <c r="B2250" s="36" t="str">
        <f t="shared" si="109"/>
        <v>TX_LAREDO, TX MSA</v>
      </c>
      <c r="D2250" s="265" t="s">
        <v>63</v>
      </c>
      <c r="E2250" s="266" t="s">
        <v>4986</v>
      </c>
      <c r="F2250" s="252">
        <f t="shared" si="110"/>
        <v>44450</v>
      </c>
      <c r="G2250" s="252">
        <f t="shared" si="110"/>
        <v>50800</v>
      </c>
      <c r="H2250" s="252">
        <f t="shared" si="110"/>
        <v>57150</v>
      </c>
      <c r="I2250" s="252">
        <f t="shared" si="110"/>
        <v>63500</v>
      </c>
      <c r="J2250" s="252">
        <f t="shared" si="110"/>
        <v>68600</v>
      </c>
      <c r="K2250" s="252">
        <f t="shared" si="110"/>
        <v>73700</v>
      </c>
      <c r="L2250" s="252">
        <f t="shared" si="110"/>
        <v>78750</v>
      </c>
      <c r="M2250" s="252">
        <f t="shared" si="110"/>
        <v>83850</v>
      </c>
    </row>
    <row r="2251" spans="1:13" ht="21.95" customHeight="1" x14ac:dyDescent="0.25">
      <c r="A2251" s="36" t="s">
        <v>2904</v>
      </c>
      <c r="B2251" s="36" t="str">
        <f t="shared" si="109"/>
        <v>TX_LA SALLE COUNTY, TX</v>
      </c>
      <c r="D2251" s="265" t="s">
        <v>63</v>
      </c>
      <c r="E2251" s="266" t="s">
        <v>4982</v>
      </c>
      <c r="F2251" s="252">
        <f t="shared" si="110"/>
        <v>44450</v>
      </c>
      <c r="G2251" s="252">
        <f t="shared" si="110"/>
        <v>50800</v>
      </c>
      <c r="H2251" s="252">
        <f t="shared" si="110"/>
        <v>57150</v>
      </c>
      <c r="I2251" s="252">
        <f t="shared" si="110"/>
        <v>63500</v>
      </c>
      <c r="J2251" s="252">
        <f t="shared" si="110"/>
        <v>68600</v>
      </c>
      <c r="K2251" s="252">
        <f t="shared" si="110"/>
        <v>73700</v>
      </c>
      <c r="L2251" s="252">
        <f t="shared" si="110"/>
        <v>78750</v>
      </c>
      <c r="M2251" s="252">
        <f t="shared" si="110"/>
        <v>83850</v>
      </c>
    </row>
    <row r="2252" spans="1:13" ht="21.95" customHeight="1" x14ac:dyDescent="0.25">
      <c r="A2252" s="36" t="s">
        <v>2904</v>
      </c>
      <c r="B2252" s="36" t="str">
        <f t="shared" si="109"/>
        <v>TX_LAVACA COUNTY, TX</v>
      </c>
      <c r="D2252" s="265" t="s">
        <v>63</v>
      </c>
      <c r="E2252" s="266" t="s">
        <v>4987</v>
      </c>
      <c r="F2252" s="252">
        <f t="shared" si="110"/>
        <v>52500</v>
      </c>
      <c r="G2252" s="252">
        <f t="shared" si="110"/>
        <v>60000</v>
      </c>
      <c r="H2252" s="252">
        <f t="shared" si="110"/>
        <v>67500</v>
      </c>
      <c r="I2252" s="252">
        <f t="shared" si="110"/>
        <v>74950</v>
      </c>
      <c r="J2252" s="252">
        <f t="shared" si="110"/>
        <v>80950</v>
      </c>
      <c r="K2252" s="252">
        <f t="shared" si="110"/>
        <v>86950</v>
      </c>
      <c r="L2252" s="252">
        <f t="shared" si="110"/>
        <v>92950</v>
      </c>
      <c r="M2252" s="252">
        <f t="shared" si="110"/>
        <v>98950</v>
      </c>
    </row>
    <row r="2253" spans="1:13" ht="21.95" customHeight="1" x14ac:dyDescent="0.25">
      <c r="A2253" s="36" t="s">
        <v>2904</v>
      </c>
      <c r="B2253" s="36" t="str">
        <f t="shared" si="109"/>
        <v>TX_LEE COUNTY, TX</v>
      </c>
      <c r="D2253" s="265" t="s">
        <v>63</v>
      </c>
      <c r="E2253" s="266" t="s">
        <v>4988</v>
      </c>
      <c r="F2253" s="252">
        <f t="shared" si="110"/>
        <v>45750</v>
      </c>
      <c r="G2253" s="252">
        <f t="shared" si="110"/>
        <v>52300</v>
      </c>
      <c r="H2253" s="252">
        <f t="shared" si="110"/>
        <v>58850</v>
      </c>
      <c r="I2253" s="252">
        <f t="shared" si="110"/>
        <v>65350</v>
      </c>
      <c r="J2253" s="252">
        <f t="shared" si="110"/>
        <v>70600</v>
      </c>
      <c r="K2253" s="252">
        <f t="shared" si="110"/>
        <v>75850</v>
      </c>
      <c r="L2253" s="252">
        <f t="shared" si="110"/>
        <v>81050</v>
      </c>
      <c r="M2253" s="252">
        <f t="shared" si="110"/>
        <v>86300</v>
      </c>
    </row>
    <row r="2254" spans="1:13" ht="21.95" customHeight="1" x14ac:dyDescent="0.25">
      <c r="A2254" s="36" t="s">
        <v>2904</v>
      </c>
      <c r="B2254" s="36" t="str">
        <f t="shared" si="109"/>
        <v>TX_LEON COUNTY, TX</v>
      </c>
      <c r="D2254" s="265" t="s">
        <v>63</v>
      </c>
      <c r="E2254" s="266" t="s">
        <v>4989</v>
      </c>
      <c r="F2254" s="252">
        <f t="shared" si="110"/>
        <v>45600</v>
      </c>
      <c r="G2254" s="252">
        <f t="shared" si="110"/>
        <v>52100</v>
      </c>
      <c r="H2254" s="252">
        <f t="shared" si="110"/>
        <v>58600</v>
      </c>
      <c r="I2254" s="252">
        <f t="shared" si="110"/>
        <v>65100</v>
      </c>
      <c r="J2254" s="252">
        <f t="shared" si="110"/>
        <v>70350</v>
      </c>
      <c r="K2254" s="252">
        <f t="shared" si="110"/>
        <v>75550</v>
      </c>
      <c r="L2254" s="252">
        <f t="shared" si="110"/>
        <v>80750</v>
      </c>
      <c r="M2254" s="252">
        <f t="shared" si="110"/>
        <v>85950</v>
      </c>
    </row>
    <row r="2255" spans="1:13" ht="21.95" customHeight="1" x14ac:dyDescent="0.25">
      <c r="A2255" s="36" t="s">
        <v>2904</v>
      </c>
      <c r="B2255" s="36" t="str">
        <f t="shared" si="109"/>
        <v>TX_LIMESTONE COUNTY, TX</v>
      </c>
      <c r="D2255" s="265" t="s">
        <v>63</v>
      </c>
      <c r="E2255" s="266" t="s">
        <v>4990</v>
      </c>
      <c r="F2255" s="252">
        <f t="shared" si="110"/>
        <v>44450</v>
      </c>
      <c r="G2255" s="252">
        <f t="shared" si="110"/>
        <v>50800</v>
      </c>
      <c r="H2255" s="252">
        <f t="shared" si="110"/>
        <v>57150</v>
      </c>
      <c r="I2255" s="252">
        <f t="shared" si="110"/>
        <v>63500</v>
      </c>
      <c r="J2255" s="252">
        <f t="shared" si="110"/>
        <v>68600</v>
      </c>
      <c r="K2255" s="252">
        <f t="shared" si="110"/>
        <v>73700</v>
      </c>
      <c r="L2255" s="252">
        <f t="shared" si="110"/>
        <v>78750</v>
      </c>
      <c r="M2255" s="252">
        <f t="shared" si="110"/>
        <v>83850</v>
      </c>
    </row>
    <row r="2256" spans="1:13" ht="21.95" customHeight="1" x14ac:dyDescent="0.25">
      <c r="A2256" s="36" t="s">
        <v>2904</v>
      </c>
      <c r="B2256" s="36" t="str">
        <f t="shared" si="109"/>
        <v>TX_LIPSCOMB COUNTY, TX</v>
      </c>
      <c r="D2256" s="265" t="s">
        <v>63</v>
      </c>
      <c r="E2256" s="266" t="s">
        <v>4991</v>
      </c>
      <c r="F2256" s="252">
        <f t="shared" si="110"/>
        <v>49850</v>
      </c>
      <c r="G2256" s="252">
        <f t="shared" si="110"/>
        <v>57000</v>
      </c>
      <c r="H2256" s="252">
        <f t="shared" si="110"/>
        <v>64100</v>
      </c>
      <c r="I2256" s="252">
        <f t="shared" si="110"/>
        <v>71200</v>
      </c>
      <c r="J2256" s="252">
        <f t="shared" si="110"/>
        <v>76900</v>
      </c>
      <c r="K2256" s="252">
        <f t="shared" si="110"/>
        <v>82600</v>
      </c>
      <c r="L2256" s="252">
        <f t="shared" si="110"/>
        <v>88300</v>
      </c>
      <c r="M2256" s="252">
        <f t="shared" si="110"/>
        <v>94000</v>
      </c>
    </row>
    <row r="2257" spans="1:13" ht="21.95" customHeight="1" x14ac:dyDescent="0.25">
      <c r="A2257" s="36" t="s">
        <v>2904</v>
      </c>
      <c r="B2257" s="36" t="str">
        <f t="shared" si="109"/>
        <v>TX_LIVE OAK COUNTY, TX</v>
      </c>
      <c r="D2257" s="265" t="s">
        <v>63</v>
      </c>
      <c r="E2257" s="266" t="s">
        <v>4992</v>
      </c>
      <c r="F2257" s="252">
        <f t="shared" si="110"/>
        <v>44450</v>
      </c>
      <c r="G2257" s="252">
        <f t="shared" si="110"/>
        <v>50800</v>
      </c>
      <c r="H2257" s="252">
        <f t="shared" si="110"/>
        <v>57150</v>
      </c>
      <c r="I2257" s="252">
        <f t="shared" si="110"/>
        <v>63500</v>
      </c>
      <c r="J2257" s="252">
        <f t="shared" si="110"/>
        <v>68600</v>
      </c>
      <c r="K2257" s="252">
        <f t="shared" si="110"/>
        <v>73700</v>
      </c>
      <c r="L2257" s="252">
        <f t="shared" si="110"/>
        <v>78750</v>
      </c>
      <c r="M2257" s="252">
        <f t="shared" si="110"/>
        <v>83850</v>
      </c>
    </row>
    <row r="2258" spans="1:13" ht="21.95" customHeight="1" x14ac:dyDescent="0.25">
      <c r="A2258" s="36" t="s">
        <v>2904</v>
      </c>
      <c r="B2258" s="36" t="str">
        <f t="shared" si="109"/>
        <v>TX_LLANO COUNTY, TX</v>
      </c>
      <c r="D2258" s="265" t="s">
        <v>63</v>
      </c>
      <c r="E2258" s="266" t="s">
        <v>4993</v>
      </c>
      <c r="F2258" s="252">
        <f t="shared" si="110"/>
        <v>49200</v>
      </c>
      <c r="G2258" s="252">
        <f t="shared" si="110"/>
        <v>56200</v>
      </c>
      <c r="H2258" s="252">
        <f t="shared" si="110"/>
        <v>63250</v>
      </c>
      <c r="I2258" s="252">
        <f t="shared" si="110"/>
        <v>70250</v>
      </c>
      <c r="J2258" s="252">
        <f t="shared" si="110"/>
        <v>75900</v>
      </c>
      <c r="K2258" s="252">
        <f t="shared" si="110"/>
        <v>81500</v>
      </c>
      <c r="L2258" s="252">
        <f t="shared" si="110"/>
        <v>87150</v>
      </c>
      <c r="M2258" s="252">
        <f t="shared" si="110"/>
        <v>92750</v>
      </c>
    </row>
    <row r="2259" spans="1:13" ht="21.95" customHeight="1" x14ac:dyDescent="0.25">
      <c r="A2259" s="36" t="s">
        <v>2904</v>
      </c>
      <c r="B2259" s="36" t="str">
        <f t="shared" si="109"/>
        <v>TX_LONGVIEW, TX HUD METRO FMR AREA</v>
      </c>
      <c r="D2259" s="265" t="s">
        <v>63</v>
      </c>
      <c r="E2259" s="266" t="s">
        <v>4994</v>
      </c>
      <c r="F2259" s="252">
        <f t="shared" si="110"/>
        <v>47600</v>
      </c>
      <c r="G2259" s="252">
        <f t="shared" si="110"/>
        <v>54400</v>
      </c>
      <c r="H2259" s="252">
        <f t="shared" si="110"/>
        <v>61200</v>
      </c>
      <c r="I2259" s="252">
        <f t="shared" si="110"/>
        <v>68000</v>
      </c>
      <c r="J2259" s="252">
        <f t="shared" si="110"/>
        <v>73450</v>
      </c>
      <c r="K2259" s="252">
        <f t="shared" si="110"/>
        <v>78900</v>
      </c>
      <c r="L2259" s="252">
        <f t="shared" si="110"/>
        <v>84350</v>
      </c>
      <c r="M2259" s="252">
        <f t="shared" si="110"/>
        <v>89800</v>
      </c>
    </row>
    <row r="2260" spans="1:13" ht="21.95" customHeight="1" x14ac:dyDescent="0.25">
      <c r="A2260" s="36" t="s">
        <v>2904</v>
      </c>
      <c r="B2260" s="36" t="str">
        <f t="shared" si="109"/>
        <v>TX_LOVING COUNTY, TX</v>
      </c>
      <c r="D2260" s="265" t="s">
        <v>63</v>
      </c>
      <c r="E2260" s="266" t="s">
        <v>4995</v>
      </c>
      <c r="F2260" s="252">
        <f t="shared" si="110"/>
        <v>49800</v>
      </c>
      <c r="G2260" s="252">
        <f t="shared" si="110"/>
        <v>56900</v>
      </c>
      <c r="H2260" s="252">
        <f t="shared" si="110"/>
        <v>64000</v>
      </c>
      <c r="I2260" s="252">
        <f t="shared" si="110"/>
        <v>71100</v>
      </c>
      <c r="J2260" s="252">
        <f t="shared" si="110"/>
        <v>76800</v>
      </c>
      <c r="K2260" s="252">
        <f t="shared" si="110"/>
        <v>82500</v>
      </c>
      <c r="L2260" s="252">
        <f t="shared" si="110"/>
        <v>88200</v>
      </c>
      <c r="M2260" s="252">
        <f t="shared" si="110"/>
        <v>93900</v>
      </c>
    </row>
    <row r="2261" spans="1:13" ht="21.95" customHeight="1" x14ac:dyDescent="0.25">
      <c r="A2261" s="36" t="s">
        <v>2904</v>
      </c>
      <c r="B2261" s="36" t="str">
        <f t="shared" si="109"/>
        <v>TX_LUBBOCK, TX HUD METRO FMR AREA</v>
      </c>
      <c r="D2261" s="265" t="s">
        <v>63</v>
      </c>
      <c r="E2261" s="266" t="s">
        <v>4996</v>
      </c>
      <c r="F2261" s="252">
        <f t="shared" si="110"/>
        <v>45650</v>
      </c>
      <c r="G2261" s="252">
        <f t="shared" si="110"/>
        <v>52200</v>
      </c>
      <c r="H2261" s="252">
        <f t="shared" si="110"/>
        <v>58700</v>
      </c>
      <c r="I2261" s="252">
        <f t="shared" si="110"/>
        <v>65200</v>
      </c>
      <c r="J2261" s="252">
        <f t="shared" si="110"/>
        <v>70450</v>
      </c>
      <c r="K2261" s="252">
        <f t="shared" si="110"/>
        <v>75650</v>
      </c>
      <c r="L2261" s="252">
        <f t="shared" si="110"/>
        <v>80850</v>
      </c>
      <c r="M2261" s="252">
        <f t="shared" si="110"/>
        <v>86100</v>
      </c>
    </row>
    <row r="2262" spans="1:13" ht="21.95" customHeight="1" x14ac:dyDescent="0.25">
      <c r="A2262" s="36" t="s">
        <v>2904</v>
      </c>
      <c r="B2262" s="36" t="str">
        <f t="shared" si="109"/>
        <v>TX_LYNN COUNTY, TX HUD METRO FMR AREA</v>
      </c>
      <c r="D2262" s="265" t="s">
        <v>63</v>
      </c>
      <c r="E2262" s="266" t="s">
        <v>4997</v>
      </c>
      <c r="F2262" s="252">
        <f t="shared" si="110"/>
        <v>45650</v>
      </c>
      <c r="G2262" s="252">
        <f t="shared" si="110"/>
        <v>52200</v>
      </c>
      <c r="H2262" s="252">
        <f t="shared" si="110"/>
        <v>58700</v>
      </c>
      <c r="I2262" s="252">
        <f t="shared" si="110"/>
        <v>65200</v>
      </c>
      <c r="J2262" s="252">
        <f t="shared" si="110"/>
        <v>70450</v>
      </c>
      <c r="K2262" s="252">
        <f t="shared" si="110"/>
        <v>75650</v>
      </c>
      <c r="L2262" s="252">
        <f t="shared" si="110"/>
        <v>80850</v>
      </c>
      <c r="M2262" s="252">
        <f t="shared" si="110"/>
        <v>86100</v>
      </c>
    </row>
    <row r="2263" spans="1:13" ht="21.95" customHeight="1" x14ac:dyDescent="0.25">
      <c r="A2263" s="36" t="s">
        <v>2904</v>
      </c>
      <c r="B2263" s="36" t="str">
        <f t="shared" si="109"/>
        <v>TX_MADISON COUNTY, TX</v>
      </c>
      <c r="D2263" s="265" t="s">
        <v>63</v>
      </c>
      <c r="E2263" s="266" t="s">
        <v>4998</v>
      </c>
      <c r="F2263" s="252">
        <f t="shared" si="110"/>
        <v>47050</v>
      </c>
      <c r="G2263" s="252">
        <f t="shared" si="110"/>
        <v>53800</v>
      </c>
      <c r="H2263" s="252">
        <f t="shared" si="110"/>
        <v>60500</v>
      </c>
      <c r="I2263" s="252">
        <f t="shared" si="110"/>
        <v>67200</v>
      </c>
      <c r="J2263" s="252">
        <f t="shared" si="110"/>
        <v>72600</v>
      </c>
      <c r="K2263" s="252">
        <f t="shared" si="110"/>
        <v>78000</v>
      </c>
      <c r="L2263" s="252">
        <f t="shared" si="110"/>
        <v>83350</v>
      </c>
      <c r="M2263" s="252">
        <f t="shared" si="110"/>
        <v>88750</v>
      </c>
    </row>
    <row r="2264" spans="1:13" ht="21.95" customHeight="1" x14ac:dyDescent="0.25">
      <c r="A2264" s="36" t="s">
        <v>2904</v>
      </c>
      <c r="B2264" s="36" t="str">
        <f t="shared" si="109"/>
        <v>TX_MARION COUNTY, TX</v>
      </c>
      <c r="D2264" s="265" t="s">
        <v>63</v>
      </c>
      <c r="E2264" s="266" t="s">
        <v>4999</v>
      </c>
      <c r="F2264" s="252">
        <f t="shared" si="110"/>
        <v>44450</v>
      </c>
      <c r="G2264" s="252">
        <f t="shared" si="110"/>
        <v>50800</v>
      </c>
      <c r="H2264" s="252">
        <f t="shared" si="110"/>
        <v>57150</v>
      </c>
      <c r="I2264" s="252">
        <f t="shared" si="110"/>
        <v>63500</v>
      </c>
      <c r="J2264" s="252">
        <f t="shared" si="110"/>
        <v>68600</v>
      </c>
      <c r="K2264" s="252">
        <f t="shared" si="110"/>
        <v>73700</v>
      </c>
      <c r="L2264" s="252">
        <f t="shared" si="110"/>
        <v>78750</v>
      </c>
      <c r="M2264" s="252">
        <f t="shared" si="110"/>
        <v>83850</v>
      </c>
    </row>
    <row r="2265" spans="1:13" ht="21.95" customHeight="1" x14ac:dyDescent="0.25">
      <c r="A2265" s="36" t="s">
        <v>2904</v>
      </c>
      <c r="B2265" s="36" t="str">
        <f t="shared" si="109"/>
        <v>TX_MARTIN COUNTY, TX HUD METRO FMR AREA</v>
      </c>
      <c r="D2265" s="265" t="s">
        <v>63</v>
      </c>
      <c r="E2265" s="266" t="s">
        <v>5000</v>
      </c>
      <c r="F2265" s="252">
        <f t="shared" si="110"/>
        <v>55950</v>
      </c>
      <c r="G2265" s="252">
        <f t="shared" si="110"/>
        <v>63950</v>
      </c>
      <c r="H2265" s="252">
        <f t="shared" si="110"/>
        <v>71950</v>
      </c>
      <c r="I2265" s="252">
        <f t="shared" si="110"/>
        <v>79900</v>
      </c>
      <c r="J2265" s="252">
        <f t="shared" si="110"/>
        <v>86300</v>
      </c>
      <c r="K2265" s="252">
        <f t="shared" si="110"/>
        <v>92700</v>
      </c>
      <c r="L2265" s="252">
        <f t="shared" si="110"/>
        <v>99100</v>
      </c>
      <c r="M2265" s="252">
        <f t="shared" si="110"/>
        <v>105500</v>
      </c>
    </row>
    <row r="2266" spans="1:13" ht="21.95" customHeight="1" x14ac:dyDescent="0.25">
      <c r="A2266" s="36" t="s">
        <v>2904</v>
      </c>
      <c r="B2266" s="36" t="str">
        <f t="shared" si="109"/>
        <v>TX_MASON COUNTY, TX</v>
      </c>
      <c r="D2266" s="265" t="s">
        <v>63</v>
      </c>
      <c r="E2266" s="266" t="s">
        <v>5001</v>
      </c>
      <c r="F2266" s="252">
        <f t="shared" si="110"/>
        <v>48500</v>
      </c>
      <c r="G2266" s="252">
        <f t="shared" si="110"/>
        <v>55400</v>
      </c>
      <c r="H2266" s="252">
        <f t="shared" si="110"/>
        <v>62350</v>
      </c>
      <c r="I2266" s="252">
        <f t="shared" si="110"/>
        <v>69250</v>
      </c>
      <c r="J2266" s="252">
        <f t="shared" si="110"/>
        <v>74800</v>
      </c>
      <c r="K2266" s="252">
        <f t="shared" si="110"/>
        <v>80350</v>
      </c>
      <c r="L2266" s="252">
        <f t="shared" si="110"/>
        <v>85900</v>
      </c>
      <c r="M2266" s="252">
        <f t="shared" si="110"/>
        <v>91450</v>
      </c>
    </row>
    <row r="2267" spans="1:13" ht="21.95" customHeight="1" x14ac:dyDescent="0.25">
      <c r="A2267" s="36" t="s">
        <v>2904</v>
      </c>
      <c r="B2267" s="36" t="str">
        <f t="shared" si="109"/>
        <v>TX_MATAGORDA COUNTY, TX</v>
      </c>
      <c r="D2267" s="265" t="s">
        <v>63</v>
      </c>
      <c r="E2267" s="266" t="s">
        <v>5002</v>
      </c>
      <c r="F2267" s="252">
        <f t="shared" si="110"/>
        <v>44450</v>
      </c>
      <c r="G2267" s="252">
        <f t="shared" si="110"/>
        <v>50800</v>
      </c>
      <c r="H2267" s="252">
        <f t="shared" si="110"/>
        <v>57150</v>
      </c>
      <c r="I2267" s="252">
        <f t="shared" si="110"/>
        <v>63500</v>
      </c>
      <c r="J2267" s="252">
        <f t="shared" si="110"/>
        <v>68600</v>
      </c>
      <c r="K2267" s="252">
        <f t="shared" si="110"/>
        <v>73700</v>
      </c>
      <c r="L2267" s="252">
        <f t="shared" si="110"/>
        <v>78750</v>
      </c>
      <c r="M2267" s="252">
        <f t="shared" si="110"/>
        <v>83850</v>
      </c>
    </row>
    <row r="2268" spans="1:13" ht="21.95" customHeight="1" x14ac:dyDescent="0.25">
      <c r="A2268" s="36" t="s">
        <v>2904</v>
      </c>
      <c r="B2268" s="36" t="str">
        <f t="shared" si="109"/>
        <v>TX_MCALLEN-EDINBURG-MISSION, TX MSA</v>
      </c>
      <c r="D2268" s="265" t="s">
        <v>63</v>
      </c>
      <c r="E2268" s="266" t="s">
        <v>5003</v>
      </c>
      <c r="F2268" s="252">
        <f t="shared" si="110"/>
        <v>44450</v>
      </c>
      <c r="G2268" s="252">
        <f t="shared" si="110"/>
        <v>50800</v>
      </c>
      <c r="H2268" s="252">
        <f t="shared" si="110"/>
        <v>57150</v>
      </c>
      <c r="I2268" s="252">
        <f t="shared" si="110"/>
        <v>63500</v>
      </c>
      <c r="J2268" s="252">
        <f t="shared" si="110"/>
        <v>68600</v>
      </c>
      <c r="K2268" s="252">
        <f t="shared" si="110"/>
        <v>73700</v>
      </c>
      <c r="L2268" s="252">
        <f t="shared" si="110"/>
        <v>78750</v>
      </c>
      <c r="M2268" s="252">
        <f t="shared" si="110"/>
        <v>83850</v>
      </c>
    </row>
    <row r="2269" spans="1:13" ht="21.95" customHeight="1" x14ac:dyDescent="0.25">
      <c r="A2269" s="36" t="s">
        <v>2904</v>
      </c>
      <c r="B2269" s="36" t="str">
        <f t="shared" si="109"/>
        <v>TX_MCCULLOCH COUNTY, TX</v>
      </c>
      <c r="D2269" s="265" t="s">
        <v>63</v>
      </c>
      <c r="E2269" s="266" t="s">
        <v>5004</v>
      </c>
      <c r="F2269" s="252">
        <f t="shared" si="110"/>
        <v>45600</v>
      </c>
      <c r="G2269" s="252">
        <f t="shared" si="110"/>
        <v>52100</v>
      </c>
      <c r="H2269" s="252">
        <f t="shared" si="110"/>
        <v>58600</v>
      </c>
      <c r="I2269" s="252">
        <f t="shared" si="110"/>
        <v>65100</v>
      </c>
      <c r="J2269" s="252">
        <f t="shared" si="110"/>
        <v>70350</v>
      </c>
      <c r="K2269" s="252">
        <f t="shared" si="110"/>
        <v>75550</v>
      </c>
      <c r="L2269" s="252">
        <f t="shared" si="110"/>
        <v>80750</v>
      </c>
      <c r="M2269" s="252">
        <f t="shared" si="110"/>
        <v>85950</v>
      </c>
    </row>
    <row r="2270" spans="1:13" ht="21.95" customHeight="1" x14ac:dyDescent="0.25">
      <c r="A2270" s="36" t="s">
        <v>2904</v>
      </c>
      <c r="B2270" s="36" t="str">
        <f t="shared" si="109"/>
        <v>TX_MCMULLEN COUNTY, TX</v>
      </c>
      <c r="D2270" s="265" t="s">
        <v>63</v>
      </c>
      <c r="E2270" s="266" t="s">
        <v>5005</v>
      </c>
      <c r="F2270" s="252">
        <f t="shared" si="110"/>
        <v>44450</v>
      </c>
      <c r="G2270" s="252">
        <f t="shared" si="110"/>
        <v>50800</v>
      </c>
      <c r="H2270" s="252">
        <f t="shared" si="110"/>
        <v>57150</v>
      </c>
      <c r="I2270" s="252">
        <f t="shared" si="110"/>
        <v>63500</v>
      </c>
      <c r="J2270" s="252">
        <f t="shared" si="110"/>
        <v>68600</v>
      </c>
      <c r="K2270" s="252">
        <f t="shared" si="110"/>
        <v>73700</v>
      </c>
      <c r="L2270" s="252">
        <f t="shared" si="110"/>
        <v>78750</v>
      </c>
      <c r="M2270" s="252">
        <f t="shared" si="110"/>
        <v>83850</v>
      </c>
    </row>
    <row r="2271" spans="1:13" ht="21.95" customHeight="1" x14ac:dyDescent="0.25">
      <c r="A2271" s="36" t="s">
        <v>2904</v>
      </c>
      <c r="B2271" s="36" t="str">
        <f t="shared" si="109"/>
        <v>TX_MEDINA COUNTY, TX HUD METRO FMR AREA</v>
      </c>
      <c r="D2271" s="265" t="s">
        <v>63</v>
      </c>
      <c r="E2271" s="266" t="s">
        <v>5006</v>
      </c>
      <c r="F2271" s="252">
        <f t="shared" si="110"/>
        <v>54450</v>
      </c>
      <c r="G2271" s="252">
        <f t="shared" si="110"/>
        <v>62200</v>
      </c>
      <c r="H2271" s="252">
        <f t="shared" si="110"/>
        <v>70000</v>
      </c>
      <c r="I2271" s="252">
        <f t="shared" si="110"/>
        <v>77750</v>
      </c>
      <c r="J2271" s="252">
        <f t="shared" si="110"/>
        <v>84000</v>
      </c>
      <c r="K2271" s="252">
        <f t="shared" si="110"/>
        <v>90200</v>
      </c>
      <c r="L2271" s="252">
        <f t="shared" si="110"/>
        <v>96450</v>
      </c>
      <c r="M2271" s="252">
        <f t="shared" si="110"/>
        <v>102650</v>
      </c>
    </row>
    <row r="2272" spans="1:13" ht="21.95" customHeight="1" x14ac:dyDescent="0.25">
      <c r="A2272" s="36" t="s">
        <v>2904</v>
      </c>
      <c r="B2272" s="36" t="str">
        <f t="shared" si="109"/>
        <v>TX_MENARD COUNTY, TX</v>
      </c>
      <c r="D2272" s="265" t="s">
        <v>63</v>
      </c>
      <c r="E2272" s="266" t="s">
        <v>5007</v>
      </c>
      <c r="F2272" s="252">
        <f t="shared" si="110"/>
        <v>48500</v>
      </c>
      <c r="G2272" s="252">
        <f t="shared" si="110"/>
        <v>55400</v>
      </c>
      <c r="H2272" s="252">
        <f t="shared" si="110"/>
        <v>62350</v>
      </c>
      <c r="I2272" s="252">
        <f t="shared" si="110"/>
        <v>69250</v>
      </c>
      <c r="J2272" s="252">
        <f t="shared" si="110"/>
        <v>74800</v>
      </c>
      <c r="K2272" s="252">
        <f t="shared" si="110"/>
        <v>80350</v>
      </c>
      <c r="L2272" s="252">
        <f t="shared" si="110"/>
        <v>85900</v>
      </c>
      <c r="M2272" s="252">
        <f t="shared" si="110"/>
        <v>91450</v>
      </c>
    </row>
    <row r="2273" spans="1:13" ht="21.95" customHeight="1" x14ac:dyDescent="0.25">
      <c r="A2273" s="36" t="s">
        <v>2904</v>
      </c>
      <c r="B2273" s="36" t="str">
        <f t="shared" si="109"/>
        <v>TX_MIDLAND, TX HUD METRO FMR AREA</v>
      </c>
      <c r="D2273" s="265" t="s">
        <v>63</v>
      </c>
      <c r="E2273" s="266" t="s">
        <v>5008</v>
      </c>
      <c r="F2273" s="252">
        <f t="shared" si="110"/>
        <v>61850</v>
      </c>
      <c r="G2273" s="252">
        <f t="shared" si="110"/>
        <v>70650</v>
      </c>
      <c r="H2273" s="252">
        <f t="shared" si="110"/>
        <v>79500</v>
      </c>
      <c r="I2273" s="252">
        <f t="shared" ref="F2273:M2305" si="111">VLOOKUP($B2273,LOOKUP_AMI_TABLE,5+((I$7-1)),FALSE)</f>
        <v>88300</v>
      </c>
      <c r="J2273" s="252">
        <f t="shared" si="111"/>
        <v>95400</v>
      </c>
      <c r="K2273" s="252">
        <f t="shared" si="111"/>
        <v>102450</v>
      </c>
      <c r="L2273" s="252">
        <f t="shared" si="111"/>
        <v>109500</v>
      </c>
      <c r="M2273" s="252">
        <f t="shared" si="111"/>
        <v>116600</v>
      </c>
    </row>
    <row r="2274" spans="1:13" ht="21.95" customHeight="1" x14ac:dyDescent="0.25">
      <c r="A2274" s="36" t="s">
        <v>2904</v>
      </c>
      <c r="B2274" s="36" t="str">
        <f t="shared" si="109"/>
        <v>TX_MILAM COUNTY, TX</v>
      </c>
      <c r="D2274" s="265" t="s">
        <v>63</v>
      </c>
      <c r="E2274" s="266" t="s">
        <v>5009</v>
      </c>
      <c r="F2274" s="252">
        <f t="shared" si="111"/>
        <v>46300</v>
      </c>
      <c r="G2274" s="252">
        <f t="shared" si="111"/>
        <v>52900</v>
      </c>
      <c r="H2274" s="252">
        <f t="shared" si="111"/>
        <v>59500</v>
      </c>
      <c r="I2274" s="252">
        <f t="shared" si="111"/>
        <v>66100</v>
      </c>
      <c r="J2274" s="252">
        <f t="shared" si="111"/>
        <v>71400</v>
      </c>
      <c r="K2274" s="252">
        <f t="shared" si="111"/>
        <v>76700</v>
      </c>
      <c r="L2274" s="252">
        <f t="shared" si="111"/>
        <v>82000</v>
      </c>
      <c r="M2274" s="252">
        <f t="shared" si="111"/>
        <v>87300</v>
      </c>
    </row>
    <row r="2275" spans="1:13" ht="21.95" customHeight="1" x14ac:dyDescent="0.25">
      <c r="A2275" s="36" t="s">
        <v>2904</v>
      </c>
      <c r="B2275" s="36" t="str">
        <f t="shared" si="109"/>
        <v>TX_MILLS COUNTY, TX</v>
      </c>
      <c r="D2275" s="265" t="s">
        <v>63</v>
      </c>
      <c r="E2275" s="266" t="s">
        <v>5010</v>
      </c>
      <c r="F2275" s="252">
        <f t="shared" si="111"/>
        <v>47250</v>
      </c>
      <c r="G2275" s="252">
        <f t="shared" si="111"/>
        <v>54000</v>
      </c>
      <c r="H2275" s="252">
        <f t="shared" si="111"/>
        <v>60750</v>
      </c>
      <c r="I2275" s="252">
        <f t="shared" si="111"/>
        <v>67500</v>
      </c>
      <c r="J2275" s="252">
        <f t="shared" si="111"/>
        <v>72900</v>
      </c>
      <c r="K2275" s="252">
        <f t="shared" si="111"/>
        <v>78300</v>
      </c>
      <c r="L2275" s="252">
        <f t="shared" si="111"/>
        <v>83700</v>
      </c>
      <c r="M2275" s="252">
        <f t="shared" si="111"/>
        <v>89100</v>
      </c>
    </row>
    <row r="2276" spans="1:13" ht="21.95" customHeight="1" x14ac:dyDescent="0.25">
      <c r="A2276" s="36" t="s">
        <v>2904</v>
      </c>
      <c r="B2276" s="36" t="str">
        <f t="shared" si="109"/>
        <v>TX_MITCHELL COUNTY, TX</v>
      </c>
      <c r="D2276" s="265" t="s">
        <v>63</v>
      </c>
      <c r="E2276" s="266" t="s">
        <v>5011</v>
      </c>
      <c r="F2276" s="252">
        <f t="shared" si="111"/>
        <v>57800</v>
      </c>
      <c r="G2276" s="252">
        <f t="shared" si="111"/>
        <v>66050</v>
      </c>
      <c r="H2276" s="252">
        <f t="shared" si="111"/>
        <v>74300</v>
      </c>
      <c r="I2276" s="252">
        <f t="shared" si="111"/>
        <v>82550</v>
      </c>
      <c r="J2276" s="252">
        <f t="shared" si="111"/>
        <v>89200</v>
      </c>
      <c r="K2276" s="252">
        <f t="shared" si="111"/>
        <v>95800</v>
      </c>
      <c r="L2276" s="252">
        <f t="shared" si="111"/>
        <v>102400</v>
      </c>
      <c r="M2276" s="252">
        <f t="shared" si="111"/>
        <v>109000</v>
      </c>
    </row>
    <row r="2277" spans="1:13" ht="21.95" customHeight="1" x14ac:dyDescent="0.25">
      <c r="A2277" s="36" t="s">
        <v>2904</v>
      </c>
      <c r="B2277" s="36" t="str">
        <f t="shared" si="109"/>
        <v>TX_MONTAGUE COUNTY, TX</v>
      </c>
      <c r="D2277" s="265" t="s">
        <v>63</v>
      </c>
      <c r="E2277" s="266" t="s">
        <v>5012</v>
      </c>
      <c r="F2277" s="252">
        <f t="shared" si="111"/>
        <v>47900</v>
      </c>
      <c r="G2277" s="252">
        <f t="shared" si="111"/>
        <v>54750</v>
      </c>
      <c r="H2277" s="252">
        <f t="shared" si="111"/>
        <v>61600</v>
      </c>
      <c r="I2277" s="252">
        <f t="shared" si="111"/>
        <v>68400</v>
      </c>
      <c r="J2277" s="252">
        <f t="shared" si="111"/>
        <v>73900</v>
      </c>
      <c r="K2277" s="252">
        <f t="shared" si="111"/>
        <v>79350</v>
      </c>
      <c r="L2277" s="252">
        <f t="shared" si="111"/>
        <v>84850</v>
      </c>
      <c r="M2277" s="252">
        <f t="shared" si="111"/>
        <v>90300</v>
      </c>
    </row>
    <row r="2278" spans="1:13" ht="21.95" customHeight="1" x14ac:dyDescent="0.25">
      <c r="A2278" s="36" t="s">
        <v>2904</v>
      </c>
      <c r="B2278" s="36" t="str">
        <f t="shared" si="109"/>
        <v>TX_MOORE COUNTY, TX</v>
      </c>
      <c r="D2278" s="265" t="s">
        <v>63</v>
      </c>
      <c r="E2278" s="266" t="s">
        <v>5013</v>
      </c>
      <c r="F2278" s="252">
        <f t="shared" si="111"/>
        <v>44450</v>
      </c>
      <c r="G2278" s="252">
        <f t="shared" si="111"/>
        <v>50800</v>
      </c>
      <c r="H2278" s="252">
        <f t="shared" si="111"/>
        <v>57150</v>
      </c>
      <c r="I2278" s="252">
        <f t="shared" si="111"/>
        <v>63500</v>
      </c>
      <c r="J2278" s="252">
        <f t="shared" si="111"/>
        <v>68600</v>
      </c>
      <c r="K2278" s="252">
        <f t="shared" si="111"/>
        <v>73700</v>
      </c>
      <c r="L2278" s="252">
        <f t="shared" si="111"/>
        <v>78750</v>
      </c>
      <c r="M2278" s="252">
        <f t="shared" si="111"/>
        <v>83850</v>
      </c>
    </row>
    <row r="2279" spans="1:13" ht="21.95" customHeight="1" x14ac:dyDescent="0.25">
      <c r="A2279" s="36" t="s">
        <v>2904</v>
      </c>
      <c r="B2279" s="36" t="str">
        <f t="shared" si="109"/>
        <v>TX_MORRIS COUNTY, TX</v>
      </c>
      <c r="D2279" s="265" t="s">
        <v>63</v>
      </c>
      <c r="E2279" s="266" t="s">
        <v>5014</v>
      </c>
      <c r="F2279" s="252">
        <f t="shared" si="111"/>
        <v>44450</v>
      </c>
      <c r="G2279" s="252">
        <f t="shared" si="111"/>
        <v>50800</v>
      </c>
      <c r="H2279" s="252">
        <f t="shared" si="111"/>
        <v>57150</v>
      </c>
      <c r="I2279" s="252">
        <f t="shared" si="111"/>
        <v>63500</v>
      </c>
      <c r="J2279" s="252">
        <f t="shared" si="111"/>
        <v>68600</v>
      </c>
      <c r="K2279" s="252">
        <f t="shared" si="111"/>
        <v>73700</v>
      </c>
      <c r="L2279" s="252">
        <f t="shared" si="111"/>
        <v>78750</v>
      </c>
      <c r="M2279" s="252">
        <f t="shared" si="111"/>
        <v>83850</v>
      </c>
    </row>
    <row r="2280" spans="1:13" ht="21.95" customHeight="1" x14ac:dyDescent="0.25">
      <c r="A2280" s="36" t="s">
        <v>2904</v>
      </c>
      <c r="B2280" s="36" t="str">
        <f t="shared" si="109"/>
        <v>TX_MOTLEY COUNTY, TX</v>
      </c>
      <c r="D2280" s="265" t="s">
        <v>63</v>
      </c>
      <c r="E2280" s="266" t="s">
        <v>5015</v>
      </c>
      <c r="F2280" s="252">
        <f t="shared" si="111"/>
        <v>44650</v>
      </c>
      <c r="G2280" s="252">
        <f t="shared" si="111"/>
        <v>51000</v>
      </c>
      <c r="H2280" s="252">
        <f t="shared" si="111"/>
        <v>57400</v>
      </c>
      <c r="I2280" s="252">
        <f t="shared" si="111"/>
        <v>63750</v>
      </c>
      <c r="J2280" s="252">
        <f t="shared" si="111"/>
        <v>68850</v>
      </c>
      <c r="K2280" s="252">
        <f t="shared" si="111"/>
        <v>73950</v>
      </c>
      <c r="L2280" s="252">
        <f t="shared" si="111"/>
        <v>79050</v>
      </c>
      <c r="M2280" s="252">
        <f t="shared" si="111"/>
        <v>84150</v>
      </c>
    </row>
    <row r="2281" spans="1:13" ht="21.95" customHeight="1" x14ac:dyDescent="0.25">
      <c r="A2281" s="36" t="s">
        <v>2904</v>
      </c>
      <c r="B2281" s="36" t="str">
        <f t="shared" si="109"/>
        <v>TX_NACOGDOCHES COUNTY, TX</v>
      </c>
      <c r="D2281" s="265" t="s">
        <v>63</v>
      </c>
      <c r="E2281" s="266" t="s">
        <v>5016</v>
      </c>
      <c r="F2281" s="252">
        <f t="shared" si="111"/>
        <v>44700</v>
      </c>
      <c r="G2281" s="252">
        <f t="shared" si="111"/>
        <v>51100</v>
      </c>
      <c r="H2281" s="252">
        <f t="shared" si="111"/>
        <v>57500</v>
      </c>
      <c r="I2281" s="252">
        <f t="shared" si="111"/>
        <v>63850</v>
      </c>
      <c r="J2281" s="252">
        <f t="shared" si="111"/>
        <v>69000</v>
      </c>
      <c r="K2281" s="252">
        <f t="shared" si="111"/>
        <v>74100</v>
      </c>
      <c r="L2281" s="252">
        <f t="shared" si="111"/>
        <v>79200</v>
      </c>
      <c r="M2281" s="252">
        <f t="shared" si="111"/>
        <v>84300</v>
      </c>
    </row>
    <row r="2282" spans="1:13" ht="21.95" customHeight="1" x14ac:dyDescent="0.25">
      <c r="A2282" s="36" t="s">
        <v>2904</v>
      </c>
      <c r="B2282" s="36" t="str">
        <f t="shared" si="109"/>
        <v>TX_NAVARRO COUNTY, TX</v>
      </c>
      <c r="D2282" s="265" t="s">
        <v>63</v>
      </c>
      <c r="E2282" s="266" t="s">
        <v>5017</v>
      </c>
      <c r="F2282" s="252">
        <f t="shared" si="111"/>
        <v>45500</v>
      </c>
      <c r="G2282" s="252">
        <f t="shared" si="111"/>
        <v>52000</v>
      </c>
      <c r="H2282" s="252">
        <f t="shared" si="111"/>
        <v>58500</v>
      </c>
      <c r="I2282" s="252">
        <f t="shared" si="111"/>
        <v>64950</v>
      </c>
      <c r="J2282" s="252">
        <f t="shared" si="111"/>
        <v>70150</v>
      </c>
      <c r="K2282" s="252">
        <f t="shared" si="111"/>
        <v>75350</v>
      </c>
      <c r="L2282" s="252">
        <f t="shared" si="111"/>
        <v>80550</v>
      </c>
      <c r="M2282" s="252">
        <f t="shared" si="111"/>
        <v>85750</v>
      </c>
    </row>
    <row r="2283" spans="1:13" ht="21.95" customHeight="1" x14ac:dyDescent="0.25">
      <c r="A2283" s="36" t="s">
        <v>2904</v>
      </c>
      <c r="B2283" s="36" t="str">
        <f t="shared" si="109"/>
        <v>TX_NEWTON COUNTY, TX</v>
      </c>
      <c r="D2283" s="265" t="s">
        <v>63</v>
      </c>
      <c r="E2283" s="266" t="s">
        <v>5018</v>
      </c>
      <c r="F2283" s="252">
        <f t="shared" si="111"/>
        <v>44450</v>
      </c>
      <c r="G2283" s="252">
        <f t="shared" si="111"/>
        <v>50800</v>
      </c>
      <c r="H2283" s="252">
        <f t="shared" si="111"/>
        <v>57150</v>
      </c>
      <c r="I2283" s="252">
        <f t="shared" si="111"/>
        <v>63500</v>
      </c>
      <c r="J2283" s="252">
        <f t="shared" si="111"/>
        <v>68600</v>
      </c>
      <c r="K2283" s="252">
        <f t="shared" si="111"/>
        <v>73700</v>
      </c>
      <c r="L2283" s="252">
        <f t="shared" si="111"/>
        <v>78750</v>
      </c>
      <c r="M2283" s="252">
        <f t="shared" si="111"/>
        <v>83850</v>
      </c>
    </row>
    <row r="2284" spans="1:13" ht="21.95" customHeight="1" x14ac:dyDescent="0.25">
      <c r="A2284" s="36" t="s">
        <v>2904</v>
      </c>
      <c r="B2284" s="36" t="str">
        <f t="shared" si="109"/>
        <v>TX_NOLAN COUNTY, TX</v>
      </c>
      <c r="D2284" s="265" t="s">
        <v>63</v>
      </c>
      <c r="E2284" s="266" t="s">
        <v>5019</v>
      </c>
      <c r="F2284" s="252">
        <f t="shared" si="111"/>
        <v>44450</v>
      </c>
      <c r="G2284" s="252">
        <f t="shared" si="111"/>
        <v>50800</v>
      </c>
      <c r="H2284" s="252">
        <f t="shared" si="111"/>
        <v>57150</v>
      </c>
      <c r="I2284" s="252">
        <f t="shared" si="111"/>
        <v>63500</v>
      </c>
      <c r="J2284" s="252">
        <f t="shared" si="111"/>
        <v>68600</v>
      </c>
      <c r="K2284" s="252">
        <f t="shared" si="111"/>
        <v>73700</v>
      </c>
      <c r="L2284" s="252">
        <f t="shared" si="111"/>
        <v>78750</v>
      </c>
      <c r="M2284" s="252">
        <f t="shared" si="111"/>
        <v>83850</v>
      </c>
    </row>
    <row r="2285" spans="1:13" ht="21.95" customHeight="1" x14ac:dyDescent="0.25">
      <c r="A2285" s="36" t="s">
        <v>2904</v>
      </c>
      <c r="B2285" s="36" t="str">
        <f t="shared" si="109"/>
        <v>TX_OCHILTREE COUNTY, TX</v>
      </c>
      <c r="D2285" s="265" t="s">
        <v>63</v>
      </c>
      <c r="E2285" s="266" t="s">
        <v>5020</v>
      </c>
      <c r="F2285" s="252">
        <f t="shared" si="111"/>
        <v>48900</v>
      </c>
      <c r="G2285" s="252">
        <f t="shared" si="111"/>
        <v>55900</v>
      </c>
      <c r="H2285" s="252">
        <f t="shared" si="111"/>
        <v>62900</v>
      </c>
      <c r="I2285" s="252">
        <f t="shared" si="111"/>
        <v>69850</v>
      </c>
      <c r="J2285" s="252">
        <f t="shared" si="111"/>
        <v>75450</v>
      </c>
      <c r="K2285" s="252">
        <f t="shared" si="111"/>
        <v>81050</v>
      </c>
      <c r="L2285" s="252">
        <f t="shared" si="111"/>
        <v>86650</v>
      </c>
      <c r="M2285" s="252">
        <f t="shared" si="111"/>
        <v>92250</v>
      </c>
    </row>
    <row r="2286" spans="1:13" ht="21.95" customHeight="1" x14ac:dyDescent="0.25">
      <c r="A2286" s="36" t="s">
        <v>2904</v>
      </c>
      <c r="B2286" s="36" t="str">
        <f t="shared" si="109"/>
        <v>TX_ODESSA, TX MSA</v>
      </c>
      <c r="D2286" s="265" t="s">
        <v>63</v>
      </c>
      <c r="E2286" s="266" t="s">
        <v>5021</v>
      </c>
      <c r="F2286" s="252">
        <f t="shared" si="111"/>
        <v>52750</v>
      </c>
      <c r="G2286" s="252">
        <f t="shared" si="111"/>
        <v>60250</v>
      </c>
      <c r="H2286" s="252">
        <f t="shared" si="111"/>
        <v>67800</v>
      </c>
      <c r="I2286" s="252">
        <f t="shared" si="111"/>
        <v>75300</v>
      </c>
      <c r="J2286" s="252">
        <f t="shared" si="111"/>
        <v>81350</v>
      </c>
      <c r="K2286" s="252">
        <f t="shared" si="111"/>
        <v>87350</v>
      </c>
      <c r="L2286" s="252">
        <f t="shared" si="111"/>
        <v>93400</v>
      </c>
      <c r="M2286" s="252">
        <f t="shared" si="111"/>
        <v>99400</v>
      </c>
    </row>
    <row r="2287" spans="1:13" ht="21.95" customHeight="1" x14ac:dyDescent="0.25">
      <c r="A2287" s="36" t="s">
        <v>2904</v>
      </c>
      <c r="B2287" s="36" t="str">
        <f t="shared" si="109"/>
        <v>TX_OLDHAM COUNTY, TX HUD METRO FMR AREA</v>
      </c>
      <c r="D2287" s="265" t="s">
        <v>63</v>
      </c>
      <c r="E2287" s="266" t="s">
        <v>5022</v>
      </c>
      <c r="F2287" s="252">
        <f t="shared" si="111"/>
        <v>49050</v>
      </c>
      <c r="G2287" s="252">
        <f t="shared" si="111"/>
        <v>56050</v>
      </c>
      <c r="H2287" s="252">
        <f t="shared" si="111"/>
        <v>63050</v>
      </c>
      <c r="I2287" s="252">
        <f t="shared" si="111"/>
        <v>70050</v>
      </c>
      <c r="J2287" s="252">
        <f t="shared" si="111"/>
        <v>75700</v>
      </c>
      <c r="K2287" s="252">
        <f t="shared" si="111"/>
        <v>81300</v>
      </c>
      <c r="L2287" s="252">
        <f t="shared" si="111"/>
        <v>86900</v>
      </c>
      <c r="M2287" s="252">
        <f t="shared" si="111"/>
        <v>92500</v>
      </c>
    </row>
    <row r="2288" spans="1:13" ht="21.95" customHeight="1" x14ac:dyDescent="0.25">
      <c r="A2288" s="36" t="s">
        <v>2904</v>
      </c>
      <c r="B2288" s="36" t="str">
        <f t="shared" si="109"/>
        <v>TX_PALO PINTO COUNTY, TX</v>
      </c>
      <c r="D2288" s="265" t="s">
        <v>63</v>
      </c>
      <c r="E2288" s="266" t="s">
        <v>5023</v>
      </c>
      <c r="F2288" s="252">
        <f t="shared" si="111"/>
        <v>45850</v>
      </c>
      <c r="G2288" s="252">
        <f t="shared" si="111"/>
        <v>52400</v>
      </c>
      <c r="H2288" s="252">
        <f t="shared" si="111"/>
        <v>58950</v>
      </c>
      <c r="I2288" s="252">
        <f t="shared" si="111"/>
        <v>65450</v>
      </c>
      <c r="J2288" s="252">
        <f t="shared" si="111"/>
        <v>70700</v>
      </c>
      <c r="K2288" s="252">
        <f t="shared" si="111"/>
        <v>75950</v>
      </c>
      <c r="L2288" s="252">
        <f t="shared" si="111"/>
        <v>81200</v>
      </c>
      <c r="M2288" s="252">
        <f t="shared" si="111"/>
        <v>86400</v>
      </c>
    </row>
    <row r="2289" spans="1:13" ht="21.95" customHeight="1" x14ac:dyDescent="0.25">
      <c r="A2289" s="36" t="s">
        <v>2904</v>
      </c>
      <c r="B2289" s="36" t="str">
        <f t="shared" si="109"/>
        <v>TX_PANOLA COUNTY, TX</v>
      </c>
      <c r="D2289" s="265" t="s">
        <v>63</v>
      </c>
      <c r="E2289" s="266" t="s">
        <v>5024</v>
      </c>
      <c r="F2289" s="252">
        <f t="shared" si="111"/>
        <v>48500</v>
      </c>
      <c r="G2289" s="252">
        <f t="shared" si="111"/>
        <v>55400</v>
      </c>
      <c r="H2289" s="252">
        <f t="shared" si="111"/>
        <v>62350</v>
      </c>
      <c r="I2289" s="252">
        <f t="shared" si="111"/>
        <v>69250</v>
      </c>
      <c r="J2289" s="252">
        <f t="shared" si="111"/>
        <v>74800</v>
      </c>
      <c r="K2289" s="252">
        <f t="shared" si="111"/>
        <v>80350</v>
      </c>
      <c r="L2289" s="252">
        <f t="shared" si="111"/>
        <v>85900</v>
      </c>
      <c r="M2289" s="252">
        <f t="shared" si="111"/>
        <v>91450</v>
      </c>
    </row>
    <row r="2290" spans="1:13" ht="21.95" customHeight="1" x14ac:dyDescent="0.25">
      <c r="A2290" s="36" t="s">
        <v>2904</v>
      </c>
      <c r="B2290" s="36" t="str">
        <f t="shared" si="109"/>
        <v>TX_PARMER COUNTY, TX</v>
      </c>
      <c r="D2290" s="265" t="s">
        <v>63</v>
      </c>
      <c r="E2290" s="266" t="s">
        <v>5025</v>
      </c>
      <c r="F2290" s="252">
        <f t="shared" si="111"/>
        <v>48850</v>
      </c>
      <c r="G2290" s="252">
        <f t="shared" si="111"/>
        <v>55800</v>
      </c>
      <c r="H2290" s="252">
        <f t="shared" si="111"/>
        <v>62800</v>
      </c>
      <c r="I2290" s="252">
        <f t="shared" si="111"/>
        <v>69750</v>
      </c>
      <c r="J2290" s="252">
        <f t="shared" si="111"/>
        <v>75350</v>
      </c>
      <c r="K2290" s="252">
        <f t="shared" si="111"/>
        <v>80950</v>
      </c>
      <c r="L2290" s="252">
        <f t="shared" si="111"/>
        <v>86500</v>
      </c>
      <c r="M2290" s="252">
        <f t="shared" si="111"/>
        <v>92100</v>
      </c>
    </row>
    <row r="2291" spans="1:13" ht="21.95" customHeight="1" x14ac:dyDescent="0.25">
      <c r="A2291" s="36" t="s">
        <v>2904</v>
      </c>
      <c r="B2291" s="36" t="str">
        <f t="shared" si="109"/>
        <v>TX_PECOS COUNTY, TX</v>
      </c>
      <c r="D2291" s="265" t="s">
        <v>63</v>
      </c>
      <c r="E2291" s="266" t="s">
        <v>5026</v>
      </c>
      <c r="F2291" s="252">
        <f t="shared" si="111"/>
        <v>45850</v>
      </c>
      <c r="G2291" s="252">
        <f t="shared" si="111"/>
        <v>52400</v>
      </c>
      <c r="H2291" s="252">
        <f t="shared" si="111"/>
        <v>58950</v>
      </c>
      <c r="I2291" s="252">
        <f t="shared" si="111"/>
        <v>65500</v>
      </c>
      <c r="J2291" s="252">
        <f t="shared" si="111"/>
        <v>70750</v>
      </c>
      <c r="K2291" s="252">
        <f t="shared" si="111"/>
        <v>76000</v>
      </c>
      <c r="L2291" s="252">
        <f t="shared" si="111"/>
        <v>81250</v>
      </c>
      <c r="M2291" s="252">
        <f t="shared" si="111"/>
        <v>86500</v>
      </c>
    </row>
    <row r="2292" spans="1:13" ht="21.95" customHeight="1" x14ac:dyDescent="0.25">
      <c r="A2292" s="36" t="s">
        <v>2904</v>
      </c>
      <c r="B2292" s="36" t="str">
        <f t="shared" si="109"/>
        <v>TX_POLK COUNTY, TX</v>
      </c>
      <c r="D2292" s="265" t="s">
        <v>63</v>
      </c>
      <c r="E2292" s="266" t="s">
        <v>5027</v>
      </c>
      <c r="F2292" s="252">
        <f t="shared" si="111"/>
        <v>44450</v>
      </c>
      <c r="G2292" s="252">
        <f t="shared" si="111"/>
        <v>50800</v>
      </c>
      <c r="H2292" s="252">
        <f t="shared" si="111"/>
        <v>57150</v>
      </c>
      <c r="I2292" s="252">
        <f t="shared" si="111"/>
        <v>63500</v>
      </c>
      <c r="J2292" s="252">
        <f t="shared" si="111"/>
        <v>68600</v>
      </c>
      <c r="K2292" s="252">
        <f t="shared" si="111"/>
        <v>73700</v>
      </c>
      <c r="L2292" s="252">
        <f t="shared" si="111"/>
        <v>78750</v>
      </c>
      <c r="M2292" s="252">
        <f t="shared" si="111"/>
        <v>83850</v>
      </c>
    </row>
    <row r="2293" spans="1:13" ht="21.95" customHeight="1" x14ac:dyDescent="0.25">
      <c r="A2293" s="36" t="s">
        <v>2904</v>
      </c>
      <c r="B2293" s="36" t="str">
        <f t="shared" si="109"/>
        <v>TX_PRESIDIO COUNTY, TX</v>
      </c>
      <c r="D2293" s="265" t="s">
        <v>63</v>
      </c>
      <c r="E2293" s="266" t="s">
        <v>5028</v>
      </c>
      <c r="F2293" s="252">
        <f t="shared" si="111"/>
        <v>44450</v>
      </c>
      <c r="G2293" s="252">
        <f t="shared" si="111"/>
        <v>50800</v>
      </c>
      <c r="H2293" s="252">
        <f t="shared" si="111"/>
        <v>57150</v>
      </c>
      <c r="I2293" s="252">
        <f t="shared" si="111"/>
        <v>63500</v>
      </c>
      <c r="J2293" s="252">
        <f t="shared" si="111"/>
        <v>68600</v>
      </c>
      <c r="K2293" s="252">
        <f t="shared" si="111"/>
        <v>73700</v>
      </c>
      <c r="L2293" s="252">
        <f t="shared" si="111"/>
        <v>78750</v>
      </c>
      <c r="M2293" s="252">
        <f t="shared" si="111"/>
        <v>83850</v>
      </c>
    </row>
    <row r="2294" spans="1:13" ht="21.95" customHeight="1" x14ac:dyDescent="0.25">
      <c r="A2294" s="36" t="s">
        <v>2904</v>
      </c>
      <c r="B2294" s="36" t="str">
        <f t="shared" si="109"/>
        <v>TX_RAINS COUNTY, TX</v>
      </c>
      <c r="D2294" s="265" t="s">
        <v>63</v>
      </c>
      <c r="E2294" s="266" t="s">
        <v>5029</v>
      </c>
      <c r="F2294" s="252">
        <f t="shared" si="111"/>
        <v>46850</v>
      </c>
      <c r="G2294" s="252">
        <f t="shared" si="111"/>
        <v>53550</v>
      </c>
      <c r="H2294" s="252">
        <f t="shared" si="111"/>
        <v>60250</v>
      </c>
      <c r="I2294" s="252">
        <f t="shared" si="111"/>
        <v>66900</v>
      </c>
      <c r="J2294" s="252">
        <f t="shared" si="111"/>
        <v>72300</v>
      </c>
      <c r="K2294" s="252">
        <f t="shared" si="111"/>
        <v>77650</v>
      </c>
      <c r="L2294" s="252">
        <f t="shared" si="111"/>
        <v>83000</v>
      </c>
      <c r="M2294" s="252">
        <f t="shared" si="111"/>
        <v>88350</v>
      </c>
    </row>
    <row r="2295" spans="1:13" ht="21.95" customHeight="1" x14ac:dyDescent="0.25">
      <c r="A2295" s="36" t="s">
        <v>2904</v>
      </c>
      <c r="B2295" s="36" t="str">
        <f t="shared" si="109"/>
        <v>TX_REAGAN COUNTY, TX</v>
      </c>
      <c r="D2295" s="265" t="s">
        <v>63</v>
      </c>
      <c r="E2295" s="266" t="s">
        <v>5030</v>
      </c>
      <c r="F2295" s="252">
        <f t="shared" si="111"/>
        <v>48650</v>
      </c>
      <c r="G2295" s="252">
        <f t="shared" si="111"/>
        <v>55600</v>
      </c>
      <c r="H2295" s="252">
        <f t="shared" si="111"/>
        <v>62550</v>
      </c>
      <c r="I2295" s="252">
        <f t="shared" si="111"/>
        <v>69450</v>
      </c>
      <c r="J2295" s="252">
        <f t="shared" si="111"/>
        <v>75050</v>
      </c>
      <c r="K2295" s="252">
        <f t="shared" si="111"/>
        <v>80600</v>
      </c>
      <c r="L2295" s="252">
        <f t="shared" si="111"/>
        <v>86150</v>
      </c>
      <c r="M2295" s="252">
        <f t="shared" si="111"/>
        <v>91700</v>
      </c>
    </row>
    <row r="2296" spans="1:13" ht="21.95" customHeight="1" x14ac:dyDescent="0.25">
      <c r="A2296" s="36" t="s">
        <v>2904</v>
      </c>
      <c r="B2296" s="36" t="str">
        <f t="shared" si="109"/>
        <v>TX_REAL COUNTY, TX</v>
      </c>
      <c r="D2296" s="265" t="s">
        <v>63</v>
      </c>
      <c r="E2296" s="266" t="s">
        <v>5031</v>
      </c>
      <c r="F2296" s="252">
        <f t="shared" si="111"/>
        <v>44450</v>
      </c>
      <c r="G2296" s="252">
        <f t="shared" si="111"/>
        <v>50800</v>
      </c>
      <c r="H2296" s="252">
        <f t="shared" si="111"/>
        <v>57150</v>
      </c>
      <c r="I2296" s="252">
        <f t="shared" si="111"/>
        <v>63500</v>
      </c>
      <c r="J2296" s="252">
        <f t="shared" si="111"/>
        <v>68600</v>
      </c>
      <c r="K2296" s="252">
        <f t="shared" si="111"/>
        <v>73700</v>
      </c>
      <c r="L2296" s="252">
        <f t="shared" si="111"/>
        <v>78750</v>
      </c>
      <c r="M2296" s="252">
        <f t="shared" si="111"/>
        <v>83850</v>
      </c>
    </row>
    <row r="2297" spans="1:13" ht="21.95" customHeight="1" x14ac:dyDescent="0.25">
      <c r="A2297" s="36" t="s">
        <v>2904</v>
      </c>
      <c r="B2297" s="36" t="str">
        <f t="shared" si="109"/>
        <v>TX_RED RIVER COUNTY, TX</v>
      </c>
      <c r="D2297" s="265" t="s">
        <v>63</v>
      </c>
      <c r="E2297" s="266" t="s">
        <v>5032</v>
      </c>
      <c r="F2297" s="252">
        <f t="shared" si="111"/>
        <v>44450</v>
      </c>
      <c r="G2297" s="252">
        <f t="shared" si="111"/>
        <v>50800</v>
      </c>
      <c r="H2297" s="252">
        <f t="shared" si="111"/>
        <v>57150</v>
      </c>
      <c r="I2297" s="252">
        <f t="shared" si="111"/>
        <v>63500</v>
      </c>
      <c r="J2297" s="252">
        <f t="shared" si="111"/>
        <v>68600</v>
      </c>
      <c r="K2297" s="252">
        <f t="shared" si="111"/>
        <v>73700</v>
      </c>
      <c r="L2297" s="252">
        <f t="shared" si="111"/>
        <v>78750</v>
      </c>
      <c r="M2297" s="252">
        <f t="shared" si="111"/>
        <v>83850</v>
      </c>
    </row>
    <row r="2298" spans="1:13" ht="21.95" customHeight="1" x14ac:dyDescent="0.25">
      <c r="A2298" s="36" t="s">
        <v>2904</v>
      </c>
      <c r="B2298" s="36" t="str">
        <f t="shared" si="109"/>
        <v>TX_REEVES COUNTY, TX</v>
      </c>
      <c r="D2298" s="265" t="s">
        <v>63</v>
      </c>
      <c r="E2298" s="266" t="s">
        <v>5033</v>
      </c>
      <c r="F2298" s="252">
        <f t="shared" si="111"/>
        <v>44450</v>
      </c>
      <c r="G2298" s="252">
        <f t="shared" si="111"/>
        <v>50800</v>
      </c>
      <c r="H2298" s="252">
        <f t="shared" si="111"/>
        <v>57150</v>
      </c>
      <c r="I2298" s="252">
        <f t="shared" si="111"/>
        <v>63500</v>
      </c>
      <c r="J2298" s="252">
        <f t="shared" si="111"/>
        <v>68600</v>
      </c>
      <c r="K2298" s="252">
        <f t="shared" si="111"/>
        <v>73700</v>
      </c>
      <c r="L2298" s="252">
        <f t="shared" si="111"/>
        <v>78750</v>
      </c>
      <c r="M2298" s="252">
        <f t="shared" si="111"/>
        <v>83850</v>
      </c>
    </row>
    <row r="2299" spans="1:13" ht="21.95" customHeight="1" x14ac:dyDescent="0.25">
      <c r="A2299" s="36" t="s">
        <v>2904</v>
      </c>
      <c r="B2299" s="36" t="str">
        <f t="shared" si="109"/>
        <v>TX_REFUGIO COUNTY, TX</v>
      </c>
      <c r="D2299" s="265" t="s">
        <v>63</v>
      </c>
      <c r="E2299" s="266" t="s">
        <v>5034</v>
      </c>
      <c r="F2299" s="252">
        <f t="shared" si="111"/>
        <v>44450</v>
      </c>
      <c r="G2299" s="252">
        <f t="shared" si="111"/>
        <v>50800</v>
      </c>
      <c r="H2299" s="252">
        <f t="shared" si="111"/>
        <v>57150</v>
      </c>
      <c r="I2299" s="252">
        <f t="shared" si="111"/>
        <v>63500</v>
      </c>
      <c r="J2299" s="252">
        <f t="shared" si="111"/>
        <v>68600</v>
      </c>
      <c r="K2299" s="252">
        <f t="shared" si="111"/>
        <v>73700</v>
      </c>
      <c r="L2299" s="252">
        <f t="shared" si="111"/>
        <v>78750</v>
      </c>
      <c r="M2299" s="252">
        <f t="shared" si="111"/>
        <v>83850</v>
      </c>
    </row>
    <row r="2300" spans="1:13" ht="21.95" customHeight="1" x14ac:dyDescent="0.25">
      <c r="A2300" s="36" t="s">
        <v>2904</v>
      </c>
      <c r="B2300" s="36" t="str">
        <f t="shared" ref="B2300:B2363" si="112">UPPER(TRIM(D2300)&amp;"_"&amp;TRIM(E2300))</f>
        <v>TX_ROBERTS COUNTY, TX</v>
      </c>
      <c r="D2300" s="265" t="s">
        <v>63</v>
      </c>
      <c r="E2300" s="266" t="s">
        <v>5035</v>
      </c>
      <c r="F2300" s="252">
        <f t="shared" si="111"/>
        <v>45650</v>
      </c>
      <c r="G2300" s="252">
        <f t="shared" si="111"/>
        <v>52200</v>
      </c>
      <c r="H2300" s="252">
        <f t="shared" si="111"/>
        <v>58700</v>
      </c>
      <c r="I2300" s="252">
        <f t="shared" si="111"/>
        <v>65200</v>
      </c>
      <c r="J2300" s="252">
        <f t="shared" si="111"/>
        <v>70450</v>
      </c>
      <c r="K2300" s="252">
        <f t="shared" si="111"/>
        <v>75650</v>
      </c>
      <c r="L2300" s="252">
        <f t="shared" si="111"/>
        <v>80850</v>
      </c>
      <c r="M2300" s="252">
        <f t="shared" si="111"/>
        <v>86100</v>
      </c>
    </row>
    <row r="2301" spans="1:13" ht="21.95" customHeight="1" x14ac:dyDescent="0.25">
      <c r="A2301" s="36" t="s">
        <v>2904</v>
      </c>
      <c r="B2301" s="36" t="str">
        <f t="shared" si="112"/>
        <v>TX_RUNNELS COUNTY, TX</v>
      </c>
      <c r="D2301" s="265" t="s">
        <v>63</v>
      </c>
      <c r="E2301" s="266" t="s">
        <v>5036</v>
      </c>
      <c r="F2301" s="252">
        <f t="shared" si="111"/>
        <v>44450</v>
      </c>
      <c r="G2301" s="252">
        <f t="shared" si="111"/>
        <v>50800</v>
      </c>
      <c r="H2301" s="252">
        <f t="shared" si="111"/>
        <v>57150</v>
      </c>
      <c r="I2301" s="252">
        <f t="shared" si="111"/>
        <v>63500</v>
      </c>
      <c r="J2301" s="252">
        <f t="shared" si="111"/>
        <v>68600</v>
      </c>
      <c r="K2301" s="252">
        <f t="shared" si="111"/>
        <v>73700</v>
      </c>
      <c r="L2301" s="252">
        <f t="shared" si="111"/>
        <v>78750</v>
      </c>
      <c r="M2301" s="252">
        <f t="shared" si="111"/>
        <v>83850</v>
      </c>
    </row>
    <row r="2302" spans="1:13" ht="21.95" customHeight="1" x14ac:dyDescent="0.25">
      <c r="A2302" s="36" t="s">
        <v>2904</v>
      </c>
      <c r="B2302" s="36" t="str">
        <f t="shared" si="112"/>
        <v>TX_RUSK COUNTY, TX HUD METRO FMR AREA</v>
      </c>
      <c r="D2302" s="265" t="s">
        <v>63</v>
      </c>
      <c r="E2302" s="266" t="s">
        <v>5037</v>
      </c>
      <c r="F2302" s="252">
        <f t="shared" si="111"/>
        <v>48550</v>
      </c>
      <c r="G2302" s="252">
        <f t="shared" si="111"/>
        <v>55450</v>
      </c>
      <c r="H2302" s="252">
        <f t="shared" si="111"/>
        <v>62400</v>
      </c>
      <c r="I2302" s="252">
        <f t="shared" si="111"/>
        <v>69300</v>
      </c>
      <c r="J2302" s="252">
        <f t="shared" si="111"/>
        <v>74850</v>
      </c>
      <c r="K2302" s="252">
        <f t="shared" si="111"/>
        <v>80400</v>
      </c>
      <c r="L2302" s="252">
        <f t="shared" si="111"/>
        <v>85950</v>
      </c>
      <c r="M2302" s="252">
        <f t="shared" si="111"/>
        <v>91500</v>
      </c>
    </row>
    <row r="2303" spans="1:13" ht="21.95" customHeight="1" x14ac:dyDescent="0.25">
      <c r="A2303" s="36" t="s">
        <v>2904</v>
      </c>
      <c r="B2303" s="36" t="str">
        <f t="shared" si="112"/>
        <v>TX_SABINE COUNTY, TX</v>
      </c>
      <c r="D2303" s="265" t="s">
        <v>63</v>
      </c>
      <c r="E2303" s="266" t="s">
        <v>5038</v>
      </c>
      <c r="F2303" s="252">
        <f t="shared" si="111"/>
        <v>44450</v>
      </c>
      <c r="G2303" s="252">
        <f t="shared" si="111"/>
        <v>50800</v>
      </c>
      <c r="H2303" s="252">
        <f t="shared" si="111"/>
        <v>57150</v>
      </c>
      <c r="I2303" s="252">
        <f t="shared" si="111"/>
        <v>63500</v>
      </c>
      <c r="J2303" s="252">
        <f t="shared" si="111"/>
        <v>68600</v>
      </c>
      <c r="K2303" s="252">
        <f t="shared" si="111"/>
        <v>73700</v>
      </c>
      <c r="L2303" s="252">
        <f t="shared" si="111"/>
        <v>78750</v>
      </c>
      <c r="M2303" s="252">
        <f t="shared" si="111"/>
        <v>83850</v>
      </c>
    </row>
    <row r="2304" spans="1:13" ht="21.95" customHeight="1" x14ac:dyDescent="0.25">
      <c r="A2304" s="36" t="s">
        <v>2904</v>
      </c>
      <c r="B2304" s="36" t="str">
        <f t="shared" si="112"/>
        <v>TX_SAN ANGELO, TX MSA</v>
      </c>
      <c r="D2304" s="265" t="s">
        <v>63</v>
      </c>
      <c r="E2304" s="266" t="s">
        <v>9266</v>
      </c>
      <c r="F2304" s="252">
        <f t="shared" si="111"/>
        <v>45850</v>
      </c>
      <c r="G2304" s="252">
        <f t="shared" si="111"/>
        <v>52400</v>
      </c>
      <c r="H2304" s="252">
        <f t="shared" si="111"/>
        <v>58950</v>
      </c>
      <c r="I2304" s="252">
        <f t="shared" si="111"/>
        <v>65450</v>
      </c>
      <c r="J2304" s="252">
        <f t="shared" si="111"/>
        <v>70700</v>
      </c>
      <c r="K2304" s="252">
        <f t="shared" si="111"/>
        <v>75950</v>
      </c>
      <c r="L2304" s="252">
        <f t="shared" si="111"/>
        <v>81200</v>
      </c>
      <c r="M2304" s="252">
        <f t="shared" si="111"/>
        <v>86400</v>
      </c>
    </row>
    <row r="2305" spans="1:13" ht="21.95" customHeight="1" x14ac:dyDescent="0.25">
      <c r="A2305" s="36" t="s">
        <v>2904</v>
      </c>
      <c r="B2305" s="36" t="str">
        <f t="shared" si="112"/>
        <v>TX_SAN ANTONIO-NEW BRAUNFELS, TX HUD METRO FMR AREA</v>
      </c>
      <c r="D2305" s="265" t="s">
        <v>63</v>
      </c>
      <c r="E2305" s="266" t="s">
        <v>5039</v>
      </c>
      <c r="F2305" s="252">
        <f t="shared" si="111"/>
        <v>54150</v>
      </c>
      <c r="G2305" s="252">
        <f t="shared" si="111"/>
        <v>61850</v>
      </c>
      <c r="H2305" s="252">
        <f t="shared" ref="F2305:M2337" si="113">VLOOKUP($B2305,LOOKUP_AMI_TABLE,5+((H$7-1)),FALSE)</f>
        <v>69600</v>
      </c>
      <c r="I2305" s="252">
        <f t="shared" si="113"/>
        <v>77300</v>
      </c>
      <c r="J2305" s="252">
        <f t="shared" si="113"/>
        <v>83500</v>
      </c>
      <c r="K2305" s="252">
        <f t="shared" si="113"/>
        <v>89700</v>
      </c>
      <c r="L2305" s="252">
        <f t="shared" si="113"/>
        <v>95900</v>
      </c>
      <c r="M2305" s="252">
        <f t="shared" si="113"/>
        <v>102050</v>
      </c>
    </row>
    <row r="2306" spans="1:13" ht="21.95" customHeight="1" x14ac:dyDescent="0.25">
      <c r="A2306" s="36" t="s">
        <v>2904</v>
      </c>
      <c r="B2306" s="36" t="str">
        <f t="shared" si="112"/>
        <v>TX_SAN AUGUSTINE COUNTY, TX</v>
      </c>
      <c r="D2306" s="265" t="s">
        <v>63</v>
      </c>
      <c r="E2306" s="266" t="s">
        <v>5040</v>
      </c>
      <c r="F2306" s="252">
        <f t="shared" si="113"/>
        <v>44450</v>
      </c>
      <c r="G2306" s="252">
        <f t="shared" si="113"/>
        <v>50800</v>
      </c>
      <c r="H2306" s="252">
        <f t="shared" si="113"/>
        <v>57150</v>
      </c>
      <c r="I2306" s="252">
        <f t="shared" si="113"/>
        <v>63500</v>
      </c>
      <c r="J2306" s="252">
        <f t="shared" si="113"/>
        <v>68600</v>
      </c>
      <c r="K2306" s="252">
        <f t="shared" si="113"/>
        <v>73700</v>
      </c>
      <c r="L2306" s="252">
        <f t="shared" si="113"/>
        <v>78750</v>
      </c>
      <c r="M2306" s="252">
        <f t="shared" si="113"/>
        <v>83850</v>
      </c>
    </row>
    <row r="2307" spans="1:13" ht="21.95" customHeight="1" x14ac:dyDescent="0.25">
      <c r="A2307" s="36" t="s">
        <v>2904</v>
      </c>
      <c r="B2307" s="36" t="str">
        <f t="shared" si="112"/>
        <v>TX_SAN JACINTO COUNTY, TX HUD METRO FMR AREA</v>
      </c>
      <c r="D2307" s="265" t="s">
        <v>63</v>
      </c>
      <c r="E2307" s="266" t="s">
        <v>9269</v>
      </c>
      <c r="F2307" s="252">
        <f t="shared" si="113"/>
        <v>44550</v>
      </c>
      <c r="G2307" s="252">
        <f t="shared" si="113"/>
        <v>50900</v>
      </c>
      <c r="H2307" s="252">
        <f t="shared" si="113"/>
        <v>57250</v>
      </c>
      <c r="I2307" s="252">
        <f t="shared" si="113"/>
        <v>63600</v>
      </c>
      <c r="J2307" s="252">
        <f t="shared" si="113"/>
        <v>68700</v>
      </c>
      <c r="K2307" s="252">
        <f t="shared" si="113"/>
        <v>73800</v>
      </c>
      <c r="L2307" s="252">
        <f t="shared" si="113"/>
        <v>78900</v>
      </c>
      <c r="M2307" s="252">
        <f t="shared" si="113"/>
        <v>84000</v>
      </c>
    </row>
    <row r="2308" spans="1:13" ht="21.95" customHeight="1" x14ac:dyDescent="0.25">
      <c r="A2308" s="36" t="s">
        <v>2904</v>
      </c>
      <c r="B2308" s="36" t="str">
        <f t="shared" si="112"/>
        <v>TX_SAN SABA COUNTY, TX</v>
      </c>
      <c r="D2308" s="265" t="s">
        <v>63</v>
      </c>
      <c r="E2308" s="266" t="s">
        <v>5041</v>
      </c>
      <c r="F2308" s="252">
        <f t="shared" si="113"/>
        <v>44450</v>
      </c>
      <c r="G2308" s="252">
        <f t="shared" si="113"/>
        <v>50800</v>
      </c>
      <c r="H2308" s="252">
        <f t="shared" si="113"/>
        <v>57150</v>
      </c>
      <c r="I2308" s="252">
        <f t="shared" si="113"/>
        <v>63500</v>
      </c>
      <c r="J2308" s="252">
        <f t="shared" si="113"/>
        <v>68600</v>
      </c>
      <c r="K2308" s="252">
        <f t="shared" si="113"/>
        <v>73700</v>
      </c>
      <c r="L2308" s="252">
        <f t="shared" si="113"/>
        <v>78750</v>
      </c>
      <c r="M2308" s="252">
        <f t="shared" si="113"/>
        <v>83850</v>
      </c>
    </row>
    <row r="2309" spans="1:13" ht="21.95" customHeight="1" x14ac:dyDescent="0.25">
      <c r="A2309" s="36" t="s">
        <v>2904</v>
      </c>
      <c r="B2309" s="36" t="str">
        <f t="shared" si="112"/>
        <v>TX_SCHLEICHER COUNTY, TX</v>
      </c>
      <c r="D2309" s="265" t="s">
        <v>63</v>
      </c>
      <c r="E2309" s="266" t="s">
        <v>5042</v>
      </c>
      <c r="F2309" s="252">
        <f t="shared" si="113"/>
        <v>51800</v>
      </c>
      <c r="G2309" s="252">
        <f t="shared" si="113"/>
        <v>59200</v>
      </c>
      <c r="H2309" s="252">
        <f t="shared" si="113"/>
        <v>66600</v>
      </c>
      <c r="I2309" s="252">
        <f t="shared" si="113"/>
        <v>74000</v>
      </c>
      <c r="J2309" s="252">
        <f t="shared" si="113"/>
        <v>79950</v>
      </c>
      <c r="K2309" s="252">
        <f t="shared" si="113"/>
        <v>85850</v>
      </c>
      <c r="L2309" s="252">
        <f t="shared" si="113"/>
        <v>91800</v>
      </c>
      <c r="M2309" s="252">
        <f t="shared" si="113"/>
        <v>97700</v>
      </c>
    </row>
    <row r="2310" spans="1:13" ht="21.95" customHeight="1" x14ac:dyDescent="0.25">
      <c r="A2310" s="36" t="s">
        <v>2904</v>
      </c>
      <c r="B2310" s="36" t="str">
        <f t="shared" si="112"/>
        <v>TX_SCURRY COUNTY, TX</v>
      </c>
      <c r="D2310" s="265" t="s">
        <v>63</v>
      </c>
      <c r="E2310" s="266" t="s">
        <v>5043</v>
      </c>
      <c r="F2310" s="252">
        <f t="shared" si="113"/>
        <v>49500</v>
      </c>
      <c r="G2310" s="252">
        <f t="shared" si="113"/>
        <v>56550</v>
      </c>
      <c r="H2310" s="252">
        <f t="shared" si="113"/>
        <v>63600</v>
      </c>
      <c r="I2310" s="252">
        <f t="shared" si="113"/>
        <v>70650</v>
      </c>
      <c r="J2310" s="252">
        <f t="shared" si="113"/>
        <v>76350</v>
      </c>
      <c r="K2310" s="252">
        <f t="shared" si="113"/>
        <v>82000</v>
      </c>
      <c r="L2310" s="252">
        <f t="shared" si="113"/>
        <v>87650</v>
      </c>
      <c r="M2310" s="252">
        <f t="shared" si="113"/>
        <v>93300</v>
      </c>
    </row>
    <row r="2311" spans="1:13" ht="21.95" customHeight="1" x14ac:dyDescent="0.25">
      <c r="A2311" s="36" t="s">
        <v>2904</v>
      </c>
      <c r="B2311" s="36" t="str">
        <f t="shared" si="112"/>
        <v>TX_SHACKELFORD COUNTY, TX</v>
      </c>
      <c r="D2311" s="265" t="s">
        <v>63</v>
      </c>
      <c r="E2311" s="266" t="s">
        <v>5044</v>
      </c>
      <c r="F2311" s="252">
        <f t="shared" si="113"/>
        <v>48450</v>
      </c>
      <c r="G2311" s="252">
        <f t="shared" si="113"/>
        <v>55350</v>
      </c>
      <c r="H2311" s="252">
        <f t="shared" si="113"/>
        <v>62250</v>
      </c>
      <c r="I2311" s="252">
        <f t="shared" si="113"/>
        <v>69150</v>
      </c>
      <c r="J2311" s="252">
        <f t="shared" si="113"/>
        <v>74700</v>
      </c>
      <c r="K2311" s="252">
        <f t="shared" si="113"/>
        <v>80250</v>
      </c>
      <c r="L2311" s="252">
        <f t="shared" si="113"/>
        <v>85750</v>
      </c>
      <c r="M2311" s="252">
        <f t="shared" si="113"/>
        <v>91300</v>
      </c>
    </row>
    <row r="2312" spans="1:13" ht="21.95" customHeight="1" x14ac:dyDescent="0.25">
      <c r="A2312" s="36" t="s">
        <v>2904</v>
      </c>
      <c r="B2312" s="36" t="str">
        <f t="shared" si="112"/>
        <v>TX_SHELBY COUNTY, TX</v>
      </c>
      <c r="D2312" s="265" t="s">
        <v>63</v>
      </c>
      <c r="E2312" s="266" t="s">
        <v>5045</v>
      </c>
      <c r="F2312" s="252">
        <f t="shared" si="113"/>
        <v>44450</v>
      </c>
      <c r="G2312" s="252">
        <f t="shared" si="113"/>
        <v>50800</v>
      </c>
      <c r="H2312" s="252">
        <f t="shared" si="113"/>
        <v>57150</v>
      </c>
      <c r="I2312" s="252">
        <f t="shared" si="113"/>
        <v>63500</v>
      </c>
      <c r="J2312" s="252">
        <f t="shared" si="113"/>
        <v>68600</v>
      </c>
      <c r="K2312" s="252">
        <f t="shared" si="113"/>
        <v>73700</v>
      </c>
      <c r="L2312" s="252">
        <f t="shared" si="113"/>
        <v>78750</v>
      </c>
      <c r="M2312" s="252">
        <f t="shared" si="113"/>
        <v>83850</v>
      </c>
    </row>
    <row r="2313" spans="1:13" ht="21.95" customHeight="1" x14ac:dyDescent="0.25">
      <c r="A2313" s="36" t="s">
        <v>2904</v>
      </c>
      <c r="B2313" s="36" t="str">
        <f t="shared" si="112"/>
        <v>TX_SHERMAN COUNTY, TX</v>
      </c>
      <c r="D2313" s="265" t="s">
        <v>63</v>
      </c>
      <c r="E2313" s="266" t="s">
        <v>5046</v>
      </c>
      <c r="F2313" s="252">
        <f t="shared" si="113"/>
        <v>47850</v>
      </c>
      <c r="G2313" s="252">
        <f t="shared" si="113"/>
        <v>54650</v>
      </c>
      <c r="H2313" s="252">
        <f t="shared" si="113"/>
        <v>61500</v>
      </c>
      <c r="I2313" s="252">
        <f t="shared" si="113"/>
        <v>68300</v>
      </c>
      <c r="J2313" s="252">
        <f t="shared" si="113"/>
        <v>73800</v>
      </c>
      <c r="K2313" s="252">
        <f t="shared" si="113"/>
        <v>79250</v>
      </c>
      <c r="L2313" s="252">
        <f t="shared" si="113"/>
        <v>84700</v>
      </c>
      <c r="M2313" s="252">
        <f t="shared" si="113"/>
        <v>90200</v>
      </c>
    </row>
    <row r="2314" spans="1:13" ht="21.95" customHeight="1" x14ac:dyDescent="0.25">
      <c r="A2314" s="36" t="s">
        <v>2904</v>
      </c>
      <c r="B2314" s="36" t="str">
        <f t="shared" si="112"/>
        <v>TX_SHERMAN-DENISON, TX MSA</v>
      </c>
      <c r="D2314" s="265" t="s">
        <v>63</v>
      </c>
      <c r="E2314" s="266" t="s">
        <v>5047</v>
      </c>
      <c r="F2314" s="252">
        <f t="shared" si="113"/>
        <v>55100</v>
      </c>
      <c r="G2314" s="252">
        <f t="shared" si="113"/>
        <v>62950</v>
      </c>
      <c r="H2314" s="252">
        <f t="shared" si="113"/>
        <v>70800</v>
      </c>
      <c r="I2314" s="252">
        <f t="shared" si="113"/>
        <v>78650</v>
      </c>
      <c r="J2314" s="252">
        <f t="shared" si="113"/>
        <v>84950</v>
      </c>
      <c r="K2314" s="252">
        <f t="shared" si="113"/>
        <v>91250</v>
      </c>
      <c r="L2314" s="252">
        <f t="shared" si="113"/>
        <v>97550</v>
      </c>
      <c r="M2314" s="252">
        <f t="shared" si="113"/>
        <v>103850</v>
      </c>
    </row>
    <row r="2315" spans="1:13" ht="21.95" customHeight="1" x14ac:dyDescent="0.25">
      <c r="A2315" s="36" t="s">
        <v>2904</v>
      </c>
      <c r="B2315" s="36" t="str">
        <f t="shared" si="112"/>
        <v>TX_SOMERVELL COUNTY, TX</v>
      </c>
      <c r="D2315" s="265" t="s">
        <v>63</v>
      </c>
      <c r="E2315" s="266" t="s">
        <v>5048</v>
      </c>
      <c r="F2315" s="252">
        <f t="shared" si="113"/>
        <v>48650</v>
      </c>
      <c r="G2315" s="252">
        <f t="shared" si="113"/>
        <v>55600</v>
      </c>
      <c r="H2315" s="252">
        <f t="shared" si="113"/>
        <v>62550</v>
      </c>
      <c r="I2315" s="252">
        <f t="shared" si="113"/>
        <v>69450</v>
      </c>
      <c r="J2315" s="252">
        <f t="shared" si="113"/>
        <v>75050</v>
      </c>
      <c r="K2315" s="252">
        <f t="shared" si="113"/>
        <v>80600</v>
      </c>
      <c r="L2315" s="252">
        <f t="shared" si="113"/>
        <v>86150</v>
      </c>
      <c r="M2315" s="252">
        <f t="shared" si="113"/>
        <v>91700</v>
      </c>
    </row>
    <row r="2316" spans="1:13" ht="21.95" customHeight="1" x14ac:dyDescent="0.25">
      <c r="A2316" s="36" t="s">
        <v>2904</v>
      </c>
      <c r="B2316" s="36" t="str">
        <f t="shared" si="112"/>
        <v>TX_STARR COUNTY, TX</v>
      </c>
      <c r="D2316" s="265" t="s">
        <v>63</v>
      </c>
      <c r="E2316" s="266" t="s">
        <v>5049</v>
      </c>
      <c r="F2316" s="252">
        <f t="shared" si="113"/>
        <v>44450</v>
      </c>
      <c r="G2316" s="252">
        <f t="shared" si="113"/>
        <v>50800</v>
      </c>
      <c r="H2316" s="252">
        <f t="shared" si="113"/>
        <v>57150</v>
      </c>
      <c r="I2316" s="252">
        <f t="shared" si="113"/>
        <v>63500</v>
      </c>
      <c r="J2316" s="252">
        <f t="shared" si="113"/>
        <v>68600</v>
      </c>
      <c r="K2316" s="252">
        <f t="shared" si="113"/>
        <v>73700</v>
      </c>
      <c r="L2316" s="252">
        <f t="shared" si="113"/>
        <v>78750</v>
      </c>
      <c r="M2316" s="252">
        <f t="shared" si="113"/>
        <v>83850</v>
      </c>
    </row>
    <row r="2317" spans="1:13" ht="21.95" customHeight="1" x14ac:dyDescent="0.25">
      <c r="A2317" s="36" t="s">
        <v>2904</v>
      </c>
      <c r="B2317" s="36" t="str">
        <f t="shared" si="112"/>
        <v>TX_STEPHENS COUNTY, TX</v>
      </c>
      <c r="D2317" s="265" t="s">
        <v>63</v>
      </c>
      <c r="E2317" s="266" t="s">
        <v>5050</v>
      </c>
      <c r="F2317" s="252">
        <f t="shared" si="113"/>
        <v>44450</v>
      </c>
      <c r="G2317" s="252">
        <f t="shared" si="113"/>
        <v>50800</v>
      </c>
      <c r="H2317" s="252">
        <f t="shared" si="113"/>
        <v>57150</v>
      </c>
      <c r="I2317" s="252">
        <f t="shared" si="113"/>
        <v>63500</v>
      </c>
      <c r="J2317" s="252">
        <f t="shared" si="113"/>
        <v>68600</v>
      </c>
      <c r="K2317" s="252">
        <f t="shared" si="113"/>
        <v>73700</v>
      </c>
      <c r="L2317" s="252">
        <f t="shared" si="113"/>
        <v>78750</v>
      </c>
      <c r="M2317" s="252">
        <f t="shared" si="113"/>
        <v>83850</v>
      </c>
    </row>
    <row r="2318" spans="1:13" ht="21.95" customHeight="1" x14ac:dyDescent="0.25">
      <c r="A2318" s="36" t="s">
        <v>2904</v>
      </c>
      <c r="B2318" s="36" t="str">
        <f t="shared" si="112"/>
        <v>TX_STERLING COUNTY, TX</v>
      </c>
      <c r="D2318" s="265" t="s">
        <v>63</v>
      </c>
      <c r="E2318" s="266" t="s">
        <v>9270</v>
      </c>
      <c r="F2318" s="252">
        <f t="shared" si="113"/>
        <v>45850</v>
      </c>
      <c r="G2318" s="252">
        <f t="shared" si="113"/>
        <v>52400</v>
      </c>
      <c r="H2318" s="252">
        <f t="shared" si="113"/>
        <v>58950</v>
      </c>
      <c r="I2318" s="252">
        <f t="shared" si="113"/>
        <v>65500</v>
      </c>
      <c r="J2318" s="252">
        <f t="shared" si="113"/>
        <v>70750</v>
      </c>
      <c r="K2318" s="252">
        <f t="shared" si="113"/>
        <v>76000</v>
      </c>
      <c r="L2318" s="252">
        <f t="shared" si="113"/>
        <v>81250</v>
      </c>
      <c r="M2318" s="252">
        <f t="shared" si="113"/>
        <v>86500</v>
      </c>
    </row>
    <row r="2319" spans="1:13" ht="21.95" customHeight="1" x14ac:dyDescent="0.25">
      <c r="A2319" s="36" t="s">
        <v>2904</v>
      </c>
      <c r="B2319" s="36" t="str">
        <f t="shared" si="112"/>
        <v>TX_STONEWALL COUNTY, TX</v>
      </c>
      <c r="D2319" s="265" t="s">
        <v>63</v>
      </c>
      <c r="E2319" s="266" t="s">
        <v>5051</v>
      </c>
      <c r="F2319" s="252">
        <f t="shared" si="113"/>
        <v>52650</v>
      </c>
      <c r="G2319" s="252">
        <f t="shared" si="113"/>
        <v>60200</v>
      </c>
      <c r="H2319" s="252">
        <f t="shared" si="113"/>
        <v>67700</v>
      </c>
      <c r="I2319" s="252">
        <f t="shared" si="113"/>
        <v>75200</v>
      </c>
      <c r="J2319" s="252">
        <f t="shared" si="113"/>
        <v>81250</v>
      </c>
      <c r="K2319" s="252">
        <f t="shared" si="113"/>
        <v>87250</v>
      </c>
      <c r="L2319" s="252">
        <f t="shared" si="113"/>
        <v>93250</v>
      </c>
      <c r="M2319" s="252">
        <f t="shared" si="113"/>
        <v>99300</v>
      </c>
    </row>
    <row r="2320" spans="1:13" ht="21.95" customHeight="1" x14ac:dyDescent="0.25">
      <c r="A2320" s="36" t="s">
        <v>2904</v>
      </c>
      <c r="B2320" s="36" t="str">
        <f t="shared" si="112"/>
        <v>TX_SUTTON COUNTY, TX</v>
      </c>
      <c r="D2320" s="265" t="s">
        <v>63</v>
      </c>
      <c r="E2320" s="266" t="s">
        <v>5052</v>
      </c>
      <c r="F2320" s="252">
        <f t="shared" si="113"/>
        <v>44450</v>
      </c>
      <c r="G2320" s="252">
        <f t="shared" si="113"/>
        <v>50800</v>
      </c>
      <c r="H2320" s="252">
        <f t="shared" si="113"/>
        <v>57150</v>
      </c>
      <c r="I2320" s="252">
        <f t="shared" si="113"/>
        <v>63500</v>
      </c>
      <c r="J2320" s="252">
        <f t="shared" si="113"/>
        <v>68600</v>
      </c>
      <c r="K2320" s="252">
        <f t="shared" si="113"/>
        <v>73700</v>
      </c>
      <c r="L2320" s="252">
        <f t="shared" si="113"/>
        <v>78750</v>
      </c>
      <c r="M2320" s="252">
        <f t="shared" si="113"/>
        <v>83850</v>
      </c>
    </row>
    <row r="2321" spans="1:13" ht="21.95" customHeight="1" x14ac:dyDescent="0.25">
      <c r="A2321" s="36" t="s">
        <v>2904</v>
      </c>
      <c r="B2321" s="36" t="str">
        <f t="shared" si="112"/>
        <v>TX_SWISHER COUNTY, TX</v>
      </c>
      <c r="D2321" s="265" t="s">
        <v>63</v>
      </c>
      <c r="E2321" s="266" t="s">
        <v>5053</v>
      </c>
      <c r="F2321" s="252">
        <f t="shared" si="113"/>
        <v>44450</v>
      </c>
      <c r="G2321" s="252">
        <f t="shared" si="113"/>
        <v>50800</v>
      </c>
      <c r="H2321" s="252">
        <f t="shared" si="113"/>
        <v>57150</v>
      </c>
      <c r="I2321" s="252">
        <f t="shared" si="113"/>
        <v>63500</v>
      </c>
      <c r="J2321" s="252">
        <f t="shared" si="113"/>
        <v>68600</v>
      </c>
      <c r="K2321" s="252">
        <f t="shared" si="113"/>
        <v>73700</v>
      </c>
      <c r="L2321" s="252">
        <f t="shared" si="113"/>
        <v>78750</v>
      </c>
      <c r="M2321" s="252">
        <f t="shared" si="113"/>
        <v>83850</v>
      </c>
    </row>
    <row r="2322" spans="1:13" ht="21.95" customHeight="1" x14ac:dyDescent="0.25">
      <c r="A2322" s="36" t="s">
        <v>2904</v>
      </c>
      <c r="B2322" s="36" t="str">
        <f t="shared" si="112"/>
        <v>TX_TERRELL COUNTY, TX</v>
      </c>
      <c r="D2322" s="265" t="s">
        <v>63</v>
      </c>
      <c r="E2322" s="266" t="s">
        <v>5054</v>
      </c>
      <c r="F2322" s="252">
        <f t="shared" si="113"/>
        <v>44450</v>
      </c>
      <c r="G2322" s="252">
        <f t="shared" si="113"/>
        <v>50800</v>
      </c>
      <c r="H2322" s="252">
        <f t="shared" si="113"/>
        <v>57150</v>
      </c>
      <c r="I2322" s="252">
        <f t="shared" si="113"/>
        <v>63500</v>
      </c>
      <c r="J2322" s="252">
        <f t="shared" si="113"/>
        <v>68600</v>
      </c>
      <c r="K2322" s="252">
        <f t="shared" si="113"/>
        <v>73700</v>
      </c>
      <c r="L2322" s="252">
        <f t="shared" si="113"/>
        <v>78750</v>
      </c>
      <c r="M2322" s="252">
        <f t="shared" si="113"/>
        <v>83850</v>
      </c>
    </row>
    <row r="2323" spans="1:13" ht="21.95" customHeight="1" x14ac:dyDescent="0.25">
      <c r="A2323" s="36" t="s">
        <v>2904</v>
      </c>
      <c r="B2323" s="36" t="str">
        <f t="shared" si="112"/>
        <v>TX_TERRY COUNTY, TX</v>
      </c>
      <c r="D2323" s="265" t="s">
        <v>63</v>
      </c>
      <c r="E2323" s="266" t="s">
        <v>5055</v>
      </c>
      <c r="F2323" s="252">
        <f t="shared" si="113"/>
        <v>44450</v>
      </c>
      <c r="G2323" s="252">
        <f t="shared" si="113"/>
        <v>50800</v>
      </c>
      <c r="H2323" s="252">
        <f t="shared" si="113"/>
        <v>57150</v>
      </c>
      <c r="I2323" s="252">
        <f t="shared" si="113"/>
        <v>63500</v>
      </c>
      <c r="J2323" s="252">
        <f t="shared" si="113"/>
        <v>68600</v>
      </c>
      <c r="K2323" s="252">
        <f t="shared" si="113"/>
        <v>73700</v>
      </c>
      <c r="L2323" s="252">
        <f t="shared" si="113"/>
        <v>78750</v>
      </c>
      <c r="M2323" s="252">
        <f t="shared" si="113"/>
        <v>83850</v>
      </c>
    </row>
    <row r="2324" spans="1:13" ht="21.95" customHeight="1" x14ac:dyDescent="0.25">
      <c r="A2324" s="36" t="s">
        <v>2904</v>
      </c>
      <c r="B2324" s="36" t="str">
        <f t="shared" si="112"/>
        <v>TX_TEXARKANA, TX-TEXARKANA, AR HUD METRO FMR AREA</v>
      </c>
      <c r="D2324" s="265" t="s">
        <v>63</v>
      </c>
      <c r="E2324" s="266" t="s">
        <v>3094</v>
      </c>
      <c r="F2324" s="252">
        <f t="shared" si="113"/>
        <v>44450</v>
      </c>
      <c r="G2324" s="252">
        <f t="shared" si="113"/>
        <v>50800</v>
      </c>
      <c r="H2324" s="252">
        <f t="shared" si="113"/>
        <v>57150</v>
      </c>
      <c r="I2324" s="252">
        <f t="shared" si="113"/>
        <v>63500</v>
      </c>
      <c r="J2324" s="252">
        <f t="shared" si="113"/>
        <v>68600</v>
      </c>
      <c r="K2324" s="252">
        <f t="shared" si="113"/>
        <v>73700</v>
      </c>
      <c r="L2324" s="252">
        <f t="shared" si="113"/>
        <v>78750</v>
      </c>
      <c r="M2324" s="252">
        <f t="shared" si="113"/>
        <v>83850</v>
      </c>
    </row>
    <row r="2325" spans="1:13" ht="21.95" customHeight="1" x14ac:dyDescent="0.25">
      <c r="A2325" s="36" t="s">
        <v>2904</v>
      </c>
      <c r="B2325" s="36" t="str">
        <f t="shared" si="112"/>
        <v>TX_THROCKMORTON COUNTY, TX</v>
      </c>
      <c r="D2325" s="265" t="s">
        <v>63</v>
      </c>
      <c r="E2325" s="266" t="s">
        <v>5056</v>
      </c>
      <c r="F2325" s="252">
        <f t="shared" si="113"/>
        <v>44450</v>
      </c>
      <c r="G2325" s="252">
        <f t="shared" si="113"/>
        <v>50800</v>
      </c>
      <c r="H2325" s="252">
        <f t="shared" si="113"/>
        <v>57150</v>
      </c>
      <c r="I2325" s="252">
        <f t="shared" si="113"/>
        <v>63500</v>
      </c>
      <c r="J2325" s="252">
        <f t="shared" si="113"/>
        <v>68600</v>
      </c>
      <c r="K2325" s="252">
        <f t="shared" si="113"/>
        <v>73700</v>
      </c>
      <c r="L2325" s="252">
        <f t="shared" si="113"/>
        <v>78750</v>
      </c>
      <c r="M2325" s="252">
        <f t="shared" si="113"/>
        <v>83850</v>
      </c>
    </row>
    <row r="2326" spans="1:13" ht="21.95" customHeight="1" x14ac:dyDescent="0.25">
      <c r="A2326" s="36" t="s">
        <v>2904</v>
      </c>
      <c r="B2326" s="36" t="str">
        <f t="shared" si="112"/>
        <v>TX_TITUS COUNTY, TX</v>
      </c>
      <c r="D2326" s="265" t="s">
        <v>63</v>
      </c>
      <c r="E2326" s="266" t="s">
        <v>5057</v>
      </c>
      <c r="F2326" s="252">
        <f t="shared" si="113"/>
        <v>44450</v>
      </c>
      <c r="G2326" s="252">
        <f t="shared" si="113"/>
        <v>50800</v>
      </c>
      <c r="H2326" s="252">
        <f t="shared" si="113"/>
        <v>57150</v>
      </c>
      <c r="I2326" s="252">
        <f t="shared" si="113"/>
        <v>63500</v>
      </c>
      <c r="J2326" s="252">
        <f t="shared" si="113"/>
        <v>68600</v>
      </c>
      <c r="K2326" s="252">
        <f t="shared" si="113"/>
        <v>73700</v>
      </c>
      <c r="L2326" s="252">
        <f t="shared" si="113"/>
        <v>78750</v>
      </c>
      <c r="M2326" s="252">
        <f t="shared" si="113"/>
        <v>83850</v>
      </c>
    </row>
    <row r="2327" spans="1:13" ht="21.95" customHeight="1" x14ac:dyDescent="0.25">
      <c r="A2327" s="36" t="s">
        <v>2904</v>
      </c>
      <c r="B2327" s="36" t="str">
        <f t="shared" si="112"/>
        <v>TX_TRINITY COUNTY, TX</v>
      </c>
      <c r="D2327" s="265" t="s">
        <v>63</v>
      </c>
      <c r="E2327" s="266" t="s">
        <v>5058</v>
      </c>
      <c r="F2327" s="252">
        <f t="shared" si="113"/>
        <v>44450</v>
      </c>
      <c r="G2327" s="252">
        <f t="shared" si="113"/>
        <v>50800</v>
      </c>
      <c r="H2327" s="252">
        <f t="shared" si="113"/>
        <v>57150</v>
      </c>
      <c r="I2327" s="252">
        <f t="shared" si="113"/>
        <v>63500</v>
      </c>
      <c r="J2327" s="252">
        <f t="shared" si="113"/>
        <v>68600</v>
      </c>
      <c r="K2327" s="252">
        <f t="shared" si="113"/>
        <v>73700</v>
      </c>
      <c r="L2327" s="252">
        <f t="shared" si="113"/>
        <v>78750</v>
      </c>
      <c r="M2327" s="252">
        <f t="shared" si="113"/>
        <v>83850</v>
      </c>
    </row>
    <row r="2328" spans="1:13" ht="21.95" customHeight="1" x14ac:dyDescent="0.25">
      <c r="A2328" s="36" t="s">
        <v>2904</v>
      </c>
      <c r="B2328" s="36" t="str">
        <f t="shared" si="112"/>
        <v>TX_TYLER COUNTY, TX</v>
      </c>
      <c r="D2328" s="265" t="s">
        <v>63</v>
      </c>
      <c r="E2328" s="266" t="s">
        <v>5059</v>
      </c>
      <c r="F2328" s="252">
        <f t="shared" si="113"/>
        <v>44450</v>
      </c>
      <c r="G2328" s="252">
        <f t="shared" si="113"/>
        <v>50800</v>
      </c>
      <c r="H2328" s="252">
        <f t="shared" si="113"/>
        <v>57150</v>
      </c>
      <c r="I2328" s="252">
        <f t="shared" si="113"/>
        <v>63500</v>
      </c>
      <c r="J2328" s="252">
        <f t="shared" si="113"/>
        <v>68600</v>
      </c>
      <c r="K2328" s="252">
        <f t="shared" si="113"/>
        <v>73700</v>
      </c>
      <c r="L2328" s="252">
        <f t="shared" si="113"/>
        <v>78750</v>
      </c>
      <c r="M2328" s="252">
        <f t="shared" si="113"/>
        <v>83850</v>
      </c>
    </row>
    <row r="2329" spans="1:13" ht="21.95" customHeight="1" x14ac:dyDescent="0.25">
      <c r="A2329" s="36" t="s">
        <v>2904</v>
      </c>
      <c r="B2329" s="36" t="str">
        <f t="shared" si="112"/>
        <v>TX_TYLER, TX MSA</v>
      </c>
      <c r="D2329" s="265" t="s">
        <v>63</v>
      </c>
      <c r="E2329" s="266" t="s">
        <v>5060</v>
      </c>
      <c r="F2329" s="252">
        <f t="shared" si="113"/>
        <v>52100</v>
      </c>
      <c r="G2329" s="252">
        <f t="shared" si="113"/>
        <v>59550</v>
      </c>
      <c r="H2329" s="252">
        <f t="shared" si="113"/>
        <v>67000</v>
      </c>
      <c r="I2329" s="252">
        <f t="shared" si="113"/>
        <v>74400</v>
      </c>
      <c r="J2329" s="252">
        <f t="shared" si="113"/>
        <v>80400</v>
      </c>
      <c r="K2329" s="252">
        <f t="shared" si="113"/>
        <v>86350</v>
      </c>
      <c r="L2329" s="252">
        <f t="shared" si="113"/>
        <v>92300</v>
      </c>
      <c r="M2329" s="252">
        <f t="shared" si="113"/>
        <v>98250</v>
      </c>
    </row>
    <row r="2330" spans="1:13" ht="21.95" customHeight="1" x14ac:dyDescent="0.25">
      <c r="A2330" s="36" t="s">
        <v>2904</v>
      </c>
      <c r="B2330" s="36" t="str">
        <f t="shared" si="112"/>
        <v>TX_UPTON COUNTY, TX</v>
      </c>
      <c r="D2330" s="265" t="s">
        <v>63</v>
      </c>
      <c r="E2330" s="266" t="s">
        <v>5061</v>
      </c>
      <c r="F2330" s="252">
        <f t="shared" si="113"/>
        <v>46400</v>
      </c>
      <c r="G2330" s="252">
        <f t="shared" si="113"/>
        <v>53000</v>
      </c>
      <c r="H2330" s="252">
        <f t="shared" si="113"/>
        <v>59650</v>
      </c>
      <c r="I2330" s="252">
        <f t="shared" si="113"/>
        <v>66250</v>
      </c>
      <c r="J2330" s="252">
        <f t="shared" si="113"/>
        <v>71550</v>
      </c>
      <c r="K2330" s="252">
        <f t="shared" si="113"/>
        <v>76850</v>
      </c>
      <c r="L2330" s="252">
        <f t="shared" si="113"/>
        <v>82150</v>
      </c>
      <c r="M2330" s="252">
        <f t="shared" si="113"/>
        <v>87450</v>
      </c>
    </row>
    <row r="2331" spans="1:13" ht="21.95" customHeight="1" x14ac:dyDescent="0.25">
      <c r="A2331" s="36" t="s">
        <v>2904</v>
      </c>
      <c r="B2331" s="36" t="str">
        <f t="shared" si="112"/>
        <v>TX_UVALDE COUNTY, TX</v>
      </c>
      <c r="D2331" s="265" t="s">
        <v>63</v>
      </c>
      <c r="E2331" s="266" t="s">
        <v>5062</v>
      </c>
      <c r="F2331" s="252">
        <f t="shared" si="113"/>
        <v>44450</v>
      </c>
      <c r="G2331" s="252">
        <f t="shared" si="113"/>
        <v>50800</v>
      </c>
      <c r="H2331" s="252">
        <f t="shared" si="113"/>
        <v>57150</v>
      </c>
      <c r="I2331" s="252">
        <f t="shared" si="113"/>
        <v>63500</v>
      </c>
      <c r="J2331" s="252">
        <f t="shared" si="113"/>
        <v>68600</v>
      </c>
      <c r="K2331" s="252">
        <f t="shared" si="113"/>
        <v>73700</v>
      </c>
      <c r="L2331" s="252">
        <f t="shared" si="113"/>
        <v>78750</v>
      </c>
      <c r="M2331" s="252">
        <f t="shared" si="113"/>
        <v>83850</v>
      </c>
    </row>
    <row r="2332" spans="1:13" ht="21.95" customHeight="1" x14ac:dyDescent="0.25">
      <c r="A2332" s="36" t="s">
        <v>2904</v>
      </c>
      <c r="B2332" s="36" t="str">
        <f t="shared" si="112"/>
        <v>TX_VAL VERDE COUNTY, TX</v>
      </c>
      <c r="D2332" s="265" t="s">
        <v>63</v>
      </c>
      <c r="E2332" s="266" t="s">
        <v>5063</v>
      </c>
      <c r="F2332" s="252">
        <f t="shared" si="113"/>
        <v>44450</v>
      </c>
      <c r="G2332" s="252">
        <f t="shared" si="113"/>
        <v>50800</v>
      </c>
      <c r="H2332" s="252">
        <f t="shared" si="113"/>
        <v>57150</v>
      </c>
      <c r="I2332" s="252">
        <f t="shared" si="113"/>
        <v>63500</v>
      </c>
      <c r="J2332" s="252">
        <f t="shared" si="113"/>
        <v>68600</v>
      </c>
      <c r="K2332" s="252">
        <f t="shared" si="113"/>
        <v>73700</v>
      </c>
      <c r="L2332" s="252">
        <f t="shared" si="113"/>
        <v>78750</v>
      </c>
      <c r="M2332" s="252">
        <f t="shared" si="113"/>
        <v>83850</v>
      </c>
    </row>
    <row r="2333" spans="1:13" ht="21.95" customHeight="1" x14ac:dyDescent="0.25">
      <c r="A2333" s="36" t="s">
        <v>2904</v>
      </c>
      <c r="B2333" s="36" t="str">
        <f t="shared" si="112"/>
        <v>TX_VAN ZANDT COUNTY, TX</v>
      </c>
      <c r="D2333" s="265" t="s">
        <v>63</v>
      </c>
      <c r="E2333" s="266" t="s">
        <v>5064</v>
      </c>
      <c r="F2333" s="252">
        <f t="shared" si="113"/>
        <v>48900</v>
      </c>
      <c r="G2333" s="252">
        <f t="shared" si="113"/>
        <v>55900</v>
      </c>
      <c r="H2333" s="252">
        <f t="shared" si="113"/>
        <v>62900</v>
      </c>
      <c r="I2333" s="252">
        <f t="shared" si="113"/>
        <v>69850</v>
      </c>
      <c r="J2333" s="252">
        <f t="shared" si="113"/>
        <v>75450</v>
      </c>
      <c r="K2333" s="252">
        <f t="shared" si="113"/>
        <v>81050</v>
      </c>
      <c r="L2333" s="252">
        <f t="shared" si="113"/>
        <v>86650</v>
      </c>
      <c r="M2333" s="252">
        <f t="shared" si="113"/>
        <v>92250</v>
      </c>
    </row>
    <row r="2334" spans="1:13" ht="21.95" customHeight="1" x14ac:dyDescent="0.25">
      <c r="A2334" s="36" t="s">
        <v>2904</v>
      </c>
      <c r="B2334" s="36" t="str">
        <f t="shared" si="112"/>
        <v>TX_VICTORIA, TX MSA</v>
      </c>
      <c r="D2334" s="265" t="s">
        <v>63</v>
      </c>
      <c r="E2334" s="266" t="s">
        <v>5065</v>
      </c>
      <c r="F2334" s="252">
        <f t="shared" si="113"/>
        <v>48650</v>
      </c>
      <c r="G2334" s="252">
        <f t="shared" si="113"/>
        <v>55600</v>
      </c>
      <c r="H2334" s="252">
        <f t="shared" si="113"/>
        <v>62550</v>
      </c>
      <c r="I2334" s="252">
        <f t="shared" si="113"/>
        <v>69450</v>
      </c>
      <c r="J2334" s="252">
        <f t="shared" si="113"/>
        <v>75050</v>
      </c>
      <c r="K2334" s="252">
        <f t="shared" si="113"/>
        <v>80600</v>
      </c>
      <c r="L2334" s="252">
        <f t="shared" si="113"/>
        <v>86150</v>
      </c>
      <c r="M2334" s="252">
        <f t="shared" si="113"/>
        <v>91700</v>
      </c>
    </row>
    <row r="2335" spans="1:13" ht="21.95" customHeight="1" x14ac:dyDescent="0.25">
      <c r="A2335" s="36" t="s">
        <v>2904</v>
      </c>
      <c r="B2335" s="36" t="str">
        <f t="shared" si="112"/>
        <v>TX_WACO, TX HUD METRO FMR AREA</v>
      </c>
      <c r="D2335" s="265" t="s">
        <v>63</v>
      </c>
      <c r="E2335" s="266" t="s">
        <v>5066</v>
      </c>
      <c r="F2335" s="252">
        <f t="shared" si="113"/>
        <v>49800</v>
      </c>
      <c r="G2335" s="252">
        <f t="shared" si="113"/>
        <v>56900</v>
      </c>
      <c r="H2335" s="252">
        <f t="shared" si="113"/>
        <v>64000</v>
      </c>
      <c r="I2335" s="252">
        <f t="shared" si="113"/>
        <v>71100</v>
      </c>
      <c r="J2335" s="252">
        <f t="shared" si="113"/>
        <v>76800</v>
      </c>
      <c r="K2335" s="252">
        <f t="shared" si="113"/>
        <v>82500</v>
      </c>
      <c r="L2335" s="252">
        <f t="shared" si="113"/>
        <v>88200</v>
      </c>
      <c r="M2335" s="252">
        <f t="shared" si="113"/>
        <v>93900</v>
      </c>
    </row>
    <row r="2336" spans="1:13" ht="21.95" customHeight="1" x14ac:dyDescent="0.25">
      <c r="A2336" s="36" t="s">
        <v>2904</v>
      </c>
      <c r="B2336" s="36" t="str">
        <f t="shared" si="112"/>
        <v>TX_WALKER COUNTY, TX</v>
      </c>
      <c r="D2336" s="265" t="s">
        <v>63</v>
      </c>
      <c r="E2336" s="266" t="s">
        <v>5067</v>
      </c>
      <c r="F2336" s="252">
        <f t="shared" si="113"/>
        <v>44450</v>
      </c>
      <c r="G2336" s="252">
        <f t="shared" si="113"/>
        <v>50800</v>
      </c>
      <c r="H2336" s="252">
        <f t="shared" si="113"/>
        <v>57150</v>
      </c>
      <c r="I2336" s="252">
        <f t="shared" si="113"/>
        <v>63500</v>
      </c>
      <c r="J2336" s="252">
        <f t="shared" si="113"/>
        <v>68600</v>
      </c>
      <c r="K2336" s="252">
        <f t="shared" si="113"/>
        <v>73700</v>
      </c>
      <c r="L2336" s="252">
        <f t="shared" si="113"/>
        <v>78750</v>
      </c>
      <c r="M2336" s="252">
        <f t="shared" si="113"/>
        <v>83850</v>
      </c>
    </row>
    <row r="2337" spans="1:13" ht="21.95" customHeight="1" x14ac:dyDescent="0.25">
      <c r="A2337" s="36" t="s">
        <v>2904</v>
      </c>
      <c r="B2337" s="36" t="str">
        <f t="shared" si="112"/>
        <v>TX_WARD COUNTY, TX</v>
      </c>
      <c r="D2337" s="265" t="s">
        <v>63</v>
      </c>
      <c r="E2337" s="266" t="s">
        <v>5068</v>
      </c>
      <c r="F2337" s="252">
        <f t="shared" si="113"/>
        <v>44650</v>
      </c>
      <c r="G2337" s="252">
        <f t="shared" ref="F2337:M2368" si="114">VLOOKUP($B2337,LOOKUP_AMI_TABLE,5+((G$7-1)),FALSE)</f>
        <v>51000</v>
      </c>
      <c r="H2337" s="252">
        <f t="shared" si="114"/>
        <v>57400</v>
      </c>
      <c r="I2337" s="252">
        <f t="shared" si="114"/>
        <v>63750</v>
      </c>
      <c r="J2337" s="252">
        <f t="shared" si="114"/>
        <v>68850</v>
      </c>
      <c r="K2337" s="252">
        <f t="shared" si="114"/>
        <v>73950</v>
      </c>
      <c r="L2337" s="252">
        <f t="shared" si="114"/>
        <v>79050</v>
      </c>
      <c r="M2337" s="252">
        <f t="shared" si="114"/>
        <v>84150</v>
      </c>
    </row>
    <row r="2338" spans="1:13" ht="21.95" customHeight="1" x14ac:dyDescent="0.25">
      <c r="A2338" s="36" t="s">
        <v>2904</v>
      </c>
      <c r="B2338" s="36" t="str">
        <f t="shared" si="112"/>
        <v>TX_WASHINGTON COUNTY, TX</v>
      </c>
      <c r="D2338" s="265" t="s">
        <v>63</v>
      </c>
      <c r="E2338" s="266" t="s">
        <v>5069</v>
      </c>
      <c r="F2338" s="252">
        <f t="shared" si="114"/>
        <v>55800</v>
      </c>
      <c r="G2338" s="252">
        <f t="shared" si="114"/>
        <v>63800</v>
      </c>
      <c r="H2338" s="252">
        <f t="shared" si="114"/>
        <v>71750</v>
      </c>
      <c r="I2338" s="252">
        <f t="shared" si="114"/>
        <v>79700</v>
      </c>
      <c r="J2338" s="252">
        <f t="shared" si="114"/>
        <v>86100</v>
      </c>
      <c r="K2338" s="252">
        <f t="shared" si="114"/>
        <v>92500</v>
      </c>
      <c r="L2338" s="252">
        <f t="shared" si="114"/>
        <v>98850</v>
      </c>
      <c r="M2338" s="252">
        <f t="shared" si="114"/>
        <v>105250</v>
      </c>
    </row>
    <row r="2339" spans="1:13" ht="21.95" customHeight="1" x14ac:dyDescent="0.25">
      <c r="A2339" s="36" t="s">
        <v>2904</v>
      </c>
      <c r="B2339" s="36" t="str">
        <f t="shared" si="112"/>
        <v>TX_WHARTON COUNTY, TX</v>
      </c>
      <c r="D2339" s="265" t="s">
        <v>63</v>
      </c>
      <c r="E2339" s="266" t="s">
        <v>5070</v>
      </c>
      <c r="F2339" s="252">
        <f t="shared" si="114"/>
        <v>46550</v>
      </c>
      <c r="G2339" s="252">
        <f t="shared" si="114"/>
        <v>53200</v>
      </c>
      <c r="H2339" s="252">
        <f t="shared" si="114"/>
        <v>59850</v>
      </c>
      <c r="I2339" s="252">
        <f t="shared" si="114"/>
        <v>66500</v>
      </c>
      <c r="J2339" s="252">
        <f t="shared" si="114"/>
        <v>71850</v>
      </c>
      <c r="K2339" s="252">
        <f t="shared" si="114"/>
        <v>77150</v>
      </c>
      <c r="L2339" s="252">
        <f t="shared" si="114"/>
        <v>82500</v>
      </c>
      <c r="M2339" s="252">
        <f t="shared" si="114"/>
        <v>87800</v>
      </c>
    </row>
    <row r="2340" spans="1:13" ht="21.95" customHeight="1" x14ac:dyDescent="0.25">
      <c r="A2340" s="36" t="s">
        <v>2904</v>
      </c>
      <c r="B2340" s="36" t="str">
        <f t="shared" si="112"/>
        <v>TX_WHEELER COUNTY, TX</v>
      </c>
      <c r="D2340" s="265" t="s">
        <v>63</v>
      </c>
      <c r="E2340" s="266" t="s">
        <v>5071</v>
      </c>
      <c r="F2340" s="252">
        <f t="shared" si="114"/>
        <v>44450</v>
      </c>
      <c r="G2340" s="252">
        <f t="shared" si="114"/>
        <v>50800</v>
      </c>
      <c r="H2340" s="252">
        <f t="shared" si="114"/>
        <v>57150</v>
      </c>
      <c r="I2340" s="252">
        <f t="shared" si="114"/>
        <v>63500</v>
      </c>
      <c r="J2340" s="252">
        <f t="shared" si="114"/>
        <v>68600</v>
      </c>
      <c r="K2340" s="252">
        <f t="shared" si="114"/>
        <v>73700</v>
      </c>
      <c r="L2340" s="252">
        <f t="shared" si="114"/>
        <v>78750</v>
      </c>
      <c r="M2340" s="252">
        <f t="shared" si="114"/>
        <v>83850</v>
      </c>
    </row>
    <row r="2341" spans="1:13" ht="21.95" customHeight="1" x14ac:dyDescent="0.25">
      <c r="A2341" s="36" t="s">
        <v>2904</v>
      </c>
      <c r="B2341" s="36" t="str">
        <f t="shared" si="112"/>
        <v>TX_WICHITA FALLS, TX MSA</v>
      </c>
      <c r="D2341" s="265" t="s">
        <v>63</v>
      </c>
      <c r="E2341" s="266" t="s">
        <v>5072</v>
      </c>
      <c r="F2341" s="252">
        <f t="shared" si="114"/>
        <v>49800</v>
      </c>
      <c r="G2341" s="252">
        <f t="shared" si="114"/>
        <v>56900</v>
      </c>
      <c r="H2341" s="252">
        <f t="shared" si="114"/>
        <v>64000</v>
      </c>
      <c r="I2341" s="252">
        <f t="shared" si="114"/>
        <v>71100</v>
      </c>
      <c r="J2341" s="252">
        <f t="shared" si="114"/>
        <v>76800</v>
      </c>
      <c r="K2341" s="252">
        <f t="shared" si="114"/>
        <v>82500</v>
      </c>
      <c r="L2341" s="252">
        <f t="shared" si="114"/>
        <v>88200</v>
      </c>
      <c r="M2341" s="252">
        <f t="shared" si="114"/>
        <v>93900</v>
      </c>
    </row>
    <row r="2342" spans="1:13" ht="21.95" customHeight="1" x14ac:dyDescent="0.25">
      <c r="A2342" s="36" t="s">
        <v>2904</v>
      </c>
      <c r="B2342" s="36" t="str">
        <f t="shared" si="112"/>
        <v>TX_WILBARGER COUNTY, TX</v>
      </c>
      <c r="D2342" s="265" t="s">
        <v>63</v>
      </c>
      <c r="E2342" s="266" t="s">
        <v>5073</v>
      </c>
      <c r="F2342" s="252">
        <f t="shared" si="114"/>
        <v>45600</v>
      </c>
      <c r="G2342" s="252">
        <f t="shared" si="114"/>
        <v>52100</v>
      </c>
      <c r="H2342" s="252">
        <f t="shared" si="114"/>
        <v>58600</v>
      </c>
      <c r="I2342" s="252">
        <f t="shared" si="114"/>
        <v>65100</v>
      </c>
      <c r="J2342" s="252">
        <f t="shared" si="114"/>
        <v>70350</v>
      </c>
      <c r="K2342" s="252">
        <f t="shared" si="114"/>
        <v>75550</v>
      </c>
      <c r="L2342" s="252">
        <f t="shared" si="114"/>
        <v>80750</v>
      </c>
      <c r="M2342" s="252">
        <f t="shared" si="114"/>
        <v>85950</v>
      </c>
    </row>
    <row r="2343" spans="1:13" ht="21.95" customHeight="1" x14ac:dyDescent="0.25">
      <c r="A2343" s="36" t="s">
        <v>2904</v>
      </c>
      <c r="B2343" s="36" t="str">
        <f t="shared" si="112"/>
        <v>TX_WILLACY COUNTY, TX</v>
      </c>
      <c r="D2343" s="265" t="s">
        <v>63</v>
      </c>
      <c r="E2343" s="266" t="s">
        <v>5074</v>
      </c>
      <c r="F2343" s="252">
        <f t="shared" si="114"/>
        <v>44450</v>
      </c>
      <c r="G2343" s="252">
        <f t="shared" si="114"/>
        <v>50800</v>
      </c>
      <c r="H2343" s="252">
        <f t="shared" si="114"/>
        <v>57150</v>
      </c>
      <c r="I2343" s="252">
        <f t="shared" si="114"/>
        <v>63500</v>
      </c>
      <c r="J2343" s="252">
        <f t="shared" si="114"/>
        <v>68600</v>
      </c>
      <c r="K2343" s="252">
        <f t="shared" si="114"/>
        <v>73700</v>
      </c>
      <c r="L2343" s="252">
        <f t="shared" si="114"/>
        <v>78750</v>
      </c>
      <c r="M2343" s="252">
        <f t="shared" si="114"/>
        <v>83850</v>
      </c>
    </row>
    <row r="2344" spans="1:13" ht="21.95" customHeight="1" x14ac:dyDescent="0.25">
      <c r="A2344" s="36" t="s">
        <v>2904</v>
      </c>
      <c r="B2344" s="36" t="str">
        <f t="shared" si="112"/>
        <v>TX_WINKLER COUNTY, TX</v>
      </c>
      <c r="D2344" s="265" t="s">
        <v>63</v>
      </c>
      <c r="E2344" s="266" t="s">
        <v>5075</v>
      </c>
      <c r="F2344" s="252">
        <f t="shared" si="114"/>
        <v>49850</v>
      </c>
      <c r="G2344" s="252">
        <f t="shared" si="114"/>
        <v>57000</v>
      </c>
      <c r="H2344" s="252">
        <f t="shared" si="114"/>
        <v>64100</v>
      </c>
      <c r="I2344" s="252">
        <f t="shared" si="114"/>
        <v>71200</v>
      </c>
      <c r="J2344" s="252">
        <f t="shared" si="114"/>
        <v>76900</v>
      </c>
      <c r="K2344" s="252">
        <f t="shared" si="114"/>
        <v>82600</v>
      </c>
      <c r="L2344" s="252">
        <f t="shared" si="114"/>
        <v>88300</v>
      </c>
      <c r="M2344" s="252">
        <f t="shared" si="114"/>
        <v>94000</v>
      </c>
    </row>
    <row r="2345" spans="1:13" ht="21.95" customHeight="1" x14ac:dyDescent="0.25">
      <c r="A2345" s="36" t="s">
        <v>2904</v>
      </c>
      <c r="B2345" s="36" t="str">
        <f t="shared" si="112"/>
        <v>TX_WISE COUNTY, TX HUD METRO FMR AREA</v>
      </c>
      <c r="D2345" s="265" t="s">
        <v>63</v>
      </c>
      <c r="E2345" s="266" t="s">
        <v>5076</v>
      </c>
      <c r="F2345" s="252">
        <f t="shared" si="114"/>
        <v>59150</v>
      </c>
      <c r="G2345" s="252">
        <f t="shared" si="114"/>
        <v>67600</v>
      </c>
      <c r="H2345" s="252">
        <f t="shared" si="114"/>
        <v>76050</v>
      </c>
      <c r="I2345" s="252">
        <f t="shared" si="114"/>
        <v>84500</v>
      </c>
      <c r="J2345" s="252">
        <f t="shared" si="114"/>
        <v>91300</v>
      </c>
      <c r="K2345" s="252">
        <f t="shared" si="114"/>
        <v>98050</v>
      </c>
      <c r="L2345" s="252">
        <f t="shared" si="114"/>
        <v>104800</v>
      </c>
      <c r="M2345" s="252">
        <f t="shared" si="114"/>
        <v>111550</v>
      </c>
    </row>
    <row r="2346" spans="1:13" ht="21.95" customHeight="1" x14ac:dyDescent="0.25">
      <c r="A2346" s="36" t="s">
        <v>2904</v>
      </c>
      <c r="B2346" s="36" t="str">
        <f t="shared" si="112"/>
        <v>TX_WOOD COUNTY, TX</v>
      </c>
      <c r="D2346" s="265" t="s">
        <v>63</v>
      </c>
      <c r="E2346" s="266" t="s">
        <v>5077</v>
      </c>
      <c r="F2346" s="252">
        <f t="shared" si="114"/>
        <v>48550</v>
      </c>
      <c r="G2346" s="252">
        <f t="shared" si="114"/>
        <v>55450</v>
      </c>
      <c r="H2346" s="252">
        <f t="shared" si="114"/>
        <v>62400</v>
      </c>
      <c r="I2346" s="252">
        <f t="shared" si="114"/>
        <v>69300</v>
      </c>
      <c r="J2346" s="252">
        <f t="shared" si="114"/>
        <v>74850</v>
      </c>
      <c r="K2346" s="252">
        <f t="shared" si="114"/>
        <v>80400</v>
      </c>
      <c r="L2346" s="252">
        <f t="shared" si="114"/>
        <v>85950</v>
      </c>
      <c r="M2346" s="252">
        <f t="shared" si="114"/>
        <v>91500</v>
      </c>
    </row>
    <row r="2347" spans="1:13" ht="21.95" customHeight="1" x14ac:dyDescent="0.25">
      <c r="A2347" s="36" t="s">
        <v>2904</v>
      </c>
      <c r="B2347" s="36" t="str">
        <f t="shared" si="112"/>
        <v>TX_YOAKUM COUNTY, TX</v>
      </c>
      <c r="D2347" s="265" t="s">
        <v>63</v>
      </c>
      <c r="E2347" s="266" t="s">
        <v>5078</v>
      </c>
      <c r="F2347" s="252">
        <f t="shared" si="114"/>
        <v>55100</v>
      </c>
      <c r="G2347" s="252">
        <f t="shared" si="114"/>
        <v>63000</v>
      </c>
      <c r="H2347" s="252">
        <f t="shared" si="114"/>
        <v>70850</v>
      </c>
      <c r="I2347" s="252">
        <f t="shared" si="114"/>
        <v>78700</v>
      </c>
      <c r="J2347" s="252">
        <f t="shared" si="114"/>
        <v>85000</v>
      </c>
      <c r="K2347" s="252">
        <f t="shared" si="114"/>
        <v>91300</v>
      </c>
      <c r="L2347" s="252">
        <f t="shared" si="114"/>
        <v>97600</v>
      </c>
      <c r="M2347" s="252">
        <f t="shared" si="114"/>
        <v>103900</v>
      </c>
    </row>
    <row r="2348" spans="1:13" ht="21.95" customHeight="1" x14ac:dyDescent="0.25">
      <c r="A2348" s="36" t="s">
        <v>2904</v>
      </c>
      <c r="B2348" s="36" t="str">
        <f t="shared" si="112"/>
        <v>TX_YOUNG COUNTY, TX</v>
      </c>
      <c r="D2348" s="265" t="s">
        <v>63</v>
      </c>
      <c r="E2348" s="266" t="s">
        <v>5079</v>
      </c>
      <c r="F2348" s="252">
        <f t="shared" si="114"/>
        <v>49400</v>
      </c>
      <c r="G2348" s="252">
        <f t="shared" si="114"/>
        <v>56450</v>
      </c>
      <c r="H2348" s="252">
        <f t="shared" si="114"/>
        <v>63500</v>
      </c>
      <c r="I2348" s="252">
        <f t="shared" si="114"/>
        <v>70550</v>
      </c>
      <c r="J2348" s="252">
        <f t="shared" si="114"/>
        <v>76200</v>
      </c>
      <c r="K2348" s="252">
        <f t="shared" si="114"/>
        <v>81850</v>
      </c>
      <c r="L2348" s="252">
        <f t="shared" si="114"/>
        <v>87500</v>
      </c>
      <c r="M2348" s="252">
        <f t="shared" si="114"/>
        <v>93150</v>
      </c>
    </row>
    <row r="2349" spans="1:13" ht="21.95" customHeight="1" x14ac:dyDescent="0.25">
      <c r="A2349" s="36" t="s">
        <v>2904</v>
      </c>
      <c r="B2349" s="36" t="str">
        <f t="shared" si="112"/>
        <v>TX_ZAPATA COUNTY, TX</v>
      </c>
      <c r="D2349" s="265" t="s">
        <v>63</v>
      </c>
      <c r="E2349" s="266" t="s">
        <v>5080</v>
      </c>
      <c r="F2349" s="252">
        <f t="shared" si="114"/>
        <v>44450</v>
      </c>
      <c r="G2349" s="252">
        <f t="shared" si="114"/>
        <v>50800</v>
      </c>
      <c r="H2349" s="252">
        <f t="shared" si="114"/>
        <v>57150</v>
      </c>
      <c r="I2349" s="252">
        <f t="shared" si="114"/>
        <v>63500</v>
      </c>
      <c r="J2349" s="252">
        <f t="shared" si="114"/>
        <v>68600</v>
      </c>
      <c r="K2349" s="252">
        <f t="shared" si="114"/>
        <v>73700</v>
      </c>
      <c r="L2349" s="252">
        <f t="shared" si="114"/>
        <v>78750</v>
      </c>
      <c r="M2349" s="252">
        <f t="shared" si="114"/>
        <v>83850</v>
      </c>
    </row>
    <row r="2350" spans="1:13" ht="21.95" customHeight="1" x14ac:dyDescent="0.25">
      <c r="A2350" s="36" t="s">
        <v>2904</v>
      </c>
      <c r="B2350" s="36" t="str">
        <f t="shared" si="112"/>
        <v>TX_ZAVALA COUNTY, TX</v>
      </c>
      <c r="D2350" s="265" t="s">
        <v>63</v>
      </c>
      <c r="E2350" s="266" t="s">
        <v>5081</v>
      </c>
      <c r="F2350" s="252">
        <f t="shared" si="114"/>
        <v>44450</v>
      </c>
      <c r="G2350" s="252">
        <f t="shared" si="114"/>
        <v>50800</v>
      </c>
      <c r="H2350" s="252">
        <f t="shared" si="114"/>
        <v>57150</v>
      </c>
      <c r="I2350" s="252">
        <f t="shared" si="114"/>
        <v>63500</v>
      </c>
      <c r="J2350" s="252">
        <f t="shared" si="114"/>
        <v>68600</v>
      </c>
      <c r="K2350" s="252">
        <f t="shared" si="114"/>
        <v>73700</v>
      </c>
      <c r="L2350" s="252">
        <f t="shared" si="114"/>
        <v>78750</v>
      </c>
      <c r="M2350" s="252">
        <f t="shared" si="114"/>
        <v>83850</v>
      </c>
    </row>
    <row r="2351" spans="1:13" ht="21.95" customHeight="1" x14ac:dyDescent="0.25">
      <c r="A2351" s="36" t="s">
        <v>2904</v>
      </c>
      <c r="B2351" s="36" t="str">
        <f t="shared" si="112"/>
        <v>UT_BEAVER COUNTY, UT</v>
      </c>
      <c r="D2351" s="265" t="s">
        <v>62</v>
      </c>
      <c r="E2351" s="266" t="s">
        <v>5082</v>
      </c>
      <c r="F2351" s="252">
        <f t="shared" si="114"/>
        <v>56200</v>
      </c>
      <c r="G2351" s="252">
        <f t="shared" si="114"/>
        <v>64200</v>
      </c>
      <c r="H2351" s="252">
        <f t="shared" si="114"/>
        <v>72250</v>
      </c>
      <c r="I2351" s="252">
        <f t="shared" si="114"/>
        <v>80250</v>
      </c>
      <c r="J2351" s="252">
        <f t="shared" si="114"/>
        <v>86700</v>
      </c>
      <c r="K2351" s="252">
        <f t="shared" si="114"/>
        <v>93100</v>
      </c>
      <c r="L2351" s="252">
        <f t="shared" si="114"/>
        <v>99550</v>
      </c>
      <c r="M2351" s="252">
        <f t="shared" si="114"/>
        <v>105950</v>
      </c>
    </row>
    <row r="2352" spans="1:13" ht="21.95" customHeight="1" x14ac:dyDescent="0.25">
      <c r="A2352" s="36" t="s">
        <v>2904</v>
      </c>
      <c r="B2352" s="36" t="str">
        <f t="shared" si="112"/>
        <v>UT_BOX ELDER COUNTY, UT</v>
      </c>
      <c r="D2352" s="265" t="s">
        <v>62</v>
      </c>
      <c r="E2352" s="266" t="s">
        <v>9271</v>
      </c>
      <c r="F2352" s="252">
        <f t="shared" si="114"/>
        <v>56100</v>
      </c>
      <c r="G2352" s="252">
        <f t="shared" si="114"/>
        <v>64100</v>
      </c>
      <c r="H2352" s="252">
        <f t="shared" si="114"/>
        <v>72100</v>
      </c>
      <c r="I2352" s="252">
        <f t="shared" si="114"/>
        <v>80100</v>
      </c>
      <c r="J2352" s="252">
        <f t="shared" si="114"/>
        <v>86550</v>
      </c>
      <c r="K2352" s="252">
        <f t="shared" si="114"/>
        <v>92950</v>
      </c>
      <c r="L2352" s="252">
        <f t="shared" si="114"/>
        <v>99350</v>
      </c>
      <c r="M2352" s="252">
        <f t="shared" si="114"/>
        <v>105750</v>
      </c>
    </row>
    <row r="2353" spans="1:13" ht="21.95" customHeight="1" x14ac:dyDescent="0.25">
      <c r="A2353" s="36" t="s">
        <v>2904</v>
      </c>
      <c r="B2353" s="36" t="str">
        <f t="shared" si="112"/>
        <v>UT_CARBON COUNTY, UT</v>
      </c>
      <c r="D2353" s="265" t="s">
        <v>62</v>
      </c>
      <c r="E2353" s="266" t="s">
        <v>5083</v>
      </c>
      <c r="F2353" s="252">
        <f t="shared" si="114"/>
        <v>56000</v>
      </c>
      <c r="G2353" s="252">
        <f t="shared" si="114"/>
        <v>64000</v>
      </c>
      <c r="H2353" s="252">
        <f t="shared" si="114"/>
        <v>72000</v>
      </c>
      <c r="I2353" s="252">
        <f t="shared" si="114"/>
        <v>80000</v>
      </c>
      <c r="J2353" s="252">
        <f t="shared" si="114"/>
        <v>86400</v>
      </c>
      <c r="K2353" s="252">
        <f t="shared" si="114"/>
        <v>92800</v>
      </c>
      <c r="L2353" s="252">
        <f t="shared" si="114"/>
        <v>99200</v>
      </c>
      <c r="M2353" s="252">
        <f t="shared" si="114"/>
        <v>105600</v>
      </c>
    </row>
    <row r="2354" spans="1:13" ht="21.95" customHeight="1" x14ac:dyDescent="0.25">
      <c r="A2354" s="36" t="s">
        <v>2904</v>
      </c>
      <c r="B2354" s="36" t="str">
        <f t="shared" si="112"/>
        <v>UT_DAGGETT COUNTY, UT</v>
      </c>
      <c r="D2354" s="265" t="s">
        <v>62</v>
      </c>
      <c r="E2354" s="266" t="s">
        <v>5084</v>
      </c>
      <c r="F2354" s="252">
        <f t="shared" si="114"/>
        <v>56100</v>
      </c>
      <c r="G2354" s="252">
        <f t="shared" si="114"/>
        <v>64100</v>
      </c>
      <c r="H2354" s="252">
        <f t="shared" si="114"/>
        <v>72100</v>
      </c>
      <c r="I2354" s="252">
        <f t="shared" si="114"/>
        <v>80100</v>
      </c>
      <c r="J2354" s="252">
        <f t="shared" si="114"/>
        <v>86550</v>
      </c>
      <c r="K2354" s="252">
        <f t="shared" si="114"/>
        <v>92950</v>
      </c>
      <c r="L2354" s="252">
        <f t="shared" si="114"/>
        <v>99350</v>
      </c>
      <c r="M2354" s="252">
        <f t="shared" si="114"/>
        <v>105750</v>
      </c>
    </row>
    <row r="2355" spans="1:13" ht="21.95" customHeight="1" x14ac:dyDescent="0.25">
      <c r="A2355" s="36" t="s">
        <v>2904</v>
      </c>
      <c r="B2355" s="36" t="str">
        <f t="shared" si="112"/>
        <v>UT_DUCHESNE COUNTY, UT</v>
      </c>
      <c r="D2355" s="265" t="s">
        <v>62</v>
      </c>
      <c r="E2355" s="266" t="s">
        <v>5085</v>
      </c>
      <c r="F2355" s="252">
        <f t="shared" si="114"/>
        <v>56000</v>
      </c>
      <c r="G2355" s="252">
        <f t="shared" si="114"/>
        <v>64000</v>
      </c>
      <c r="H2355" s="252">
        <f t="shared" si="114"/>
        <v>72000</v>
      </c>
      <c r="I2355" s="252">
        <f t="shared" si="114"/>
        <v>80000</v>
      </c>
      <c r="J2355" s="252">
        <f t="shared" si="114"/>
        <v>86400</v>
      </c>
      <c r="K2355" s="252">
        <f t="shared" si="114"/>
        <v>92800</v>
      </c>
      <c r="L2355" s="252">
        <f t="shared" si="114"/>
        <v>99200</v>
      </c>
      <c r="M2355" s="252">
        <f t="shared" si="114"/>
        <v>105600</v>
      </c>
    </row>
    <row r="2356" spans="1:13" ht="21.95" customHeight="1" x14ac:dyDescent="0.25">
      <c r="A2356" s="36" t="s">
        <v>2904</v>
      </c>
      <c r="B2356" s="36" t="str">
        <f t="shared" si="112"/>
        <v>UT_EMERY COUNTY, UT</v>
      </c>
      <c r="D2356" s="265" t="s">
        <v>62</v>
      </c>
      <c r="E2356" s="266" t="s">
        <v>5086</v>
      </c>
      <c r="F2356" s="252">
        <f t="shared" si="114"/>
        <v>56000</v>
      </c>
      <c r="G2356" s="252">
        <f t="shared" si="114"/>
        <v>64000</v>
      </c>
      <c r="H2356" s="252">
        <f t="shared" si="114"/>
        <v>72000</v>
      </c>
      <c r="I2356" s="252">
        <f t="shared" si="114"/>
        <v>80000</v>
      </c>
      <c r="J2356" s="252">
        <f t="shared" si="114"/>
        <v>86400</v>
      </c>
      <c r="K2356" s="252">
        <f t="shared" si="114"/>
        <v>92800</v>
      </c>
      <c r="L2356" s="252">
        <f t="shared" si="114"/>
        <v>99200</v>
      </c>
      <c r="M2356" s="252">
        <f t="shared" si="114"/>
        <v>105600</v>
      </c>
    </row>
    <row r="2357" spans="1:13" ht="21.95" customHeight="1" x14ac:dyDescent="0.25">
      <c r="A2357" s="36" t="s">
        <v>2904</v>
      </c>
      <c r="B2357" s="36" t="str">
        <f t="shared" si="112"/>
        <v>UT_GARFIELD COUNTY, UT</v>
      </c>
      <c r="D2357" s="265" t="s">
        <v>62</v>
      </c>
      <c r="E2357" s="266" t="s">
        <v>5087</v>
      </c>
      <c r="F2357" s="252">
        <f t="shared" si="114"/>
        <v>56000</v>
      </c>
      <c r="G2357" s="252">
        <f t="shared" si="114"/>
        <v>64000</v>
      </c>
      <c r="H2357" s="252">
        <f t="shared" si="114"/>
        <v>72000</v>
      </c>
      <c r="I2357" s="252">
        <f t="shared" si="114"/>
        <v>80000</v>
      </c>
      <c r="J2357" s="252">
        <f t="shared" si="114"/>
        <v>86400</v>
      </c>
      <c r="K2357" s="252">
        <f t="shared" si="114"/>
        <v>92800</v>
      </c>
      <c r="L2357" s="252">
        <f t="shared" si="114"/>
        <v>99200</v>
      </c>
      <c r="M2357" s="252">
        <f t="shared" si="114"/>
        <v>105600</v>
      </c>
    </row>
    <row r="2358" spans="1:13" ht="21.95" customHeight="1" x14ac:dyDescent="0.25">
      <c r="A2358" s="36" t="s">
        <v>2904</v>
      </c>
      <c r="B2358" s="36" t="str">
        <f t="shared" si="112"/>
        <v>UT_GRAND COUNTY, UT</v>
      </c>
      <c r="D2358" s="265" t="s">
        <v>62</v>
      </c>
      <c r="E2358" s="266" t="s">
        <v>5088</v>
      </c>
      <c r="F2358" s="252">
        <f t="shared" si="114"/>
        <v>56000</v>
      </c>
      <c r="G2358" s="252">
        <f t="shared" si="114"/>
        <v>64000</v>
      </c>
      <c r="H2358" s="252">
        <f t="shared" si="114"/>
        <v>72000</v>
      </c>
      <c r="I2358" s="252">
        <f t="shared" si="114"/>
        <v>80000</v>
      </c>
      <c r="J2358" s="252">
        <f t="shared" si="114"/>
        <v>86400</v>
      </c>
      <c r="K2358" s="252">
        <f t="shared" si="114"/>
        <v>92800</v>
      </c>
      <c r="L2358" s="252">
        <f t="shared" si="114"/>
        <v>99200</v>
      </c>
      <c r="M2358" s="252">
        <f t="shared" si="114"/>
        <v>105600</v>
      </c>
    </row>
    <row r="2359" spans="1:13" ht="21.95" customHeight="1" x14ac:dyDescent="0.25">
      <c r="A2359" s="36" t="s">
        <v>2904</v>
      </c>
      <c r="B2359" s="36" t="str">
        <f t="shared" si="112"/>
        <v>UT_IRON COUNTY, UT</v>
      </c>
      <c r="D2359" s="265" t="s">
        <v>62</v>
      </c>
      <c r="E2359" s="266" t="s">
        <v>5089</v>
      </c>
      <c r="F2359" s="252">
        <f t="shared" si="114"/>
        <v>56000</v>
      </c>
      <c r="G2359" s="252">
        <f t="shared" si="114"/>
        <v>64000</v>
      </c>
      <c r="H2359" s="252">
        <f t="shared" si="114"/>
        <v>72000</v>
      </c>
      <c r="I2359" s="252">
        <f t="shared" si="114"/>
        <v>80000</v>
      </c>
      <c r="J2359" s="252">
        <f t="shared" si="114"/>
        <v>86400</v>
      </c>
      <c r="K2359" s="252">
        <f t="shared" si="114"/>
        <v>92800</v>
      </c>
      <c r="L2359" s="252">
        <f t="shared" si="114"/>
        <v>99200</v>
      </c>
      <c r="M2359" s="252">
        <f t="shared" si="114"/>
        <v>105600</v>
      </c>
    </row>
    <row r="2360" spans="1:13" ht="21.95" customHeight="1" x14ac:dyDescent="0.25">
      <c r="A2360" s="36" t="s">
        <v>2904</v>
      </c>
      <c r="B2360" s="36" t="str">
        <f t="shared" si="112"/>
        <v>UT_KANE COUNTY, UT</v>
      </c>
      <c r="D2360" s="265" t="s">
        <v>62</v>
      </c>
      <c r="E2360" s="266" t="s">
        <v>5090</v>
      </c>
      <c r="F2360" s="252">
        <f t="shared" si="114"/>
        <v>58750</v>
      </c>
      <c r="G2360" s="252">
        <f t="shared" si="114"/>
        <v>67150</v>
      </c>
      <c r="H2360" s="252">
        <f t="shared" si="114"/>
        <v>75550</v>
      </c>
      <c r="I2360" s="252">
        <f t="shared" si="114"/>
        <v>83900</v>
      </c>
      <c r="J2360" s="252">
        <f t="shared" si="114"/>
        <v>90650</v>
      </c>
      <c r="K2360" s="252">
        <f t="shared" si="114"/>
        <v>97350</v>
      </c>
      <c r="L2360" s="252">
        <f t="shared" si="114"/>
        <v>104050</v>
      </c>
      <c r="M2360" s="252">
        <f t="shared" si="114"/>
        <v>110750</v>
      </c>
    </row>
    <row r="2361" spans="1:13" ht="21.95" customHeight="1" x14ac:dyDescent="0.25">
      <c r="A2361" s="36" t="s">
        <v>2904</v>
      </c>
      <c r="B2361" s="36" t="str">
        <f t="shared" si="112"/>
        <v>UT_LOGAN, UT-ID MSA</v>
      </c>
      <c r="D2361" s="265" t="s">
        <v>62</v>
      </c>
      <c r="E2361" s="266" t="s">
        <v>3491</v>
      </c>
      <c r="F2361" s="252">
        <f t="shared" si="114"/>
        <v>57900</v>
      </c>
      <c r="G2361" s="252">
        <f t="shared" si="114"/>
        <v>66200</v>
      </c>
      <c r="H2361" s="252">
        <f t="shared" si="114"/>
        <v>74450</v>
      </c>
      <c r="I2361" s="252">
        <f t="shared" si="114"/>
        <v>82700</v>
      </c>
      <c r="J2361" s="252">
        <f t="shared" si="114"/>
        <v>89350</v>
      </c>
      <c r="K2361" s="252">
        <f t="shared" si="114"/>
        <v>95950</v>
      </c>
      <c r="L2361" s="252">
        <f t="shared" si="114"/>
        <v>102550</v>
      </c>
      <c r="M2361" s="252">
        <f t="shared" si="114"/>
        <v>109200</v>
      </c>
    </row>
    <row r="2362" spans="1:13" ht="21.95" customHeight="1" x14ac:dyDescent="0.25">
      <c r="A2362" s="36" t="s">
        <v>2904</v>
      </c>
      <c r="B2362" s="36" t="str">
        <f t="shared" si="112"/>
        <v>UT_MILLARD COUNTY, UT</v>
      </c>
      <c r="D2362" s="265" t="s">
        <v>62</v>
      </c>
      <c r="E2362" s="266" t="s">
        <v>5091</v>
      </c>
      <c r="F2362" s="252">
        <f t="shared" si="114"/>
        <v>56000</v>
      </c>
      <c r="G2362" s="252">
        <f t="shared" si="114"/>
        <v>64000</v>
      </c>
      <c r="H2362" s="252">
        <f t="shared" si="114"/>
        <v>72000</v>
      </c>
      <c r="I2362" s="252">
        <f t="shared" si="114"/>
        <v>80000</v>
      </c>
      <c r="J2362" s="252">
        <f t="shared" si="114"/>
        <v>86400</v>
      </c>
      <c r="K2362" s="252">
        <f t="shared" si="114"/>
        <v>92800</v>
      </c>
      <c r="L2362" s="252">
        <f t="shared" si="114"/>
        <v>99200</v>
      </c>
      <c r="M2362" s="252">
        <f t="shared" si="114"/>
        <v>105600</v>
      </c>
    </row>
    <row r="2363" spans="1:13" ht="21.95" customHeight="1" x14ac:dyDescent="0.25">
      <c r="A2363" s="36" t="s">
        <v>2904</v>
      </c>
      <c r="B2363" s="36" t="str">
        <f t="shared" si="112"/>
        <v>UT_OGDEN, UT MSA</v>
      </c>
      <c r="D2363" s="265" t="s">
        <v>62</v>
      </c>
      <c r="E2363" s="266" t="s">
        <v>9272</v>
      </c>
      <c r="F2363" s="252">
        <f t="shared" si="114"/>
        <v>67500</v>
      </c>
      <c r="G2363" s="252">
        <f t="shared" si="114"/>
        <v>77150</v>
      </c>
      <c r="H2363" s="252">
        <f t="shared" si="114"/>
        <v>86800</v>
      </c>
      <c r="I2363" s="252">
        <f t="shared" si="114"/>
        <v>96400</v>
      </c>
      <c r="J2363" s="252">
        <f t="shared" si="114"/>
        <v>104150</v>
      </c>
      <c r="K2363" s="252">
        <f t="shared" si="114"/>
        <v>111850</v>
      </c>
      <c r="L2363" s="252">
        <f t="shared" si="114"/>
        <v>119550</v>
      </c>
      <c r="M2363" s="252">
        <f t="shared" si="114"/>
        <v>127250</v>
      </c>
    </row>
    <row r="2364" spans="1:13" ht="21.95" customHeight="1" x14ac:dyDescent="0.25">
      <c r="A2364" s="36" t="s">
        <v>2904</v>
      </c>
      <c r="B2364" s="36" t="str">
        <f t="shared" ref="B2364:B2427" si="115">UPPER(TRIM(D2364)&amp;"_"&amp;TRIM(E2364))</f>
        <v>UT_PIUTE COUNTY, UT</v>
      </c>
      <c r="D2364" s="265" t="s">
        <v>62</v>
      </c>
      <c r="E2364" s="266" t="s">
        <v>5092</v>
      </c>
      <c r="F2364" s="252">
        <f t="shared" si="114"/>
        <v>56000</v>
      </c>
      <c r="G2364" s="252">
        <f t="shared" si="114"/>
        <v>64000</v>
      </c>
      <c r="H2364" s="252">
        <f t="shared" si="114"/>
        <v>72000</v>
      </c>
      <c r="I2364" s="252">
        <f t="shared" si="114"/>
        <v>80000</v>
      </c>
      <c r="J2364" s="252">
        <f t="shared" si="114"/>
        <v>86400</v>
      </c>
      <c r="K2364" s="252">
        <f t="shared" si="114"/>
        <v>92800</v>
      </c>
      <c r="L2364" s="252">
        <f t="shared" si="114"/>
        <v>99200</v>
      </c>
      <c r="M2364" s="252">
        <f t="shared" si="114"/>
        <v>105600</v>
      </c>
    </row>
    <row r="2365" spans="1:13" ht="21.95" customHeight="1" x14ac:dyDescent="0.25">
      <c r="A2365" s="36" t="s">
        <v>2904</v>
      </c>
      <c r="B2365" s="36" t="str">
        <f t="shared" si="115"/>
        <v>UT_PROVO-OREM-LEHI, UT MSA</v>
      </c>
      <c r="D2365" s="265" t="s">
        <v>62</v>
      </c>
      <c r="E2365" s="266" t="s">
        <v>9273</v>
      </c>
      <c r="F2365" s="252">
        <f t="shared" si="114"/>
        <v>66500</v>
      </c>
      <c r="G2365" s="252">
        <f t="shared" si="114"/>
        <v>76000</v>
      </c>
      <c r="H2365" s="252">
        <f t="shared" si="114"/>
        <v>85500</v>
      </c>
      <c r="I2365" s="252">
        <f t="shared" si="114"/>
        <v>94950</v>
      </c>
      <c r="J2365" s="252">
        <f t="shared" si="114"/>
        <v>102550</v>
      </c>
      <c r="K2365" s="252">
        <f t="shared" si="114"/>
        <v>110150</v>
      </c>
      <c r="L2365" s="252">
        <f t="shared" si="114"/>
        <v>117750</v>
      </c>
      <c r="M2365" s="252">
        <f t="shared" si="114"/>
        <v>125350</v>
      </c>
    </row>
    <row r="2366" spans="1:13" ht="21.95" customHeight="1" x14ac:dyDescent="0.25">
      <c r="A2366" s="36" t="s">
        <v>2904</v>
      </c>
      <c r="B2366" s="36" t="str">
        <f t="shared" si="115"/>
        <v>UT_RICH COUNTY, UT</v>
      </c>
      <c r="D2366" s="265" t="s">
        <v>62</v>
      </c>
      <c r="E2366" s="266" t="s">
        <v>5093</v>
      </c>
      <c r="F2366" s="252">
        <f t="shared" si="114"/>
        <v>56000</v>
      </c>
      <c r="G2366" s="252">
        <f t="shared" si="114"/>
        <v>64000</v>
      </c>
      <c r="H2366" s="252">
        <f t="shared" si="114"/>
        <v>72000</v>
      </c>
      <c r="I2366" s="252">
        <f t="shared" si="114"/>
        <v>80000</v>
      </c>
      <c r="J2366" s="252">
        <f t="shared" si="114"/>
        <v>86400</v>
      </c>
      <c r="K2366" s="252">
        <f t="shared" si="114"/>
        <v>92800</v>
      </c>
      <c r="L2366" s="252">
        <f t="shared" si="114"/>
        <v>99200</v>
      </c>
      <c r="M2366" s="252">
        <f t="shared" si="114"/>
        <v>105600</v>
      </c>
    </row>
    <row r="2367" spans="1:13" ht="21.95" customHeight="1" x14ac:dyDescent="0.25">
      <c r="A2367" s="36" t="s">
        <v>2904</v>
      </c>
      <c r="B2367" s="36" t="str">
        <f t="shared" si="115"/>
        <v>UT_SALT LAKE CITY, UT HUD METRO FMR AREA</v>
      </c>
      <c r="D2367" s="265" t="s">
        <v>62</v>
      </c>
      <c r="E2367" s="266" t="s">
        <v>5094</v>
      </c>
      <c r="F2367" s="252">
        <f t="shared" si="114"/>
        <v>68750</v>
      </c>
      <c r="G2367" s="252">
        <f t="shared" si="114"/>
        <v>78550</v>
      </c>
      <c r="H2367" s="252">
        <f t="shared" si="114"/>
        <v>88350</v>
      </c>
      <c r="I2367" s="252">
        <f t="shared" si="114"/>
        <v>98150</v>
      </c>
      <c r="J2367" s="252">
        <f t="shared" si="114"/>
        <v>106050</v>
      </c>
      <c r="K2367" s="252">
        <f t="shared" si="114"/>
        <v>113900</v>
      </c>
      <c r="L2367" s="252">
        <f t="shared" si="114"/>
        <v>121750</v>
      </c>
      <c r="M2367" s="252">
        <f t="shared" si="114"/>
        <v>129600</v>
      </c>
    </row>
    <row r="2368" spans="1:13" ht="21.95" customHeight="1" x14ac:dyDescent="0.25">
      <c r="A2368" s="36" t="s">
        <v>2904</v>
      </c>
      <c r="B2368" s="36" t="str">
        <f t="shared" si="115"/>
        <v>UT_SAN JUAN COUNTY, UT</v>
      </c>
      <c r="D2368" s="265" t="s">
        <v>62</v>
      </c>
      <c r="E2368" s="266" t="s">
        <v>5095</v>
      </c>
      <c r="F2368" s="252">
        <f t="shared" si="114"/>
        <v>56000</v>
      </c>
      <c r="G2368" s="252">
        <f t="shared" si="114"/>
        <v>64000</v>
      </c>
      <c r="H2368" s="252">
        <f t="shared" si="114"/>
        <v>72000</v>
      </c>
      <c r="I2368" s="252">
        <f t="shared" si="114"/>
        <v>80000</v>
      </c>
      <c r="J2368" s="252">
        <f t="shared" si="114"/>
        <v>86400</v>
      </c>
      <c r="K2368" s="252">
        <f t="shared" si="114"/>
        <v>92800</v>
      </c>
      <c r="L2368" s="252">
        <f t="shared" si="114"/>
        <v>99200</v>
      </c>
      <c r="M2368" s="252">
        <f t="shared" si="114"/>
        <v>105600</v>
      </c>
    </row>
    <row r="2369" spans="1:13" ht="21.95" customHeight="1" x14ac:dyDescent="0.25">
      <c r="A2369" s="36" t="s">
        <v>2904</v>
      </c>
      <c r="B2369" s="36" t="str">
        <f t="shared" si="115"/>
        <v>UT_SANPETE COUNTY, UT</v>
      </c>
      <c r="D2369" s="265" t="s">
        <v>62</v>
      </c>
      <c r="E2369" s="266" t="s">
        <v>5096</v>
      </c>
      <c r="F2369" s="252">
        <f t="shared" ref="F2369:M2400" si="116">VLOOKUP($B2369,LOOKUP_AMI_TABLE,5+((F$7-1)),FALSE)</f>
        <v>56000</v>
      </c>
      <c r="G2369" s="252">
        <f t="shared" si="116"/>
        <v>64000</v>
      </c>
      <c r="H2369" s="252">
        <f t="shared" si="116"/>
        <v>72000</v>
      </c>
      <c r="I2369" s="252">
        <f t="shared" si="116"/>
        <v>80000</v>
      </c>
      <c r="J2369" s="252">
        <f t="shared" si="116"/>
        <v>86400</v>
      </c>
      <c r="K2369" s="252">
        <f t="shared" si="116"/>
        <v>92800</v>
      </c>
      <c r="L2369" s="252">
        <f t="shared" si="116"/>
        <v>99200</v>
      </c>
      <c r="M2369" s="252">
        <f t="shared" si="116"/>
        <v>105600</v>
      </c>
    </row>
    <row r="2370" spans="1:13" ht="21.95" customHeight="1" x14ac:dyDescent="0.25">
      <c r="A2370" s="36" t="s">
        <v>2904</v>
      </c>
      <c r="B2370" s="36" t="str">
        <f t="shared" si="115"/>
        <v>UT_SEVIER COUNTY, UT</v>
      </c>
      <c r="D2370" s="265" t="s">
        <v>62</v>
      </c>
      <c r="E2370" s="266" t="s">
        <v>5097</v>
      </c>
      <c r="F2370" s="252">
        <f t="shared" si="116"/>
        <v>56000</v>
      </c>
      <c r="G2370" s="252">
        <f t="shared" si="116"/>
        <v>64000</v>
      </c>
      <c r="H2370" s="252">
        <f t="shared" si="116"/>
        <v>72000</v>
      </c>
      <c r="I2370" s="252">
        <f t="shared" si="116"/>
        <v>80000</v>
      </c>
      <c r="J2370" s="252">
        <f t="shared" si="116"/>
        <v>86400</v>
      </c>
      <c r="K2370" s="252">
        <f t="shared" si="116"/>
        <v>92800</v>
      </c>
      <c r="L2370" s="252">
        <f t="shared" si="116"/>
        <v>99200</v>
      </c>
      <c r="M2370" s="252">
        <f t="shared" si="116"/>
        <v>105600</v>
      </c>
    </row>
    <row r="2371" spans="1:13" ht="21.95" customHeight="1" x14ac:dyDescent="0.25">
      <c r="A2371" s="36" t="s">
        <v>2904</v>
      </c>
      <c r="B2371" s="36" t="str">
        <f t="shared" si="115"/>
        <v>UT_ST. GEORGE, UT MSA</v>
      </c>
      <c r="D2371" s="265" t="s">
        <v>62</v>
      </c>
      <c r="E2371" s="266" t="s">
        <v>5098</v>
      </c>
      <c r="F2371" s="252">
        <f t="shared" si="116"/>
        <v>56400</v>
      </c>
      <c r="G2371" s="252">
        <f t="shared" si="116"/>
        <v>64450</v>
      </c>
      <c r="H2371" s="252">
        <f t="shared" si="116"/>
        <v>72500</v>
      </c>
      <c r="I2371" s="252">
        <f t="shared" si="116"/>
        <v>80550</v>
      </c>
      <c r="J2371" s="252">
        <f t="shared" si="116"/>
        <v>87000</v>
      </c>
      <c r="K2371" s="252">
        <f t="shared" si="116"/>
        <v>93450</v>
      </c>
      <c r="L2371" s="252">
        <f t="shared" si="116"/>
        <v>99900</v>
      </c>
      <c r="M2371" s="252">
        <f t="shared" si="116"/>
        <v>106350</v>
      </c>
    </row>
    <row r="2372" spans="1:13" ht="21.95" customHeight="1" x14ac:dyDescent="0.25">
      <c r="A2372" s="36" t="s">
        <v>2904</v>
      </c>
      <c r="B2372" s="36" t="str">
        <f t="shared" si="115"/>
        <v>UT_SUMMIT COUNTY, UT</v>
      </c>
      <c r="D2372" s="265" t="s">
        <v>62</v>
      </c>
      <c r="E2372" s="266" t="s">
        <v>5099</v>
      </c>
      <c r="F2372" s="252">
        <f t="shared" si="116"/>
        <v>72950</v>
      </c>
      <c r="G2372" s="252">
        <f t="shared" si="116"/>
        <v>83400</v>
      </c>
      <c r="H2372" s="252">
        <f t="shared" si="116"/>
        <v>93800</v>
      </c>
      <c r="I2372" s="252">
        <f t="shared" si="116"/>
        <v>104200</v>
      </c>
      <c r="J2372" s="252">
        <f t="shared" si="116"/>
        <v>112550</v>
      </c>
      <c r="K2372" s="252">
        <f t="shared" si="116"/>
        <v>120900</v>
      </c>
      <c r="L2372" s="252">
        <f t="shared" si="116"/>
        <v>129250</v>
      </c>
      <c r="M2372" s="252">
        <f t="shared" si="116"/>
        <v>137550</v>
      </c>
    </row>
    <row r="2373" spans="1:13" ht="21.95" customHeight="1" x14ac:dyDescent="0.25">
      <c r="A2373" s="36" t="s">
        <v>2904</v>
      </c>
      <c r="B2373" s="36" t="str">
        <f t="shared" si="115"/>
        <v>UT_TOOELE COUNTY, UT HUD METRO FMR AREA</v>
      </c>
      <c r="D2373" s="265" t="s">
        <v>62</v>
      </c>
      <c r="E2373" s="266" t="s">
        <v>5100</v>
      </c>
      <c r="F2373" s="252">
        <f t="shared" si="116"/>
        <v>61800</v>
      </c>
      <c r="G2373" s="252">
        <f t="shared" si="116"/>
        <v>70600</v>
      </c>
      <c r="H2373" s="252">
        <f t="shared" si="116"/>
        <v>79450</v>
      </c>
      <c r="I2373" s="252">
        <f t="shared" si="116"/>
        <v>88250</v>
      </c>
      <c r="J2373" s="252">
        <f t="shared" si="116"/>
        <v>95350</v>
      </c>
      <c r="K2373" s="252">
        <f t="shared" si="116"/>
        <v>102400</v>
      </c>
      <c r="L2373" s="252">
        <f t="shared" si="116"/>
        <v>109450</v>
      </c>
      <c r="M2373" s="252">
        <f t="shared" si="116"/>
        <v>116500</v>
      </c>
    </row>
    <row r="2374" spans="1:13" ht="21.95" customHeight="1" x14ac:dyDescent="0.25">
      <c r="A2374" s="36" t="s">
        <v>2904</v>
      </c>
      <c r="B2374" s="36" t="str">
        <f t="shared" si="115"/>
        <v>UT_UINTAH COUNTY, UT</v>
      </c>
      <c r="D2374" s="265" t="s">
        <v>62</v>
      </c>
      <c r="E2374" s="266" t="s">
        <v>5101</v>
      </c>
      <c r="F2374" s="252">
        <f t="shared" si="116"/>
        <v>56000</v>
      </c>
      <c r="G2374" s="252">
        <f t="shared" si="116"/>
        <v>64000</v>
      </c>
      <c r="H2374" s="252">
        <f t="shared" si="116"/>
        <v>72000</v>
      </c>
      <c r="I2374" s="252">
        <f t="shared" si="116"/>
        <v>80000</v>
      </c>
      <c r="J2374" s="252">
        <f t="shared" si="116"/>
        <v>86400</v>
      </c>
      <c r="K2374" s="252">
        <f t="shared" si="116"/>
        <v>92800</v>
      </c>
      <c r="L2374" s="252">
        <f t="shared" si="116"/>
        <v>99200</v>
      </c>
      <c r="M2374" s="252">
        <f t="shared" si="116"/>
        <v>105600</v>
      </c>
    </row>
    <row r="2375" spans="1:13" ht="21.95" customHeight="1" x14ac:dyDescent="0.25">
      <c r="A2375" s="36" t="s">
        <v>2904</v>
      </c>
      <c r="B2375" s="36" t="str">
        <f t="shared" si="115"/>
        <v>UT_WASATCH COUNTY, UT</v>
      </c>
      <c r="D2375" s="265" t="s">
        <v>62</v>
      </c>
      <c r="E2375" s="266" t="s">
        <v>5102</v>
      </c>
      <c r="F2375" s="252">
        <f t="shared" si="116"/>
        <v>72950</v>
      </c>
      <c r="G2375" s="252">
        <f t="shared" si="116"/>
        <v>83400</v>
      </c>
      <c r="H2375" s="252">
        <f t="shared" si="116"/>
        <v>93800</v>
      </c>
      <c r="I2375" s="252">
        <f t="shared" si="116"/>
        <v>104200</v>
      </c>
      <c r="J2375" s="252">
        <f t="shared" si="116"/>
        <v>112550</v>
      </c>
      <c r="K2375" s="252">
        <f t="shared" si="116"/>
        <v>120900</v>
      </c>
      <c r="L2375" s="252">
        <f t="shared" si="116"/>
        <v>129250</v>
      </c>
      <c r="M2375" s="252">
        <f t="shared" si="116"/>
        <v>137550</v>
      </c>
    </row>
    <row r="2376" spans="1:13" ht="21.95" customHeight="1" x14ac:dyDescent="0.25">
      <c r="A2376" s="36" t="s">
        <v>2904</v>
      </c>
      <c r="B2376" s="36" t="str">
        <f t="shared" si="115"/>
        <v>UT_WAYNE COUNTY, UT</v>
      </c>
      <c r="D2376" s="265" t="s">
        <v>62</v>
      </c>
      <c r="E2376" s="266" t="s">
        <v>5103</v>
      </c>
      <c r="F2376" s="252">
        <f t="shared" si="116"/>
        <v>56000</v>
      </c>
      <c r="G2376" s="252">
        <f t="shared" si="116"/>
        <v>64000</v>
      </c>
      <c r="H2376" s="252">
        <f t="shared" si="116"/>
        <v>72000</v>
      </c>
      <c r="I2376" s="252">
        <f t="shared" si="116"/>
        <v>80000</v>
      </c>
      <c r="J2376" s="252">
        <f t="shared" si="116"/>
        <v>86400</v>
      </c>
      <c r="K2376" s="252">
        <f t="shared" si="116"/>
        <v>92800</v>
      </c>
      <c r="L2376" s="252">
        <f t="shared" si="116"/>
        <v>99200</v>
      </c>
      <c r="M2376" s="252">
        <f t="shared" si="116"/>
        <v>105600</v>
      </c>
    </row>
    <row r="2377" spans="1:13" ht="21.95" customHeight="1" x14ac:dyDescent="0.25">
      <c r="A2377" s="36" t="s">
        <v>2904</v>
      </c>
      <c r="B2377" s="36" t="str">
        <f t="shared" si="115"/>
        <v>VA_ACCOMACK COUNTY, VA</v>
      </c>
      <c r="D2377" s="265" t="s">
        <v>60</v>
      </c>
      <c r="E2377" s="266" t="s">
        <v>5104</v>
      </c>
      <c r="F2377" s="252">
        <f t="shared" si="116"/>
        <v>44050</v>
      </c>
      <c r="G2377" s="252">
        <f t="shared" si="116"/>
        <v>50350</v>
      </c>
      <c r="H2377" s="252">
        <f t="shared" si="116"/>
        <v>56650</v>
      </c>
      <c r="I2377" s="252">
        <f t="shared" si="116"/>
        <v>62900</v>
      </c>
      <c r="J2377" s="252">
        <f t="shared" si="116"/>
        <v>67950</v>
      </c>
      <c r="K2377" s="252">
        <f t="shared" si="116"/>
        <v>73000</v>
      </c>
      <c r="L2377" s="252">
        <f t="shared" si="116"/>
        <v>78000</v>
      </c>
      <c r="M2377" s="252">
        <f t="shared" si="116"/>
        <v>83050</v>
      </c>
    </row>
    <row r="2378" spans="1:13" ht="21.95" customHeight="1" x14ac:dyDescent="0.25">
      <c r="A2378" s="36" t="s">
        <v>2904</v>
      </c>
      <c r="B2378" s="36" t="str">
        <f t="shared" si="115"/>
        <v>VA_ALLEGHANY COUNTY-CLIFTON FORGE CITY-COVINGTON CITY, VA HUD NONMET</v>
      </c>
      <c r="D2378" s="265" t="s">
        <v>60</v>
      </c>
      <c r="E2378" s="266" t="s">
        <v>5105</v>
      </c>
      <c r="F2378" s="252">
        <f t="shared" si="116"/>
        <v>43750</v>
      </c>
      <c r="G2378" s="252">
        <f t="shared" si="116"/>
        <v>50000</v>
      </c>
      <c r="H2378" s="252">
        <f t="shared" si="116"/>
        <v>56250</v>
      </c>
      <c r="I2378" s="252">
        <f t="shared" si="116"/>
        <v>62500</v>
      </c>
      <c r="J2378" s="252">
        <f t="shared" si="116"/>
        <v>67500</v>
      </c>
      <c r="K2378" s="252">
        <f t="shared" si="116"/>
        <v>72500</v>
      </c>
      <c r="L2378" s="252">
        <f t="shared" si="116"/>
        <v>77500</v>
      </c>
      <c r="M2378" s="252">
        <f t="shared" si="116"/>
        <v>82500</v>
      </c>
    </row>
    <row r="2379" spans="1:13" ht="21.95" customHeight="1" x14ac:dyDescent="0.25">
      <c r="A2379" s="36" t="s">
        <v>2904</v>
      </c>
      <c r="B2379" s="36" t="str">
        <f t="shared" si="115"/>
        <v>VA_BATH COUNTY, VA</v>
      </c>
      <c r="D2379" s="265" t="s">
        <v>60</v>
      </c>
      <c r="E2379" s="266" t="s">
        <v>5106</v>
      </c>
      <c r="F2379" s="252">
        <f t="shared" si="116"/>
        <v>48750</v>
      </c>
      <c r="G2379" s="252">
        <f t="shared" si="116"/>
        <v>55700</v>
      </c>
      <c r="H2379" s="252">
        <f t="shared" si="116"/>
        <v>62650</v>
      </c>
      <c r="I2379" s="252">
        <f t="shared" si="116"/>
        <v>69600</v>
      </c>
      <c r="J2379" s="252">
        <f t="shared" si="116"/>
        <v>75200</v>
      </c>
      <c r="K2379" s="252">
        <f t="shared" si="116"/>
        <v>80750</v>
      </c>
      <c r="L2379" s="252">
        <f t="shared" si="116"/>
        <v>86350</v>
      </c>
      <c r="M2379" s="252">
        <f t="shared" si="116"/>
        <v>91900</v>
      </c>
    </row>
    <row r="2380" spans="1:13" ht="21.95" customHeight="1" x14ac:dyDescent="0.25">
      <c r="A2380" s="36" t="s">
        <v>2904</v>
      </c>
      <c r="B2380" s="36" t="str">
        <f t="shared" si="115"/>
        <v>VA_BLACKSBURG-CHRISTIANSBURG-RADFORD, VA HUD METRO FMR AREA</v>
      </c>
      <c r="D2380" s="265" t="s">
        <v>60</v>
      </c>
      <c r="E2380" s="266" t="s">
        <v>5107</v>
      </c>
      <c r="F2380" s="252">
        <f t="shared" si="116"/>
        <v>61400</v>
      </c>
      <c r="G2380" s="252">
        <f t="shared" si="116"/>
        <v>70200</v>
      </c>
      <c r="H2380" s="252">
        <f t="shared" si="116"/>
        <v>78950</v>
      </c>
      <c r="I2380" s="252">
        <f t="shared" si="116"/>
        <v>87700</v>
      </c>
      <c r="J2380" s="252">
        <f t="shared" si="116"/>
        <v>94750</v>
      </c>
      <c r="K2380" s="252">
        <f t="shared" si="116"/>
        <v>101750</v>
      </c>
      <c r="L2380" s="252">
        <f t="shared" si="116"/>
        <v>108750</v>
      </c>
      <c r="M2380" s="252">
        <f t="shared" si="116"/>
        <v>115800</v>
      </c>
    </row>
    <row r="2381" spans="1:13" ht="21.95" customHeight="1" x14ac:dyDescent="0.25">
      <c r="A2381" s="36" t="s">
        <v>2904</v>
      </c>
      <c r="B2381" s="36" t="str">
        <f t="shared" si="115"/>
        <v>VA_BLAND COUNTY, VA</v>
      </c>
      <c r="D2381" s="265" t="s">
        <v>60</v>
      </c>
      <c r="E2381" s="266" t="s">
        <v>5108</v>
      </c>
      <c r="F2381" s="252">
        <f t="shared" si="116"/>
        <v>43750</v>
      </c>
      <c r="G2381" s="252">
        <f t="shared" si="116"/>
        <v>50000</v>
      </c>
      <c r="H2381" s="252">
        <f t="shared" si="116"/>
        <v>56250</v>
      </c>
      <c r="I2381" s="252">
        <f t="shared" si="116"/>
        <v>62500</v>
      </c>
      <c r="J2381" s="252">
        <f t="shared" si="116"/>
        <v>67500</v>
      </c>
      <c r="K2381" s="252">
        <f t="shared" si="116"/>
        <v>72500</v>
      </c>
      <c r="L2381" s="252">
        <f t="shared" si="116"/>
        <v>77500</v>
      </c>
      <c r="M2381" s="252">
        <f t="shared" si="116"/>
        <v>82500</v>
      </c>
    </row>
    <row r="2382" spans="1:13" ht="21.95" customHeight="1" x14ac:dyDescent="0.25">
      <c r="A2382" s="36" t="s">
        <v>2904</v>
      </c>
      <c r="B2382" s="36" t="str">
        <f t="shared" si="115"/>
        <v>VA_BRUNSWICK COUNTY, VA</v>
      </c>
      <c r="D2382" s="265" t="s">
        <v>60</v>
      </c>
      <c r="E2382" s="266" t="s">
        <v>5109</v>
      </c>
      <c r="F2382" s="252">
        <f t="shared" si="116"/>
        <v>43750</v>
      </c>
      <c r="G2382" s="252">
        <f t="shared" si="116"/>
        <v>50000</v>
      </c>
      <c r="H2382" s="252">
        <f t="shared" si="116"/>
        <v>56250</v>
      </c>
      <c r="I2382" s="252">
        <f t="shared" si="116"/>
        <v>62500</v>
      </c>
      <c r="J2382" s="252">
        <f t="shared" si="116"/>
        <v>67500</v>
      </c>
      <c r="K2382" s="252">
        <f t="shared" si="116"/>
        <v>72500</v>
      </c>
      <c r="L2382" s="252">
        <f t="shared" si="116"/>
        <v>77500</v>
      </c>
      <c r="M2382" s="252">
        <f t="shared" si="116"/>
        <v>82500</v>
      </c>
    </row>
    <row r="2383" spans="1:13" ht="21.95" customHeight="1" x14ac:dyDescent="0.25">
      <c r="A2383" s="36" t="s">
        <v>2904</v>
      </c>
      <c r="B2383" s="36" t="str">
        <f t="shared" si="115"/>
        <v>VA_BUCHANAN COUNTY, VA</v>
      </c>
      <c r="D2383" s="265" t="s">
        <v>60</v>
      </c>
      <c r="E2383" s="266" t="s">
        <v>5110</v>
      </c>
      <c r="F2383" s="252">
        <f t="shared" si="116"/>
        <v>43750</v>
      </c>
      <c r="G2383" s="252">
        <f t="shared" si="116"/>
        <v>50000</v>
      </c>
      <c r="H2383" s="252">
        <f t="shared" si="116"/>
        <v>56250</v>
      </c>
      <c r="I2383" s="252">
        <f t="shared" si="116"/>
        <v>62500</v>
      </c>
      <c r="J2383" s="252">
        <f t="shared" si="116"/>
        <v>67500</v>
      </c>
      <c r="K2383" s="252">
        <f t="shared" si="116"/>
        <v>72500</v>
      </c>
      <c r="L2383" s="252">
        <f t="shared" si="116"/>
        <v>77500</v>
      </c>
      <c r="M2383" s="252">
        <f t="shared" si="116"/>
        <v>82500</v>
      </c>
    </row>
    <row r="2384" spans="1:13" ht="21.95" customHeight="1" x14ac:dyDescent="0.25">
      <c r="A2384" s="36" t="s">
        <v>2904</v>
      </c>
      <c r="B2384" s="36" t="str">
        <f t="shared" si="115"/>
        <v>VA_BUCKINGHAM COUNTY, VA</v>
      </c>
      <c r="D2384" s="265" t="s">
        <v>60</v>
      </c>
      <c r="E2384" s="266" t="s">
        <v>5111</v>
      </c>
      <c r="F2384" s="252">
        <f t="shared" si="116"/>
        <v>47250</v>
      </c>
      <c r="G2384" s="252">
        <f t="shared" si="116"/>
        <v>54000</v>
      </c>
      <c r="H2384" s="252">
        <f t="shared" si="116"/>
        <v>60750</v>
      </c>
      <c r="I2384" s="252">
        <f t="shared" si="116"/>
        <v>67500</v>
      </c>
      <c r="J2384" s="252">
        <f t="shared" si="116"/>
        <v>72900</v>
      </c>
      <c r="K2384" s="252">
        <f t="shared" si="116"/>
        <v>78300</v>
      </c>
      <c r="L2384" s="252">
        <f t="shared" si="116"/>
        <v>83700</v>
      </c>
      <c r="M2384" s="252">
        <f t="shared" si="116"/>
        <v>89100</v>
      </c>
    </row>
    <row r="2385" spans="1:13" ht="21.95" customHeight="1" x14ac:dyDescent="0.25">
      <c r="A2385" s="36" t="s">
        <v>2904</v>
      </c>
      <c r="B2385" s="36" t="str">
        <f t="shared" si="115"/>
        <v>VA_CAROLINE COUNTY, VA</v>
      </c>
      <c r="D2385" s="265" t="s">
        <v>60</v>
      </c>
      <c r="E2385" s="266" t="s">
        <v>5112</v>
      </c>
      <c r="F2385" s="252">
        <f t="shared" si="116"/>
        <v>60600</v>
      </c>
      <c r="G2385" s="252">
        <f t="shared" si="116"/>
        <v>69250</v>
      </c>
      <c r="H2385" s="252">
        <f t="shared" si="116"/>
        <v>77900</v>
      </c>
      <c r="I2385" s="252">
        <f t="shared" si="116"/>
        <v>86550</v>
      </c>
      <c r="J2385" s="252">
        <f t="shared" si="116"/>
        <v>93500</v>
      </c>
      <c r="K2385" s="252">
        <f t="shared" si="116"/>
        <v>100400</v>
      </c>
      <c r="L2385" s="252">
        <f t="shared" si="116"/>
        <v>107350</v>
      </c>
      <c r="M2385" s="252">
        <f t="shared" si="116"/>
        <v>114250</v>
      </c>
    </row>
    <row r="2386" spans="1:13" ht="21.95" customHeight="1" x14ac:dyDescent="0.25">
      <c r="A2386" s="36" t="s">
        <v>2904</v>
      </c>
      <c r="B2386" s="36" t="str">
        <f t="shared" si="115"/>
        <v>VA_CARROLL COUNTY-GALAX CITY, VA HUD NONMETRO FMR AREA</v>
      </c>
      <c r="D2386" s="265" t="s">
        <v>60</v>
      </c>
      <c r="E2386" s="266" t="s">
        <v>5113</v>
      </c>
      <c r="F2386" s="252">
        <f t="shared" si="116"/>
        <v>43750</v>
      </c>
      <c r="G2386" s="252">
        <f t="shared" si="116"/>
        <v>50000</v>
      </c>
      <c r="H2386" s="252">
        <f t="shared" si="116"/>
        <v>56250</v>
      </c>
      <c r="I2386" s="252">
        <f t="shared" si="116"/>
        <v>62500</v>
      </c>
      <c r="J2386" s="252">
        <f t="shared" si="116"/>
        <v>67500</v>
      </c>
      <c r="K2386" s="252">
        <f t="shared" si="116"/>
        <v>72500</v>
      </c>
      <c r="L2386" s="252">
        <f t="shared" si="116"/>
        <v>77500</v>
      </c>
      <c r="M2386" s="252">
        <f t="shared" si="116"/>
        <v>82500</v>
      </c>
    </row>
    <row r="2387" spans="1:13" ht="21.95" customHeight="1" x14ac:dyDescent="0.25">
      <c r="A2387" s="36" t="s">
        <v>2904</v>
      </c>
      <c r="B2387" s="36" t="str">
        <f t="shared" si="115"/>
        <v>VA_CHARLOTTE COUNTY, VA</v>
      </c>
      <c r="D2387" s="265" t="s">
        <v>60</v>
      </c>
      <c r="E2387" s="266" t="s">
        <v>5114</v>
      </c>
      <c r="F2387" s="252">
        <f t="shared" si="116"/>
        <v>43750</v>
      </c>
      <c r="G2387" s="252">
        <f t="shared" si="116"/>
        <v>50000</v>
      </c>
      <c r="H2387" s="252">
        <f t="shared" si="116"/>
        <v>56250</v>
      </c>
      <c r="I2387" s="252">
        <f t="shared" si="116"/>
        <v>62500</v>
      </c>
      <c r="J2387" s="252">
        <f t="shared" si="116"/>
        <v>67500</v>
      </c>
      <c r="K2387" s="252">
        <f t="shared" si="116"/>
        <v>72500</v>
      </c>
      <c r="L2387" s="252">
        <f t="shared" si="116"/>
        <v>77500</v>
      </c>
      <c r="M2387" s="252">
        <f t="shared" si="116"/>
        <v>82500</v>
      </c>
    </row>
    <row r="2388" spans="1:13" ht="21.95" customHeight="1" x14ac:dyDescent="0.25">
      <c r="A2388" s="36" t="s">
        <v>2904</v>
      </c>
      <c r="B2388" s="36" t="str">
        <f t="shared" si="115"/>
        <v>VA_CHARLOTTESVILLE, VA MSA</v>
      </c>
      <c r="D2388" s="265" t="s">
        <v>60</v>
      </c>
      <c r="E2388" s="266" t="s">
        <v>5115</v>
      </c>
      <c r="F2388" s="252">
        <f t="shared" si="116"/>
        <v>70500</v>
      </c>
      <c r="G2388" s="252">
        <f t="shared" si="116"/>
        <v>80550</v>
      </c>
      <c r="H2388" s="252">
        <f t="shared" si="116"/>
        <v>90600</v>
      </c>
      <c r="I2388" s="252">
        <f t="shared" si="116"/>
        <v>100650</v>
      </c>
      <c r="J2388" s="252">
        <f t="shared" si="116"/>
        <v>108750</v>
      </c>
      <c r="K2388" s="252">
        <f t="shared" si="116"/>
        <v>116800</v>
      </c>
      <c r="L2388" s="252">
        <f t="shared" si="116"/>
        <v>124850</v>
      </c>
      <c r="M2388" s="252">
        <f t="shared" si="116"/>
        <v>132900</v>
      </c>
    </row>
    <row r="2389" spans="1:13" ht="21.95" customHeight="1" x14ac:dyDescent="0.25">
      <c r="A2389" s="36" t="s">
        <v>2904</v>
      </c>
      <c r="B2389" s="36" t="str">
        <f t="shared" si="115"/>
        <v>VA_CULPEPER COUNTY, VA HUD METRO FMR AREA</v>
      </c>
      <c r="D2389" s="265" t="s">
        <v>60</v>
      </c>
      <c r="E2389" s="266" t="s">
        <v>5116</v>
      </c>
      <c r="F2389" s="252">
        <f t="shared" si="116"/>
        <v>64500</v>
      </c>
      <c r="G2389" s="252">
        <f t="shared" si="116"/>
        <v>73700</v>
      </c>
      <c r="H2389" s="252">
        <f t="shared" si="116"/>
        <v>82900</v>
      </c>
      <c r="I2389" s="252">
        <f t="shared" si="116"/>
        <v>92100</v>
      </c>
      <c r="J2389" s="252">
        <f t="shared" si="116"/>
        <v>99500</v>
      </c>
      <c r="K2389" s="252">
        <f t="shared" si="116"/>
        <v>106850</v>
      </c>
      <c r="L2389" s="252">
        <f t="shared" si="116"/>
        <v>114250</v>
      </c>
      <c r="M2389" s="252">
        <f t="shared" si="116"/>
        <v>121600</v>
      </c>
    </row>
    <row r="2390" spans="1:13" ht="21.95" customHeight="1" x14ac:dyDescent="0.25">
      <c r="A2390" s="36" t="s">
        <v>2904</v>
      </c>
      <c r="B2390" s="36" t="str">
        <f t="shared" si="115"/>
        <v>VA_CUMBERLAND COUNTY, VA</v>
      </c>
      <c r="D2390" s="265" t="s">
        <v>60</v>
      </c>
      <c r="E2390" s="266" t="s">
        <v>5117</v>
      </c>
      <c r="F2390" s="252">
        <f t="shared" si="116"/>
        <v>43750</v>
      </c>
      <c r="G2390" s="252">
        <f t="shared" si="116"/>
        <v>50000</v>
      </c>
      <c r="H2390" s="252">
        <f t="shared" si="116"/>
        <v>56250</v>
      </c>
      <c r="I2390" s="252">
        <f t="shared" si="116"/>
        <v>62500</v>
      </c>
      <c r="J2390" s="252">
        <f t="shared" si="116"/>
        <v>67500</v>
      </c>
      <c r="K2390" s="252">
        <f t="shared" si="116"/>
        <v>72500</v>
      </c>
      <c r="L2390" s="252">
        <f t="shared" si="116"/>
        <v>77500</v>
      </c>
      <c r="M2390" s="252">
        <f t="shared" si="116"/>
        <v>82500</v>
      </c>
    </row>
    <row r="2391" spans="1:13" ht="21.95" customHeight="1" x14ac:dyDescent="0.25">
      <c r="A2391" s="36" t="s">
        <v>2904</v>
      </c>
      <c r="B2391" s="36" t="str">
        <f t="shared" si="115"/>
        <v>VA_DICKENSON COUNTY, VA</v>
      </c>
      <c r="D2391" s="265" t="s">
        <v>60</v>
      </c>
      <c r="E2391" s="266" t="s">
        <v>5118</v>
      </c>
      <c r="F2391" s="252">
        <f t="shared" si="116"/>
        <v>43750</v>
      </c>
      <c r="G2391" s="252">
        <f t="shared" si="116"/>
        <v>50000</v>
      </c>
      <c r="H2391" s="252">
        <f t="shared" si="116"/>
        <v>56250</v>
      </c>
      <c r="I2391" s="252">
        <f t="shared" si="116"/>
        <v>62500</v>
      </c>
      <c r="J2391" s="252">
        <f t="shared" si="116"/>
        <v>67500</v>
      </c>
      <c r="K2391" s="252">
        <f t="shared" si="116"/>
        <v>72500</v>
      </c>
      <c r="L2391" s="252">
        <f t="shared" si="116"/>
        <v>77500</v>
      </c>
      <c r="M2391" s="252">
        <f t="shared" si="116"/>
        <v>82500</v>
      </c>
    </row>
    <row r="2392" spans="1:13" ht="21.95" customHeight="1" x14ac:dyDescent="0.25">
      <c r="A2392" s="36" t="s">
        <v>2904</v>
      </c>
      <c r="B2392" s="36" t="str">
        <f t="shared" si="115"/>
        <v>VA_ESSEX COUNTY, VA</v>
      </c>
      <c r="D2392" s="265" t="s">
        <v>60</v>
      </c>
      <c r="E2392" s="266" t="s">
        <v>5119</v>
      </c>
      <c r="F2392" s="252">
        <f t="shared" si="116"/>
        <v>44200</v>
      </c>
      <c r="G2392" s="252">
        <f t="shared" si="116"/>
        <v>50500</v>
      </c>
      <c r="H2392" s="252">
        <f t="shared" si="116"/>
        <v>56800</v>
      </c>
      <c r="I2392" s="252">
        <f t="shared" si="116"/>
        <v>63100</v>
      </c>
      <c r="J2392" s="252">
        <f t="shared" si="116"/>
        <v>68150</v>
      </c>
      <c r="K2392" s="252">
        <f t="shared" si="116"/>
        <v>73200</v>
      </c>
      <c r="L2392" s="252">
        <f t="shared" si="116"/>
        <v>78250</v>
      </c>
      <c r="M2392" s="252">
        <f t="shared" si="116"/>
        <v>83300</v>
      </c>
    </row>
    <row r="2393" spans="1:13" ht="21.95" customHeight="1" x14ac:dyDescent="0.25">
      <c r="A2393" s="36" t="s">
        <v>2904</v>
      </c>
      <c r="B2393" s="36" t="str">
        <f t="shared" si="115"/>
        <v>VA_FLOYD COUNTY, VA HUD METRO FMR AREA</v>
      </c>
      <c r="D2393" s="265" t="s">
        <v>60</v>
      </c>
      <c r="E2393" s="266" t="s">
        <v>9276</v>
      </c>
      <c r="F2393" s="252">
        <f t="shared" si="116"/>
        <v>49400</v>
      </c>
      <c r="G2393" s="252">
        <f t="shared" si="116"/>
        <v>56450</v>
      </c>
      <c r="H2393" s="252">
        <f t="shared" si="116"/>
        <v>63500</v>
      </c>
      <c r="I2393" s="252">
        <f t="shared" si="116"/>
        <v>70550</v>
      </c>
      <c r="J2393" s="252">
        <f t="shared" si="116"/>
        <v>76200</v>
      </c>
      <c r="K2393" s="252">
        <f t="shared" si="116"/>
        <v>81850</v>
      </c>
      <c r="L2393" s="252">
        <f t="shared" si="116"/>
        <v>87500</v>
      </c>
      <c r="M2393" s="252">
        <f t="shared" si="116"/>
        <v>93150</v>
      </c>
    </row>
    <row r="2394" spans="1:13" ht="21.95" customHeight="1" x14ac:dyDescent="0.25">
      <c r="A2394" s="36" t="s">
        <v>2904</v>
      </c>
      <c r="B2394" s="36" t="str">
        <f t="shared" si="115"/>
        <v>VA_FRANKLIN COUNTY, VA HUD METRO FMR AREA</v>
      </c>
      <c r="D2394" s="265" t="s">
        <v>60</v>
      </c>
      <c r="E2394" s="266" t="s">
        <v>5120</v>
      </c>
      <c r="F2394" s="252">
        <f t="shared" si="116"/>
        <v>50900</v>
      </c>
      <c r="G2394" s="252">
        <f t="shared" si="116"/>
        <v>58150</v>
      </c>
      <c r="H2394" s="252">
        <f t="shared" si="116"/>
        <v>65400</v>
      </c>
      <c r="I2394" s="252">
        <f t="shared" si="116"/>
        <v>72650</v>
      </c>
      <c r="J2394" s="252">
        <f t="shared" si="116"/>
        <v>78500</v>
      </c>
      <c r="K2394" s="252">
        <f t="shared" si="116"/>
        <v>84300</v>
      </c>
      <c r="L2394" s="252">
        <f t="shared" si="116"/>
        <v>90100</v>
      </c>
      <c r="M2394" s="252">
        <f t="shared" si="116"/>
        <v>95900</v>
      </c>
    </row>
    <row r="2395" spans="1:13" ht="21.95" customHeight="1" x14ac:dyDescent="0.25">
      <c r="A2395" s="36" t="s">
        <v>2904</v>
      </c>
      <c r="B2395" s="36" t="str">
        <f t="shared" si="115"/>
        <v>VA_GILES COUNTY, VA HUD METRO FMR AREA</v>
      </c>
      <c r="D2395" s="265" t="s">
        <v>60</v>
      </c>
      <c r="E2395" s="266" t="s">
        <v>5121</v>
      </c>
      <c r="F2395" s="252">
        <f t="shared" si="116"/>
        <v>46100</v>
      </c>
      <c r="G2395" s="252">
        <f t="shared" si="116"/>
        <v>52700</v>
      </c>
      <c r="H2395" s="252">
        <f t="shared" si="116"/>
        <v>59300</v>
      </c>
      <c r="I2395" s="252">
        <f t="shared" si="116"/>
        <v>65850</v>
      </c>
      <c r="J2395" s="252">
        <f t="shared" si="116"/>
        <v>71150</v>
      </c>
      <c r="K2395" s="252">
        <f t="shared" si="116"/>
        <v>76400</v>
      </c>
      <c r="L2395" s="252">
        <f t="shared" si="116"/>
        <v>81700</v>
      </c>
      <c r="M2395" s="252">
        <f t="shared" si="116"/>
        <v>86950</v>
      </c>
    </row>
    <row r="2396" spans="1:13" ht="21.95" customHeight="1" x14ac:dyDescent="0.25">
      <c r="A2396" s="36" t="s">
        <v>2904</v>
      </c>
      <c r="B2396" s="36" t="str">
        <f t="shared" si="115"/>
        <v>VA_GRAYSON COUNTY, VA</v>
      </c>
      <c r="D2396" s="265" t="s">
        <v>60</v>
      </c>
      <c r="E2396" s="266" t="s">
        <v>5122</v>
      </c>
      <c r="F2396" s="252">
        <f t="shared" si="116"/>
        <v>43750</v>
      </c>
      <c r="G2396" s="252">
        <f t="shared" si="116"/>
        <v>50000</v>
      </c>
      <c r="H2396" s="252">
        <f t="shared" si="116"/>
        <v>56250</v>
      </c>
      <c r="I2396" s="252">
        <f t="shared" si="116"/>
        <v>62500</v>
      </c>
      <c r="J2396" s="252">
        <f t="shared" si="116"/>
        <v>67500</v>
      </c>
      <c r="K2396" s="252">
        <f t="shared" si="116"/>
        <v>72500</v>
      </c>
      <c r="L2396" s="252">
        <f t="shared" si="116"/>
        <v>77500</v>
      </c>
      <c r="M2396" s="252">
        <f t="shared" si="116"/>
        <v>82500</v>
      </c>
    </row>
    <row r="2397" spans="1:13" ht="21.95" customHeight="1" x14ac:dyDescent="0.25">
      <c r="A2397" s="36" t="s">
        <v>2904</v>
      </c>
      <c r="B2397" s="36" t="str">
        <f t="shared" si="115"/>
        <v>VA_GREENSVILLE COUNTY-EMPORIA CITY, VA HUD NONMETRO FMR AREA</v>
      </c>
      <c r="D2397" s="265" t="s">
        <v>60</v>
      </c>
      <c r="E2397" s="266" t="s">
        <v>5123</v>
      </c>
      <c r="F2397" s="252">
        <f t="shared" si="116"/>
        <v>43750</v>
      </c>
      <c r="G2397" s="252">
        <f t="shared" si="116"/>
        <v>50000</v>
      </c>
      <c r="H2397" s="252">
        <f t="shared" si="116"/>
        <v>56250</v>
      </c>
      <c r="I2397" s="252">
        <f t="shared" si="116"/>
        <v>62500</v>
      </c>
      <c r="J2397" s="252">
        <f t="shared" si="116"/>
        <v>67500</v>
      </c>
      <c r="K2397" s="252">
        <f t="shared" si="116"/>
        <v>72500</v>
      </c>
      <c r="L2397" s="252">
        <f t="shared" si="116"/>
        <v>77500</v>
      </c>
      <c r="M2397" s="252">
        <f t="shared" si="116"/>
        <v>82500</v>
      </c>
    </row>
    <row r="2398" spans="1:13" ht="21.95" customHeight="1" x14ac:dyDescent="0.25">
      <c r="A2398" s="36" t="s">
        <v>2904</v>
      </c>
      <c r="B2398" s="36" t="str">
        <f t="shared" si="115"/>
        <v>VA_HALIFAX COUNTY, VA</v>
      </c>
      <c r="D2398" s="265" t="s">
        <v>60</v>
      </c>
      <c r="E2398" s="266" t="s">
        <v>5124</v>
      </c>
      <c r="F2398" s="252">
        <f t="shared" si="116"/>
        <v>43750</v>
      </c>
      <c r="G2398" s="252">
        <f t="shared" si="116"/>
        <v>50000</v>
      </c>
      <c r="H2398" s="252">
        <f t="shared" si="116"/>
        <v>56250</v>
      </c>
      <c r="I2398" s="252">
        <f t="shared" si="116"/>
        <v>62500</v>
      </c>
      <c r="J2398" s="252">
        <f t="shared" si="116"/>
        <v>67500</v>
      </c>
      <c r="K2398" s="252">
        <f t="shared" si="116"/>
        <v>72500</v>
      </c>
      <c r="L2398" s="252">
        <f t="shared" si="116"/>
        <v>77500</v>
      </c>
      <c r="M2398" s="252">
        <f t="shared" si="116"/>
        <v>82500</v>
      </c>
    </row>
    <row r="2399" spans="1:13" ht="21.95" customHeight="1" x14ac:dyDescent="0.25">
      <c r="A2399" s="36" t="s">
        <v>2904</v>
      </c>
      <c r="B2399" s="36" t="str">
        <f t="shared" si="115"/>
        <v>VA_HARRISONBURG, VA MSA</v>
      </c>
      <c r="D2399" s="265" t="s">
        <v>60</v>
      </c>
      <c r="E2399" s="266" t="s">
        <v>5125</v>
      </c>
      <c r="F2399" s="252">
        <f t="shared" si="116"/>
        <v>54500</v>
      </c>
      <c r="G2399" s="252">
        <f t="shared" si="116"/>
        <v>62250</v>
      </c>
      <c r="H2399" s="252">
        <f t="shared" si="116"/>
        <v>70050</v>
      </c>
      <c r="I2399" s="252">
        <f t="shared" si="116"/>
        <v>77800</v>
      </c>
      <c r="J2399" s="252">
        <f t="shared" si="116"/>
        <v>84050</v>
      </c>
      <c r="K2399" s="252">
        <f t="shared" si="116"/>
        <v>90250</v>
      </c>
      <c r="L2399" s="252">
        <f t="shared" si="116"/>
        <v>96500</v>
      </c>
      <c r="M2399" s="252">
        <f t="shared" si="116"/>
        <v>102700</v>
      </c>
    </row>
    <row r="2400" spans="1:13" ht="21.95" customHeight="1" x14ac:dyDescent="0.25">
      <c r="A2400" s="36" t="s">
        <v>2904</v>
      </c>
      <c r="B2400" s="36" t="str">
        <f t="shared" si="115"/>
        <v>VA_HENRY COUNTY-MARTINSVILLE CITY, VA HUD NONMETRO FMR AREA</v>
      </c>
      <c r="D2400" s="265" t="s">
        <v>60</v>
      </c>
      <c r="E2400" s="266" t="s">
        <v>5126</v>
      </c>
      <c r="F2400" s="252">
        <f t="shared" si="116"/>
        <v>43750</v>
      </c>
      <c r="G2400" s="252">
        <f t="shared" si="116"/>
        <v>50000</v>
      </c>
      <c r="H2400" s="252">
        <f t="shared" si="116"/>
        <v>56250</v>
      </c>
      <c r="I2400" s="252">
        <f t="shared" si="116"/>
        <v>62500</v>
      </c>
      <c r="J2400" s="252">
        <f t="shared" si="116"/>
        <v>67500</v>
      </c>
      <c r="K2400" s="252">
        <f t="shared" si="116"/>
        <v>72500</v>
      </c>
      <c r="L2400" s="252">
        <f t="shared" si="116"/>
        <v>77500</v>
      </c>
      <c r="M2400" s="252">
        <f t="shared" ref="F2400:M2432" si="117">VLOOKUP($B2400,LOOKUP_AMI_TABLE,5+((M$7-1)),FALSE)</f>
        <v>82500</v>
      </c>
    </row>
    <row r="2401" spans="1:13" ht="21.95" customHeight="1" x14ac:dyDescent="0.25">
      <c r="A2401" s="36" t="s">
        <v>2904</v>
      </c>
      <c r="B2401" s="36" t="str">
        <f t="shared" si="115"/>
        <v>VA_HIGHLAND COUNTY, VA</v>
      </c>
      <c r="D2401" s="265" t="s">
        <v>60</v>
      </c>
      <c r="E2401" s="266" t="s">
        <v>5127</v>
      </c>
      <c r="F2401" s="252">
        <f t="shared" si="117"/>
        <v>44800</v>
      </c>
      <c r="G2401" s="252">
        <f t="shared" si="117"/>
        <v>51200</v>
      </c>
      <c r="H2401" s="252">
        <f t="shared" si="117"/>
        <v>57600</v>
      </c>
      <c r="I2401" s="252">
        <f t="shared" si="117"/>
        <v>64000</v>
      </c>
      <c r="J2401" s="252">
        <f t="shared" si="117"/>
        <v>69150</v>
      </c>
      <c r="K2401" s="252">
        <f t="shared" si="117"/>
        <v>74250</v>
      </c>
      <c r="L2401" s="252">
        <f t="shared" si="117"/>
        <v>79400</v>
      </c>
      <c r="M2401" s="252">
        <f t="shared" si="117"/>
        <v>84500</v>
      </c>
    </row>
    <row r="2402" spans="1:13" ht="21.95" customHeight="1" x14ac:dyDescent="0.25">
      <c r="A2402" s="36" t="s">
        <v>2904</v>
      </c>
      <c r="B2402" s="36" t="str">
        <f t="shared" si="115"/>
        <v>VA_KING AND QUEEN COUNTY, VA HUD METRO FMR AREA</v>
      </c>
      <c r="D2402" s="265" t="s">
        <v>60</v>
      </c>
      <c r="E2402" s="266" t="s">
        <v>5128</v>
      </c>
      <c r="F2402" s="252">
        <f t="shared" si="117"/>
        <v>50650</v>
      </c>
      <c r="G2402" s="252">
        <f t="shared" si="117"/>
        <v>57850</v>
      </c>
      <c r="H2402" s="252">
        <f t="shared" si="117"/>
        <v>65100</v>
      </c>
      <c r="I2402" s="252">
        <f t="shared" si="117"/>
        <v>72300</v>
      </c>
      <c r="J2402" s="252">
        <f t="shared" si="117"/>
        <v>78100</v>
      </c>
      <c r="K2402" s="252">
        <f t="shared" si="117"/>
        <v>83900</v>
      </c>
      <c r="L2402" s="252">
        <f t="shared" si="117"/>
        <v>89700</v>
      </c>
      <c r="M2402" s="252">
        <f t="shared" si="117"/>
        <v>95450</v>
      </c>
    </row>
    <row r="2403" spans="1:13" ht="21.95" customHeight="1" x14ac:dyDescent="0.25">
      <c r="A2403" s="36" t="s">
        <v>2904</v>
      </c>
      <c r="B2403" s="36" t="str">
        <f t="shared" si="115"/>
        <v>VA_KING GEORGE COUNTY, VA</v>
      </c>
      <c r="D2403" s="265" t="s">
        <v>60</v>
      </c>
      <c r="E2403" s="266" t="s">
        <v>5129</v>
      </c>
      <c r="F2403" s="252">
        <f t="shared" si="117"/>
        <v>72950</v>
      </c>
      <c r="G2403" s="252">
        <f t="shared" si="117"/>
        <v>83400</v>
      </c>
      <c r="H2403" s="252">
        <f t="shared" si="117"/>
        <v>93800</v>
      </c>
      <c r="I2403" s="252">
        <f t="shared" si="117"/>
        <v>104200</v>
      </c>
      <c r="J2403" s="252">
        <f t="shared" si="117"/>
        <v>112550</v>
      </c>
      <c r="K2403" s="252">
        <f t="shared" si="117"/>
        <v>120900</v>
      </c>
      <c r="L2403" s="252">
        <f t="shared" si="117"/>
        <v>129250</v>
      </c>
      <c r="M2403" s="252">
        <f t="shared" si="117"/>
        <v>137550</v>
      </c>
    </row>
    <row r="2404" spans="1:13" ht="21.95" customHeight="1" x14ac:dyDescent="0.25">
      <c r="A2404" s="36" t="s">
        <v>2904</v>
      </c>
      <c r="B2404" s="36" t="str">
        <f t="shared" si="115"/>
        <v>VA_KINGSPORT-BRISTOL, TN-VA MSA</v>
      </c>
      <c r="D2404" s="265" t="s">
        <v>60</v>
      </c>
      <c r="E2404" s="266" t="s">
        <v>9258</v>
      </c>
      <c r="F2404" s="252">
        <f t="shared" si="117"/>
        <v>42950</v>
      </c>
      <c r="G2404" s="252">
        <f t="shared" si="117"/>
        <v>49100</v>
      </c>
      <c r="H2404" s="252">
        <f t="shared" si="117"/>
        <v>55250</v>
      </c>
      <c r="I2404" s="252">
        <f t="shared" si="117"/>
        <v>61350</v>
      </c>
      <c r="J2404" s="252">
        <f t="shared" si="117"/>
        <v>66300</v>
      </c>
      <c r="K2404" s="252">
        <f t="shared" si="117"/>
        <v>71200</v>
      </c>
      <c r="L2404" s="252">
        <f t="shared" si="117"/>
        <v>76100</v>
      </c>
      <c r="M2404" s="252">
        <f t="shared" si="117"/>
        <v>81000</v>
      </c>
    </row>
    <row r="2405" spans="1:13" ht="21.95" customHeight="1" x14ac:dyDescent="0.25">
      <c r="A2405" s="36" t="s">
        <v>2904</v>
      </c>
      <c r="B2405" s="36" t="str">
        <f t="shared" si="115"/>
        <v>VA_LANCASTER COUNTY, VA</v>
      </c>
      <c r="D2405" s="265" t="s">
        <v>60</v>
      </c>
      <c r="E2405" s="266" t="s">
        <v>5130</v>
      </c>
      <c r="F2405" s="252">
        <f t="shared" si="117"/>
        <v>51000</v>
      </c>
      <c r="G2405" s="252">
        <f t="shared" si="117"/>
        <v>58250</v>
      </c>
      <c r="H2405" s="252">
        <f t="shared" si="117"/>
        <v>65550</v>
      </c>
      <c r="I2405" s="252">
        <f t="shared" si="117"/>
        <v>72800</v>
      </c>
      <c r="J2405" s="252">
        <f t="shared" si="117"/>
        <v>78650</v>
      </c>
      <c r="K2405" s="252">
        <f t="shared" si="117"/>
        <v>84450</v>
      </c>
      <c r="L2405" s="252">
        <f t="shared" si="117"/>
        <v>90300</v>
      </c>
      <c r="M2405" s="252">
        <f t="shared" si="117"/>
        <v>96100</v>
      </c>
    </row>
    <row r="2406" spans="1:13" ht="21.95" customHeight="1" x14ac:dyDescent="0.25">
      <c r="A2406" s="36" t="s">
        <v>2904</v>
      </c>
      <c r="B2406" s="36" t="str">
        <f t="shared" si="115"/>
        <v>VA_LEE COUNTY, VA</v>
      </c>
      <c r="D2406" s="265" t="s">
        <v>60</v>
      </c>
      <c r="E2406" s="266" t="s">
        <v>5131</v>
      </c>
      <c r="F2406" s="252">
        <f t="shared" si="117"/>
        <v>43750</v>
      </c>
      <c r="G2406" s="252">
        <f t="shared" si="117"/>
        <v>50000</v>
      </c>
      <c r="H2406" s="252">
        <f t="shared" si="117"/>
        <v>56250</v>
      </c>
      <c r="I2406" s="252">
        <f t="shared" si="117"/>
        <v>62500</v>
      </c>
      <c r="J2406" s="252">
        <f t="shared" si="117"/>
        <v>67500</v>
      </c>
      <c r="K2406" s="252">
        <f t="shared" si="117"/>
        <v>72500</v>
      </c>
      <c r="L2406" s="252">
        <f t="shared" si="117"/>
        <v>77500</v>
      </c>
      <c r="M2406" s="252">
        <f t="shared" si="117"/>
        <v>82500</v>
      </c>
    </row>
    <row r="2407" spans="1:13" ht="21.95" customHeight="1" x14ac:dyDescent="0.25">
      <c r="A2407" s="36" t="s">
        <v>2904</v>
      </c>
      <c r="B2407" s="36" t="str">
        <f t="shared" si="115"/>
        <v>VA_LOUISA COUNTY, VA</v>
      </c>
      <c r="D2407" s="265" t="s">
        <v>60</v>
      </c>
      <c r="E2407" s="266" t="s">
        <v>5132</v>
      </c>
      <c r="F2407" s="252">
        <f t="shared" si="117"/>
        <v>57750</v>
      </c>
      <c r="G2407" s="252">
        <f t="shared" si="117"/>
        <v>66000</v>
      </c>
      <c r="H2407" s="252">
        <f t="shared" si="117"/>
        <v>74250</v>
      </c>
      <c r="I2407" s="252">
        <f t="shared" si="117"/>
        <v>82450</v>
      </c>
      <c r="J2407" s="252">
        <f t="shared" si="117"/>
        <v>89050</v>
      </c>
      <c r="K2407" s="252">
        <f t="shared" si="117"/>
        <v>95650</v>
      </c>
      <c r="L2407" s="252">
        <f t="shared" si="117"/>
        <v>102250</v>
      </c>
      <c r="M2407" s="252">
        <f t="shared" si="117"/>
        <v>108850</v>
      </c>
    </row>
    <row r="2408" spans="1:13" ht="21.95" customHeight="1" x14ac:dyDescent="0.25">
      <c r="A2408" s="36" t="s">
        <v>2904</v>
      </c>
      <c r="B2408" s="36" t="str">
        <f t="shared" si="115"/>
        <v>VA_LUNENBURG COUNTY, VA</v>
      </c>
      <c r="D2408" s="265" t="s">
        <v>60</v>
      </c>
      <c r="E2408" s="266" t="s">
        <v>5133</v>
      </c>
      <c r="F2408" s="252">
        <f t="shared" si="117"/>
        <v>43750</v>
      </c>
      <c r="G2408" s="252">
        <f t="shared" si="117"/>
        <v>50000</v>
      </c>
      <c r="H2408" s="252">
        <f t="shared" si="117"/>
        <v>56250</v>
      </c>
      <c r="I2408" s="252">
        <f t="shared" si="117"/>
        <v>62500</v>
      </c>
      <c r="J2408" s="252">
        <f t="shared" si="117"/>
        <v>67500</v>
      </c>
      <c r="K2408" s="252">
        <f t="shared" si="117"/>
        <v>72500</v>
      </c>
      <c r="L2408" s="252">
        <f t="shared" si="117"/>
        <v>77500</v>
      </c>
      <c r="M2408" s="252">
        <f t="shared" si="117"/>
        <v>82500</v>
      </c>
    </row>
    <row r="2409" spans="1:13" ht="21.95" customHeight="1" x14ac:dyDescent="0.25">
      <c r="A2409" s="36" t="s">
        <v>2904</v>
      </c>
      <c r="B2409" s="36" t="str">
        <f t="shared" si="115"/>
        <v>VA_LYNCHBURG, VA MSA</v>
      </c>
      <c r="D2409" s="265" t="s">
        <v>60</v>
      </c>
      <c r="E2409" s="266" t="s">
        <v>5134</v>
      </c>
      <c r="F2409" s="252">
        <f t="shared" si="117"/>
        <v>49600</v>
      </c>
      <c r="G2409" s="252">
        <f t="shared" si="117"/>
        <v>56650</v>
      </c>
      <c r="H2409" s="252">
        <f t="shared" si="117"/>
        <v>63750</v>
      </c>
      <c r="I2409" s="252">
        <f t="shared" si="117"/>
        <v>70800</v>
      </c>
      <c r="J2409" s="252">
        <f t="shared" si="117"/>
        <v>76500</v>
      </c>
      <c r="K2409" s="252">
        <f t="shared" si="117"/>
        <v>82150</v>
      </c>
      <c r="L2409" s="252">
        <f t="shared" si="117"/>
        <v>87800</v>
      </c>
      <c r="M2409" s="252">
        <f t="shared" si="117"/>
        <v>93500</v>
      </c>
    </row>
    <row r="2410" spans="1:13" ht="21.95" customHeight="1" x14ac:dyDescent="0.25">
      <c r="A2410" s="36" t="s">
        <v>2904</v>
      </c>
      <c r="B2410" s="36" t="str">
        <f t="shared" si="115"/>
        <v>VA_MADISON COUNTY, VA</v>
      </c>
      <c r="D2410" s="265" t="s">
        <v>60</v>
      </c>
      <c r="E2410" s="266" t="s">
        <v>9278</v>
      </c>
      <c r="F2410" s="252">
        <f t="shared" si="117"/>
        <v>50450</v>
      </c>
      <c r="G2410" s="252">
        <f t="shared" si="117"/>
        <v>57650</v>
      </c>
      <c r="H2410" s="252">
        <f t="shared" si="117"/>
        <v>64850</v>
      </c>
      <c r="I2410" s="252">
        <f t="shared" si="117"/>
        <v>72050</v>
      </c>
      <c r="J2410" s="252">
        <f t="shared" si="117"/>
        <v>77850</v>
      </c>
      <c r="K2410" s="252">
        <f t="shared" si="117"/>
        <v>83600</v>
      </c>
      <c r="L2410" s="252">
        <f t="shared" si="117"/>
        <v>89350</v>
      </c>
      <c r="M2410" s="252">
        <f t="shared" si="117"/>
        <v>95150</v>
      </c>
    </row>
    <row r="2411" spans="1:13" ht="21.95" customHeight="1" x14ac:dyDescent="0.25">
      <c r="A2411" s="36" t="s">
        <v>2904</v>
      </c>
      <c r="B2411" s="36" t="str">
        <f t="shared" si="115"/>
        <v>VA_MECKLENBURG COUNTY, VA</v>
      </c>
      <c r="D2411" s="265" t="s">
        <v>60</v>
      </c>
      <c r="E2411" s="266" t="s">
        <v>5135</v>
      </c>
      <c r="F2411" s="252">
        <f t="shared" si="117"/>
        <v>44550</v>
      </c>
      <c r="G2411" s="252">
        <f t="shared" si="117"/>
        <v>50900</v>
      </c>
      <c r="H2411" s="252">
        <f t="shared" si="117"/>
        <v>57250</v>
      </c>
      <c r="I2411" s="252">
        <f t="shared" si="117"/>
        <v>63600</v>
      </c>
      <c r="J2411" s="252">
        <f t="shared" si="117"/>
        <v>68700</v>
      </c>
      <c r="K2411" s="252">
        <f t="shared" si="117"/>
        <v>73800</v>
      </c>
      <c r="L2411" s="252">
        <f t="shared" si="117"/>
        <v>78900</v>
      </c>
      <c r="M2411" s="252">
        <f t="shared" si="117"/>
        <v>84000</v>
      </c>
    </row>
    <row r="2412" spans="1:13" ht="21.95" customHeight="1" x14ac:dyDescent="0.25">
      <c r="A2412" s="36" t="s">
        <v>2904</v>
      </c>
      <c r="B2412" s="36" t="str">
        <f t="shared" si="115"/>
        <v>VA_MIDDLESEX COUNTY, VA</v>
      </c>
      <c r="D2412" s="265" t="s">
        <v>60</v>
      </c>
      <c r="E2412" s="266" t="s">
        <v>5136</v>
      </c>
      <c r="F2412" s="252">
        <f t="shared" si="117"/>
        <v>53550</v>
      </c>
      <c r="G2412" s="252">
        <f t="shared" si="117"/>
        <v>61200</v>
      </c>
      <c r="H2412" s="252">
        <f t="shared" si="117"/>
        <v>68850</v>
      </c>
      <c r="I2412" s="252">
        <f t="shared" si="117"/>
        <v>76500</v>
      </c>
      <c r="J2412" s="252">
        <f t="shared" si="117"/>
        <v>82650</v>
      </c>
      <c r="K2412" s="252">
        <f t="shared" si="117"/>
        <v>88750</v>
      </c>
      <c r="L2412" s="252">
        <f t="shared" si="117"/>
        <v>94900</v>
      </c>
      <c r="M2412" s="252">
        <f t="shared" si="117"/>
        <v>101000</v>
      </c>
    </row>
    <row r="2413" spans="1:13" ht="21.95" customHeight="1" x14ac:dyDescent="0.25">
      <c r="A2413" s="36" t="s">
        <v>2904</v>
      </c>
      <c r="B2413" s="36" t="str">
        <f t="shared" si="115"/>
        <v>VA_NORTHAMPTON COUNTY, VA</v>
      </c>
      <c r="D2413" s="265" t="s">
        <v>60</v>
      </c>
      <c r="E2413" s="266" t="s">
        <v>5137</v>
      </c>
      <c r="F2413" s="252">
        <f t="shared" si="117"/>
        <v>47850</v>
      </c>
      <c r="G2413" s="252">
        <f t="shared" si="117"/>
        <v>54650</v>
      </c>
      <c r="H2413" s="252">
        <f t="shared" si="117"/>
        <v>61500</v>
      </c>
      <c r="I2413" s="252">
        <f t="shared" si="117"/>
        <v>68300</v>
      </c>
      <c r="J2413" s="252">
        <f t="shared" si="117"/>
        <v>73800</v>
      </c>
      <c r="K2413" s="252">
        <f t="shared" si="117"/>
        <v>79250</v>
      </c>
      <c r="L2413" s="252">
        <f t="shared" si="117"/>
        <v>84700</v>
      </c>
      <c r="M2413" s="252">
        <f t="shared" si="117"/>
        <v>90200</v>
      </c>
    </row>
    <row r="2414" spans="1:13" ht="21.95" customHeight="1" x14ac:dyDescent="0.25">
      <c r="A2414" s="36" t="s">
        <v>2904</v>
      </c>
      <c r="B2414" s="36" t="str">
        <f t="shared" si="115"/>
        <v>VA_NORTHUMBERLAND COUNTY, VA</v>
      </c>
      <c r="D2414" s="265" t="s">
        <v>60</v>
      </c>
      <c r="E2414" s="266" t="s">
        <v>5138</v>
      </c>
      <c r="F2414" s="252">
        <f t="shared" si="117"/>
        <v>50700</v>
      </c>
      <c r="G2414" s="252">
        <f t="shared" si="117"/>
        <v>57950</v>
      </c>
      <c r="H2414" s="252">
        <f t="shared" si="117"/>
        <v>65200</v>
      </c>
      <c r="I2414" s="252">
        <f t="shared" si="117"/>
        <v>72400</v>
      </c>
      <c r="J2414" s="252">
        <f t="shared" si="117"/>
        <v>78200</v>
      </c>
      <c r="K2414" s="252">
        <f t="shared" si="117"/>
        <v>84000</v>
      </c>
      <c r="L2414" s="252">
        <f t="shared" si="117"/>
        <v>89800</v>
      </c>
      <c r="M2414" s="252">
        <f t="shared" si="117"/>
        <v>95600</v>
      </c>
    </row>
    <row r="2415" spans="1:13" ht="21.95" customHeight="1" x14ac:dyDescent="0.25">
      <c r="A2415" s="36" t="s">
        <v>2904</v>
      </c>
      <c r="B2415" s="36" t="str">
        <f t="shared" si="115"/>
        <v>VA_NOTTOWAY COUNTY, VA</v>
      </c>
      <c r="D2415" s="265" t="s">
        <v>60</v>
      </c>
      <c r="E2415" s="266" t="s">
        <v>5139</v>
      </c>
      <c r="F2415" s="252">
        <f t="shared" si="117"/>
        <v>47450</v>
      </c>
      <c r="G2415" s="252">
        <f t="shared" si="117"/>
        <v>54200</v>
      </c>
      <c r="H2415" s="252">
        <f t="shared" si="117"/>
        <v>61000</v>
      </c>
      <c r="I2415" s="252">
        <f t="shared" si="117"/>
        <v>67750</v>
      </c>
      <c r="J2415" s="252">
        <f t="shared" si="117"/>
        <v>73200</v>
      </c>
      <c r="K2415" s="252">
        <f t="shared" si="117"/>
        <v>78600</v>
      </c>
      <c r="L2415" s="252">
        <f t="shared" si="117"/>
        <v>84050</v>
      </c>
      <c r="M2415" s="252">
        <f t="shared" si="117"/>
        <v>89450</v>
      </c>
    </row>
    <row r="2416" spans="1:13" ht="21.95" customHeight="1" x14ac:dyDescent="0.25">
      <c r="A2416" s="36" t="s">
        <v>2904</v>
      </c>
      <c r="B2416" s="36" t="str">
        <f t="shared" si="115"/>
        <v>VA_ORANGE COUNTY, VA</v>
      </c>
      <c r="D2416" s="265" t="s">
        <v>60</v>
      </c>
      <c r="E2416" s="266" t="s">
        <v>5140</v>
      </c>
      <c r="F2416" s="252">
        <f t="shared" si="117"/>
        <v>65250</v>
      </c>
      <c r="G2416" s="252">
        <f t="shared" si="117"/>
        <v>74550</v>
      </c>
      <c r="H2416" s="252">
        <f t="shared" si="117"/>
        <v>83850</v>
      </c>
      <c r="I2416" s="252">
        <f t="shared" si="117"/>
        <v>93150</v>
      </c>
      <c r="J2416" s="252">
        <f t="shared" si="117"/>
        <v>100650</v>
      </c>
      <c r="K2416" s="252">
        <f t="shared" si="117"/>
        <v>108100</v>
      </c>
      <c r="L2416" s="252">
        <f t="shared" si="117"/>
        <v>115550</v>
      </c>
      <c r="M2416" s="252">
        <f t="shared" si="117"/>
        <v>123000</v>
      </c>
    </row>
    <row r="2417" spans="1:13" ht="21.95" customHeight="1" x14ac:dyDescent="0.25">
      <c r="A2417" s="36" t="s">
        <v>2904</v>
      </c>
      <c r="B2417" s="36" t="str">
        <f t="shared" si="115"/>
        <v>VA_PAGE COUNTY, VA</v>
      </c>
      <c r="D2417" s="265" t="s">
        <v>60</v>
      </c>
      <c r="E2417" s="266" t="s">
        <v>5141</v>
      </c>
      <c r="F2417" s="252">
        <f t="shared" si="117"/>
        <v>43900</v>
      </c>
      <c r="G2417" s="252">
        <f t="shared" si="117"/>
        <v>50200</v>
      </c>
      <c r="H2417" s="252">
        <f t="shared" si="117"/>
        <v>56450</v>
      </c>
      <c r="I2417" s="252">
        <f t="shared" si="117"/>
        <v>62700</v>
      </c>
      <c r="J2417" s="252">
        <f t="shared" si="117"/>
        <v>67750</v>
      </c>
      <c r="K2417" s="252">
        <f t="shared" si="117"/>
        <v>72750</v>
      </c>
      <c r="L2417" s="252">
        <f t="shared" si="117"/>
        <v>77750</v>
      </c>
      <c r="M2417" s="252">
        <f t="shared" si="117"/>
        <v>82800</v>
      </c>
    </row>
    <row r="2418" spans="1:13" ht="21.95" customHeight="1" x14ac:dyDescent="0.25">
      <c r="A2418" s="36" t="s">
        <v>2904</v>
      </c>
      <c r="B2418" s="36" t="str">
        <f t="shared" si="115"/>
        <v>VA_PATRICK COUNTY, VA</v>
      </c>
      <c r="D2418" s="265" t="s">
        <v>60</v>
      </c>
      <c r="E2418" s="266" t="s">
        <v>5142</v>
      </c>
      <c r="F2418" s="252">
        <f t="shared" si="117"/>
        <v>44100</v>
      </c>
      <c r="G2418" s="252">
        <f t="shared" si="117"/>
        <v>50400</v>
      </c>
      <c r="H2418" s="252">
        <f t="shared" si="117"/>
        <v>56700</v>
      </c>
      <c r="I2418" s="252">
        <f t="shared" si="117"/>
        <v>62950</v>
      </c>
      <c r="J2418" s="252">
        <f t="shared" si="117"/>
        <v>68000</v>
      </c>
      <c r="K2418" s="252">
        <f t="shared" si="117"/>
        <v>73050</v>
      </c>
      <c r="L2418" s="252">
        <f t="shared" si="117"/>
        <v>78100</v>
      </c>
      <c r="M2418" s="252">
        <f t="shared" si="117"/>
        <v>83100</v>
      </c>
    </row>
    <row r="2419" spans="1:13" ht="21.95" customHeight="1" x14ac:dyDescent="0.25">
      <c r="A2419" s="36" t="s">
        <v>2904</v>
      </c>
      <c r="B2419" s="36" t="str">
        <f t="shared" si="115"/>
        <v>VA_PITTSYLVANIA COUNTY-DANVILLE CITY, VA HUD NONMETRO FMR AREA</v>
      </c>
      <c r="D2419" s="265" t="s">
        <v>60</v>
      </c>
      <c r="E2419" s="266" t="s">
        <v>5143</v>
      </c>
      <c r="F2419" s="252">
        <f t="shared" si="117"/>
        <v>43750</v>
      </c>
      <c r="G2419" s="252">
        <f t="shared" si="117"/>
        <v>50000</v>
      </c>
      <c r="H2419" s="252">
        <f t="shared" si="117"/>
        <v>56250</v>
      </c>
      <c r="I2419" s="252">
        <f t="shared" si="117"/>
        <v>62500</v>
      </c>
      <c r="J2419" s="252">
        <f t="shared" si="117"/>
        <v>67500</v>
      </c>
      <c r="K2419" s="252">
        <f t="shared" si="117"/>
        <v>72500</v>
      </c>
      <c r="L2419" s="252">
        <f t="shared" si="117"/>
        <v>77500</v>
      </c>
      <c r="M2419" s="252">
        <f t="shared" si="117"/>
        <v>82500</v>
      </c>
    </row>
    <row r="2420" spans="1:13" ht="21.95" customHeight="1" x14ac:dyDescent="0.25">
      <c r="A2420" s="36" t="s">
        <v>2904</v>
      </c>
      <c r="B2420" s="36" t="str">
        <f t="shared" si="115"/>
        <v>VA_PRINCE EDWARD COUNTY, VA</v>
      </c>
      <c r="D2420" s="265" t="s">
        <v>60</v>
      </c>
      <c r="E2420" s="266" t="s">
        <v>5144</v>
      </c>
      <c r="F2420" s="252">
        <f t="shared" si="117"/>
        <v>46200</v>
      </c>
      <c r="G2420" s="252">
        <f t="shared" si="117"/>
        <v>52800</v>
      </c>
      <c r="H2420" s="252">
        <f t="shared" si="117"/>
        <v>59400</v>
      </c>
      <c r="I2420" s="252">
        <f t="shared" si="117"/>
        <v>66000</v>
      </c>
      <c r="J2420" s="252">
        <f t="shared" si="117"/>
        <v>71300</v>
      </c>
      <c r="K2420" s="252">
        <f t="shared" si="117"/>
        <v>76600</v>
      </c>
      <c r="L2420" s="252">
        <f t="shared" si="117"/>
        <v>81850</v>
      </c>
      <c r="M2420" s="252">
        <f t="shared" si="117"/>
        <v>87150</v>
      </c>
    </row>
    <row r="2421" spans="1:13" ht="21.95" customHeight="1" x14ac:dyDescent="0.25">
      <c r="A2421" s="36" t="s">
        <v>2904</v>
      </c>
      <c r="B2421" s="36" t="str">
        <f t="shared" si="115"/>
        <v>VA_PULASKI COUNTY, VA HUD METRO FMR AREA</v>
      </c>
      <c r="D2421" s="265" t="s">
        <v>60</v>
      </c>
      <c r="E2421" s="266" t="s">
        <v>5145</v>
      </c>
      <c r="F2421" s="252">
        <f t="shared" si="117"/>
        <v>48000</v>
      </c>
      <c r="G2421" s="252">
        <f t="shared" si="117"/>
        <v>54850</v>
      </c>
      <c r="H2421" s="252">
        <f t="shared" si="117"/>
        <v>61700</v>
      </c>
      <c r="I2421" s="252">
        <f t="shared" si="117"/>
        <v>68550</v>
      </c>
      <c r="J2421" s="252">
        <f t="shared" si="117"/>
        <v>74050</v>
      </c>
      <c r="K2421" s="252">
        <f t="shared" si="117"/>
        <v>79550</v>
      </c>
      <c r="L2421" s="252">
        <f t="shared" si="117"/>
        <v>85050</v>
      </c>
      <c r="M2421" s="252">
        <f t="shared" si="117"/>
        <v>90500</v>
      </c>
    </row>
    <row r="2422" spans="1:13" ht="21.95" customHeight="1" x14ac:dyDescent="0.25">
      <c r="A2422" s="36" t="s">
        <v>2904</v>
      </c>
      <c r="B2422" s="36" t="str">
        <f t="shared" si="115"/>
        <v>VA_RAPPAHANNOCK COUNTY, VA HUD METRO FMR AREA</v>
      </c>
      <c r="D2422" s="265" t="s">
        <v>60</v>
      </c>
      <c r="E2422" s="266" t="s">
        <v>5146</v>
      </c>
      <c r="F2422" s="252">
        <f t="shared" si="117"/>
        <v>60700</v>
      </c>
      <c r="G2422" s="252">
        <f t="shared" si="117"/>
        <v>69350</v>
      </c>
      <c r="H2422" s="252">
        <f t="shared" si="117"/>
        <v>78000</v>
      </c>
      <c r="I2422" s="252">
        <f t="shared" si="117"/>
        <v>86650</v>
      </c>
      <c r="J2422" s="252">
        <f t="shared" si="117"/>
        <v>93600</v>
      </c>
      <c r="K2422" s="252">
        <f t="shared" si="117"/>
        <v>100550</v>
      </c>
      <c r="L2422" s="252">
        <f t="shared" si="117"/>
        <v>107450</v>
      </c>
      <c r="M2422" s="252">
        <f t="shared" si="117"/>
        <v>114400</v>
      </c>
    </row>
    <row r="2423" spans="1:13" ht="21.95" customHeight="1" x14ac:dyDescent="0.25">
      <c r="A2423" s="36" t="s">
        <v>2904</v>
      </c>
      <c r="B2423" s="36" t="str">
        <f t="shared" si="115"/>
        <v>VA_RICHMOND COUNTY, VA</v>
      </c>
      <c r="D2423" s="265" t="s">
        <v>60</v>
      </c>
      <c r="E2423" s="266" t="s">
        <v>5147</v>
      </c>
      <c r="F2423" s="252">
        <f t="shared" si="117"/>
        <v>48100</v>
      </c>
      <c r="G2423" s="252">
        <f t="shared" si="117"/>
        <v>55000</v>
      </c>
      <c r="H2423" s="252">
        <f t="shared" si="117"/>
        <v>61850</v>
      </c>
      <c r="I2423" s="252">
        <f t="shared" si="117"/>
        <v>68700</v>
      </c>
      <c r="J2423" s="252">
        <f t="shared" si="117"/>
        <v>74200</v>
      </c>
      <c r="K2423" s="252">
        <f t="shared" si="117"/>
        <v>79700</v>
      </c>
      <c r="L2423" s="252">
        <f t="shared" si="117"/>
        <v>85200</v>
      </c>
      <c r="M2423" s="252">
        <f t="shared" si="117"/>
        <v>90700</v>
      </c>
    </row>
    <row r="2424" spans="1:13" ht="21.95" customHeight="1" x14ac:dyDescent="0.25">
      <c r="A2424" s="36" t="s">
        <v>2904</v>
      </c>
      <c r="B2424" s="36" t="str">
        <f t="shared" si="115"/>
        <v>VA_RICHMOND, VA HUD METRO FMR AREA</v>
      </c>
      <c r="D2424" s="265" t="s">
        <v>60</v>
      </c>
      <c r="E2424" s="266" t="s">
        <v>9274</v>
      </c>
      <c r="F2424" s="252">
        <f t="shared" si="117"/>
        <v>63600</v>
      </c>
      <c r="G2424" s="252">
        <f t="shared" si="117"/>
        <v>72650</v>
      </c>
      <c r="H2424" s="252">
        <f t="shared" si="117"/>
        <v>81750</v>
      </c>
      <c r="I2424" s="252">
        <f t="shared" si="117"/>
        <v>90800</v>
      </c>
      <c r="J2424" s="252">
        <f t="shared" si="117"/>
        <v>98100</v>
      </c>
      <c r="K2424" s="252">
        <f t="shared" si="117"/>
        <v>105350</v>
      </c>
      <c r="L2424" s="252">
        <f t="shared" si="117"/>
        <v>112600</v>
      </c>
      <c r="M2424" s="252">
        <f t="shared" si="117"/>
        <v>119900</v>
      </c>
    </row>
    <row r="2425" spans="1:13" ht="21.95" customHeight="1" x14ac:dyDescent="0.25">
      <c r="A2425" s="36" t="s">
        <v>2904</v>
      </c>
      <c r="B2425" s="36" t="str">
        <f t="shared" si="115"/>
        <v>VA_ROANOKE, VA HUD METRO FMR AREA</v>
      </c>
      <c r="D2425" s="265" t="s">
        <v>60</v>
      </c>
      <c r="E2425" s="266" t="s">
        <v>5148</v>
      </c>
      <c r="F2425" s="252">
        <f t="shared" si="117"/>
        <v>50750</v>
      </c>
      <c r="G2425" s="252">
        <f t="shared" si="117"/>
        <v>58000</v>
      </c>
      <c r="H2425" s="252">
        <f t="shared" si="117"/>
        <v>65250</v>
      </c>
      <c r="I2425" s="252">
        <f t="shared" si="117"/>
        <v>72500</v>
      </c>
      <c r="J2425" s="252">
        <f t="shared" si="117"/>
        <v>78300</v>
      </c>
      <c r="K2425" s="252">
        <f t="shared" si="117"/>
        <v>84100</v>
      </c>
      <c r="L2425" s="252">
        <f t="shared" si="117"/>
        <v>89900</v>
      </c>
      <c r="M2425" s="252">
        <f t="shared" si="117"/>
        <v>95700</v>
      </c>
    </row>
    <row r="2426" spans="1:13" ht="21.95" customHeight="1" x14ac:dyDescent="0.25">
      <c r="A2426" s="36" t="s">
        <v>2904</v>
      </c>
      <c r="B2426" s="36" t="str">
        <f t="shared" si="115"/>
        <v>VA_ROCKBRIDGE COUNTY-BUENA VISTA CITY-LEXINGTON CITY, VA HUD NONMETR</v>
      </c>
      <c r="D2426" s="265" t="s">
        <v>60</v>
      </c>
      <c r="E2426" s="266" t="s">
        <v>5149</v>
      </c>
      <c r="F2426" s="252">
        <f t="shared" si="117"/>
        <v>47750</v>
      </c>
      <c r="G2426" s="252">
        <f t="shared" si="117"/>
        <v>54550</v>
      </c>
      <c r="H2426" s="252">
        <f t="shared" si="117"/>
        <v>61350</v>
      </c>
      <c r="I2426" s="252">
        <f t="shared" si="117"/>
        <v>68150</v>
      </c>
      <c r="J2426" s="252">
        <f t="shared" si="117"/>
        <v>73650</v>
      </c>
      <c r="K2426" s="252">
        <f t="shared" si="117"/>
        <v>79100</v>
      </c>
      <c r="L2426" s="252">
        <f t="shared" si="117"/>
        <v>84550</v>
      </c>
      <c r="M2426" s="252">
        <f t="shared" si="117"/>
        <v>90000</v>
      </c>
    </row>
    <row r="2427" spans="1:13" ht="21.95" customHeight="1" x14ac:dyDescent="0.25">
      <c r="A2427" s="36" t="s">
        <v>2904</v>
      </c>
      <c r="B2427" s="36" t="str">
        <f t="shared" si="115"/>
        <v>VA_RUSSELL COUNTY, VA</v>
      </c>
      <c r="D2427" s="265" t="s">
        <v>60</v>
      </c>
      <c r="E2427" s="266" t="s">
        <v>5150</v>
      </c>
      <c r="F2427" s="252">
        <f t="shared" si="117"/>
        <v>43750</v>
      </c>
      <c r="G2427" s="252">
        <f t="shared" si="117"/>
        <v>50000</v>
      </c>
      <c r="H2427" s="252">
        <f t="shared" si="117"/>
        <v>56250</v>
      </c>
      <c r="I2427" s="252">
        <f t="shared" si="117"/>
        <v>62500</v>
      </c>
      <c r="J2427" s="252">
        <f t="shared" si="117"/>
        <v>67500</v>
      </c>
      <c r="K2427" s="252">
        <f t="shared" si="117"/>
        <v>72500</v>
      </c>
      <c r="L2427" s="252">
        <f t="shared" si="117"/>
        <v>77500</v>
      </c>
      <c r="M2427" s="252">
        <f t="shared" si="117"/>
        <v>82500</v>
      </c>
    </row>
    <row r="2428" spans="1:13" ht="21.95" customHeight="1" x14ac:dyDescent="0.25">
      <c r="A2428" s="36" t="s">
        <v>2904</v>
      </c>
      <c r="B2428" s="36" t="str">
        <f t="shared" ref="B2428:B2491" si="118">UPPER(TRIM(D2428)&amp;"_"&amp;TRIM(E2428))</f>
        <v>VA_SHENANDOAH COUNTY, VA</v>
      </c>
      <c r="D2428" s="265" t="s">
        <v>60</v>
      </c>
      <c r="E2428" s="266" t="s">
        <v>5151</v>
      </c>
      <c r="F2428" s="252">
        <f t="shared" si="117"/>
        <v>49000</v>
      </c>
      <c r="G2428" s="252">
        <f t="shared" si="117"/>
        <v>56000</v>
      </c>
      <c r="H2428" s="252">
        <f t="shared" si="117"/>
        <v>63000</v>
      </c>
      <c r="I2428" s="252">
        <f t="shared" si="117"/>
        <v>70000</v>
      </c>
      <c r="J2428" s="252">
        <f t="shared" si="117"/>
        <v>75600</v>
      </c>
      <c r="K2428" s="252">
        <f t="shared" si="117"/>
        <v>81200</v>
      </c>
      <c r="L2428" s="252">
        <f t="shared" si="117"/>
        <v>86800</v>
      </c>
      <c r="M2428" s="252">
        <f t="shared" si="117"/>
        <v>92400</v>
      </c>
    </row>
    <row r="2429" spans="1:13" ht="21.95" customHeight="1" x14ac:dyDescent="0.25">
      <c r="A2429" s="36" t="s">
        <v>2904</v>
      </c>
      <c r="B2429" s="36" t="str">
        <f t="shared" si="118"/>
        <v>VA_SMYTH COUNTY, VA</v>
      </c>
      <c r="D2429" s="265" t="s">
        <v>60</v>
      </c>
      <c r="E2429" s="266" t="s">
        <v>5152</v>
      </c>
      <c r="F2429" s="252">
        <f t="shared" si="117"/>
        <v>43750</v>
      </c>
      <c r="G2429" s="252">
        <f t="shared" si="117"/>
        <v>50000</v>
      </c>
      <c r="H2429" s="252">
        <f t="shared" si="117"/>
        <v>56250</v>
      </c>
      <c r="I2429" s="252">
        <f t="shared" si="117"/>
        <v>62500</v>
      </c>
      <c r="J2429" s="252">
        <f t="shared" si="117"/>
        <v>67500</v>
      </c>
      <c r="K2429" s="252">
        <f t="shared" si="117"/>
        <v>72500</v>
      </c>
      <c r="L2429" s="252">
        <f t="shared" si="117"/>
        <v>77500</v>
      </c>
      <c r="M2429" s="252">
        <f t="shared" si="117"/>
        <v>82500</v>
      </c>
    </row>
    <row r="2430" spans="1:13" ht="21.95" customHeight="1" x14ac:dyDescent="0.25">
      <c r="A2430" s="36" t="s">
        <v>2904</v>
      </c>
      <c r="B2430" s="36" t="str">
        <f t="shared" si="118"/>
        <v>VA_SOUTHAMPTON COUNTY-FRANKLIN CITY, VA HUD NONMETRO FMR AREA</v>
      </c>
      <c r="D2430" s="265" t="s">
        <v>60</v>
      </c>
      <c r="E2430" s="266" t="s">
        <v>9277</v>
      </c>
      <c r="F2430" s="252">
        <f t="shared" si="117"/>
        <v>52500</v>
      </c>
      <c r="G2430" s="252">
        <f t="shared" si="117"/>
        <v>60000</v>
      </c>
      <c r="H2430" s="252">
        <f t="shared" si="117"/>
        <v>67500</v>
      </c>
      <c r="I2430" s="252">
        <f t="shared" si="117"/>
        <v>75000</v>
      </c>
      <c r="J2430" s="252">
        <f t="shared" si="117"/>
        <v>81000</v>
      </c>
      <c r="K2430" s="252">
        <f t="shared" si="117"/>
        <v>87000</v>
      </c>
      <c r="L2430" s="252">
        <f t="shared" si="117"/>
        <v>93000</v>
      </c>
      <c r="M2430" s="252">
        <f t="shared" si="117"/>
        <v>99000</v>
      </c>
    </row>
    <row r="2431" spans="1:13" ht="21.95" customHeight="1" x14ac:dyDescent="0.25">
      <c r="A2431" s="36" t="s">
        <v>2904</v>
      </c>
      <c r="B2431" s="36" t="str">
        <f t="shared" si="118"/>
        <v>VA_STAUNTON-STUARTS DRAFT, VA MSA</v>
      </c>
      <c r="D2431" s="265" t="s">
        <v>60</v>
      </c>
      <c r="E2431" s="266" t="s">
        <v>9275</v>
      </c>
      <c r="F2431" s="252">
        <f t="shared" si="117"/>
        <v>52850</v>
      </c>
      <c r="G2431" s="252">
        <f t="shared" si="117"/>
        <v>60400</v>
      </c>
      <c r="H2431" s="252">
        <f t="shared" si="117"/>
        <v>67950</v>
      </c>
      <c r="I2431" s="252">
        <f t="shared" si="117"/>
        <v>75500</v>
      </c>
      <c r="J2431" s="252">
        <f t="shared" si="117"/>
        <v>81550</v>
      </c>
      <c r="K2431" s="252">
        <f t="shared" si="117"/>
        <v>87600</v>
      </c>
      <c r="L2431" s="252">
        <f t="shared" si="117"/>
        <v>93650</v>
      </c>
      <c r="M2431" s="252">
        <f t="shared" si="117"/>
        <v>99700</v>
      </c>
    </row>
    <row r="2432" spans="1:13" ht="21.95" customHeight="1" x14ac:dyDescent="0.25">
      <c r="A2432" s="36" t="s">
        <v>2904</v>
      </c>
      <c r="B2432" s="36" t="str">
        <f t="shared" si="118"/>
        <v>VA_SURRY COUNTY, VA HUD METRO FMR AREA</v>
      </c>
      <c r="D2432" s="265" t="s">
        <v>60</v>
      </c>
      <c r="E2432" s="266" t="s">
        <v>9279</v>
      </c>
      <c r="F2432" s="252">
        <f t="shared" si="117"/>
        <v>53950</v>
      </c>
      <c r="G2432" s="252">
        <f t="shared" si="117"/>
        <v>61650</v>
      </c>
      <c r="H2432" s="252">
        <f t="shared" si="117"/>
        <v>69350</v>
      </c>
      <c r="I2432" s="252">
        <f t="shared" si="117"/>
        <v>77050</v>
      </c>
      <c r="J2432" s="252">
        <f t="shared" si="117"/>
        <v>83250</v>
      </c>
      <c r="K2432" s="252">
        <f t="shared" si="117"/>
        <v>89400</v>
      </c>
      <c r="L2432" s="252">
        <f t="shared" ref="F2432:M2464" si="119">VLOOKUP($B2432,LOOKUP_AMI_TABLE,5+((L$7-1)),FALSE)</f>
        <v>95550</v>
      </c>
      <c r="M2432" s="252">
        <f t="shared" si="119"/>
        <v>101750</v>
      </c>
    </row>
    <row r="2433" spans="1:13" ht="21.95" customHeight="1" x14ac:dyDescent="0.25">
      <c r="A2433" s="36" t="s">
        <v>2904</v>
      </c>
      <c r="B2433" s="36" t="str">
        <f t="shared" si="118"/>
        <v>VA_TAZEWELL COUNTY, VA</v>
      </c>
      <c r="D2433" s="265" t="s">
        <v>60</v>
      </c>
      <c r="E2433" s="266" t="s">
        <v>5153</v>
      </c>
      <c r="F2433" s="252">
        <f t="shared" si="119"/>
        <v>43750</v>
      </c>
      <c r="G2433" s="252">
        <f t="shared" si="119"/>
        <v>50000</v>
      </c>
      <c r="H2433" s="252">
        <f t="shared" si="119"/>
        <v>56250</v>
      </c>
      <c r="I2433" s="252">
        <f t="shared" si="119"/>
        <v>62500</v>
      </c>
      <c r="J2433" s="252">
        <f t="shared" si="119"/>
        <v>67500</v>
      </c>
      <c r="K2433" s="252">
        <f t="shared" si="119"/>
        <v>72500</v>
      </c>
      <c r="L2433" s="252">
        <f t="shared" si="119"/>
        <v>77500</v>
      </c>
      <c r="M2433" s="252">
        <f t="shared" si="119"/>
        <v>82500</v>
      </c>
    </row>
    <row r="2434" spans="1:13" ht="21.95" customHeight="1" x14ac:dyDescent="0.25">
      <c r="A2434" s="36" t="s">
        <v>2904</v>
      </c>
      <c r="B2434" s="36" t="str">
        <f t="shared" si="118"/>
        <v>VA_VIRGINIA BEACH-NORFOLK-NEWPORT NEWS, VA-NC HUD METRO FMR AREA</v>
      </c>
      <c r="D2434" s="265" t="s">
        <v>60</v>
      </c>
      <c r="E2434" s="266" t="s">
        <v>4320</v>
      </c>
      <c r="F2434" s="252">
        <f t="shared" si="119"/>
        <v>59650</v>
      </c>
      <c r="G2434" s="252">
        <f t="shared" si="119"/>
        <v>68200</v>
      </c>
      <c r="H2434" s="252">
        <f t="shared" si="119"/>
        <v>76700</v>
      </c>
      <c r="I2434" s="252">
        <f t="shared" si="119"/>
        <v>85200</v>
      </c>
      <c r="J2434" s="252">
        <f t="shared" si="119"/>
        <v>92050</v>
      </c>
      <c r="K2434" s="252">
        <f t="shared" si="119"/>
        <v>98850</v>
      </c>
      <c r="L2434" s="252">
        <f t="shared" si="119"/>
        <v>105650</v>
      </c>
      <c r="M2434" s="252">
        <f t="shared" si="119"/>
        <v>112500</v>
      </c>
    </row>
    <row r="2435" spans="1:13" ht="21.95" customHeight="1" x14ac:dyDescent="0.25">
      <c r="A2435" s="36" t="s">
        <v>2904</v>
      </c>
      <c r="B2435" s="36" t="str">
        <f t="shared" si="118"/>
        <v>VA_WARREN COUNTY, VA HUD METRO FMR AREA</v>
      </c>
      <c r="D2435" s="265" t="s">
        <v>60</v>
      </c>
      <c r="E2435" s="266" t="s">
        <v>5154</v>
      </c>
      <c r="F2435" s="252">
        <f t="shared" si="119"/>
        <v>58200</v>
      </c>
      <c r="G2435" s="252">
        <f t="shared" si="119"/>
        <v>66500</v>
      </c>
      <c r="H2435" s="252">
        <f t="shared" si="119"/>
        <v>74800</v>
      </c>
      <c r="I2435" s="252">
        <f t="shared" si="119"/>
        <v>83100</v>
      </c>
      <c r="J2435" s="252">
        <f t="shared" si="119"/>
        <v>89750</v>
      </c>
      <c r="K2435" s="252">
        <f t="shared" si="119"/>
        <v>96400</v>
      </c>
      <c r="L2435" s="252">
        <f t="shared" si="119"/>
        <v>103050</v>
      </c>
      <c r="M2435" s="252">
        <f t="shared" si="119"/>
        <v>109700</v>
      </c>
    </row>
    <row r="2436" spans="1:13" ht="21.95" customHeight="1" x14ac:dyDescent="0.25">
      <c r="A2436" s="36" t="s">
        <v>2904</v>
      </c>
      <c r="B2436" s="36" t="str">
        <f t="shared" si="118"/>
        <v>VA_WASHINGTON-ARLINGTON-ALEXANDRIA, DC-VA-MD HUD METRO FMR AREA</v>
      </c>
      <c r="D2436" s="265" t="s">
        <v>60</v>
      </c>
      <c r="E2436" s="266" t="s">
        <v>3210</v>
      </c>
      <c r="F2436" s="252">
        <f t="shared" si="119"/>
        <v>74800</v>
      </c>
      <c r="G2436" s="252">
        <f t="shared" si="119"/>
        <v>85450</v>
      </c>
      <c r="H2436" s="252">
        <f t="shared" si="119"/>
        <v>96150</v>
      </c>
      <c r="I2436" s="252">
        <f t="shared" si="119"/>
        <v>106800</v>
      </c>
      <c r="J2436" s="252">
        <f t="shared" si="119"/>
        <v>115350</v>
      </c>
      <c r="K2436" s="252">
        <f t="shared" si="119"/>
        <v>123900</v>
      </c>
      <c r="L2436" s="252">
        <f t="shared" si="119"/>
        <v>132450</v>
      </c>
      <c r="M2436" s="252">
        <f t="shared" si="119"/>
        <v>141000</v>
      </c>
    </row>
    <row r="2437" spans="1:13" ht="21.95" customHeight="1" x14ac:dyDescent="0.25">
      <c r="A2437" s="36" t="s">
        <v>2904</v>
      </c>
      <c r="B2437" s="36" t="str">
        <f t="shared" si="118"/>
        <v>VA_WESTMORELAND COUNTY, VA</v>
      </c>
      <c r="D2437" s="265" t="s">
        <v>60</v>
      </c>
      <c r="E2437" s="266" t="s">
        <v>5155</v>
      </c>
      <c r="F2437" s="252">
        <f t="shared" si="119"/>
        <v>50600</v>
      </c>
      <c r="G2437" s="252">
        <f t="shared" si="119"/>
        <v>57800</v>
      </c>
      <c r="H2437" s="252">
        <f t="shared" si="119"/>
        <v>65050</v>
      </c>
      <c r="I2437" s="252">
        <f t="shared" si="119"/>
        <v>72250</v>
      </c>
      <c r="J2437" s="252">
        <f t="shared" si="119"/>
        <v>78050</v>
      </c>
      <c r="K2437" s="252">
        <f t="shared" si="119"/>
        <v>83850</v>
      </c>
      <c r="L2437" s="252">
        <f t="shared" si="119"/>
        <v>89600</v>
      </c>
      <c r="M2437" s="252">
        <f t="shared" si="119"/>
        <v>95400</v>
      </c>
    </row>
    <row r="2438" spans="1:13" ht="21.95" customHeight="1" x14ac:dyDescent="0.25">
      <c r="A2438" s="36" t="s">
        <v>2904</v>
      </c>
      <c r="B2438" s="36" t="str">
        <f t="shared" si="118"/>
        <v>VA_WINCHESTER, VA-WV MSA</v>
      </c>
      <c r="D2438" s="265" t="s">
        <v>60</v>
      </c>
      <c r="E2438" s="266" t="s">
        <v>5156</v>
      </c>
      <c r="F2438" s="252">
        <f t="shared" si="119"/>
        <v>63350</v>
      </c>
      <c r="G2438" s="252">
        <f t="shared" si="119"/>
        <v>72400</v>
      </c>
      <c r="H2438" s="252">
        <f t="shared" si="119"/>
        <v>81450</v>
      </c>
      <c r="I2438" s="252">
        <f t="shared" si="119"/>
        <v>90500</v>
      </c>
      <c r="J2438" s="252">
        <f t="shared" si="119"/>
        <v>97750</v>
      </c>
      <c r="K2438" s="252">
        <f t="shared" si="119"/>
        <v>105000</v>
      </c>
      <c r="L2438" s="252">
        <f t="shared" si="119"/>
        <v>112250</v>
      </c>
      <c r="M2438" s="252">
        <f t="shared" si="119"/>
        <v>119500</v>
      </c>
    </row>
    <row r="2439" spans="1:13" ht="21.95" customHeight="1" x14ac:dyDescent="0.25">
      <c r="A2439" s="36" t="s">
        <v>2904</v>
      </c>
      <c r="B2439" s="36" t="str">
        <f t="shared" si="118"/>
        <v>VA_WISE COUNTY-NORTON CITY, VA HUD NONMETRO FMR AREA</v>
      </c>
      <c r="D2439" s="265" t="s">
        <v>60</v>
      </c>
      <c r="E2439" s="266" t="s">
        <v>5157</v>
      </c>
      <c r="F2439" s="252">
        <f t="shared" si="119"/>
        <v>43750</v>
      </c>
      <c r="G2439" s="252">
        <f t="shared" si="119"/>
        <v>50000</v>
      </c>
      <c r="H2439" s="252">
        <f t="shared" si="119"/>
        <v>56250</v>
      </c>
      <c r="I2439" s="252">
        <f t="shared" si="119"/>
        <v>62500</v>
      </c>
      <c r="J2439" s="252">
        <f t="shared" si="119"/>
        <v>67500</v>
      </c>
      <c r="K2439" s="252">
        <f t="shared" si="119"/>
        <v>72500</v>
      </c>
      <c r="L2439" s="252">
        <f t="shared" si="119"/>
        <v>77500</v>
      </c>
      <c r="M2439" s="252">
        <f t="shared" si="119"/>
        <v>82500</v>
      </c>
    </row>
    <row r="2440" spans="1:13" ht="21.95" customHeight="1" x14ac:dyDescent="0.25">
      <c r="A2440" s="36" t="s">
        <v>2904</v>
      </c>
      <c r="B2440" s="36" t="str">
        <f t="shared" si="118"/>
        <v>VA_WYTHE COUNTY, VA</v>
      </c>
      <c r="D2440" s="265" t="s">
        <v>60</v>
      </c>
      <c r="E2440" s="266" t="s">
        <v>5158</v>
      </c>
      <c r="F2440" s="252">
        <f t="shared" si="119"/>
        <v>46950</v>
      </c>
      <c r="G2440" s="252">
        <f t="shared" si="119"/>
        <v>53650</v>
      </c>
      <c r="H2440" s="252">
        <f t="shared" si="119"/>
        <v>60350</v>
      </c>
      <c r="I2440" s="252">
        <f t="shared" si="119"/>
        <v>67050</v>
      </c>
      <c r="J2440" s="252">
        <f t="shared" si="119"/>
        <v>72450</v>
      </c>
      <c r="K2440" s="252">
        <f t="shared" si="119"/>
        <v>77800</v>
      </c>
      <c r="L2440" s="252">
        <f t="shared" si="119"/>
        <v>83150</v>
      </c>
      <c r="M2440" s="252">
        <f t="shared" si="119"/>
        <v>88550</v>
      </c>
    </row>
    <row r="2441" spans="1:13" ht="21.95" customHeight="1" x14ac:dyDescent="0.25">
      <c r="A2441" s="36" t="s">
        <v>2904</v>
      </c>
      <c r="B2441" s="36" t="str">
        <f t="shared" si="118"/>
        <v>VT_ADDISON COUNTY, VT</v>
      </c>
      <c r="D2441" s="265" t="s">
        <v>61</v>
      </c>
      <c r="E2441" s="266" t="s">
        <v>5159</v>
      </c>
      <c r="F2441" s="252">
        <f t="shared" si="119"/>
        <v>65050</v>
      </c>
      <c r="G2441" s="252">
        <f t="shared" si="119"/>
        <v>74350</v>
      </c>
      <c r="H2441" s="252">
        <f t="shared" si="119"/>
        <v>83650</v>
      </c>
      <c r="I2441" s="252">
        <f t="shared" si="119"/>
        <v>92900</v>
      </c>
      <c r="J2441" s="252">
        <f t="shared" si="119"/>
        <v>100350</v>
      </c>
      <c r="K2441" s="252">
        <f t="shared" si="119"/>
        <v>107800</v>
      </c>
      <c r="L2441" s="252">
        <f t="shared" si="119"/>
        <v>115200</v>
      </c>
      <c r="M2441" s="252">
        <f t="shared" si="119"/>
        <v>122650</v>
      </c>
    </row>
    <row r="2442" spans="1:13" ht="21.95" customHeight="1" x14ac:dyDescent="0.25">
      <c r="A2442" s="36" t="s">
        <v>2904</v>
      </c>
      <c r="B2442" s="36" t="str">
        <f t="shared" si="118"/>
        <v>VT_BENNINGTON COUNTY, VT</v>
      </c>
      <c r="D2442" s="265" t="s">
        <v>61</v>
      </c>
      <c r="E2442" s="266" t="s">
        <v>5160</v>
      </c>
      <c r="F2442" s="252">
        <f t="shared" si="119"/>
        <v>61000</v>
      </c>
      <c r="G2442" s="252">
        <f t="shared" si="119"/>
        <v>69700</v>
      </c>
      <c r="H2442" s="252">
        <f t="shared" si="119"/>
        <v>78400</v>
      </c>
      <c r="I2442" s="252">
        <f t="shared" si="119"/>
        <v>87100</v>
      </c>
      <c r="J2442" s="252">
        <f t="shared" si="119"/>
        <v>94100</v>
      </c>
      <c r="K2442" s="252">
        <f t="shared" si="119"/>
        <v>101050</v>
      </c>
      <c r="L2442" s="252">
        <f t="shared" si="119"/>
        <v>108050</v>
      </c>
      <c r="M2442" s="252">
        <f t="shared" si="119"/>
        <v>115000</v>
      </c>
    </row>
    <row r="2443" spans="1:13" ht="21.95" customHeight="1" x14ac:dyDescent="0.25">
      <c r="A2443" s="36" t="s">
        <v>2904</v>
      </c>
      <c r="B2443" s="36" t="str">
        <f t="shared" si="118"/>
        <v>VT_BURLINGTON-SOUTH BURLINGTON, VT MSA</v>
      </c>
      <c r="D2443" s="265" t="s">
        <v>61</v>
      </c>
      <c r="E2443" s="266" t="s">
        <v>5161</v>
      </c>
      <c r="F2443" s="252">
        <f t="shared" si="119"/>
        <v>72700</v>
      </c>
      <c r="G2443" s="252">
        <f t="shared" si="119"/>
        <v>83100</v>
      </c>
      <c r="H2443" s="252">
        <f t="shared" si="119"/>
        <v>93500</v>
      </c>
      <c r="I2443" s="252">
        <f t="shared" si="119"/>
        <v>103850</v>
      </c>
      <c r="J2443" s="252">
        <f t="shared" si="119"/>
        <v>112200</v>
      </c>
      <c r="K2443" s="252">
        <f t="shared" si="119"/>
        <v>120500</v>
      </c>
      <c r="L2443" s="252">
        <f t="shared" si="119"/>
        <v>128800</v>
      </c>
      <c r="M2443" s="252">
        <f t="shared" si="119"/>
        <v>137100</v>
      </c>
    </row>
    <row r="2444" spans="1:13" ht="21.95" customHeight="1" x14ac:dyDescent="0.25">
      <c r="A2444" s="36" t="s">
        <v>2904</v>
      </c>
      <c r="B2444" s="36" t="str">
        <f t="shared" si="118"/>
        <v>VT_CALEDONIA COUNTY, VT</v>
      </c>
      <c r="D2444" s="265" t="s">
        <v>61</v>
      </c>
      <c r="E2444" s="266" t="s">
        <v>5162</v>
      </c>
      <c r="F2444" s="252">
        <f t="shared" si="119"/>
        <v>58100</v>
      </c>
      <c r="G2444" s="252">
        <f t="shared" si="119"/>
        <v>66400</v>
      </c>
      <c r="H2444" s="252">
        <f t="shared" si="119"/>
        <v>74700</v>
      </c>
      <c r="I2444" s="252">
        <f t="shared" si="119"/>
        <v>82950</v>
      </c>
      <c r="J2444" s="252">
        <f t="shared" si="119"/>
        <v>89600</v>
      </c>
      <c r="K2444" s="252">
        <f t="shared" si="119"/>
        <v>96250</v>
      </c>
      <c r="L2444" s="252">
        <f t="shared" si="119"/>
        <v>102900</v>
      </c>
      <c r="M2444" s="252">
        <f t="shared" si="119"/>
        <v>109500</v>
      </c>
    </row>
    <row r="2445" spans="1:13" ht="21.95" customHeight="1" x14ac:dyDescent="0.25">
      <c r="A2445" s="36" t="s">
        <v>2904</v>
      </c>
      <c r="B2445" s="36" t="str">
        <f t="shared" si="118"/>
        <v>VT_ESSEX COUNTY, VT</v>
      </c>
      <c r="D2445" s="265" t="s">
        <v>61</v>
      </c>
      <c r="E2445" s="266" t="s">
        <v>5163</v>
      </c>
      <c r="F2445" s="252">
        <f t="shared" si="119"/>
        <v>58100</v>
      </c>
      <c r="G2445" s="252">
        <f t="shared" si="119"/>
        <v>66400</v>
      </c>
      <c r="H2445" s="252">
        <f t="shared" si="119"/>
        <v>74700</v>
      </c>
      <c r="I2445" s="252">
        <f t="shared" si="119"/>
        <v>82950</v>
      </c>
      <c r="J2445" s="252">
        <f t="shared" si="119"/>
        <v>89600</v>
      </c>
      <c r="K2445" s="252">
        <f t="shared" si="119"/>
        <v>96250</v>
      </c>
      <c r="L2445" s="252">
        <f t="shared" si="119"/>
        <v>102900</v>
      </c>
      <c r="M2445" s="252">
        <f t="shared" si="119"/>
        <v>109500</v>
      </c>
    </row>
    <row r="2446" spans="1:13" ht="21.95" customHeight="1" x14ac:dyDescent="0.25">
      <c r="A2446" s="36" t="s">
        <v>2904</v>
      </c>
      <c r="B2446" s="36" t="str">
        <f t="shared" si="118"/>
        <v>VT_LAMOILLE COUNTY, VT</v>
      </c>
      <c r="D2446" s="265" t="s">
        <v>61</v>
      </c>
      <c r="E2446" s="266" t="s">
        <v>5164</v>
      </c>
      <c r="F2446" s="252">
        <f t="shared" si="119"/>
        <v>58100</v>
      </c>
      <c r="G2446" s="252">
        <f t="shared" si="119"/>
        <v>66400</v>
      </c>
      <c r="H2446" s="252">
        <f t="shared" si="119"/>
        <v>74700</v>
      </c>
      <c r="I2446" s="252">
        <f t="shared" si="119"/>
        <v>82950</v>
      </c>
      <c r="J2446" s="252">
        <f t="shared" si="119"/>
        <v>89600</v>
      </c>
      <c r="K2446" s="252">
        <f t="shared" si="119"/>
        <v>96250</v>
      </c>
      <c r="L2446" s="252">
        <f t="shared" si="119"/>
        <v>102900</v>
      </c>
      <c r="M2446" s="252">
        <f t="shared" si="119"/>
        <v>109500</v>
      </c>
    </row>
    <row r="2447" spans="1:13" ht="21.95" customHeight="1" x14ac:dyDescent="0.25">
      <c r="A2447" s="36" t="s">
        <v>2904</v>
      </c>
      <c r="B2447" s="36" t="str">
        <f t="shared" si="118"/>
        <v>VT_ORANGE COUNTY, VT</v>
      </c>
      <c r="D2447" s="265" t="s">
        <v>61</v>
      </c>
      <c r="E2447" s="266" t="s">
        <v>5165</v>
      </c>
      <c r="F2447" s="252">
        <f t="shared" si="119"/>
        <v>58100</v>
      </c>
      <c r="G2447" s="252">
        <f t="shared" si="119"/>
        <v>66400</v>
      </c>
      <c r="H2447" s="252">
        <f t="shared" si="119"/>
        <v>74700</v>
      </c>
      <c r="I2447" s="252">
        <f t="shared" si="119"/>
        <v>82950</v>
      </c>
      <c r="J2447" s="252">
        <f t="shared" si="119"/>
        <v>89600</v>
      </c>
      <c r="K2447" s="252">
        <f t="shared" si="119"/>
        <v>96250</v>
      </c>
      <c r="L2447" s="252">
        <f t="shared" si="119"/>
        <v>102900</v>
      </c>
      <c r="M2447" s="252">
        <f t="shared" si="119"/>
        <v>109500</v>
      </c>
    </row>
    <row r="2448" spans="1:13" ht="21.95" customHeight="1" x14ac:dyDescent="0.25">
      <c r="A2448" s="36" t="s">
        <v>2904</v>
      </c>
      <c r="B2448" s="36" t="str">
        <f t="shared" si="118"/>
        <v>VT_ORLEANS COUNTY, VT</v>
      </c>
      <c r="D2448" s="265" t="s">
        <v>61</v>
      </c>
      <c r="E2448" s="266" t="s">
        <v>5166</v>
      </c>
      <c r="F2448" s="252">
        <f t="shared" si="119"/>
        <v>58100</v>
      </c>
      <c r="G2448" s="252">
        <f t="shared" si="119"/>
        <v>66400</v>
      </c>
      <c r="H2448" s="252">
        <f t="shared" si="119"/>
        <v>74700</v>
      </c>
      <c r="I2448" s="252">
        <f t="shared" si="119"/>
        <v>82950</v>
      </c>
      <c r="J2448" s="252">
        <f t="shared" si="119"/>
        <v>89600</v>
      </c>
      <c r="K2448" s="252">
        <f t="shared" si="119"/>
        <v>96250</v>
      </c>
      <c r="L2448" s="252">
        <f t="shared" si="119"/>
        <v>102900</v>
      </c>
      <c r="M2448" s="252">
        <f t="shared" si="119"/>
        <v>109500</v>
      </c>
    </row>
    <row r="2449" spans="1:13" ht="21.95" customHeight="1" x14ac:dyDescent="0.25">
      <c r="A2449" s="36" t="s">
        <v>2904</v>
      </c>
      <c r="B2449" s="36" t="str">
        <f t="shared" si="118"/>
        <v>VT_RUTLAND COUNTY, VT</v>
      </c>
      <c r="D2449" s="265" t="s">
        <v>61</v>
      </c>
      <c r="E2449" s="266" t="s">
        <v>5167</v>
      </c>
      <c r="F2449" s="252">
        <f t="shared" si="119"/>
        <v>58100</v>
      </c>
      <c r="G2449" s="252">
        <f t="shared" si="119"/>
        <v>66400</v>
      </c>
      <c r="H2449" s="252">
        <f t="shared" si="119"/>
        <v>74700</v>
      </c>
      <c r="I2449" s="252">
        <f t="shared" si="119"/>
        <v>82950</v>
      </c>
      <c r="J2449" s="252">
        <f t="shared" si="119"/>
        <v>89600</v>
      </c>
      <c r="K2449" s="252">
        <f t="shared" si="119"/>
        <v>96250</v>
      </c>
      <c r="L2449" s="252">
        <f t="shared" si="119"/>
        <v>102900</v>
      </c>
      <c r="M2449" s="252">
        <f t="shared" si="119"/>
        <v>109500</v>
      </c>
    </row>
    <row r="2450" spans="1:13" ht="21.95" customHeight="1" x14ac:dyDescent="0.25">
      <c r="A2450" s="36" t="s">
        <v>2904</v>
      </c>
      <c r="B2450" s="36" t="str">
        <f t="shared" si="118"/>
        <v>VT_WASHINGTON COUNTY, VT</v>
      </c>
      <c r="D2450" s="265" t="s">
        <v>61</v>
      </c>
      <c r="E2450" s="266" t="s">
        <v>5168</v>
      </c>
      <c r="F2450" s="252">
        <f t="shared" si="119"/>
        <v>61850</v>
      </c>
      <c r="G2450" s="252">
        <f t="shared" si="119"/>
        <v>70650</v>
      </c>
      <c r="H2450" s="252">
        <f t="shared" si="119"/>
        <v>79500</v>
      </c>
      <c r="I2450" s="252">
        <f t="shared" si="119"/>
        <v>88300</v>
      </c>
      <c r="J2450" s="252">
        <f t="shared" si="119"/>
        <v>95400</v>
      </c>
      <c r="K2450" s="252">
        <f t="shared" si="119"/>
        <v>102450</v>
      </c>
      <c r="L2450" s="252">
        <f t="shared" si="119"/>
        <v>109500</v>
      </c>
      <c r="M2450" s="252">
        <f t="shared" si="119"/>
        <v>116600</v>
      </c>
    </row>
    <row r="2451" spans="1:13" ht="21.95" customHeight="1" x14ac:dyDescent="0.25">
      <c r="A2451" s="36" t="s">
        <v>2904</v>
      </c>
      <c r="B2451" s="36" t="str">
        <f t="shared" si="118"/>
        <v>VT_WINDHAM COUNTY, VT</v>
      </c>
      <c r="D2451" s="265" t="s">
        <v>61</v>
      </c>
      <c r="E2451" s="266" t="s">
        <v>5169</v>
      </c>
      <c r="F2451" s="252">
        <f t="shared" si="119"/>
        <v>58100</v>
      </c>
      <c r="G2451" s="252">
        <f t="shared" si="119"/>
        <v>66400</v>
      </c>
      <c r="H2451" s="252">
        <f t="shared" si="119"/>
        <v>74700</v>
      </c>
      <c r="I2451" s="252">
        <f t="shared" si="119"/>
        <v>82950</v>
      </c>
      <c r="J2451" s="252">
        <f t="shared" si="119"/>
        <v>89600</v>
      </c>
      <c r="K2451" s="252">
        <f t="shared" si="119"/>
        <v>96250</v>
      </c>
      <c r="L2451" s="252">
        <f t="shared" si="119"/>
        <v>102900</v>
      </c>
      <c r="M2451" s="252">
        <f t="shared" si="119"/>
        <v>109500</v>
      </c>
    </row>
    <row r="2452" spans="1:13" ht="21.95" customHeight="1" x14ac:dyDescent="0.25">
      <c r="A2452" s="36" t="s">
        <v>2904</v>
      </c>
      <c r="B2452" s="36" t="str">
        <f t="shared" si="118"/>
        <v>VT_WINDSOR COUNTY, VT</v>
      </c>
      <c r="D2452" s="265" t="s">
        <v>61</v>
      </c>
      <c r="E2452" s="266" t="s">
        <v>5170</v>
      </c>
      <c r="F2452" s="252">
        <f t="shared" si="119"/>
        <v>61450</v>
      </c>
      <c r="G2452" s="252">
        <f t="shared" si="119"/>
        <v>70200</v>
      </c>
      <c r="H2452" s="252">
        <f t="shared" si="119"/>
        <v>79000</v>
      </c>
      <c r="I2452" s="252">
        <f t="shared" si="119"/>
        <v>87750</v>
      </c>
      <c r="J2452" s="252">
        <f t="shared" si="119"/>
        <v>94800</v>
      </c>
      <c r="K2452" s="252">
        <f t="shared" si="119"/>
        <v>101800</v>
      </c>
      <c r="L2452" s="252">
        <f t="shared" si="119"/>
        <v>108850</v>
      </c>
      <c r="M2452" s="252">
        <f t="shared" si="119"/>
        <v>115850</v>
      </c>
    </row>
    <row r="2453" spans="1:13" ht="21.95" customHeight="1" x14ac:dyDescent="0.25">
      <c r="A2453" s="36" t="s">
        <v>2904</v>
      </c>
      <c r="B2453" s="36" t="str">
        <f t="shared" si="118"/>
        <v>WA_ADAMS COUNTY, WA</v>
      </c>
      <c r="D2453" s="265" t="s">
        <v>59</v>
      </c>
      <c r="E2453" s="266" t="s">
        <v>5171</v>
      </c>
      <c r="F2453" s="252">
        <f t="shared" si="119"/>
        <v>53100</v>
      </c>
      <c r="G2453" s="252">
        <f t="shared" si="119"/>
        <v>60700</v>
      </c>
      <c r="H2453" s="252">
        <f t="shared" si="119"/>
        <v>68300</v>
      </c>
      <c r="I2453" s="252">
        <f t="shared" si="119"/>
        <v>75850</v>
      </c>
      <c r="J2453" s="252">
        <f t="shared" si="119"/>
        <v>81950</v>
      </c>
      <c r="K2453" s="252">
        <f t="shared" si="119"/>
        <v>88000</v>
      </c>
      <c r="L2453" s="252">
        <f t="shared" si="119"/>
        <v>94100</v>
      </c>
      <c r="M2453" s="252">
        <f t="shared" si="119"/>
        <v>100150</v>
      </c>
    </row>
    <row r="2454" spans="1:13" ht="21.95" customHeight="1" x14ac:dyDescent="0.25">
      <c r="A2454" s="36" t="s">
        <v>2904</v>
      </c>
      <c r="B2454" s="36" t="str">
        <f t="shared" si="118"/>
        <v>WA_BELLINGHAM, WA MSA</v>
      </c>
      <c r="D2454" s="265" t="s">
        <v>59</v>
      </c>
      <c r="E2454" s="266" t="s">
        <v>5172</v>
      </c>
      <c r="F2454" s="252">
        <f t="shared" si="119"/>
        <v>60700</v>
      </c>
      <c r="G2454" s="252">
        <f t="shared" si="119"/>
        <v>69400</v>
      </c>
      <c r="H2454" s="252">
        <f t="shared" si="119"/>
        <v>78050</v>
      </c>
      <c r="I2454" s="252">
        <f t="shared" si="119"/>
        <v>86700</v>
      </c>
      <c r="J2454" s="252">
        <f t="shared" si="119"/>
        <v>93650</v>
      </c>
      <c r="K2454" s="252">
        <f t="shared" si="119"/>
        <v>100600</v>
      </c>
      <c r="L2454" s="252">
        <f t="shared" si="119"/>
        <v>107550</v>
      </c>
      <c r="M2454" s="252">
        <f t="shared" si="119"/>
        <v>114450</v>
      </c>
    </row>
    <row r="2455" spans="1:13" ht="21.95" customHeight="1" x14ac:dyDescent="0.25">
      <c r="A2455" s="36" t="s">
        <v>2904</v>
      </c>
      <c r="B2455" s="36" t="str">
        <f t="shared" si="118"/>
        <v>WA_BREMERTON-SILVERDALE-PORT ORCHARD, WA MSA</v>
      </c>
      <c r="D2455" s="265" t="s">
        <v>59</v>
      </c>
      <c r="E2455" s="266" t="s">
        <v>9282</v>
      </c>
      <c r="F2455" s="252">
        <f t="shared" si="119"/>
        <v>69650</v>
      </c>
      <c r="G2455" s="252">
        <f t="shared" si="119"/>
        <v>79600</v>
      </c>
      <c r="H2455" s="252">
        <f t="shared" si="119"/>
        <v>89550</v>
      </c>
      <c r="I2455" s="252">
        <f t="shared" si="119"/>
        <v>99450</v>
      </c>
      <c r="J2455" s="252">
        <f t="shared" si="119"/>
        <v>107450</v>
      </c>
      <c r="K2455" s="252">
        <f t="shared" si="119"/>
        <v>115400</v>
      </c>
      <c r="L2455" s="252">
        <f t="shared" si="119"/>
        <v>123350</v>
      </c>
      <c r="M2455" s="252">
        <f t="shared" si="119"/>
        <v>131300</v>
      </c>
    </row>
    <row r="2456" spans="1:13" ht="21.95" customHeight="1" x14ac:dyDescent="0.25">
      <c r="A2456" s="36" t="s">
        <v>2904</v>
      </c>
      <c r="B2456" s="36" t="str">
        <f t="shared" si="118"/>
        <v>WA_CLALLAM COUNTY, WA</v>
      </c>
      <c r="D2456" s="265" t="s">
        <v>59</v>
      </c>
      <c r="E2456" s="266" t="s">
        <v>5173</v>
      </c>
      <c r="F2456" s="252">
        <f t="shared" si="119"/>
        <v>53100</v>
      </c>
      <c r="G2456" s="252">
        <f t="shared" si="119"/>
        <v>60700</v>
      </c>
      <c r="H2456" s="252">
        <f t="shared" si="119"/>
        <v>68300</v>
      </c>
      <c r="I2456" s="252">
        <f t="shared" si="119"/>
        <v>75850</v>
      </c>
      <c r="J2456" s="252">
        <f t="shared" si="119"/>
        <v>81950</v>
      </c>
      <c r="K2456" s="252">
        <f t="shared" si="119"/>
        <v>88000</v>
      </c>
      <c r="L2456" s="252">
        <f t="shared" si="119"/>
        <v>94100</v>
      </c>
      <c r="M2456" s="252">
        <f t="shared" si="119"/>
        <v>100150</v>
      </c>
    </row>
    <row r="2457" spans="1:13" ht="21.95" customHeight="1" x14ac:dyDescent="0.25">
      <c r="A2457" s="36" t="s">
        <v>2904</v>
      </c>
      <c r="B2457" s="36" t="str">
        <f t="shared" si="118"/>
        <v>WA_COLUMBIA COUNTY, WA</v>
      </c>
      <c r="D2457" s="265" t="s">
        <v>59</v>
      </c>
      <c r="E2457" s="266" t="s">
        <v>5174</v>
      </c>
      <c r="F2457" s="252">
        <f t="shared" si="119"/>
        <v>56150</v>
      </c>
      <c r="G2457" s="252">
        <f t="shared" si="119"/>
        <v>64150</v>
      </c>
      <c r="H2457" s="252">
        <f t="shared" si="119"/>
        <v>72150</v>
      </c>
      <c r="I2457" s="252">
        <f t="shared" si="119"/>
        <v>80150</v>
      </c>
      <c r="J2457" s="252">
        <f t="shared" si="119"/>
        <v>86600</v>
      </c>
      <c r="K2457" s="252">
        <f t="shared" si="119"/>
        <v>93000</v>
      </c>
      <c r="L2457" s="252">
        <f t="shared" si="119"/>
        <v>99400</v>
      </c>
      <c r="M2457" s="252">
        <f t="shared" si="119"/>
        <v>105800</v>
      </c>
    </row>
    <row r="2458" spans="1:13" ht="21.95" customHeight="1" x14ac:dyDescent="0.25">
      <c r="A2458" s="36" t="s">
        <v>2904</v>
      </c>
      <c r="B2458" s="36" t="str">
        <f t="shared" si="118"/>
        <v>WA_FERRY COUNTY, WA</v>
      </c>
      <c r="D2458" s="265" t="s">
        <v>59</v>
      </c>
      <c r="E2458" s="266" t="s">
        <v>5175</v>
      </c>
      <c r="F2458" s="252">
        <f t="shared" si="119"/>
        <v>53100</v>
      </c>
      <c r="G2458" s="252">
        <f t="shared" si="119"/>
        <v>60700</v>
      </c>
      <c r="H2458" s="252">
        <f t="shared" si="119"/>
        <v>68300</v>
      </c>
      <c r="I2458" s="252">
        <f t="shared" si="119"/>
        <v>75850</v>
      </c>
      <c r="J2458" s="252">
        <f t="shared" si="119"/>
        <v>81950</v>
      </c>
      <c r="K2458" s="252">
        <f t="shared" si="119"/>
        <v>88000</v>
      </c>
      <c r="L2458" s="252">
        <f t="shared" si="119"/>
        <v>94100</v>
      </c>
      <c r="M2458" s="252">
        <f t="shared" si="119"/>
        <v>100150</v>
      </c>
    </row>
    <row r="2459" spans="1:13" ht="21.95" customHeight="1" x14ac:dyDescent="0.25">
      <c r="A2459" s="36" t="s">
        <v>2904</v>
      </c>
      <c r="B2459" s="36" t="str">
        <f t="shared" si="118"/>
        <v>WA_GARFIELD COUNTY, WA</v>
      </c>
      <c r="D2459" s="265" t="s">
        <v>59</v>
      </c>
      <c r="E2459" s="266" t="s">
        <v>5176</v>
      </c>
      <c r="F2459" s="252">
        <f t="shared" si="119"/>
        <v>53100</v>
      </c>
      <c r="G2459" s="252">
        <f t="shared" si="119"/>
        <v>60700</v>
      </c>
      <c r="H2459" s="252">
        <f t="shared" si="119"/>
        <v>68300</v>
      </c>
      <c r="I2459" s="252">
        <f t="shared" si="119"/>
        <v>75850</v>
      </c>
      <c r="J2459" s="252">
        <f t="shared" si="119"/>
        <v>81950</v>
      </c>
      <c r="K2459" s="252">
        <f t="shared" si="119"/>
        <v>88000</v>
      </c>
      <c r="L2459" s="252">
        <f t="shared" si="119"/>
        <v>94100</v>
      </c>
      <c r="M2459" s="252">
        <f t="shared" si="119"/>
        <v>100150</v>
      </c>
    </row>
    <row r="2460" spans="1:13" ht="21.95" customHeight="1" x14ac:dyDescent="0.25">
      <c r="A2460" s="36" t="s">
        <v>2904</v>
      </c>
      <c r="B2460" s="36" t="str">
        <f t="shared" si="118"/>
        <v>WA_GRANT COUNTY, WA</v>
      </c>
      <c r="D2460" s="265" t="s">
        <v>59</v>
      </c>
      <c r="E2460" s="266" t="s">
        <v>5177</v>
      </c>
      <c r="F2460" s="252">
        <f t="shared" si="119"/>
        <v>53100</v>
      </c>
      <c r="G2460" s="252">
        <f t="shared" si="119"/>
        <v>60700</v>
      </c>
      <c r="H2460" s="252">
        <f t="shared" si="119"/>
        <v>68300</v>
      </c>
      <c r="I2460" s="252">
        <f t="shared" si="119"/>
        <v>75850</v>
      </c>
      <c r="J2460" s="252">
        <f t="shared" si="119"/>
        <v>81950</v>
      </c>
      <c r="K2460" s="252">
        <f t="shared" si="119"/>
        <v>88000</v>
      </c>
      <c r="L2460" s="252">
        <f t="shared" si="119"/>
        <v>94100</v>
      </c>
      <c r="M2460" s="252">
        <f t="shared" si="119"/>
        <v>100150</v>
      </c>
    </row>
    <row r="2461" spans="1:13" ht="21.95" customHeight="1" x14ac:dyDescent="0.25">
      <c r="A2461" s="36" t="s">
        <v>2904</v>
      </c>
      <c r="B2461" s="36" t="str">
        <f t="shared" si="118"/>
        <v>WA_GRAYS HARBOR COUNTY, WA</v>
      </c>
      <c r="D2461" s="265" t="s">
        <v>59</v>
      </c>
      <c r="E2461" s="266" t="s">
        <v>5178</v>
      </c>
      <c r="F2461" s="252">
        <f t="shared" si="119"/>
        <v>53100</v>
      </c>
      <c r="G2461" s="252">
        <f t="shared" si="119"/>
        <v>60700</v>
      </c>
      <c r="H2461" s="252">
        <f t="shared" si="119"/>
        <v>68300</v>
      </c>
      <c r="I2461" s="252">
        <f t="shared" si="119"/>
        <v>75850</v>
      </c>
      <c r="J2461" s="252">
        <f t="shared" si="119"/>
        <v>81950</v>
      </c>
      <c r="K2461" s="252">
        <f t="shared" si="119"/>
        <v>88000</v>
      </c>
      <c r="L2461" s="252">
        <f t="shared" si="119"/>
        <v>94100</v>
      </c>
      <c r="M2461" s="252">
        <f t="shared" si="119"/>
        <v>100150</v>
      </c>
    </row>
    <row r="2462" spans="1:13" ht="21.95" customHeight="1" x14ac:dyDescent="0.25">
      <c r="A2462" s="36" t="s">
        <v>2904</v>
      </c>
      <c r="B2462" s="36" t="str">
        <f t="shared" si="118"/>
        <v>WA_ISLAND COUNTY, WA</v>
      </c>
      <c r="D2462" s="265" t="s">
        <v>59</v>
      </c>
      <c r="E2462" s="266" t="s">
        <v>5179</v>
      </c>
      <c r="F2462" s="252">
        <f t="shared" si="119"/>
        <v>62400</v>
      </c>
      <c r="G2462" s="252">
        <f t="shared" si="119"/>
        <v>71300</v>
      </c>
      <c r="H2462" s="252">
        <f t="shared" si="119"/>
        <v>80200</v>
      </c>
      <c r="I2462" s="252">
        <f t="shared" si="119"/>
        <v>89100</v>
      </c>
      <c r="J2462" s="252">
        <f t="shared" si="119"/>
        <v>96250</v>
      </c>
      <c r="K2462" s="252">
        <f t="shared" si="119"/>
        <v>103400</v>
      </c>
      <c r="L2462" s="252">
        <f t="shared" si="119"/>
        <v>110500</v>
      </c>
      <c r="M2462" s="252">
        <f t="shared" si="119"/>
        <v>117650</v>
      </c>
    </row>
    <row r="2463" spans="1:13" ht="21.95" customHeight="1" x14ac:dyDescent="0.25">
      <c r="A2463" s="36" t="s">
        <v>2904</v>
      </c>
      <c r="B2463" s="36" t="str">
        <f t="shared" si="118"/>
        <v>WA_JEFFERSON COUNTY, WA</v>
      </c>
      <c r="D2463" s="265" t="s">
        <v>59</v>
      </c>
      <c r="E2463" s="266" t="s">
        <v>5180</v>
      </c>
      <c r="F2463" s="252">
        <f t="shared" si="119"/>
        <v>55050</v>
      </c>
      <c r="G2463" s="252">
        <f t="shared" si="119"/>
        <v>62900</v>
      </c>
      <c r="H2463" s="252">
        <f t="shared" si="119"/>
        <v>70750</v>
      </c>
      <c r="I2463" s="252">
        <f t="shared" si="119"/>
        <v>78600</v>
      </c>
      <c r="J2463" s="252">
        <f t="shared" si="119"/>
        <v>84900</v>
      </c>
      <c r="K2463" s="252">
        <f t="shared" si="119"/>
        <v>91200</v>
      </c>
      <c r="L2463" s="252">
        <f t="shared" si="119"/>
        <v>97500</v>
      </c>
      <c r="M2463" s="252">
        <f t="shared" si="119"/>
        <v>103800</v>
      </c>
    </row>
    <row r="2464" spans="1:13" ht="21.95" customHeight="1" x14ac:dyDescent="0.25">
      <c r="A2464" s="36" t="s">
        <v>2904</v>
      </c>
      <c r="B2464" s="36" t="str">
        <f t="shared" si="118"/>
        <v>WA_KENNEWICK-RICHLAND, WA MSA</v>
      </c>
      <c r="D2464" s="265" t="s">
        <v>59</v>
      </c>
      <c r="E2464" s="266" t="s">
        <v>5181</v>
      </c>
      <c r="F2464" s="252">
        <f t="shared" si="119"/>
        <v>59150</v>
      </c>
      <c r="G2464" s="252">
        <f t="shared" si="119"/>
        <v>67600</v>
      </c>
      <c r="H2464" s="252">
        <f t="shared" si="119"/>
        <v>76050</v>
      </c>
      <c r="I2464" s="252">
        <f t="shared" si="119"/>
        <v>84500</v>
      </c>
      <c r="J2464" s="252">
        <f t="shared" si="119"/>
        <v>91300</v>
      </c>
      <c r="K2464" s="252">
        <f t="shared" ref="F2464:M2496" si="120">VLOOKUP($B2464,LOOKUP_AMI_TABLE,5+((K$7-1)),FALSE)</f>
        <v>98050</v>
      </c>
      <c r="L2464" s="252">
        <f t="shared" si="120"/>
        <v>104800</v>
      </c>
      <c r="M2464" s="252">
        <f t="shared" si="120"/>
        <v>111550</v>
      </c>
    </row>
    <row r="2465" spans="1:13" ht="21.95" customHeight="1" x14ac:dyDescent="0.25">
      <c r="A2465" s="36" t="s">
        <v>2904</v>
      </c>
      <c r="B2465" s="36" t="str">
        <f t="shared" si="118"/>
        <v>WA_KITTITAS COUNTY, WA</v>
      </c>
      <c r="D2465" s="265" t="s">
        <v>59</v>
      </c>
      <c r="E2465" s="266" t="s">
        <v>5182</v>
      </c>
      <c r="F2465" s="252">
        <f t="shared" si="120"/>
        <v>60350</v>
      </c>
      <c r="G2465" s="252">
        <f t="shared" si="120"/>
        <v>68950</v>
      </c>
      <c r="H2465" s="252">
        <f t="shared" si="120"/>
        <v>77550</v>
      </c>
      <c r="I2465" s="252">
        <f t="shared" si="120"/>
        <v>86150</v>
      </c>
      <c r="J2465" s="252">
        <f t="shared" si="120"/>
        <v>93050</v>
      </c>
      <c r="K2465" s="252">
        <f t="shared" si="120"/>
        <v>99950</v>
      </c>
      <c r="L2465" s="252">
        <f t="shared" si="120"/>
        <v>106850</v>
      </c>
      <c r="M2465" s="252">
        <f t="shared" si="120"/>
        <v>113750</v>
      </c>
    </row>
    <row r="2466" spans="1:13" ht="21.95" customHeight="1" x14ac:dyDescent="0.25">
      <c r="A2466" s="36" t="s">
        <v>2904</v>
      </c>
      <c r="B2466" s="36" t="str">
        <f t="shared" si="118"/>
        <v>WA_KLICKITAT COUNTY, WA</v>
      </c>
      <c r="D2466" s="265" t="s">
        <v>59</v>
      </c>
      <c r="E2466" s="266" t="s">
        <v>5183</v>
      </c>
      <c r="F2466" s="252">
        <f t="shared" si="120"/>
        <v>53100</v>
      </c>
      <c r="G2466" s="252">
        <f t="shared" si="120"/>
        <v>60700</v>
      </c>
      <c r="H2466" s="252">
        <f t="shared" si="120"/>
        <v>68300</v>
      </c>
      <c r="I2466" s="252">
        <f t="shared" si="120"/>
        <v>75850</v>
      </c>
      <c r="J2466" s="252">
        <f t="shared" si="120"/>
        <v>81950</v>
      </c>
      <c r="K2466" s="252">
        <f t="shared" si="120"/>
        <v>88000</v>
      </c>
      <c r="L2466" s="252">
        <f t="shared" si="120"/>
        <v>94100</v>
      </c>
      <c r="M2466" s="252">
        <f t="shared" si="120"/>
        <v>100150</v>
      </c>
    </row>
    <row r="2467" spans="1:13" ht="21.95" customHeight="1" x14ac:dyDescent="0.25">
      <c r="A2467" s="36" t="s">
        <v>2904</v>
      </c>
      <c r="B2467" s="36" t="str">
        <f t="shared" si="118"/>
        <v>WA_LEWIS COUNTY, WA</v>
      </c>
      <c r="D2467" s="265" t="s">
        <v>59</v>
      </c>
      <c r="E2467" s="266" t="s">
        <v>5184</v>
      </c>
      <c r="F2467" s="252">
        <f t="shared" si="120"/>
        <v>53100</v>
      </c>
      <c r="G2467" s="252">
        <f t="shared" si="120"/>
        <v>60700</v>
      </c>
      <c r="H2467" s="252">
        <f t="shared" si="120"/>
        <v>68300</v>
      </c>
      <c r="I2467" s="252">
        <f t="shared" si="120"/>
        <v>75850</v>
      </c>
      <c r="J2467" s="252">
        <f t="shared" si="120"/>
        <v>81950</v>
      </c>
      <c r="K2467" s="252">
        <f t="shared" si="120"/>
        <v>88000</v>
      </c>
      <c r="L2467" s="252">
        <f t="shared" si="120"/>
        <v>94100</v>
      </c>
      <c r="M2467" s="252">
        <f t="shared" si="120"/>
        <v>100150</v>
      </c>
    </row>
    <row r="2468" spans="1:13" ht="21.95" customHeight="1" x14ac:dyDescent="0.25">
      <c r="A2468" s="36" t="s">
        <v>2904</v>
      </c>
      <c r="B2468" s="36" t="str">
        <f t="shared" si="118"/>
        <v>WA_LEWISTON, ID-WA MSA</v>
      </c>
      <c r="D2468" s="265" t="s">
        <v>59</v>
      </c>
      <c r="E2468" s="266" t="s">
        <v>3489</v>
      </c>
      <c r="F2468" s="252">
        <f t="shared" si="120"/>
        <v>48800</v>
      </c>
      <c r="G2468" s="252">
        <f t="shared" si="120"/>
        <v>55800</v>
      </c>
      <c r="H2468" s="252">
        <f t="shared" si="120"/>
        <v>62750</v>
      </c>
      <c r="I2468" s="252">
        <f t="shared" si="120"/>
        <v>69700</v>
      </c>
      <c r="J2468" s="252">
        <f t="shared" si="120"/>
        <v>75300</v>
      </c>
      <c r="K2468" s="252">
        <f t="shared" si="120"/>
        <v>80900</v>
      </c>
      <c r="L2468" s="252">
        <f t="shared" si="120"/>
        <v>86450</v>
      </c>
      <c r="M2468" s="252">
        <f t="shared" si="120"/>
        <v>92050</v>
      </c>
    </row>
    <row r="2469" spans="1:13" ht="21.95" customHeight="1" x14ac:dyDescent="0.25">
      <c r="A2469" s="36" t="s">
        <v>2904</v>
      </c>
      <c r="B2469" s="36" t="str">
        <f t="shared" si="118"/>
        <v>WA_LINCOLN COUNTY, WA</v>
      </c>
      <c r="D2469" s="265" t="s">
        <v>59</v>
      </c>
      <c r="E2469" s="266" t="s">
        <v>5185</v>
      </c>
      <c r="F2469" s="252">
        <f t="shared" si="120"/>
        <v>53100</v>
      </c>
      <c r="G2469" s="252">
        <f t="shared" si="120"/>
        <v>60700</v>
      </c>
      <c r="H2469" s="252">
        <f t="shared" si="120"/>
        <v>68300</v>
      </c>
      <c r="I2469" s="252">
        <f t="shared" si="120"/>
        <v>75850</v>
      </c>
      <c r="J2469" s="252">
        <f t="shared" si="120"/>
        <v>81950</v>
      </c>
      <c r="K2469" s="252">
        <f t="shared" si="120"/>
        <v>88000</v>
      </c>
      <c r="L2469" s="252">
        <f t="shared" si="120"/>
        <v>94100</v>
      </c>
      <c r="M2469" s="252">
        <f t="shared" si="120"/>
        <v>100150</v>
      </c>
    </row>
    <row r="2470" spans="1:13" ht="21.95" customHeight="1" x14ac:dyDescent="0.25">
      <c r="A2470" s="36" t="s">
        <v>2904</v>
      </c>
      <c r="B2470" s="36" t="str">
        <f t="shared" si="118"/>
        <v>WA_LONGVIEW-KELSO, WA MSA</v>
      </c>
      <c r="D2470" s="265" t="s">
        <v>59</v>
      </c>
      <c r="E2470" s="266" t="s">
        <v>9281</v>
      </c>
      <c r="F2470" s="252">
        <f t="shared" si="120"/>
        <v>53100</v>
      </c>
      <c r="G2470" s="252">
        <f t="shared" si="120"/>
        <v>60700</v>
      </c>
      <c r="H2470" s="252">
        <f t="shared" si="120"/>
        <v>68300</v>
      </c>
      <c r="I2470" s="252">
        <f t="shared" si="120"/>
        <v>75850</v>
      </c>
      <c r="J2470" s="252">
        <f t="shared" si="120"/>
        <v>81950</v>
      </c>
      <c r="K2470" s="252">
        <f t="shared" si="120"/>
        <v>88000</v>
      </c>
      <c r="L2470" s="252">
        <f t="shared" si="120"/>
        <v>94100</v>
      </c>
      <c r="M2470" s="252">
        <f t="shared" si="120"/>
        <v>100150</v>
      </c>
    </row>
    <row r="2471" spans="1:13" ht="21.95" customHeight="1" x14ac:dyDescent="0.25">
      <c r="A2471" s="36" t="s">
        <v>2904</v>
      </c>
      <c r="B2471" s="36" t="str">
        <f t="shared" si="118"/>
        <v>WA_MASON COUNTY, WA</v>
      </c>
      <c r="D2471" s="265" t="s">
        <v>59</v>
      </c>
      <c r="E2471" s="266" t="s">
        <v>5186</v>
      </c>
      <c r="F2471" s="252">
        <f t="shared" si="120"/>
        <v>56150</v>
      </c>
      <c r="G2471" s="252">
        <f t="shared" si="120"/>
        <v>64150</v>
      </c>
      <c r="H2471" s="252">
        <f t="shared" si="120"/>
        <v>72150</v>
      </c>
      <c r="I2471" s="252">
        <f t="shared" si="120"/>
        <v>80150</v>
      </c>
      <c r="J2471" s="252">
        <f t="shared" si="120"/>
        <v>86600</v>
      </c>
      <c r="K2471" s="252">
        <f t="shared" si="120"/>
        <v>93000</v>
      </c>
      <c r="L2471" s="252">
        <f t="shared" si="120"/>
        <v>99400</v>
      </c>
      <c r="M2471" s="252">
        <f t="shared" si="120"/>
        <v>105800</v>
      </c>
    </row>
    <row r="2472" spans="1:13" ht="21.95" customHeight="1" x14ac:dyDescent="0.25">
      <c r="A2472" s="36" t="s">
        <v>2904</v>
      </c>
      <c r="B2472" s="36" t="str">
        <f t="shared" si="118"/>
        <v>WA_MOUNT VERNON-ANACORTES, WA MSA</v>
      </c>
      <c r="D2472" s="265" t="s">
        <v>59</v>
      </c>
      <c r="E2472" s="266" t="s">
        <v>5187</v>
      </c>
      <c r="F2472" s="252">
        <f t="shared" si="120"/>
        <v>61250</v>
      </c>
      <c r="G2472" s="252">
        <f t="shared" si="120"/>
        <v>70000</v>
      </c>
      <c r="H2472" s="252">
        <f t="shared" si="120"/>
        <v>78750</v>
      </c>
      <c r="I2472" s="252">
        <f t="shared" si="120"/>
        <v>87500</v>
      </c>
      <c r="J2472" s="252">
        <f t="shared" si="120"/>
        <v>94500</v>
      </c>
      <c r="K2472" s="252">
        <f t="shared" si="120"/>
        <v>101500</v>
      </c>
      <c r="L2472" s="252">
        <f t="shared" si="120"/>
        <v>108500</v>
      </c>
      <c r="M2472" s="252">
        <f t="shared" si="120"/>
        <v>115500</v>
      </c>
    </row>
    <row r="2473" spans="1:13" ht="21.95" customHeight="1" x14ac:dyDescent="0.25">
      <c r="A2473" s="36" t="s">
        <v>2904</v>
      </c>
      <c r="B2473" s="36" t="str">
        <f t="shared" si="118"/>
        <v>WA_OKANOGAN COUNTY, WA</v>
      </c>
      <c r="D2473" s="265" t="s">
        <v>59</v>
      </c>
      <c r="E2473" s="266" t="s">
        <v>5188</v>
      </c>
      <c r="F2473" s="252">
        <f t="shared" si="120"/>
        <v>53100</v>
      </c>
      <c r="G2473" s="252">
        <f t="shared" si="120"/>
        <v>60700</v>
      </c>
      <c r="H2473" s="252">
        <f t="shared" si="120"/>
        <v>68300</v>
      </c>
      <c r="I2473" s="252">
        <f t="shared" si="120"/>
        <v>75850</v>
      </c>
      <c r="J2473" s="252">
        <f t="shared" si="120"/>
        <v>81950</v>
      </c>
      <c r="K2473" s="252">
        <f t="shared" si="120"/>
        <v>88000</v>
      </c>
      <c r="L2473" s="252">
        <f t="shared" si="120"/>
        <v>94100</v>
      </c>
      <c r="M2473" s="252">
        <f t="shared" si="120"/>
        <v>100150</v>
      </c>
    </row>
    <row r="2474" spans="1:13" ht="21.95" customHeight="1" x14ac:dyDescent="0.25">
      <c r="A2474" s="36" t="s">
        <v>2904</v>
      </c>
      <c r="B2474" s="36" t="str">
        <f t="shared" si="118"/>
        <v>WA_OLYMPIA-LACEY-TUMWATER, WA MSA</v>
      </c>
      <c r="D2474" s="265" t="s">
        <v>59</v>
      </c>
      <c r="E2474" s="266" t="s">
        <v>9283</v>
      </c>
      <c r="F2474" s="252">
        <f t="shared" si="120"/>
        <v>65350</v>
      </c>
      <c r="G2474" s="252">
        <f t="shared" si="120"/>
        <v>74700</v>
      </c>
      <c r="H2474" s="252">
        <f t="shared" si="120"/>
        <v>84050</v>
      </c>
      <c r="I2474" s="252">
        <f t="shared" si="120"/>
        <v>93350</v>
      </c>
      <c r="J2474" s="252">
        <f t="shared" si="120"/>
        <v>100850</v>
      </c>
      <c r="K2474" s="252">
        <f t="shared" si="120"/>
        <v>108300</v>
      </c>
      <c r="L2474" s="252">
        <f t="shared" si="120"/>
        <v>115800</v>
      </c>
      <c r="M2474" s="252">
        <f t="shared" si="120"/>
        <v>123250</v>
      </c>
    </row>
    <row r="2475" spans="1:13" ht="21.95" customHeight="1" x14ac:dyDescent="0.25">
      <c r="A2475" s="36" t="s">
        <v>2904</v>
      </c>
      <c r="B2475" s="36" t="str">
        <f t="shared" si="118"/>
        <v>WA_PACIFIC COUNTY, WA</v>
      </c>
      <c r="D2475" s="265" t="s">
        <v>59</v>
      </c>
      <c r="E2475" s="266" t="s">
        <v>5189</v>
      </c>
      <c r="F2475" s="252">
        <f t="shared" si="120"/>
        <v>53100</v>
      </c>
      <c r="G2475" s="252">
        <f t="shared" si="120"/>
        <v>60700</v>
      </c>
      <c r="H2475" s="252">
        <f t="shared" si="120"/>
        <v>68300</v>
      </c>
      <c r="I2475" s="252">
        <f t="shared" si="120"/>
        <v>75850</v>
      </c>
      <c r="J2475" s="252">
        <f t="shared" si="120"/>
        <v>81950</v>
      </c>
      <c r="K2475" s="252">
        <f t="shared" si="120"/>
        <v>88000</v>
      </c>
      <c r="L2475" s="252">
        <f t="shared" si="120"/>
        <v>94100</v>
      </c>
      <c r="M2475" s="252">
        <f t="shared" si="120"/>
        <v>100150</v>
      </c>
    </row>
    <row r="2476" spans="1:13" ht="21.95" customHeight="1" x14ac:dyDescent="0.25">
      <c r="A2476" s="36" t="s">
        <v>2904</v>
      </c>
      <c r="B2476" s="36" t="str">
        <f t="shared" si="118"/>
        <v>WA_PEND OREILLE COUNTY, WA</v>
      </c>
      <c r="D2476" s="265" t="s">
        <v>59</v>
      </c>
      <c r="E2476" s="266" t="s">
        <v>5190</v>
      </c>
      <c r="F2476" s="252">
        <f t="shared" si="120"/>
        <v>53100</v>
      </c>
      <c r="G2476" s="252">
        <f t="shared" si="120"/>
        <v>60700</v>
      </c>
      <c r="H2476" s="252">
        <f t="shared" si="120"/>
        <v>68300</v>
      </c>
      <c r="I2476" s="252">
        <f t="shared" si="120"/>
        <v>75850</v>
      </c>
      <c r="J2476" s="252">
        <f t="shared" si="120"/>
        <v>81950</v>
      </c>
      <c r="K2476" s="252">
        <f t="shared" si="120"/>
        <v>88000</v>
      </c>
      <c r="L2476" s="252">
        <f t="shared" si="120"/>
        <v>94100</v>
      </c>
      <c r="M2476" s="252">
        <f t="shared" si="120"/>
        <v>100150</v>
      </c>
    </row>
    <row r="2477" spans="1:13" ht="21.95" customHeight="1" x14ac:dyDescent="0.25">
      <c r="A2477" s="36" t="s">
        <v>2904</v>
      </c>
      <c r="B2477" s="36" t="str">
        <f t="shared" si="118"/>
        <v>WA_PORTLAND-VANCOUVER-HILLSBORO, OR-WA MSA</v>
      </c>
      <c r="D2477" s="265" t="s">
        <v>59</v>
      </c>
      <c r="E2477" s="266" t="s">
        <v>4665</v>
      </c>
      <c r="F2477" s="252">
        <f t="shared" si="120"/>
        <v>69550</v>
      </c>
      <c r="G2477" s="252">
        <f t="shared" si="120"/>
        <v>79450</v>
      </c>
      <c r="H2477" s="252">
        <f t="shared" si="120"/>
        <v>89400</v>
      </c>
      <c r="I2477" s="252">
        <f t="shared" si="120"/>
        <v>99300</v>
      </c>
      <c r="J2477" s="252">
        <f t="shared" si="120"/>
        <v>107250</v>
      </c>
      <c r="K2477" s="252">
        <f t="shared" si="120"/>
        <v>115200</v>
      </c>
      <c r="L2477" s="252">
        <f t="shared" si="120"/>
        <v>123150</v>
      </c>
      <c r="M2477" s="252">
        <f t="shared" si="120"/>
        <v>131100</v>
      </c>
    </row>
    <row r="2478" spans="1:13" ht="21.95" customHeight="1" x14ac:dyDescent="0.25">
      <c r="A2478" s="36" t="s">
        <v>2904</v>
      </c>
      <c r="B2478" s="36" t="str">
        <f t="shared" si="118"/>
        <v>WA_SAN JUAN COUNTY, WA</v>
      </c>
      <c r="D2478" s="265" t="s">
        <v>59</v>
      </c>
      <c r="E2478" s="266" t="s">
        <v>5191</v>
      </c>
      <c r="F2478" s="252">
        <f t="shared" si="120"/>
        <v>62100</v>
      </c>
      <c r="G2478" s="252">
        <f t="shared" si="120"/>
        <v>70950</v>
      </c>
      <c r="H2478" s="252">
        <f t="shared" si="120"/>
        <v>79800</v>
      </c>
      <c r="I2478" s="252">
        <f t="shared" si="120"/>
        <v>88650</v>
      </c>
      <c r="J2478" s="252">
        <f t="shared" si="120"/>
        <v>95750</v>
      </c>
      <c r="K2478" s="252">
        <f t="shared" si="120"/>
        <v>102850</v>
      </c>
      <c r="L2478" s="252">
        <f t="shared" si="120"/>
        <v>109950</v>
      </c>
      <c r="M2478" s="252">
        <f t="shared" si="120"/>
        <v>117050</v>
      </c>
    </row>
    <row r="2479" spans="1:13" ht="21.95" customHeight="1" x14ac:dyDescent="0.25">
      <c r="A2479" s="36" t="s">
        <v>2904</v>
      </c>
      <c r="B2479" s="36" t="str">
        <f t="shared" si="118"/>
        <v>WA_SEATTLE-BELLEVUE, WA HUD METRO FMR AREA</v>
      </c>
      <c r="D2479" s="265" t="s">
        <v>59</v>
      </c>
      <c r="E2479" s="266" t="s">
        <v>5192</v>
      </c>
      <c r="F2479" s="252">
        <f t="shared" si="120"/>
        <v>84850</v>
      </c>
      <c r="G2479" s="252">
        <f t="shared" si="120"/>
        <v>96950</v>
      </c>
      <c r="H2479" s="252">
        <f t="shared" si="120"/>
        <v>109050</v>
      </c>
      <c r="I2479" s="252">
        <f t="shared" si="120"/>
        <v>121150</v>
      </c>
      <c r="J2479" s="252">
        <f t="shared" si="120"/>
        <v>130850</v>
      </c>
      <c r="K2479" s="252">
        <f t="shared" si="120"/>
        <v>140550</v>
      </c>
      <c r="L2479" s="252">
        <f t="shared" si="120"/>
        <v>150250</v>
      </c>
      <c r="M2479" s="252">
        <f t="shared" si="120"/>
        <v>159950</v>
      </c>
    </row>
    <row r="2480" spans="1:13" ht="21.95" customHeight="1" x14ac:dyDescent="0.25">
      <c r="A2480" s="36" t="s">
        <v>2904</v>
      </c>
      <c r="B2480" s="36" t="str">
        <f t="shared" si="118"/>
        <v>WA_SPOKANE, WA HUD METRO FMR AREA</v>
      </c>
      <c r="D2480" s="265" t="s">
        <v>59</v>
      </c>
      <c r="E2480" s="266" t="s">
        <v>5193</v>
      </c>
      <c r="F2480" s="252">
        <f t="shared" si="120"/>
        <v>56500</v>
      </c>
      <c r="G2480" s="252">
        <f t="shared" si="120"/>
        <v>64550</v>
      </c>
      <c r="H2480" s="252">
        <f t="shared" si="120"/>
        <v>72600</v>
      </c>
      <c r="I2480" s="252">
        <f t="shared" si="120"/>
        <v>80650</v>
      </c>
      <c r="J2480" s="252">
        <f t="shared" si="120"/>
        <v>87150</v>
      </c>
      <c r="K2480" s="252">
        <f t="shared" si="120"/>
        <v>93600</v>
      </c>
      <c r="L2480" s="252">
        <f t="shared" si="120"/>
        <v>100050</v>
      </c>
      <c r="M2480" s="252">
        <f t="shared" si="120"/>
        <v>106500</v>
      </c>
    </row>
    <row r="2481" spans="1:13" ht="21.95" customHeight="1" x14ac:dyDescent="0.25">
      <c r="A2481" s="36" t="s">
        <v>2904</v>
      </c>
      <c r="B2481" s="36" t="str">
        <f t="shared" si="118"/>
        <v>WA_STEVENS COUNTY, WA HUD METRO FMR AREA</v>
      </c>
      <c r="D2481" s="265" t="s">
        <v>59</v>
      </c>
      <c r="E2481" s="266" t="s">
        <v>5194</v>
      </c>
      <c r="F2481" s="252">
        <f t="shared" si="120"/>
        <v>53100</v>
      </c>
      <c r="G2481" s="252">
        <f t="shared" si="120"/>
        <v>60700</v>
      </c>
      <c r="H2481" s="252">
        <f t="shared" si="120"/>
        <v>68300</v>
      </c>
      <c r="I2481" s="252">
        <f t="shared" si="120"/>
        <v>75850</v>
      </c>
      <c r="J2481" s="252">
        <f t="shared" si="120"/>
        <v>81950</v>
      </c>
      <c r="K2481" s="252">
        <f t="shared" si="120"/>
        <v>88000</v>
      </c>
      <c r="L2481" s="252">
        <f t="shared" si="120"/>
        <v>94100</v>
      </c>
      <c r="M2481" s="252">
        <f t="shared" si="120"/>
        <v>100150</v>
      </c>
    </row>
    <row r="2482" spans="1:13" ht="21.95" customHeight="1" x14ac:dyDescent="0.25">
      <c r="A2482" s="36" t="s">
        <v>2904</v>
      </c>
      <c r="B2482" s="36" t="str">
        <f t="shared" si="118"/>
        <v>WA_TACOMA, WA HUD METRO FMR AREA</v>
      </c>
      <c r="D2482" s="265" t="s">
        <v>59</v>
      </c>
      <c r="E2482" s="266" t="s">
        <v>5195</v>
      </c>
      <c r="F2482" s="252">
        <f t="shared" si="120"/>
        <v>67700</v>
      </c>
      <c r="G2482" s="252">
        <f t="shared" si="120"/>
        <v>77350</v>
      </c>
      <c r="H2482" s="252">
        <f t="shared" si="120"/>
        <v>87000</v>
      </c>
      <c r="I2482" s="252">
        <f t="shared" si="120"/>
        <v>96650</v>
      </c>
      <c r="J2482" s="252">
        <f t="shared" si="120"/>
        <v>104400</v>
      </c>
      <c r="K2482" s="252">
        <f t="shared" si="120"/>
        <v>112150</v>
      </c>
      <c r="L2482" s="252">
        <f t="shared" si="120"/>
        <v>119850</v>
      </c>
      <c r="M2482" s="252">
        <f t="shared" si="120"/>
        <v>127600</v>
      </c>
    </row>
    <row r="2483" spans="1:13" ht="21.95" customHeight="1" x14ac:dyDescent="0.25">
      <c r="A2483" s="36" t="s">
        <v>2904</v>
      </c>
      <c r="B2483" s="36" t="str">
        <f t="shared" si="118"/>
        <v>WA_WAHKIAKUM COUNTY, WA</v>
      </c>
      <c r="D2483" s="265" t="s">
        <v>59</v>
      </c>
      <c r="E2483" s="266" t="s">
        <v>5196</v>
      </c>
      <c r="F2483" s="252">
        <f t="shared" si="120"/>
        <v>53100</v>
      </c>
      <c r="G2483" s="252">
        <f t="shared" si="120"/>
        <v>60700</v>
      </c>
      <c r="H2483" s="252">
        <f t="shared" si="120"/>
        <v>68300</v>
      </c>
      <c r="I2483" s="252">
        <f t="shared" si="120"/>
        <v>75850</v>
      </c>
      <c r="J2483" s="252">
        <f t="shared" si="120"/>
        <v>81950</v>
      </c>
      <c r="K2483" s="252">
        <f t="shared" si="120"/>
        <v>88000</v>
      </c>
      <c r="L2483" s="252">
        <f t="shared" si="120"/>
        <v>94100</v>
      </c>
      <c r="M2483" s="252">
        <f t="shared" si="120"/>
        <v>100150</v>
      </c>
    </row>
    <row r="2484" spans="1:13" ht="21.95" customHeight="1" x14ac:dyDescent="0.25">
      <c r="A2484" s="36" t="s">
        <v>2904</v>
      </c>
      <c r="B2484" s="36" t="str">
        <f t="shared" si="118"/>
        <v>WA_WALLA WALLA, WA MSA</v>
      </c>
      <c r="D2484" s="265" t="s">
        <v>59</v>
      </c>
      <c r="E2484" s="266" t="s">
        <v>5197</v>
      </c>
      <c r="F2484" s="252">
        <f t="shared" si="120"/>
        <v>54850</v>
      </c>
      <c r="G2484" s="252">
        <f t="shared" si="120"/>
        <v>62650</v>
      </c>
      <c r="H2484" s="252">
        <f t="shared" si="120"/>
        <v>70500</v>
      </c>
      <c r="I2484" s="252">
        <f t="shared" si="120"/>
        <v>78300</v>
      </c>
      <c r="J2484" s="252">
        <f t="shared" si="120"/>
        <v>84600</v>
      </c>
      <c r="K2484" s="252">
        <f t="shared" si="120"/>
        <v>90850</v>
      </c>
      <c r="L2484" s="252">
        <f t="shared" si="120"/>
        <v>97100</v>
      </c>
      <c r="M2484" s="252">
        <f t="shared" si="120"/>
        <v>103400</v>
      </c>
    </row>
    <row r="2485" spans="1:13" ht="21.95" customHeight="1" x14ac:dyDescent="0.25">
      <c r="A2485" s="36" t="s">
        <v>2904</v>
      </c>
      <c r="B2485" s="36" t="str">
        <f t="shared" si="118"/>
        <v>WA_WENATCHEE-EAST WENATCHEE, WA MSA</v>
      </c>
      <c r="D2485" s="265" t="s">
        <v>59</v>
      </c>
      <c r="E2485" s="266" t="s">
        <v>9280</v>
      </c>
      <c r="F2485" s="252">
        <f t="shared" si="120"/>
        <v>54050</v>
      </c>
      <c r="G2485" s="252">
        <f t="shared" si="120"/>
        <v>61800</v>
      </c>
      <c r="H2485" s="252">
        <f t="shared" si="120"/>
        <v>69500</v>
      </c>
      <c r="I2485" s="252">
        <f t="shared" si="120"/>
        <v>77200</v>
      </c>
      <c r="J2485" s="252">
        <f t="shared" si="120"/>
        <v>83400</v>
      </c>
      <c r="K2485" s="252">
        <f t="shared" si="120"/>
        <v>89600</v>
      </c>
      <c r="L2485" s="252">
        <f t="shared" si="120"/>
        <v>95750</v>
      </c>
      <c r="M2485" s="252">
        <f t="shared" si="120"/>
        <v>101950</v>
      </c>
    </row>
    <row r="2486" spans="1:13" ht="21.95" customHeight="1" x14ac:dyDescent="0.25">
      <c r="A2486" s="36" t="s">
        <v>2904</v>
      </c>
      <c r="B2486" s="36" t="str">
        <f t="shared" si="118"/>
        <v>WA_WHITMAN COUNTY, WA</v>
      </c>
      <c r="D2486" s="265" t="s">
        <v>59</v>
      </c>
      <c r="E2486" s="266" t="s">
        <v>5198</v>
      </c>
      <c r="F2486" s="252">
        <f t="shared" si="120"/>
        <v>55100</v>
      </c>
      <c r="G2486" s="252">
        <f t="shared" si="120"/>
        <v>62950</v>
      </c>
      <c r="H2486" s="252">
        <f t="shared" si="120"/>
        <v>70800</v>
      </c>
      <c r="I2486" s="252">
        <f t="shared" si="120"/>
        <v>78650</v>
      </c>
      <c r="J2486" s="252">
        <f t="shared" si="120"/>
        <v>84950</v>
      </c>
      <c r="K2486" s="252">
        <f t="shared" si="120"/>
        <v>91250</v>
      </c>
      <c r="L2486" s="252">
        <f t="shared" si="120"/>
        <v>97550</v>
      </c>
      <c r="M2486" s="252">
        <f t="shared" si="120"/>
        <v>103850</v>
      </c>
    </row>
    <row r="2487" spans="1:13" ht="21.95" customHeight="1" x14ac:dyDescent="0.25">
      <c r="A2487" s="36" t="s">
        <v>2904</v>
      </c>
      <c r="B2487" s="36" t="str">
        <f t="shared" si="118"/>
        <v>WA_YAKIMA, WA MSA</v>
      </c>
      <c r="D2487" s="265" t="s">
        <v>59</v>
      </c>
      <c r="E2487" s="266" t="s">
        <v>5199</v>
      </c>
      <c r="F2487" s="252">
        <f t="shared" si="120"/>
        <v>53100</v>
      </c>
      <c r="G2487" s="252">
        <f t="shared" si="120"/>
        <v>60700</v>
      </c>
      <c r="H2487" s="252">
        <f t="shared" si="120"/>
        <v>68300</v>
      </c>
      <c r="I2487" s="252">
        <f t="shared" si="120"/>
        <v>75850</v>
      </c>
      <c r="J2487" s="252">
        <f t="shared" si="120"/>
        <v>81950</v>
      </c>
      <c r="K2487" s="252">
        <f t="shared" si="120"/>
        <v>88000</v>
      </c>
      <c r="L2487" s="252">
        <f t="shared" si="120"/>
        <v>94100</v>
      </c>
      <c r="M2487" s="252">
        <f t="shared" si="120"/>
        <v>100150</v>
      </c>
    </row>
    <row r="2488" spans="1:13" ht="21.95" customHeight="1" x14ac:dyDescent="0.25">
      <c r="A2488" s="36" t="s">
        <v>2904</v>
      </c>
      <c r="B2488" s="36" t="str">
        <f t="shared" si="118"/>
        <v>WI_ADAMS COUNTY, WI</v>
      </c>
      <c r="D2488" s="265" t="s">
        <v>57</v>
      </c>
      <c r="E2488" s="266" t="s">
        <v>5200</v>
      </c>
      <c r="F2488" s="252">
        <f t="shared" si="120"/>
        <v>52000</v>
      </c>
      <c r="G2488" s="252">
        <f t="shared" si="120"/>
        <v>59400</v>
      </c>
      <c r="H2488" s="252">
        <f t="shared" si="120"/>
        <v>66850</v>
      </c>
      <c r="I2488" s="252">
        <f t="shared" si="120"/>
        <v>74250</v>
      </c>
      <c r="J2488" s="252">
        <f t="shared" si="120"/>
        <v>80200</v>
      </c>
      <c r="K2488" s="252">
        <f t="shared" si="120"/>
        <v>86150</v>
      </c>
      <c r="L2488" s="252">
        <f t="shared" si="120"/>
        <v>92100</v>
      </c>
      <c r="M2488" s="252">
        <f t="shared" si="120"/>
        <v>98050</v>
      </c>
    </row>
    <row r="2489" spans="1:13" ht="21.95" customHeight="1" x14ac:dyDescent="0.25">
      <c r="A2489" s="36" t="s">
        <v>2904</v>
      </c>
      <c r="B2489" s="36" t="str">
        <f t="shared" si="118"/>
        <v>WI_APPLETON, WI MSA</v>
      </c>
      <c r="D2489" s="265" t="s">
        <v>57</v>
      </c>
      <c r="E2489" s="266" t="s">
        <v>5201</v>
      </c>
      <c r="F2489" s="252">
        <f t="shared" si="120"/>
        <v>62450</v>
      </c>
      <c r="G2489" s="252">
        <f t="shared" si="120"/>
        <v>71400</v>
      </c>
      <c r="H2489" s="252">
        <f t="shared" si="120"/>
        <v>80300</v>
      </c>
      <c r="I2489" s="252">
        <f t="shared" si="120"/>
        <v>89200</v>
      </c>
      <c r="J2489" s="252">
        <f t="shared" si="120"/>
        <v>96350</v>
      </c>
      <c r="K2489" s="252">
        <f t="shared" si="120"/>
        <v>103500</v>
      </c>
      <c r="L2489" s="252">
        <f t="shared" si="120"/>
        <v>110650</v>
      </c>
      <c r="M2489" s="252">
        <f t="shared" si="120"/>
        <v>117750</v>
      </c>
    </row>
    <row r="2490" spans="1:13" ht="21.95" customHeight="1" x14ac:dyDescent="0.25">
      <c r="A2490" s="36" t="s">
        <v>2904</v>
      </c>
      <c r="B2490" s="36" t="str">
        <f t="shared" si="118"/>
        <v>WI_ASHLAND COUNTY, WI</v>
      </c>
      <c r="D2490" s="265" t="s">
        <v>57</v>
      </c>
      <c r="E2490" s="266" t="s">
        <v>5202</v>
      </c>
      <c r="F2490" s="252">
        <f t="shared" si="120"/>
        <v>52000</v>
      </c>
      <c r="G2490" s="252">
        <f t="shared" si="120"/>
        <v>59400</v>
      </c>
      <c r="H2490" s="252">
        <f t="shared" si="120"/>
        <v>66850</v>
      </c>
      <c r="I2490" s="252">
        <f t="shared" si="120"/>
        <v>74250</v>
      </c>
      <c r="J2490" s="252">
        <f t="shared" si="120"/>
        <v>80200</v>
      </c>
      <c r="K2490" s="252">
        <f t="shared" si="120"/>
        <v>86150</v>
      </c>
      <c r="L2490" s="252">
        <f t="shared" si="120"/>
        <v>92100</v>
      </c>
      <c r="M2490" s="252">
        <f t="shared" si="120"/>
        <v>98050</v>
      </c>
    </row>
    <row r="2491" spans="1:13" ht="21.95" customHeight="1" x14ac:dyDescent="0.25">
      <c r="A2491" s="36" t="s">
        <v>2904</v>
      </c>
      <c r="B2491" s="36" t="str">
        <f t="shared" si="118"/>
        <v>WI_BARRON COUNTY, WI</v>
      </c>
      <c r="D2491" s="265" t="s">
        <v>57</v>
      </c>
      <c r="E2491" s="266" t="s">
        <v>5203</v>
      </c>
      <c r="F2491" s="252">
        <f t="shared" si="120"/>
        <v>52000</v>
      </c>
      <c r="G2491" s="252">
        <f t="shared" si="120"/>
        <v>59400</v>
      </c>
      <c r="H2491" s="252">
        <f t="shared" si="120"/>
        <v>66850</v>
      </c>
      <c r="I2491" s="252">
        <f t="shared" si="120"/>
        <v>74250</v>
      </c>
      <c r="J2491" s="252">
        <f t="shared" si="120"/>
        <v>80200</v>
      </c>
      <c r="K2491" s="252">
        <f t="shared" si="120"/>
        <v>86150</v>
      </c>
      <c r="L2491" s="252">
        <f t="shared" si="120"/>
        <v>92100</v>
      </c>
      <c r="M2491" s="252">
        <f t="shared" si="120"/>
        <v>98050</v>
      </c>
    </row>
    <row r="2492" spans="1:13" ht="21.95" customHeight="1" x14ac:dyDescent="0.25">
      <c r="A2492" s="36" t="s">
        <v>2904</v>
      </c>
      <c r="B2492" s="36" t="str">
        <f t="shared" ref="B2492:B2555" si="121">UPPER(TRIM(D2492)&amp;"_"&amp;TRIM(E2492))</f>
        <v>WI_BAYFIELD COUNTY, WI</v>
      </c>
      <c r="D2492" s="265" t="s">
        <v>57</v>
      </c>
      <c r="E2492" s="266" t="s">
        <v>5204</v>
      </c>
      <c r="F2492" s="252">
        <f t="shared" si="120"/>
        <v>52000</v>
      </c>
      <c r="G2492" s="252">
        <f t="shared" si="120"/>
        <v>59400</v>
      </c>
      <c r="H2492" s="252">
        <f t="shared" si="120"/>
        <v>66850</v>
      </c>
      <c r="I2492" s="252">
        <f t="shared" si="120"/>
        <v>74250</v>
      </c>
      <c r="J2492" s="252">
        <f t="shared" si="120"/>
        <v>80200</v>
      </c>
      <c r="K2492" s="252">
        <f t="shared" si="120"/>
        <v>86150</v>
      </c>
      <c r="L2492" s="252">
        <f t="shared" si="120"/>
        <v>92100</v>
      </c>
      <c r="M2492" s="252">
        <f t="shared" si="120"/>
        <v>98050</v>
      </c>
    </row>
    <row r="2493" spans="1:13" ht="21.95" customHeight="1" x14ac:dyDescent="0.25">
      <c r="A2493" s="36" t="s">
        <v>2904</v>
      </c>
      <c r="B2493" s="36" t="str">
        <f t="shared" si="121"/>
        <v>WI_BUFFALO COUNTY, WI</v>
      </c>
      <c r="D2493" s="265" t="s">
        <v>57</v>
      </c>
      <c r="E2493" s="266" t="s">
        <v>5205</v>
      </c>
      <c r="F2493" s="252">
        <f t="shared" si="120"/>
        <v>52000</v>
      </c>
      <c r="G2493" s="252">
        <f t="shared" si="120"/>
        <v>59400</v>
      </c>
      <c r="H2493" s="252">
        <f t="shared" si="120"/>
        <v>66850</v>
      </c>
      <c r="I2493" s="252">
        <f t="shared" si="120"/>
        <v>74250</v>
      </c>
      <c r="J2493" s="252">
        <f t="shared" si="120"/>
        <v>80200</v>
      </c>
      <c r="K2493" s="252">
        <f t="shared" si="120"/>
        <v>86150</v>
      </c>
      <c r="L2493" s="252">
        <f t="shared" si="120"/>
        <v>92100</v>
      </c>
      <c r="M2493" s="252">
        <f t="shared" si="120"/>
        <v>98050</v>
      </c>
    </row>
    <row r="2494" spans="1:13" ht="21.95" customHeight="1" x14ac:dyDescent="0.25">
      <c r="A2494" s="36" t="s">
        <v>2904</v>
      </c>
      <c r="B2494" s="36" t="str">
        <f t="shared" si="121"/>
        <v>WI_BURNETT COUNTY, WI</v>
      </c>
      <c r="D2494" s="265" t="s">
        <v>57</v>
      </c>
      <c r="E2494" s="266" t="s">
        <v>5206</v>
      </c>
      <c r="F2494" s="252">
        <f t="shared" si="120"/>
        <v>52000</v>
      </c>
      <c r="G2494" s="252">
        <f t="shared" si="120"/>
        <v>59400</v>
      </c>
      <c r="H2494" s="252">
        <f t="shared" si="120"/>
        <v>66850</v>
      </c>
      <c r="I2494" s="252">
        <f t="shared" si="120"/>
        <v>74250</v>
      </c>
      <c r="J2494" s="252">
        <f t="shared" si="120"/>
        <v>80200</v>
      </c>
      <c r="K2494" s="252">
        <f t="shared" si="120"/>
        <v>86150</v>
      </c>
      <c r="L2494" s="252">
        <f t="shared" si="120"/>
        <v>92100</v>
      </c>
      <c r="M2494" s="252">
        <f t="shared" si="120"/>
        <v>98050</v>
      </c>
    </row>
    <row r="2495" spans="1:13" ht="21.95" customHeight="1" x14ac:dyDescent="0.25">
      <c r="A2495" s="36" t="s">
        <v>2904</v>
      </c>
      <c r="B2495" s="36" t="str">
        <f t="shared" si="121"/>
        <v>WI_CLARK COUNTY, WI</v>
      </c>
      <c r="D2495" s="265" t="s">
        <v>57</v>
      </c>
      <c r="E2495" s="266" t="s">
        <v>5207</v>
      </c>
      <c r="F2495" s="252">
        <f t="shared" si="120"/>
        <v>52000</v>
      </c>
      <c r="G2495" s="252">
        <f t="shared" si="120"/>
        <v>59400</v>
      </c>
      <c r="H2495" s="252">
        <f t="shared" si="120"/>
        <v>66850</v>
      </c>
      <c r="I2495" s="252">
        <f t="shared" si="120"/>
        <v>74250</v>
      </c>
      <c r="J2495" s="252">
        <f t="shared" si="120"/>
        <v>80200</v>
      </c>
      <c r="K2495" s="252">
        <f t="shared" si="120"/>
        <v>86150</v>
      </c>
      <c r="L2495" s="252">
        <f t="shared" si="120"/>
        <v>92100</v>
      </c>
      <c r="M2495" s="252">
        <f t="shared" si="120"/>
        <v>98050</v>
      </c>
    </row>
    <row r="2496" spans="1:13" ht="21.95" customHeight="1" x14ac:dyDescent="0.25">
      <c r="A2496" s="36" t="s">
        <v>2904</v>
      </c>
      <c r="B2496" s="36" t="str">
        <f t="shared" si="121"/>
        <v>WI_COLUMBIA COUNTY, WI HUD METRO FMR AREA</v>
      </c>
      <c r="D2496" s="265" t="s">
        <v>57</v>
      </c>
      <c r="E2496" s="266" t="s">
        <v>5208</v>
      </c>
      <c r="F2496" s="252">
        <f t="shared" si="120"/>
        <v>59450</v>
      </c>
      <c r="G2496" s="252">
        <f t="shared" si="120"/>
        <v>67950</v>
      </c>
      <c r="H2496" s="252">
        <f t="shared" si="120"/>
        <v>76450</v>
      </c>
      <c r="I2496" s="252">
        <f t="shared" si="120"/>
        <v>84900</v>
      </c>
      <c r="J2496" s="252">
        <f t="shared" ref="F2496:M2528" si="122">VLOOKUP($B2496,LOOKUP_AMI_TABLE,5+((J$7-1)),FALSE)</f>
        <v>91700</v>
      </c>
      <c r="K2496" s="252">
        <f t="shared" si="122"/>
        <v>98500</v>
      </c>
      <c r="L2496" s="252">
        <f t="shared" si="122"/>
        <v>105300</v>
      </c>
      <c r="M2496" s="252">
        <f t="shared" si="122"/>
        <v>112100</v>
      </c>
    </row>
    <row r="2497" spans="1:13" ht="21.95" customHeight="1" x14ac:dyDescent="0.25">
      <c r="A2497" s="36" t="s">
        <v>2904</v>
      </c>
      <c r="B2497" s="36" t="str">
        <f t="shared" si="121"/>
        <v>WI_CRAWFORD COUNTY, WI</v>
      </c>
      <c r="D2497" s="265" t="s">
        <v>57</v>
      </c>
      <c r="E2497" s="266" t="s">
        <v>5209</v>
      </c>
      <c r="F2497" s="252">
        <f t="shared" si="122"/>
        <v>52000</v>
      </c>
      <c r="G2497" s="252">
        <f t="shared" si="122"/>
        <v>59400</v>
      </c>
      <c r="H2497" s="252">
        <f t="shared" si="122"/>
        <v>66850</v>
      </c>
      <c r="I2497" s="252">
        <f t="shared" si="122"/>
        <v>74250</v>
      </c>
      <c r="J2497" s="252">
        <f t="shared" si="122"/>
        <v>80200</v>
      </c>
      <c r="K2497" s="252">
        <f t="shared" si="122"/>
        <v>86150</v>
      </c>
      <c r="L2497" s="252">
        <f t="shared" si="122"/>
        <v>92100</v>
      </c>
      <c r="M2497" s="252">
        <f t="shared" si="122"/>
        <v>98050</v>
      </c>
    </row>
    <row r="2498" spans="1:13" ht="21.95" customHeight="1" x14ac:dyDescent="0.25">
      <c r="A2498" s="36" t="s">
        <v>2904</v>
      </c>
      <c r="B2498" s="36" t="str">
        <f t="shared" si="121"/>
        <v>WI_DODGE COUNTY, WI</v>
      </c>
      <c r="D2498" s="265" t="s">
        <v>57</v>
      </c>
      <c r="E2498" s="266" t="s">
        <v>5210</v>
      </c>
      <c r="F2498" s="252">
        <f t="shared" si="122"/>
        <v>55200</v>
      </c>
      <c r="G2498" s="252">
        <f t="shared" si="122"/>
        <v>63050</v>
      </c>
      <c r="H2498" s="252">
        <f t="shared" si="122"/>
        <v>70950</v>
      </c>
      <c r="I2498" s="252">
        <f t="shared" si="122"/>
        <v>78800</v>
      </c>
      <c r="J2498" s="252">
        <f t="shared" si="122"/>
        <v>85150</v>
      </c>
      <c r="K2498" s="252">
        <f t="shared" si="122"/>
        <v>91450</v>
      </c>
      <c r="L2498" s="252">
        <f t="shared" si="122"/>
        <v>97750</v>
      </c>
      <c r="M2498" s="252">
        <f t="shared" si="122"/>
        <v>104050</v>
      </c>
    </row>
    <row r="2499" spans="1:13" ht="21.95" customHeight="1" x14ac:dyDescent="0.25">
      <c r="A2499" s="36" t="s">
        <v>2904</v>
      </c>
      <c r="B2499" s="36" t="str">
        <f t="shared" si="121"/>
        <v>WI_DOOR COUNTY, WI</v>
      </c>
      <c r="D2499" s="265" t="s">
        <v>57</v>
      </c>
      <c r="E2499" s="266" t="s">
        <v>5211</v>
      </c>
      <c r="F2499" s="252">
        <f t="shared" si="122"/>
        <v>56500</v>
      </c>
      <c r="G2499" s="252">
        <f t="shared" si="122"/>
        <v>64550</v>
      </c>
      <c r="H2499" s="252">
        <f t="shared" si="122"/>
        <v>72600</v>
      </c>
      <c r="I2499" s="252">
        <f t="shared" si="122"/>
        <v>80650</v>
      </c>
      <c r="J2499" s="252">
        <f t="shared" si="122"/>
        <v>87150</v>
      </c>
      <c r="K2499" s="252">
        <f t="shared" si="122"/>
        <v>93600</v>
      </c>
      <c r="L2499" s="252">
        <f t="shared" si="122"/>
        <v>100050</v>
      </c>
      <c r="M2499" s="252">
        <f t="shared" si="122"/>
        <v>106500</v>
      </c>
    </row>
    <row r="2500" spans="1:13" ht="21.95" customHeight="1" x14ac:dyDescent="0.25">
      <c r="A2500" s="36" t="s">
        <v>2904</v>
      </c>
      <c r="B2500" s="36" t="str">
        <f t="shared" si="121"/>
        <v>WI_DULUTH, MN-WI MSA</v>
      </c>
      <c r="D2500" s="265" t="s">
        <v>57</v>
      </c>
      <c r="E2500" s="266" t="s">
        <v>9206</v>
      </c>
      <c r="F2500" s="252">
        <f t="shared" si="122"/>
        <v>56350</v>
      </c>
      <c r="G2500" s="252">
        <f t="shared" si="122"/>
        <v>64400</v>
      </c>
      <c r="H2500" s="252">
        <f t="shared" si="122"/>
        <v>72450</v>
      </c>
      <c r="I2500" s="252">
        <f t="shared" si="122"/>
        <v>80500</v>
      </c>
      <c r="J2500" s="252">
        <f t="shared" si="122"/>
        <v>86950</v>
      </c>
      <c r="K2500" s="252">
        <f t="shared" si="122"/>
        <v>93400</v>
      </c>
      <c r="L2500" s="252">
        <f t="shared" si="122"/>
        <v>99850</v>
      </c>
      <c r="M2500" s="252">
        <f t="shared" si="122"/>
        <v>106300</v>
      </c>
    </row>
    <row r="2501" spans="1:13" ht="21.95" customHeight="1" x14ac:dyDescent="0.25">
      <c r="A2501" s="36" t="s">
        <v>2904</v>
      </c>
      <c r="B2501" s="36" t="str">
        <f t="shared" si="121"/>
        <v>WI_DUNN COUNTY, WI</v>
      </c>
      <c r="D2501" s="265" t="s">
        <v>57</v>
      </c>
      <c r="E2501" s="266" t="s">
        <v>5212</v>
      </c>
      <c r="F2501" s="252">
        <f t="shared" si="122"/>
        <v>55350</v>
      </c>
      <c r="G2501" s="252">
        <f t="shared" si="122"/>
        <v>63250</v>
      </c>
      <c r="H2501" s="252">
        <f t="shared" si="122"/>
        <v>71150</v>
      </c>
      <c r="I2501" s="252">
        <f t="shared" si="122"/>
        <v>79050</v>
      </c>
      <c r="J2501" s="252">
        <f t="shared" si="122"/>
        <v>85400</v>
      </c>
      <c r="K2501" s="252">
        <f t="shared" si="122"/>
        <v>91700</v>
      </c>
      <c r="L2501" s="252">
        <f t="shared" si="122"/>
        <v>98050</v>
      </c>
      <c r="M2501" s="252">
        <f t="shared" si="122"/>
        <v>104350</v>
      </c>
    </row>
    <row r="2502" spans="1:13" ht="21.95" customHeight="1" x14ac:dyDescent="0.25">
      <c r="A2502" s="36" t="s">
        <v>2904</v>
      </c>
      <c r="B2502" s="36" t="str">
        <f t="shared" si="121"/>
        <v>WI_EAU CLAIRE, WI MSA</v>
      </c>
      <c r="D2502" s="265" t="s">
        <v>57</v>
      </c>
      <c r="E2502" s="266" t="s">
        <v>5213</v>
      </c>
      <c r="F2502" s="252">
        <f t="shared" si="122"/>
        <v>57800</v>
      </c>
      <c r="G2502" s="252">
        <f t="shared" si="122"/>
        <v>66050</v>
      </c>
      <c r="H2502" s="252">
        <f t="shared" si="122"/>
        <v>74300</v>
      </c>
      <c r="I2502" s="252">
        <f t="shared" si="122"/>
        <v>82550</v>
      </c>
      <c r="J2502" s="252">
        <f t="shared" si="122"/>
        <v>89200</v>
      </c>
      <c r="K2502" s="252">
        <f t="shared" si="122"/>
        <v>95800</v>
      </c>
      <c r="L2502" s="252">
        <f t="shared" si="122"/>
        <v>102400</v>
      </c>
      <c r="M2502" s="252">
        <f t="shared" si="122"/>
        <v>109000</v>
      </c>
    </row>
    <row r="2503" spans="1:13" ht="21.95" customHeight="1" x14ac:dyDescent="0.25">
      <c r="A2503" s="36" t="s">
        <v>2904</v>
      </c>
      <c r="B2503" s="36" t="str">
        <f t="shared" si="121"/>
        <v>WI_FLORENCE COUNTY, WI</v>
      </c>
      <c r="D2503" s="265" t="s">
        <v>57</v>
      </c>
      <c r="E2503" s="266" t="s">
        <v>5214</v>
      </c>
      <c r="F2503" s="252">
        <f t="shared" si="122"/>
        <v>52000</v>
      </c>
      <c r="G2503" s="252">
        <f t="shared" si="122"/>
        <v>59400</v>
      </c>
      <c r="H2503" s="252">
        <f t="shared" si="122"/>
        <v>66850</v>
      </c>
      <c r="I2503" s="252">
        <f t="shared" si="122"/>
        <v>74250</v>
      </c>
      <c r="J2503" s="252">
        <f t="shared" si="122"/>
        <v>80200</v>
      </c>
      <c r="K2503" s="252">
        <f t="shared" si="122"/>
        <v>86150</v>
      </c>
      <c r="L2503" s="252">
        <f t="shared" si="122"/>
        <v>92100</v>
      </c>
      <c r="M2503" s="252">
        <f t="shared" si="122"/>
        <v>98050</v>
      </c>
    </row>
    <row r="2504" spans="1:13" ht="21.95" customHeight="1" x14ac:dyDescent="0.25">
      <c r="A2504" s="36" t="s">
        <v>2904</v>
      </c>
      <c r="B2504" s="36" t="str">
        <f t="shared" si="121"/>
        <v>WI_FOND DU LAC, WI MSA</v>
      </c>
      <c r="D2504" s="265" t="s">
        <v>57</v>
      </c>
      <c r="E2504" s="266" t="s">
        <v>5215</v>
      </c>
      <c r="F2504" s="252">
        <f t="shared" si="122"/>
        <v>54800</v>
      </c>
      <c r="G2504" s="252">
        <f t="shared" si="122"/>
        <v>62600</v>
      </c>
      <c r="H2504" s="252">
        <f t="shared" si="122"/>
        <v>70450</v>
      </c>
      <c r="I2504" s="252">
        <f t="shared" si="122"/>
        <v>78250</v>
      </c>
      <c r="J2504" s="252">
        <f t="shared" si="122"/>
        <v>84550</v>
      </c>
      <c r="K2504" s="252">
        <f t="shared" si="122"/>
        <v>90800</v>
      </c>
      <c r="L2504" s="252">
        <f t="shared" si="122"/>
        <v>97050</v>
      </c>
      <c r="M2504" s="252">
        <f t="shared" si="122"/>
        <v>103300</v>
      </c>
    </row>
    <row r="2505" spans="1:13" ht="21.95" customHeight="1" x14ac:dyDescent="0.25">
      <c r="A2505" s="36" t="s">
        <v>2904</v>
      </c>
      <c r="B2505" s="36" t="str">
        <f t="shared" si="121"/>
        <v>WI_FOREST COUNTY, WI</v>
      </c>
      <c r="D2505" s="265" t="s">
        <v>57</v>
      </c>
      <c r="E2505" s="266" t="s">
        <v>5216</v>
      </c>
      <c r="F2505" s="252">
        <f t="shared" si="122"/>
        <v>52000</v>
      </c>
      <c r="G2505" s="252">
        <f t="shared" si="122"/>
        <v>59400</v>
      </c>
      <c r="H2505" s="252">
        <f t="shared" si="122"/>
        <v>66850</v>
      </c>
      <c r="I2505" s="252">
        <f t="shared" si="122"/>
        <v>74250</v>
      </c>
      <c r="J2505" s="252">
        <f t="shared" si="122"/>
        <v>80200</v>
      </c>
      <c r="K2505" s="252">
        <f t="shared" si="122"/>
        <v>86150</v>
      </c>
      <c r="L2505" s="252">
        <f t="shared" si="122"/>
        <v>92100</v>
      </c>
      <c r="M2505" s="252">
        <f t="shared" si="122"/>
        <v>98050</v>
      </c>
    </row>
    <row r="2506" spans="1:13" ht="21.95" customHeight="1" x14ac:dyDescent="0.25">
      <c r="A2506" s="36" t="s">
        <v>2904</v>
      </c>
      <c r="B2506" s="36" t="str">
        <f t="shared" si="121"/>
        <v>WI_GRANT COUNTY, WI</v>
      </c>
      <c r="D2506" s="265" t="s">
        <v>57</v>
      </c>
      <c r="E2506" s="266" t="s">
        <v>5217</v>
      </c>
      <c r="F2506" s="252">
        <f t="shared" si="122"/>
        <v>52000</v>
      </c>
      <c r="G2506" s="252">
        <f t="shared" si="122"/>
        <v>59400</v>
      </c>
      <c r="H2506" s="252">
        <f t="shared" si="122"/>
        <v>66850</v>
      </c>
      <c r="I2506" s="252">
        <f t="shared" si="122"/>
        <v>74250</v>
      </c>
      <c r="J2506" s="252">
        <f t="shared" si="122"/>
        <v>80200</v>
      </c>
      <c r="K2506" s="252">
        <f t="shared" si="122"/>
        <v>86150</v>
      </c>
      <c r="L2506" s="252">
        <f t="shared" si="122"/>
        <v>92100</v>
      </c>
      <c r="M2506" s="252">
        <f t="shared" si="122"/>
        <v>98050</v>
      </c>
    </row>
    <row r="2507" spans="1:13" ht="21.95" customHeight="1" x14ac:dyDescent="0.25">
      <c r="A2507" s="36" t="s">
        <v>2904</v>
      </c>
      <c r="B2507" s="36" t="str">
        <f t="shared" si="121"/>
        <v>WI_GREEN BAY, WI HUD METRO FMR AREA</v>
      </c>
      <c r="D2507" s="265" t="s">
        <v>57</v>
      </c>
      <c r="E2507" s="266" t="s">
        <v>5218</v>
      </c>
      <c r="F2507" s="252">
        <f t="shared" si="122"/>
        <v>59950</v>
      </c>
      <c r="G2507" s="252">
        <f t="shared" si="122"/>
        <v>68500</v>
      </c>
      <c r="H2507" s="252">
        <f t="shared" si="122"/>
        <v>77050</v>
      </c>
      <c r="I2507" s="252">
        <f t="shared" si="122"/>
        <v>85600</v>
      </c>
      <c r="J2507" s="252">
        <f t="shared" si="122"/>
        <v>92450</v>
      </c>
      <c r="K2507" s="252">
        <f t="shared" si="122"/>
        <v>99300</v>
      </c>
      <c r="L2507" s="252">
        <f t="shared" si="122"/>
        <v>106150</v>
      </c>
      <c r="M2507" s="252">
        <f t="shared" si="122"/>
        <v>113000</v>
      </c>
    </row>
    <row r="2508" spans="1:13" ht="21.95" customHeight="1" x14ac:dyDescent="0.25">
      <c r="A2508" s="36" t="s">
        <v>2904</v>
      </c>
      <c r="B2508" s="36" t="str">
        <f t="shared" si="121"/>
        <v>WI_GREEN COUNTY, WI HUD METRO FMR AREA</v>
      </c>
      <c r="D2508" s="265" t="s">
        <v>57</v>
      </c>
      <c r="E2508" s="266" t="s">
        <v>5219</v>
      </c>
      <c r="F2508" s="252">
        <f t="shared" si="122"/>
        <v>59300</v>
      </c>
      <c r="G2508" s="252">
        <f t="shared" si="122"/>
        <v>67750</v>
      </c>
      <c r="H2508" s="252">
        <f t="shared" si="122"/>
        <v>76200</v>
      </c>
      <c r="I2508" s="252">
        <f t="shared" si="122"/>
        <v>84650</v>
      </c>
      <c r="J2508" s="252">
        <f t="shared" si="122"/>
        <v>91450</v>
      </c>
      <c r="K2508" s="252">
        <f t="shared" si="122"/>
        <v>98200</v>
      </c>
      <c r="L2508" s="252">
        <f t="shared" si="122"/>
        <v>105000</v>
      </c>
      <c r="M2508" s="252">
        <f t="shared" si="122"/>
        <v>111750</v>
      </c>
    </row>
    <row r="2509" spans="1:13" ht="21.95" customHeight="1" x14ac:dyDescent="0.25">
      <c r="A2509" s="36" t="s">
        <v>2904</v>
      </c>
      <c r="B2509" s="36" t="str">
        <f t="shared" si="121"/>
        <v>WI_GREEN LAKE COUNTY, WI</v>
      </c>
      <c r="D2509" s="265" t="s">
        <v>57</v>
      </c>
      <c r="E2509" s="266" t="s">
        <v>5220</v>
      </c>
      <c r="F2509" s="252">
        <f t="shared" si="122"/>
        <v>52000</v>
      </c>
      <c r="G2509" s="252">
        <f t="shared" si="122"/>
        <v>59400</v>
      </c>
      <c r="H2509" s="252">
        <f t="shared" si="122"/>
        <v>66850</v>
      </c>
      <c r="I2509" s="252">
        <f t="shared" si="122"/>
        <v>74250</v>
      </c>
      <c r="J2509" s="252">
        <f t="shared" si="122"/>
        <v>80200</v>
      </c>
      <c r="K2509" s="252">
        <f t="shared" si="122"/>
        <v>86150</v>
      </c>
      <c r="L2509" s="252">
        <f t="shared" si="122"/>
        <v>92100</v>
      </c>
      <c r="M2509" s="252">
        <f t="shared" si="122"/>
        <v>98050</v>
      </c>
    </row>
    <row r="2510" spans="1:13" ht="21.95" customHeight="1" x14ac:dyDescent="0.25">
      <c r="A2510" s="36" t="s">
        <v>2904</v>
      </c>
      <c r="B2510" s="36" t="str">
        <f t="shared" si="121"/>
        <v>WI_IOWA COUNTY, WI HUD METRO FMR AREA</v>
      </c>
      <c r="D2510" s="265" t="s">
        <v>57</v>
      </c>
      <c r="E2510" s="266" t="s">
        <v>5221</v>
      </c>
      <c r="F2510" s="252">
        <f t="shared" si="122"/>
        <v>63500</v>
      </c>
      <c r="G2510" s="252">
        <f t="shared" si="122"/>
        <v>72600</v>
      </c>
      <c r="H2510" s="252">
        <f t="shared" si="122"/>
        <v>81650</v>
      </c>
      <c r="I2510" s="252">
        <f t="shared" si="122"/>
        <v>90700</v>
      </c>
      <c r="J2510" s="252">
        <f t="shared" si="122"/>
        <v>98000</v>
      </c>
      <c r="K2510" s="252">
        <f t="shared" si="122"/>
        <v>105250</v>
      </c>
      <c r="L2510" s="252">
        <f t="shared" si="122"/>
        <v>112500</v>
      </c>
      <c r="M2510" s="252">
        <f t="shared" si="122"/>
        <v>119750</v>
      </c>
    </row>
    <row r="2511" spans="1:13" ht="21.95" customHeight="1" x14ac:dyDescent="0.25">
      <c r="A2511" s="36" t="s">
        <v>2904</v>
      </c>
      <c r="B2511" s="36" t="str">
        <f t="shared" si="121"/>
        <v>WI_IRON COUNTY, WI</v>
      </c>
      <c r="D2511" s="265" t="s">
        <v>57</v>
      </c>
      <c r="E2511" s="266" t="s">
        <v>5222</v>
      </c>
      <c r="F2511" s="252">
        <f t="shared" si="122"/>
        <v>52000</v>
      </c>
      <c r="G2511" s="252">
        <f t="shared" si="122"/>
        <v>59400</v>
      </c>
      <c r="H2511" s="252">
        <f t="shared" si="122"/>
        <v>66850</v>
      </c>
      <c r="I2511" s="252">
        <f t="shared" si="122"/>
        <v>74250</v>
      </c>
      <c r="J2511" s="252">
        <f t="shared" si="122"/>
        <v>80200</v>
      </c>
      <c r="K2511" s="252">
        <f t="shared" si="122"/>
        <v>86150</v>
      </c>
      <c r="L2511" s="252">
        <f t="shared" si="122"/>
        <v>92100</v>
      </c>
      <c r="M2511" s="252">
        <f t="shared" si="122"/>
        <v>98050</v>
      </c>
    </row>
    <row r="2512" spans="1:13" ht="21.95" customHeight="1" x14ac:dyDescent="0.25">
      <c r="A2512" s="36" t="s">
        <v>2904</v>
      </c>
      <c r="B2512" s="36" t="str">
        <f t="shared" si="121"/>
        <v>WI_JACKSON COUNTY, WI</v>
      </c>
      <c r="D2512" s="265" t="s">
        <v>57</v>
      </c>
      <c r="E2512" s="266" t="s">
        <v>5223</v>
      </c>
      <c r="F2512" s="252">
        <f t="shared" si="122"/>
        <v>52000</v>
      </c>
      <c r="G2512" s="252">
        <f t="shared" si="122"/>
        <v>59400</v>
      </c>
      <c r="H2512" s="252">
        <f t="shared" si="122"/>
        <v>66850</v>
      </c>
      <c r="I2512" s="252">
        <f t="shared" si="122"/>
        <v>74250</v>
      </c>
      <c r="J2512" s="252">
        <f t="shared" si="122"/>
        <v>80200</v>
      </c>
      <c r="K2512" s="252">
        <f t="shared" si="122"/>
        <v>86150</v>
      </c>
      <c r="L2512" s="252">
        <f t="shared" si="122"/>
        <v>92100</v>
      </c>
      <c r="M2512" s="252">
        <f t="shared" si="122"/>
        <v>98050</v>
      </c>
    </row>
    <row r="2513" spans="1:13" ht="21.95" customHeight="1" x14ac:dyDescent="0.25">
      <c r="A2513" s="36" t="s">
        <v>2904</v>
      </c>
      <c r="B2513" s="36" t="str">
        <f t="shared" si="121"/>
        <v>WI_JANESVILLE-BELOIT, WI MSA</v>
      </c>
      <c r="D2513" s="265" t="s">
        <v>57</v>
      </c>
      <c r="E2513" s="266" t="s">
        <v>5224</v>
      </c>
      <c r="F2513" s="252">
        <f t="shared" si="122"/>
        <v>52950</v>
      </c>
      <c r="G2513" s="252">
        <f t="shared" si="122"/>
        <v>60500</v>
      </c>
      <c r="H2513" s="252">
        <f t="shared" si="122"/>
        <v>68050</v>
      </c>
      <c r="I2513" s="252">
        <f t="shared" si="122"/>
        <v>75600</v>
      </c>
      <c r="J2513" s="252">
        <f t="shared" si="122"/>
        <v>81650</v>
      </c>
      <c r="K2513" s="252">
        <f t="shared" si="122"/>
        <v>87700</v>
      </c>
      <c r="L2513" s="252">
        <f t="shared" si="122"/>
        <v>93750</v>
      </c>
      <c r="M2513" s="252">
        <f t="shared" si="122"/>
        <v>99800</v>
      </c>
    </row>
    <row r="2514" spans="1:13" ht="21.95" customHeight="1" x14ac:dyDescent="0.25">
      <c r="A2514" s="36" t="s">
        <v>2904</v>
      </c>
      <c r="B2514" s="36" t="str">
        <f t="shared" si="121"/>
        <v>WI_JEFFERSON COUNTY, WI</v>
      </c>
      <c r="D2514" s="265" t="s">
        <v>57</v>
      </c>
      <c r="E2514" s="266" t="s">
        <v>5225</v>
      </c>
      <c r="F2514" s="252">
        <f t="shared" si="122"/>
        <v>61400</v>
      </c>
      <c r="G2514" s="252">
        <f t="shared" si="122"/>
        <v>70200</v>
      </c>
      <c r="H2514" s="252">
        <f t="shared" si="122"/>
        <v>78950</v>
      </c>
      <c r="I2514" s="252">
        <f t="shared" si="122"/>
        <v>87700</v>
      </c>
      <c r="J2514" s="252">
        <f t="shared" si="122"/>
        <v>94750</v>
      </c>
      <c r="K2514" s="252">
        <f t="shared" si="122"/>
        <v>101750</v>
      </c>
      <c r="L2514" s="252">
        <f t="shared" si="122"/>
        <v>108750</v>
      </c>
      <c r="M2514" s="252">
        <f t="shared" si="122"/>
        <v>115800</v>
      </c>
    </row>
    <row r="2515" spans="1:13" ht="21.95" customHeight="1" x14ac:dyDescent="0.25">
      <c r="A2515" s="36" t="s">
        <v>2904</v>
      </c>
      <c r="B2515" s="36" t="str">
        <f t="shared" si="121"/>
        <v>WI_JUNEAU COUNTY, WI</v>
      </c>
      <c r="D2515" s="265" t="s">
        <v>57</v>
      </c>
      <c r="E2515" s="266" t="s">
        <v>5226</v>
      </c>
      <c r="F2515" s="252">
        <f t="shared" si="122"/>
        <v>52000</v>
      </c>
      <c r="G2515" s="252">
        <f t="shared" si="122"/>
        <v>59400</v>
      </c>
      <c r="H2515" s="252">
        <f t="shared" si="122"/>
        <v>66850</v>
      </c>
      <c r="I2515" s="252">
        <f t="shared" si="122"/>
        <v>74250</v>
      </c>
      <c r="J2515" s="252">
        <f t="shared" si="122"/>
        <v>80200</v>
      </c>
      <c r="K2515" s="252">
        <f t="shared" si="122"/>
        <v>86150</v>
      </c>
      <c r="L2515" s="252">
        <f t="shared" si="122"/>
        <v>92100</v>
      </c>
      <c r="M2515" s="252">
        <f t="shared" si="122"/>
        <v>98050</v>
      </c>
    </row>
    <row r="2516" spans="1:13" ht="21.95" customHeight="1" x14ac:dyDescent="0.25">
      <c r="A2516" s="36" t="s">
        <v>2904</v>
      </c>
      <c r="B2516" s="36" t="str">
        <f t="shared" si="121"/>
        <v>WI_KENOSHA, WI MSA</v>
      </c>
      <c r="D2516" s="265" t="s">
        <v>57</v>
      </c>
      <c r="E2516" s="266" t="s">
        <v>9284</v>
      </c>
      <c r="F2516" s="252">
        <f t="shared" si="122"/>
        <v>59850</v>
      </c>
      <c r="G2516" s="252">
        <f t="shared" si="122"/>
        <v>68400</v>
      </c>
      <c r="H2516" s="252">
        <f t="shared" si="122"/>
        <v>76950</v>
      </c>
      <c r="I2516" s="252">
        <f t="shared" si="122"/>
        <v>85450</v>
      </c>
      <c r="J2516" s="252">
        <f t="shared" si="122"/>
        <v>92300</v>
      </c>
      <c r="K2516" s="252">
        <f t="shared" si="122"/>
        <v>99150</v>
      </c>
      <c r="L2516" s="252">
        <f t="shared" si="122"/>
        <v>106000</v>
      </c>
      <c r="M2516" s="252">
        <f t="shared" si="122"/>
        <v>112800</v>
      </c>
    </row>
    <row r="2517" spans="1:13" ht="21.95" customHeight="1" x14ac:dyDescent="0.25">
      <c r="A2517" s="36" t="s">
        <v>2904</v>
      </c>
      <c r="B2517" s="36" t="str">
        <f t="shared" si="121"/>
        <v>WI_LA CROSSE-ONALASKA, WI-MN HUD METRO FMR AREA</v>
      </c>
      <c r="D2517" s="265" t="s">
        <v>57</v>
      </c>
      <c r="E2517" s="266" t="s">
        <v>9207</v>
      </c>
      <c r="F2517" s="252">
        <f t="shared" si="122"/>
        <v>60150</v>
      </c>
      <c r="G2517" s="252">
        <f t="shared" si="122"/>
        <v>68750</v>
      </c>
      <c r="H2517" s="252">
        <f t="shared" si="122"/>
        <v>77350</v>
      </c>
      <c r="I2517" s="252">
        <f t="shared" si="122"/>
        <v>85900</v>
      </c>
      <c r="J2517" s="252">
        <f t="shared" si="122"/>
        <v>92800</v>
      </c>
      <c r="K2517" s="252">
        <f t="shared" si="122"/>
        <v>99650</v>
      </c>
      <c r="L2517" s="252">
        <f t="shared" si="122"/>
        <v>106550</v>
      </c>
      <c r="M2517" s="252">
        <f t="shared" si="122"/>
        <v>113400</v>
      </c>
    </row>
    <row r="2518" spans="1:13" ht="21.95" customHeight="1" x14ac:dyDescent="0.25">
      <c r="A2518" s="36" t="s">
        <v>2904</v>
      </c>
      <c r="B2518" s="36" t="str">
        <f t="shared" si="121"/>
        <v>WI_LAFAYETTE COUNTY, WI</v>
      </c>
      <c r="D2518" s="265" t="s">
        <v>57</v>
      </c>
      <c r="E2518" s="266" t="s">
        <v>5227</v>
      </c>
      <c r="F2518" s="252">
        <f t="shared" si="122"/>
        <v>52300</v>
      </c>
      <c r="G2518" s="252">
        <f t="shared" si="122"/>
        <v>59750</v>
      </c>
      <c r="H2518" s="252">
        <f t="shared" si="122"/>
        <v>67200</v>
      </c>
      <c r="I2518" s="252">
        <f t="shared" si="122"/>
        <v>74650</v>
      </c>
      <c r="J2518" s="252">
        <f t="shared" si="122"/>
        <v>80650</v>
      </c>
      <c r="K2518" s="252">
        <f t="shared" si="122"/>
        <v>86600</v>
      </c>
      <c r="L2518" s="252">
        <f t="shared" si="122"/>
        <v>92600</v>
      </c>
      <c r="M2518" s="252">
        <f t="shared" si="122"/>
        <v>98550</v>
      </c>
    </row>
    <row r="2519" spans="1:13" ht="21.95" customHeight="1" x14ac:dyDescent="0.25">
      <c r="A2519" s="36" t="s">
        <v>2904</v>
      </c>
      <c r="B2519" s="36" t="str">
        <f t="shared" si="121"/>
        <v>WI_LANGLADE COUNTY, WI</v>
      </c>
      <c r="D2519" s="265" t="s">
        <v>57</v>
      </c>
      <c r="E2519" s="266" t="s">
        <v>5228</v>
      </c>
      <c r="F2519" s="252">
        <f t="shared" si="122"/>
        <v>52000</v>
      </c>
      <c r="G2519" s="252">
        <f t="shared" si="122"/>
        <v>59400</v>
      </c>
      <c r="H2519" s="252">
        <f t="shared" si="122"/>
        <v>66850</v>
      </c>
      <c r="I2519" s="252">
        <f t="shared" si="122"/>
        <v>74250</v>
      </c>
      <c r="J2519" s="252">
        <f t="shared" si="122"/>
        <v>80200</v>
      </c>
      <c r="K2519" s="252">
        <f t="shared" si="122"/>
        <v>86150</v>
      </c>
      <c r="L2519" s="252">
        <f t="shared" si="122"/>
        <v>92100</v>
      </c>
      <c r="M2519" s="252">
        <f t="shared" si="122"/>
        <v>98050</v>
      </c>
    </row>
    <row r="2520" spans="1:13" ht="21.95" customHeight="1" x14ac:dyDescent="0.25">
      <c r="A2520" s="36" t="s">
        <v>2904</v>
      </c>
      <c r="B2520" s="36" t="str">
        <f t="shared" si="121"/>
        <v>WI_LINCOLN COUNTY, WI</v>
      </c>
      <c r="D2520" s="265" t="s">
        <v>57</v>
      </c>
      <c r="E2520" s="266" t="s">
        <v>9285</v>
      </c>
      <c r="F2520" s="252">
        <f t="shared" si="122"/>
        <v>53200</v>
      </c>
      <c r="G2520" s="252">
        <f t="shared" si="122"/>
        <v>60800</v>
      </c>
      <c r="H2520" s="252">
        <f t="shared" si="122"/>
        <v>68400</v>
      </c>
      <c r="I2520" s="252">
        <f t="shared" si="122"/>
        <v>76000</v>
      </c>
      <c r="J2520" s="252">
        <f t="shared" si="122"/>
        <v>82100</v>
      </c>
      <c r="K2520" s="252">
        <f t="shared" si="122"/>
        <v>88200</v>
      </c>
      <c r="L2520" s="252">
        <f t="shared" si="122"/>
        <v>94250</v>
      </c>
      <c r="M2520" s="252">
        <f t="shared" si="122"/>
        <v>100350</v>
      </c>
    </row>
    <row r="2521" spans="1:13" ht="21.95" customHeight="1" x14ac:dyDescent="0.25">
      <c r="A2521" s="36" t="s">
        <v>2904</v>
      </c>
      <c r="B2521" s="36" t="str">
        <f t="shared" si="121"/>
        <v>WI_MADISON, WI HUD METRO FMR AREA</v>
      </c>
      <c r="D2521" s="265" t="s">
        <v>57</v>
      </c>
      <c r="E2521" s="266" t="s">
        <v>5229</v>
      </c>
      <c r="F2521" s="252">
        <f t="shared" si="122"/>
        <v>72700</v>
      </c>
      <c r="G2521" s="252">
        <f t="shared" si="122"/>
        <v>83100</v>
      </c>
      <c r="H2521" s="252">
        <f t="shared" si="122"/>
        <v>93500</v>
      </c>
      <c r="I2521" s="252">
        <f t="shared" si="122"/>
        <v>103850</v>
      </c>
      <c r="J2521" s="252">
        <f t="shared" si="122"/>
        <v>112200</v>
      </c>
      <c r="K2521" s="252">
        <f t="shared" si="122"/>
        <v>120500</v>
      </c>
      <c r="L2521" s="252">
        <f t="shared" si="122"/>
        <v>128800</v>
      </c>
      <c r="M2521" s="252">
        <f t="shared" si="122"/>
        <v>137100</v>
      </c>
    </row>
    <row r="2522" spans="1:13" ht="21.95" customHeight="1" x14ac:dyDescent="0.25">
      <c r="A2522" s="36" t="s">
        <v>2904</v>
      </c>
      <c r="B2522" s="36" t="str">
        <f t="shared" si="121"/>
        <v>WI_MANITOWOC COUNTY, WI</v>
      </c>
      <c r="D2522" s="265" t="s">
        <v>57</v>
      </c>
      <c r="E2522" s="266" t="s">
        <v>5230</v>
      </c>
      <c r="F2522" s="252">
        <f t="shared" si="122"/>
        <v>52950</v>
      </c>
      <c r="G2522" s="252">
        <f t="shared" si="122"/>
        <v>60500</v>
      </c>
      <c r="H2522" s="252">
        <f t="shared" si="122"/>
        <v>68050</v>
      </c>
      <c r="I2522" s="252">
        <f t="shared" si="122"/>
        <v>75600</v>
      </c>
      <c r="J2522" s="252">
        <f t="shared" si="122"/>
        <v>81650</v>
      </c>
      <c r="K2522" s="252">
        <f t="shared" si="122"/>
        <v>87700</v>
      </c>
      <c r="L2522" s="252">
        <f t="shared" si="122"/>
        <v>93750</v>
      </c>
      <c r="M2522" s="252">
        <f t="shared" si="122"/>
        <v>99800</v>
      </c>
    </row>
    <row r="2523" spans="1:13" ht="21.95" customHeight="1" x14ac:dyDescent="0.25">
      <c r="A2523" s="36" t="s">
        <v>2904</v>
      </c>
      <c r="B2523" s="36" t="str">
        <f t="shared" si="121"/>
        <v>WI_MARINETTE COUNTY, WI</v>
      </c>
      <c r="D2523" s="265" t="s">
        <v>57</v>
      </c>
      <c r="E2523" s="266" t="s">
        <v>5231</v>
      </c>
      <c r="F2523" s="252">
        <f t="shared" si="122"/>
        <v>52000</v>
      </c>
      <c r="G2523" s="252">
        <f t="shared" si="122"/>
        <v>59400</v>
      </c>
      <c r="H2523" s="252">
        <f t="shared" si="122"/>
        <v>66850</v>
      </c>
      <c r="I2523" s="252">
        <f t="shared" si="122"/>
        <v>74250</v>
      </c>
      <c r="J2523" s="252">
        <f t="shared" si="122"/>
        <v>80200</v>
      </c>
      <c r="K2523" s="252">
        <f t="shared" si="122"/>
        <v>86150</v>
      </c>
      <c r="L2523" s="252">
        <f t="shared" si="122"/>
        <v>92100</v>
      </c>
      <c r="M2523" s="252">
        <f t="shared" si="122"/>
        <v>98050</v>
      </c>
    </row>
    <row r="2524" spans="1:13" ht="21.95" customHeight="1" x14ac:dyDescent="0.25">
      <c r="A2524" s="36" t="s">
        <v>2904</v>
      </c>
      <c r="B2524" s="36" t="str">
        <f t="shared" si="121"/>
        <v>WI_MARQUETTE COUNTY, WI</v>
      </c>
      <c r="D2524" s="265" t="s">
        <v>57</v>
      </c>
      <c r="E2524" s="266" t="s">
        <v>5232</v>
      </c>
      <c r="F2524" s="252">
        <f t="shared" si="122"/>
        <v>52000</v>
      </c>
      <c r="G2524" s="252">
        <f t="shared" si="122"/>
        <v>59400</v>
      </c>
      <c r="H2524" s="252">
        <f t="shared" si="122"/>
        <v>66850</v>
      </c>
      <c r="I2524" s="252">
        <f t="shared" si="122"/>
        <v>74250</v>
      </c>
      <c r="J2524" s="252">
        <f t="shared" si="122"/>
        <v>80200</v>
      </c>
      <c r="K2524" s="252">
        <f t="shared" si="122"/>
        <v>86150</v>
      </c>
      <c r="L2524" s="252">
        <f t="shared" si="122"/>
        <v>92100</v>
      </c>
      <c r="M2524" s="252">
        <f t="shared" si="122"/>
        <v>98050</v>
      </c>
    </row>
    <row r="2525" spans="1:13" ht="21.95" customHeight="1" x14ac:dyDescent="0.25">
      <c r="A2525" s="36" t="s">
        <v>2904</v>
      </c>
      <c r="B2525" s="36" t="str">
        <f t="shared" si="121"/>
        <v>WI_MENOMINEE COUNTY, WI</v>
      </c>
      <c r="D2525" s="265" t="s">
        <v>57</v>
      </c>
      <c r="E2525" s="266" t="s">
        <v>5233</v>
      </c>
      <c r="F2525" s="252">
        <f t="shared" si="122"/>
        <v>52000</v>
      </c>
      <c r="G2525" s="252">
        <f t="shared" si="122"/>
        <v>59400</v>
      </c>
      <c r="H2525" s="252">
        <f t="shared" si="122"/>
        <v>66850</v>
      </c>
      <c r="I2525" s="252">
        <f t="shared" si="122"/>
        <v>74250</v>
      </c>
      <c r="J2525" s="252">
        <f t="shared" si="122"/>
        <v>80200</v>
      </c>
      <c r="K2525" s="252">
        <f t="shared" si="122"/>
        <v>86150</v>
      </c>
      <c r="L2525" s="252">
        <f t="shared" si="122"/>
        <v>92100</v>
      </c>
      <c r="M2525" s="252">
        <f t="shared" si="122"/>
        <v>98050</v>
      </c>
    </row>
    <row r="2526" spans="1:13" ht="21.95" customHeight="1" x14ac:dyDescent="0.25">
      <c r="A2526" s="36" t="s">
        <v>2904</v>
      </c>
      <c r="B2526" s="36" t="str">
        <f t="shared" si="121"/>
        <v>WI_MILWAUKEE-WAUKESHA, WI MSA</v>
      </c>
      <c r="D2526" s="265" t="s">
        <v>57</v>
      </c>
      <c r="E2526" s="266" t="s">
        <v>9287</v>
      </c>
      <c r="F2526" s="252">
        <f t="shared" si="122"/>
        <v>62000</v>
      </c>
      <c r="G2526" s="252">
        <f t="shared" si="122"/>
        <v>70850</v>
      </c>
      <c r="H2526" s="252">
        <f t="shared" si="122"/>
        <v>79700</v>
      </c>
      <c r="I2526" s="252">
        <f t="shared" si="122"/>
        <v>88550</v>
      </c>
      <c r="J2526" s="252">
        <f t="shared" si="122"/>
        <v>95650</v>
      </c>
      <c r="K2526" s="252">
        <f t="shared" si="122"/>
        <v>102750</v>
      </c>
      <c r="L2526" s="252">
        <f t="shared" si="122"/>
        <v>109850</v>
      </c>
      <c r="M2526" s="252">
        <f t="shared" si="122"/>
        <v>116900</v>
      </c>
    </row>
    <row r="2527" spans="1:13" ht="21.95" customHeight="1" x14ac:dyDescent="0.25">
      <c r="A2527" s="36" t="s">
        <v>2904</v>
      </c>
      <c r="B2527" s="36" t="str">
        <f t="shared" si="121"/>
        <v>WI_MINNEAPOLIS-ST. PAUL-BLOOMINGTON, MN-WI HUD METRO FMR AREA</v>
      </c>
      <c r="D2527" s="265" t="s">
        <v>57</v>
      </c>
      <c r="E2527" s="266" t="s">
        <v>4013</v>
      </c>
      <c r="F2527" s="252">
        <f t="shared" si="122"/>
        <v>72950</v>
      </c>
      <c r="G2527" s="252">
        <f t="shared" si="122"/>
        <v>83400</v>
      </c>
      <c r="H2527" s="252">
        <f t="shared" si="122"/>
        <v>93800</v>
      </c>
      <c r="I2527" s="252">
        <f t="shared" si="122"/>
        <v>104200</v>
      </c>
      <c r="J2527" s="252">
        <f t="shared" si="122"/>
        <v>112550</v>
      </c>
      <c r="K2527" s="252">
        <f t="shared" si="122"/>
        <v>120900</v>
      </c>
      <c r="L2527" s="252">
        <f t="shared" si="122"/>
        <v>129250</v>
      </c>
      <c r="M2527" s="252">
        <f t="shared" si="122"/>
        <v>137550</v>
      </c>
    </row>
    <row r="2528" spans="1:13" ht="21.95" customHeight="1" x14ac:dyDescent="0.25">
      <c r="A2528" s="36" t="s">
        <v>2904</v>
      </c>
      <c r="B2528" s="36" t="str">
        <f t="shared" si="121"/>
        <v>WI_MONROE COUNTY, WI</v>
      </c>
      <c r="D2528" s="265" t="s">
        <v>57</v>
      </c>
      <c r="E2528" s="266" t="s">
        <v>5234</v>
      </c>
      <c r="F2528" s="252">
        <f t="shared" si="122"/>
        <v>52000</v>
      </c>
      <c r="G2528" s="252">
        <f t="shared" si="122"/>
        <v>59400</v>
      </c>
      <c r="H2528" s="252">
        <f t="shared" si="122"/>
        <v>66850</v>
      </c>
      <c r="I2528" s="252">
        <f t="shared" ref="F2528:M2560" si="123">VLOOKUP($B2528,LOOKUP_AMI_TABLE,5+((I$7-1)),FALSE)</f>
        <v>74250</v>
      </c>
      <c r="J2528" s="252">
        <f t="shared" si="123"/>
        <v>80200</v>
      </c>
      <c r="K2528" s="252">
        <f t="shared" si="123"/>
        <v>86150</v>
      </c>
      <c r="L2528" s="252">
        <f t="shared" si="123"/>
        <v>92100</v>
      </c>
      <c r="M2528" s="252">
        <f t="shared" si="123"/>
        <v>98050</v>
      </c>
    </row>
    <row r="2529" spans="1:13" ht="21.95" customHeight="1" x14ac:dyDescent="0.25">
      <c r="A2529" s="36" t="s">
        <v>2904</v>
      </c>
      <c r="B2529" s="36" t="str">
        <f t="shared" si="121"/>
        <v>WI_OCONTO COUNTY, WI HUD METRO FMR AREA</v>
      </c>
      <c r="D2529" s="265" t="s">
        <v>57</v>
      </c>
      <c r="E2529" s="266" t="s">
        <v>5235</v>
      </c>
      <c r="F2529" s="252">
        <f t="shared" si="123"/>
        <v>54850</v>
      </c>
      <c r="G2529" s="252">
        <f t="shared" si="123"/>
        <v>62650</v>
      </c>
      <c r="H2529" s="252">
        <f t="shared" si="123"/>
        <v>70500</v>
      </c>
      <c r="I2529" s="252">
        <f t="shared" si="123"/>
        <v>78300</v>
      </c>
      <c r="J2529" s="252">
        <f t="shared" si="123"/>
        <v>84600</v>
      </c>
      <c r="K2529" s="252">
        <f t="shared" si="123"/>
        <v>90850</v>
      </c>
      <c r="L2529" s="252">
        <f t="shared" si="123"/>
        <v>97100</v>
      </c>
      <c r="M2529" s="252">
        <f t="shared" si="123"/>
        <v>103400</v>
      </c>
    </row>
    <row r="2530" spans="1:13" ht="21.95" customHeight="1" x14ac:dyDescent="0.25">
      <c r="A2530" s="36" t="s">
        <v>2904</v>
      </c>
      <c r="B2530" s="36" t="str">
        <f t="shared" si="121"/>
        <v>WI_ONEIDA COUNTY, WI</v>
      </c>
      <c r="D2530" s="265" t="s">
        <v>57</v>
      </c>
      <c r="E2530" s="266" t="s">
        <v>5236</v>
      </c>
      <c r="F2530" s="252">
        <f t="shared" si="123"/>
        <v>53950</v>
      </c>
      <c r="G2530" s="252">
        <f t="shared" si="123"/>
        <v>61650</v>
      </c>
      <c r="H2530" s="252">
        <f t="shared" si="123"/>
        <v>69350</v>
      </c>
      <c r="I2530" s="252">
        <f t="shared" si="123"/>
        <v>77050</v>
      </c>
      <c r="J2530" s="252">
        <f t="shared" si="123"/>
        <v>83250</v>
      </c>
      <c r="K2530" s="252">
        <f t="shared" si="123"/>
        <v>89400</v>
      </c>
      <c r="L2530" s="252">
        <f t="shared" si="123"/>
        <v>95550</v>
      </c>
      <c r="M2530" s="252">
        <f t="shared" si="123"/>
        <v>101750</v>
      </c>
    </row>
    <row r="2531" spans="1:13" ht="21.95" customHeight="1" x14ac:dyDescent="0.25">
      <c r="A2531" s="36" t="s">
        <v>2904</v>
      </c>
      <c r="B2531" s="36" t="str">
        <f t="shared" si="121"/>
        <v>WI_OSHKOSH-NEENAH, WI MSA</v>
      </c>
      <c r="D2531" s="265" t="s">
        <v>57</v>
      </c>
      <c r="E2531" s="266" t="s">
        <v>5237</v>
      </c>
      <c r="F2531" s="252">
        <f t="shared" si="123"/>
        <v>58050</v>
      </c>
      <c r="G2531" s="252">
        <f t="shared" si="123"/>
        <v>66350</v>
      </c>
      <c r="H2531" s="252">
        <f t="shared" si="123"/>
        <v>74650</v>
      </c>
      <c r="I2531" s="252">
        <f t="shared" si="123"/>
        <v>82900</v>
      </c>
      <c r="J2531" s="252">
        <f t="shared" si="123"/>
        <v>89550</v>
      </c>
      <c r="K2531" s="252">
        <f t="shared" si="123"/>
        <v>96200</v>
      </c>
      <c r="L2531" s="252">
        <f t="shared" si="123"/>
        <v>102800</v>
      </c>
      <c r="M2531" s="252">
        <f t="shared" si="123"/>
        <v>109450</v>
      </c>
    </row>
    <row r="2532" spans="1:13" ht="21.95" customHeight="1" x14ac:dyDescent="0.25">
      <c r="A2532" s="36" t="s">
        <v>2904</v>
      </c>
      <c r="B2532" s="36" t="str">
        <f t="shared" si="121"/>
        <v>WI_PEPIN COUNTY, WI</v>
      </c>
      <c r="D2532" s="265" t="s">
        <v>57</v>
      </c>
      <c r="E2532" s="266" t="s">
        <v>5238</v>
      </c>
      <c r="F2532" s="252">
        <f t="shared" si="123"/>
        <v>52550</v>
      </c>
      <c r="G2532" s="252">
        <f t="shared" si="123"/>
        <v>60050</v>
      </c>
      <c r="H2532" s="252">
        <f t="shared" si="123"/>
        <v>67550</v>
      </c>
      <c r="I2532" s="252">
        <f t="shared" si="123"/>
        <v>75050</v>
      </c>
      <c r="J2532" s="252">
        <f t="shared" si="123"/>
        <v>81100</v>
      </c>
      <c r="K2532" s="252">
        <f t="shared" si="123"/>
        <v>87100</v>
      </c>
      <c r="L2532" s="252">
        <f t="shared" si="123"/>
        <v>93100</v>
      </c>
      <c r="M2532" s="252">
        <f t="shared" si="123"/>
        <v>99100</v>
      </c>
    </row>
    <row r="2533" spans="1:13" ht="21.95" customHeight="1" x14ac:dyDescent="0.25">
      <c r="A2533" s="36" t="s">
        <v>2904</v>
      </c>
      <c r="B2533" s="36" t="str">
        <f t="shared" si="121"/>
        <v>WI_POLK COUNTY, WI</v>
      </c>
      <c r="D2533" s="265" t="s">
        <v>57</v>
      </c>
      <c r="E2533" s="266" t="s">
        <v>5239</v>
      </c>
      <c r="F2533" s="252">
        <f t="shared" si="123"/>
        <v>54600</v>
      </c>
      <c r="G2533" s="252">
        <f t="shared" si="123"/>
        <v>62400</v>
      </c>
      <c r="H2533" s="252">
        <f t="shared" si="123"/>
        <v>70200</v>
      </c>
      <c r="I2533" s="252">
        <f t="shared" si="123"/>
        <v>78000</v>
      </c>
      <c r="J2533" s="252">
        <f t="shared" si="123"/>
        <v>84250</v>
      </c>
      <c r="K2533" s="252">
        <f t="shared" si="123"/>
        <v>90500</v>
      </c>
      <c r="L2533" s="252">
        <f t="shared" si="123"/>
        <v>96750</v>
      </c>
      <c r="M2533" s="252">
        <f t="shared" si="123"/>
        <v>103000</v>
      </c>
    </row>
    <row r="2534" spans="1:13" ht="21.95" customHeight="1" x14ac:dyDescent="0.25">
      <c r="A2534" s="36" t="s">
        <v>2904</v>
      </c>
      <c r="B2534" s="36" t="str">
        <f t="shared" si="121"/>
        <v>WI_PORTAGE COUNTY, WI</v>
      </c>
      <c r="D2534" s="265" t="s">
        <v>57</v>
      </c>
      <c r="E2534" s="266" t="s">
        <v>5240</v>
      </c>
      <c r="F2534" s="252">
        <f t="shared" si="123"/>
        <v>54800</v>
      </c>
      <c r="G2534" s="252">
        <f t="shared" si="123"/>
        <v>62600</v>
      </c>
      <c r="H2534" s="252">
        <f t="shared" si="123"/>
        <v>70450</v>
      </c>
      <c r="I2534" s="252">
        <f t="shared" si="123"/>
        <v>78250</v>
      </c>
      <c r="J2534" s="252">
        <f t="shared" si="123"/>
        <v>84550</v>
      </c>
      <c r="K2534" s="252">
        <f t="shared" si="123"/>
        <v>90800</v>
      </c>
      <c r="L2534" s="252">
        <f t="shared" si="123"/>
        <v>97050</v>
      </c>
      <c r="M2534" s="252">
        <f t="shared" si="123"/>
        <v>103300</v>
      </c>
    </row>
    <row r="2535" spans="1:13" ht="21.95" customHeight="1" x14ac:dyDescent="0.25">
      <c r="A2535" s="36" t="s">
        <v>2904</v>
      </c>
      <c r="B2535" s="36" t="str">
        <f t="shared" si="121"/>
        <v>WI_PRICE COUNTY, WI</v>
      </c>
      <c r="D2535" s="265" t="s">
        <v>57</v>
      </c>
      <c r="E2535" s="266" t="s">
        <v>5241</v>
      </c>
      <c r="F2535" s="252">
        <f t="shared" si="123"/>
        <v>52000</v>
      </c>
      <c r="G2535" s="252">
        <f t="shared" si="123"/>
        <v>59400</v>
      </c>
      <c r="H2535" s="252">
        <f t="shared" si="123"/>
        <v>66850</v>
      </c>
      <c r="I2535" s="252">
        <f t="shared" si="123"/>
        <v>74250</v>
      </c>
      <c r="J2535" s="252">
        <f t="shared" si="123"/>
        <v>80200</v>
      </c>
      <c r="K2535" s="252">
        <f t="shared" si="123"/>
        <v>86150</v>
      </c>
      <c r="L2535" s="252">
        <f t="shared" si="123"/>
        <v>92100</v>
      </c>
      <c r="M2535" s="252">
        <f t="shared" si="123"/>
        <v>98050</v>
      </c>
    </row>
    <row r="2536" spans="1:13" ht="21.95" customHeight="1" x14ac:dyDescent="0.25">
      <c r="A2536" s="36" t="s">
        <v>2904</v>
      </c>
      <c r="B2536" s="36" t="str">
        <f t="shared" si="121"/>
        <v>WI_RACINE-MOUNT PLEASANT, WI MSA</v>
      </c>
      <c r="D2536" s="265" t="s">
        <v>57</v>
      </c>
      <c r="E2536" s="266" t="s">
        <v>9288</v>
      </c>
      <c r="F2536" s="252">
        <f t="shared" si="123"/>
        <v>55250</v>
      </c>
      <c r="G2536" s="252">
        <f t="shared" si="123"/>
        <v>63150</v>
      </c>
      <c r="H2536" s="252">
        <f t="shared" si="123"/>
        <v>71050</v>
      </c>
      <c r="I2536" s="252">
        <f t="shared" si="123"/>
        <v>78900</v>
      </c>
      <c r="J2536" s="252">
        <f t="shared" si="123"/>
        <v>85250</v>
      </c>
      <c r="K2536" s="252">
        <f t="shared" si="123"/>
        <v>91550</v>
      </c>
      <c r="L2536" s="252">
        <f t="shared" si="123"/>
        <v>97850</v>
      </c>
      <c r="M2536" s="252">
        <f t="shared" si="123"/>
        <v>104150</v>
      </c>
    </row>
    <row r="2537" spans="1:13" ht="21.95" customHeight="1" x14ac:dyDescent="0.25">
      <c r="A2537" s="36" t="s">
        <v>2904</v>
      </c>
      <c r="B2537" s="36" t="str">
        <f t="shared" si="121"/>
        <v>WI_RICHLAND COUNTY, WI</v>
      </c>
      <c r="D2537" s="265" t="s">
        <v>57</v>
      </c>
      <c r="E2537" s="266" t="s">
        <v>5242</v>
      </c>
      <c r="F2537" s="252">
        <f t="shared" si="123"/>
        <v>52000</v>
      </c>
      <c r="G2537" s="252">
        <f t="shared" si="123"/>
        <v>59400</v>
      </c>
      <c r="H2537" s="252">
        <f t="shared" si="123"/>
        <v>66850</v>
      </c>
      <c r="I2537" s="252">
        <f t="shared" si="123"/>
        <v>74250</v>
      </c>
      <c r="J2537" s="252">
        <f t="shared" si="123"/>
        <v>80200</v>
      </c>
      <c r="K2537" s="252">
        <f t="shared" si="123"/>
        <v>86150</v>
      </c>
      <c r="L2537" s="252">
        <f t="shared" si="123"/>
        <v>92100</v>
      </c>
      <c r="M2537" s="252">
        <f t="shared" si="123"/>
        <v>98050</v>
      </c>
    </row>
    <row r="2538" spans="1:13" ht="21.95" customHeight="1" x14ac:dyDescent="0.25">
      <c r="A2538" s="36" t="s">
        <v>2904</v>
      </c>
      <c r="B2538" s="36" t="str">
        <f t="shared" si="121"/>
        <v>WI_RUSK COUNTY, WI</v>
      </c>
      <c r="D2538" s="265" t="s">
        <v>57</v>
      </c>
      <c r="E2538" s="266" t="s">
        <v>5243</v>
      </c>
      <c r="F2538" s="252">
        <f t="shared" si="123"/>
        <v>52000</v>
      </c>
      <c r="G2538" s="252">
        <f t="shared" si="123"/>
        <v>59400</v>
      </c>
      <c r="H2538" s="252">
        <f t="shared" si="123"/>
        <v>66850</v>
      </c>
      <c r="I2538" s="252">
        <f t="shared" si="123"/>
        <v>74250</v>
      </c>
      <c r="J2538" s="252">
        <f t="shared" si="123"/>
        <v>80200</v>
      </c>
      <c r="K2538" s="252">
        <f t="shared" si="123"/>
        <v>86150</v>
      </c>
      <c r="L2538" s="252">
        <f t="shared" si="123"/>
        <v>92100</v>
      </c>
      <c r="M2538" s="252">
        <f t="shared" si="123"/>
        <v>98050</v>
      </c>
    </row>
    <row r="2539" spans="1:13" ht="21.95" customHeight="1" x14ac:dyDescent="0.25">
      <c r="A2539" s="36" t="s">
        <v>2904</v>
      </c>
      <c r="B2539" s="36" t="str">
        <f t="shared" si="121"/>
        <v>WI_SAUK COUNTY, WI</v>
      </c>
      <c r="D2539" s="265" t="s">
        <v>57</v>
      </c>
      <c r="E2539" s="266" t="s">
        <v>5244</v>
      </c>
      <c r="F2539" s="252">
        <f t="shared" si="123"/>
        <v>57500</v>
      </c>
      <c r="G2539" s="252">
        <f t="shared" si="123"/>
        <v>65700</v>
      </c>
      <c r="H2539" s="252">
        <f t="shared" si="123"/>
        <v>73900</v>
      </c>
      <c r="I2539" s="252">
        <f t="shared" si="123"/>
        <v>82100</v>
      </c>
      <c r="J2539" s="252">
        <f t="shared" si="123"/>
        <v>88700</v>
      </c>
      <c r="K2539" s="252">
        <f t="shared" si="123"/>
        <v>95250</v>
      </c>
      <c r="L2539" s="252">
        <f t="shared" si="123"/>
        <v>101850</v>
      </c>
      <c r="M2539" s="252">
        <f t="shared" si="123"/>
        <v>108400</v>
      </c>
    </row>
    <row r="2540" spans="1:13" ht="21.95" customHeight="1" x14ac:dyDescent="0.25">
      <c r="A2540" s="36" t="s">
        <v>2904</v>
      </c>
      <c r="B2540" s="36" t="str">
        <f t="shared" si="121"/>
        <v>WI_SAWYER COUNTY, WI</v>
      </c>
      <c r="D2540" s="265" t="s">
        <v>57</v>
      </c>
      <c r="E2540" s="266" t="s">
        <v>5245</v>
      </c>
      <c r="F2540" s="252">
        <f t="shared" si="123"/>
        <v>52000</v>
      </c>
      <c r="G2540" s="252">
        <f t="shared" si="123"/>
        <v>59400</v>
      </c>
      <c r="H2540" s="252">
        <f t="shared" si="123"/>
        <v>66850</v>
      </c>
      <c r="I2540" s="252">
        <f t="shared" si="123"/>
        <v>74250</v>
      </c>
      <c r="J2540" s="252">
        <f t="shared" si="123"/>
        <v>80200</v>
      </c>
      <c r="K2540" s="252">
        <f t="shared" si="123"/>
        <v>86150</v>
      </c>
      <c r="L2540" s="252">
        <f t="shared" si="123"/>
        <v>92100</v>
      </c>
      <c r="M2540" s="252">
        <f t="shared" si="123"/>
        <v>98050</v>
      </c>
    </row>
    <row r="2541" spans="1:13" ht="21.95" customHeight="1" x14ac:dyDescent="0.25">
      <c r="A2541" s="36" t="s">
        <v>2904</v>
      </c>
      <c r="B2541" s="36" t="str">
        <f t="shared" si="121"/>
        <v>WI_SHAWANO COUNTY, WI</v>
      </c>
      <c r="D2541" s="265" t="s">
        <v>57</v>
      </c>
      <c r="E2541" s="266" t="s">
        <v>5246</v>
      </c>
      <c r="F2541" s="252">
        <f t="shared" si="123"/>
        <v>52000</v>
      </c>
      <c r="G2541" s="252">
        <f t="shared" si="123"/>
        <v>59400</v>
      </c>
      <c r="H2541" s="252">
        <f t="shared" si="123"/>
        <v>66850</v>
      </c>
      <c r="I2541" s="252">
        <f t="shared" si="123"/>
        <v>74250</v>
      </c>
      <c r="J2541" s="252">
        <f t="shared" si="123"/>
        <v>80200</v>
      </c>
      <c r="K2541" s="252">
        <f t="shared" si="123"/>
        <v>86150</v>
      </c>
      <c r="L2541" s="252">
        <f t="shared" si="123"/>
        <v>92100</v>
      </c>
      <c r="M2541" s="252">
        <f t="shared" si="123"/>
        <v>98050</v>
      </c>
    </row>
    <row r="2542" spans="1:13" ht="21.95" customHeight="1" x14ac:dyDescent="0.25">
      <c r="A2542" s="36" t="s">
        <v>2904</v>
      </c>
      <c r="B2542" s="36" t="str">
        <f t="shared" si="121"/>
        <v>WI_SHEBOYGAN, WI MSA</v>
      </c>
      <c r="D2542" s="265" t="s">
        <v>57</v>
      </c>
      <c r="E2542" s="266" t="s">
        <v>5247</v>
      </c>
      <c r="F2542" s="252">
        <f t="shared" si="123"/>
        <v>53100</v>
      </c>
      <c r="G2542" s="252">
        <f t="shared" si="123"/>
        <v>60700</v>
      </c>
      <c r="H2542" s="252">
        <f t="shared" si="123"/>
        <v>68300</v>
      </c>
      <c r="I2542" s="252">
        <f t="shared" si="123"/>
        <v>75850</v>
      </c>
      <c r="J2542" s="252">
        <f t="shared" si="123"/>
        <v>81950</v>
      </c>
      <c r="K2542" s="252">
        <f t="shared" si="123"/>
        <v>88000</v>
      </c>
      <c r="L2542" s="252">
        <f t="shared" si="123"/>
        <v>94100</v>
      </c>
      <c r="M2542" s="252">
        <f t="shared" si="123"/>
        <v>100150</v>
      </c>
    </row>
    <row r="2543" spans="1:13" ht="21.95" customHeight="1" x14ac:dyDescent="0.25">
      <c r="A2543" s="36" t="s">
        <v>2904</v>
      </c>
      <c r="B2543" s="36" t="str">
        <f t="shared" si="121"/>
        <v>WI_TAYLOR COUNTY, WI</v>
      </c>
      <c r="D2543" s="265" t="s">
        <v>57</v>
      </c>
      <c r="E2543" s="266" t="s">
        <v>5248</v>
      </c>
      <c r="F2543" s="252">
        <f t="shared" si="123"/>
        <v>52000</v>
      </c>
      <c r="G2543" s="252">
        <f t="shared" si="123"/>
        <v>59400</v>
      </c>
      <c r="H2543" s="252">
        <f t="shared" si="123"/>
        <v>66850</v>
      </c>
      <c r="I2543" s="252">
        <f t="shared" si="123"/>
        <v>74250</v>
      </c>
      <c r="J2543" s="252">
        <f t="shared" si="123"/>
        <v>80200</v>
      </c>
      <c r="K2543" s="252">
        <f t="shared" si="123"/>
        <v>86150</v>
      </c>
      <c r="L2543" s="252">
        <f t="shared" si="123"/>
        <v>92100</v>
      </c>
      <c r="M2543" s="252">
        <f t="shared" si="123"/>
        <v>98050</v>
      </c>
    </row>
    <row r="2544" spans="1:13" ht="21.95" customHeight="1" x14ac:dyDescent="0.25">
      <c r="A2544" s="36" t="s">
        <v>2904</v>
      </c>
      <c r="B2544" s="36" t="str">
        <f t="shared" si="121"/>
        <v>WI_TREMPEALEAU COUNTY, WI</v>
      </c>
      <c r="D2544" s="265" t="s">
        <v>57</v>
      </c>
      <c r="E2544" s="266" t="s">
        <v>5249</v>
      </c>
      <c r="F2544" s="252">
        <f t="shared" si="123"/>
        <v>54750</v>
      </c>
      <c r="G2544" s="252">
        <f t="shared" si="123"/>
        <v>62550</v>
      </c>
      <c r="H2544" s="252">
        <f t="shared" si="123"/>
        <v>70350</v>
      </c>
      <c r="I2544" s="252">
        <f t="shared" si="123"/>
        <v>78150</v>
      </c>
      <c r="J2544" s="252">
        <f t="shared" si="123"/>
        <v>84450</v>
      </c>
      <c r="K2544" s="252">
        <f t="shared" si="123"/>
        <v>90700</v>
      </c>
      <c r="L2544" s="252">
        <f t="shared" si="123"/>
        <v>96950</v>
      </c>
      <c r="M2544" s="252">
        <f t="shared" si="123"/>
        <v>103200</v>
      </c>
    </row>
    <row r="2545" spans="1:13" ht="21.95" customHeight="1" x14ac:dyDescent="0.25">
      <c r="A2545" s="36" t="s">
        <v>2904</v>
      </c>
      <c r="B2545" s="36" t="str">
        <f t="shared" si="121"/>
        <v>WI_VERNON COUNTY, WI HUD METRO FMR AREA</v>
      </c>
      <c r="D2545" s="265" t="s">
        <v>57</v>
      </c>
      <c r="E2545" s="266" t="s">
        <v>9289</v>
      </c>
      <c r="F2545" s="252">
        <f t="shared" si="123"/>
        <v>53450</v>
      </c>
      <c r="G2545" s="252">
        <f t="shared" si="123"/>
        <v>61050</v>
      </c>
      <c r="H2545" s="252">
        <f t="shared" si="123"/>
        <v>68700</v>
      </c>
      <c r="I2545" s="252">
        <f t="shared" si="123"/>
        <v>76300</v>
      </c>
      <c r="J2545" s="252">
        <f t="shared" si="123"/>
        <v>82450</v>
      </c>
      <c r="K2545" s="252">
        <f t="shared" si="123"/>
        <v>88550</v>
      </c>
      <c r="L2545" s="252">
        <f t="shared" si="123"/>
        <v>94650</v>
      </c>
      <c r="M2545" s="252">
        <f t="shared" si="123"/>
        <v>100750</v>
      </c>
    </row>
    <row r="2546" spans="1:13" ht="21.95" customHeight="1" x14ac:dyDescent="0.25">
      <c r="A2546" s="36" t="s">
        <v>2904</v>
      </c>
      <c r="B2546" s="36" t="str">
        <f t="shared" si="121"/>
        <v>WI_VILAS COUNTY, WI</v>
      </c>
      <c r="D2546" s="265" t="s">
        <v>57</v>
      </c>
      <c r="E2546" s="266" t="s">
        <v>5250</v>
      </c>
      <c r="F2546" s="252">
        <f t="shared" si="123"/>
        <v>52000</v>
      </c>
      <c r="G2546" s="252">
        <f t="shared" si="123"/>
        <v>59400</v>
      </c>
      <c r="H2546" s="252">
        <f t="shared" si="123"/>
        <v>66850</v>
      </c>
      <c r="I2546" s="252">
        <f t="shared" si="123"/>
        <v>74250</v>
      </c>
      <c r="J2546" s="252">
        <f t="shared" si="123"/>
        <v>80200</v>
      </c>
      <c r="K2546" s="252">
        <f t="shared" si="123"/>
        <v>86150</v>
      </c>
      <c r="L2546" s="252">
        <f t="shared" si="123"/>
        <v>92100</v>
      </c>
      <c r="M2546" s="252">
        <f t="shared" si="123"/>
        <v>98050</v>
      </c>
    </row>
    <row r="2547" spans="1:13" ht="21.95" customHeight="1" x14ac:dyDescent="0.25">
      <c r="A2547" s="36" t="s">
        <v>2904</v>
      </c>
      <c r="B2547" s="36" t="str">
        <f t="shared" si="121"/>
        <v>WI_WALWORTH COUNTY, WI</v>
      </c>
      <c r="D2547" s="265" t="s">
        <v>57</v>
      </c>
      <c r="E2547" s="266" t="s">
        <v>5251</v>
      </c>
      <c r="F2547" s="252">
        <f t="shared" si="123"/>
        <v>61400</v>
      </c>
      <c r="G2547" s="252">
        <f t="shared" si="123"/>
        <v>70200</v>
      </c>
      <c r="H2547" s="252">
        <f t="shared" si="123"/>
        <v>78950</v>
      </c>
      <c r="I2547" s="252">
        <f t="shared" si="123"/>
        <v>87700</v>
      </c>
      <c r="J2547" s="252">
        <f t="shared" si="123"/>
        <v>94750</v>
      </c>
      <c r="K2547" s="252">
        <f t="shared" si="123"/>
        <v>101750</v>
      </c>
      <c r="L2547" s="252">
        <f t="shared" si="123"/>
        <v>108750</v>
      </c>
      <c r="M2547" s="252">
        <f t="shared" si="123"/>
        <v>115800</v>
      </c>
    </row>
    <row r="2548" spans="1:13" ht="21.95" customHeight="1" x14ac:dyDescent="0.25">
      <c r="A2548" s="36" t="s">
        <v>2904</v>
      </c>
      <c r="B2548" s="36" t="str">
        <f t="shared" si="121"/>
        <v>WI_WASHBURN COUNTY, WI</v>
      </c>
      <c r="D2548" s="265" t="s">
        <v>57</v>
      </c>
      <c r="E2548" s="266" t="s">
        <v>5252</v>
      </c>
      <c r="F2548" s="252">
        <f t="shared" si="123"/>
        <v>52000</v>
      </c>
      <c r="G2548" s="252">
        <f t="shared" si="123"/>
        <v>59400</v>
      </c>
      <c r="H2548" s="252">
        <f t="shared" si="123"/>
        <v>66850</v>
      </c>
      <c r="I2548" s="252">
        <f t="shared" si="123"/>
        <v>74250</v>
      </c>
      <c r="J2548" s="252">
        <f t="shared" si="123"/>
        <v>80200</v>
      </c>
      <c r="K2548" s="252">
        <f t="shared" si="123"/>
        <v>86150</v>
      </c>
      <c r="L2548" s="252">
        <f t="shared" si="123"/>
        <v>92100</v>
      </c>
      <c r="M2548" s="252">
        <f t="shared" si="123"/>
        <v>98050</v>
      </c>
    </row>
    <row r="2549" spans="1:13" ht="21.95" customHeight="1" x14ac:dyDescent="0.25">
      <c r="A2549" s="36" t="s">
        <v>2904</v>
      </c>
      <c r="B2549" s="36" t="str">
        <f t="shared" si="121"/>
        <v>WI_WAUPACA COUNTY, WI</v>
      </c>
      <c r="D2549" s="265" t="s">
        <v>57</v>
      </c>
      <c r="E2549" s="266" t="s">
        <v>5253</v>
      </c>
      <c r="F2549" s="252">
        <f t="shared" si="123"/>
        <v>53100</v>
      </c>
      <c r="G2549" s="252">
        <f t="shared" si="123"/>
        <v>60700</v>
      </c>
      <c r="H2549" s="252">
        <f t="shared" si="123"/>
        <v>68300</v>
      </c>
      <c r="I2549" s="252">
        <f t="shared" si="123"/>
        <v>75850</v>
      </c>
      <c r="J2549" s="252">
        <f t="shared" si="123"/>
        <v>81950</v>
      </c>
      <c r="K2549" s="252">
        <f t="shared" si="123"/>
        <v>88000</v>
      </c>
      <c r="L2549" s="252">
        <f t="shared" si="123"/>
        <v>94100</v>
      </c>
      <c r="M2549" s="252">
        <f t="shared" si="123"/>
        <v>100150</v>
      </c>
    </row>
    <row r="2550" spans="1:13" ht="21.95" customHeight="1" x14ac:dyDescent="0.25">
      <c r="A2550" s="36" t="s">
        <v>2904</v>
      </c>
      <c r="B2550" s="36" t="str">
        <f t="shared" si="121"/>
        <v>WI_WAUSAU, WI MSA</v>
      </c>
      <c r="D2550" s="265" t="s">
        <v>57</v>
      </c>
      <c r="E2550" s="266" t="s">
        <v>9286</v>
      </c>
      <c r="F2550" s="252">
        <f t="shared" si="123"/>
        <v>55350</v>
      </c>
      <c r="G2550" s="252">
        <f t="shared" si="123"/>
        <v>63250</v>
      </c>
      <c r="H2550" s="252">
        <f t="shared" si="123"/>
        <v>71150</v>
      </c>
      <c r="I2550" s="252">
        <f t="shared" si="123"/>
        <v>79050</v>
      </c>
      <c r="J2550" s="252">
        <f t="shared" si="123"/>
        <v>85400</v>
      </c>
      <c r="K2550" s="252">
        <f t="shared" si="123"/>
        <v>91700</v>
      </c>
      <c r="L2550" s="252">
        <f t="shared" si="123"/>
        <v>98050</v>
      </c>
      <c r="M2550" s="252">
        <f t="shared" si="123"/>
        <v>104350</v>
      </c>
    </row>
    <row r="2551" spans="1:13" ht="21.95" customHeight="1" x14ac:dyDescent="0.25">
      <c r="A2551" s="36" t="s">
        <v>2904</v>
      </c>
      <c r="B2551" s="36" t="str">
        <f t="shared" si="121"/>
        <v>WI_WAUSHARA COUNTY, WI</v>
      </c>
      <c r="D2551" s="265" t="s">
        <v>57</v>
      </c>
      <c r="E2551" s="266" t="s">
        <v>5254</v>
      </c>
      <c r="F2551" s="252">
        <f t="shared" si="123"/>
        <v>52000</v>
      </c>
      <c r="G2551" s="252">
        <f t="shared" si="123"/>
        <v>59400</v>
      </c>
      <c r="H2551" s="252">
        <f t="shared" si="123"/>
        <v>66850</v>
      </c>
      <c r="I2551" s="252">
        <f t="shared" si="123"/>
        <v>74250</v>
      </c>
      <c r="J2551" s="252">
        <f t="shared" si="123"/>
        <v>80200</v>
      </c>
      <c r="K2551" s="252">
        <f t="shared" si="123"/>
        <v>86150</v>
      </c>
      <c r="L2551" s="252">
        <f t="shared" si="123"/>
        <v>92100</v>
      </c>
      <c r="M2551" s="252">
        <f t="shared" si="123"/>
        <v>98050</v>
      </c>
    </row>
    <row r="2552" spans="1:13" ht="21.95" customHeight="1" x14ac:dyDescent="0.25">
      <c r="A2552" s="36" t="s">
        <v>2904</v>
      </c>
      <c r="B2552" s="36" t="str">
        <f t="shared" si="121"/>
        <v>WI_WOOD COUNTY, WI</v>
      </c>
      <c r="D2552" s="265" t="s">
        <v>57</v>
      </c>
      <c r="E2552" s="266" t="s">
        <v>5255</v>
      </c>
      <c r="F2552" s="252">
        <f t="shared" si="123"/>
        <v>52000</v>
      </c>
      <c r="G2552" s="252">
        <f t="shared" si="123"/>
        <v>59400</v>
      </c>
      <c r="H2552" s="252">
        <f t="shared" si="123"/>
        <v>66850</v>
      </c>
      <c r="I2552" s="252">
        <f t="shared" si="123"/>
        <v>74250</v>
      </c>
      <c r="J2552" s="252">
        <f t="shared" si="123"/>
        <v>80200</v>
      </c>
      <c r="K2552" s="252">
        <f t="shared" si="123"/>
        <v>86150</v>
      </c>
      <c r="L2552" s="252">
        <f t="shared" si="123"/>
        <v>92100</v>
      </c>
      <c r="M2552" s="252">
        <f t="shared" si="123"/>
        <v>98050</v>
      </c>
    </row>
    <row r="2553" spans="1:13" ht="21.95" customHeight="1" x14ac:dyDescent="0.25">
      <c r="A2553" s="36" t="s">
        <v>2904</v>
      </c>
      <c r="B2553" s="36" t="str">
        <f t="shared" si="121"/>
        <v>WV_BARBOUR COUNTY, WV</v>
      </c>
      <c r="D2553" s="265" t="s">
        <v>58</v>
      </c>
      <c r="E2553" s="266" t="s">
        <v>5256</v>
      </c>
      <c r="F2553" s="252">
        <f t="shared" si="123"/>
        <v>39950</v>
      </c>
      <c r="G2553" s="252">
        <f t="shared" si="123"/>
        <v>45650</v>
      </c>
      <c r="H2553" s="252">
        <f t="shared" si="123"/>
        <v>51350</v>
      </c>
      <c r="I2553" s="252">
        <f t="shared" si="123"/>
        <v>57050</v>
      </c>
      <c r="J2553" s="252">
        <f t="shared" si="123"/>
        <v>61650</v>
      </c>
      <c r="K2553" s="252">
        <f t="shared" si="123"/>
        <v>66200</v>
      </c>
      <c r="L2553" s="252">
        <f t="shared" si="123"/>
        <v>70750</v>
      </c>
      <c r="M2553" s="252">
        <f t="shared" si="123"/>
        <v>75350</v>
      </c>
    </row>
    <row r="2554" spans="1:13" ht="21.95" customHeight="1" x14ac:dyDescent="0.25">
      <c r="A2554" s="36" t="s">
        <v>2904</v>
      </c>
      <c r="B2554" s="36" t="str">
        <f t="shared" si="121"/>
        <v>WV_BOONE COUNTY, WV HUD METRO FMR AREA</v>
      </c>
      <c r="D2554" s="265" t="s">
        <v>58</v>
      </c>
      <c r="E2554" s="266" t="s">
        <v>5257</v>
      </c>
      <c r="F2554" s="252">
        <f t="shared" si="123"/>
        <v>42200</v>
      </c>
      <c r="G2554" s="252">
        <f t="shared" si="123"/>
        <v>48200</v>
      </c>
      <c r="H2554" s="252">
        <f t="shared" si="123"/>
        <v>54250</v>
      </c>
      <c r="I2554" s="252">
        <f t="shared" si="123"/>
        <v>60250</v>
      </c>
      <c r="J2554" s="252">
        <f t="shared" si="123"/>
        <v>65100</v>
      </c>
      <c r="K2554" s="252">
        <f t="shared" si="123"/>
        <v>69900</v>
      </c>
      <c r="L2554" s="252">
        <f t="shared" si="123"/>
        <v>74750</v>
      </c>
      <c r="M2554" s="252">
        <f t="shared" si="123"/>
        <v>79550</v>
      </c>
    </row>
    <row r="2555" spans="1:13" ht="21.95" customHeight="1" x14ac:dyDescent="0.25">
      <c r="A2555" s="36" t="s">
        <v>2904</v>
      </c>
      <c r="B2555" s="36" t="str">
        <f t="shared" si="121"/>
        <v>WV_BRAXTON COUNTY, WV</v>
      </c>
      <c r="D2555" s="265" t="s">
        <v>58</v>
      </c>
      <c r="E2555" s="266" t="s">
        <v>5258</v>
      </c>
      <c r="F2555" s="252">
        <f t="shared" si="123"/>
        <v>39950</v>
      </c>
      <c r="G2555" s="252">
        <f t="shared" si="123"/>
        <v>45650</v>
      </c>
      <c r="H2555" s="252">
        <f t="shared" si="123"/>
        <v>51350</v>
      </c>
      <c r="I2555" s="252">
        <f t="shared" si="123"/>
        <v>57050</v>
      </c>
      <c r="J2555" s="252">
        <f t="shared" si="123"/>
        <v>61650</v>
      </c>
      <c r="K2555" s="252">
        <f t="shared" si="123"/>
        <v>66200</v>
      </c>
      <c r="L2555" s="252">
        <f t="shared" si="123"/>
        <v>70750</v>
      </c>
      <c r="M2555" s="252">
        <f t="shared" si="123"/>
        <v>75350</v>
      </c>
    </row>
    <row r="2556" spans="1:13" ht="21.95" customHeight="1" x14ac:dyDescent="0.25">
      <c r="A2556" s="36" t="s">
        <v>2904</v>
      </c>
      <c r="B2556" s="36" t="str">
        <f t="shared" ref="B2556:B2588" si="124">UPPER(TRIM(D2556)&amp;"_"&amp;TRIM(E2556))</f>
        <v>WV_CALHOUN COUNTY, WV</v>
      </c>
      <c r="D2556" s="265" t="s">
        <v>58</v>
      </c>
      <c r="E2556" s="266" t="s">
        <v>5259</v>
      </c>
      <c r="F2556" s="252">
        <f t="shared" si="123"/>
        <v>39950</v>
      </c>
      <c r="G2556" s="252">
        <f t="shared" si="123"/>
        <v>45650</v>
      </c>
      <c r="H2556" s="252">
        <f t="shared" si="123"/>
        <v>51350</v>
      </c>
      <c r="I2556" s="252">
        <f t="shared" si="123"/>
        <v>57050</v>
      </c>
      <c r="J2556" s="252">
        <f t="shared" si="123"/>
        <v>61650</v>
      </c>
      <c r="K2556" s="252">
        <f t="shared" si="123"/>
        <v>66200</v>
      </c>
      <c r="L2556" s="252">
        <f t="shared" si="123"/>
        <v>70750</v>
      </c>
      <c r="M2556" s="252">
        <f t="shared" si="123"/>
        <v>75350</v>
      </c>
    </row>
    <row r="2557" spans="1:13" ht="21.95" customHeight="1" x14ac:dyDescent="0.25">
      <c r="A2557" s="36" t="s">
        <v>2904</v>
      </c>
      <c r="B2557" s="36" t="str">
        <f t="shared" si="124"/>
        <v>WV_CHARLESTON, WV HUD METRO FMR AREA</v>
      </c>
      <c r="D2557" s="265" t="s">
        <v>58</v>
      </c>
      <c r="E2557" s="266" t="s">
        <v>5260</v>
      </c>
      <c r="F2557" s="252">
        <f t="shared" si="123"/>
        <v>43050</v>
      </c>
      <c r="G2557" s="252">
        <f t="shared" si="123"/>
        <v>49200</v>
      </c>
      <c r="H2557" s="252">
        <f t="shared" si="123"/>
        <v>55350</v>
      </c>
      <c r="I2557" s="252">
        <f t="shared" si="123"/>
        <v>61450</v>
      </c>
      <c r="J2557" s="252">
        <f t="shared" si="123"/>
        <v>66400</v>
      </c>
      <c r="K2557" s="252">
        <f t="shared" si="123"/>
        <v>71300</v>
      </c>
      <c r="L2557" s="252">
        <f t="shared" si="123"/>
        <v>76200</v>
      </c>
      <c r="M2557" s="252">
        <f t="shared" si="123"/>
        <v>81150</v>
      </c>
    </row>
    <row r="2558" spans="1:13" ht="21.95" customHeight="1" x14ac:dyDescent="0.25">
      <c r="A2558" s="36" t="s">
        <v>2904</v>
      </c>
      <c r="B2558" s="36" t="str">
        <f t="shared" si="124"/>
        <v>WV_DODDRIDGE COUNTY, WV</v>
      </c>
      <c r="D2558" s="265" t="s">
        <v>58</v>
      </c>
      <c r="E2558" s="266" t="s">
        <v>5261</v>
      </c>
      <c r="F2558" s="252">
        <f t="shared" si="123"/>
        <v>47250</v>
      </c>
      <c r="G2558" s="252">
        <f t="shared" si="123"/>
        <v>54000</v>
      </c>
      <c r="H2558" s="252">
        <f t="shared" si="123"/>
        <v>60750</v>
      </c>
      <c r="I2558" s="252">
        <f t="shared" si="123"/>
        <v>67500</v>
      </c>
      <c r="J2558" s="252">
        <f t="shared" si="123"/>
        <v>72900</v>
      </c>
      <c r="K2558" s="252">
        <f t="shared" si="123"/>
        <v>78300</v>
      </c>
      <c r="L2558" s="252">
        <f t="shared" si="123"/>
        <v>83700</v>
      </c>
      <c r="M2558" s="252">
        <f t="shared" si="123"/>
        <v>89100</v>
      </c>
    </row>
    <row r="2559" spans="1:13" ht="21.95" customHeight="1" x14ac:dyDescent="0.25">
      <c r="A2559" s="36" t="s">
        <v>2904</v>
      </c>
      <c r="B2559" s="36" t="str">
        <f t="shared" si="124"/>
        <v>WV_FAYETTE COUNTY, WV HUD METRO FMR AREA</v>
      </c>
      <c r="D2559" s="265" t="s">
        <v>58</v>
      </c>
      <c r="E2559" s="266" t="s">
        <v>5262</v>
      </c>
      <c r="F2559" s="252">
        <f t="shared" si="123"/>
        <v>40350</v>
      </c>
      <c r="G2559" s="252">
        <f t="shared" si="123"/>
        <v>46100</v>
      </c>
      <c r="H2559" s="252">
        <f t="shared" si="123"/>
        <v>51850</v>
      </c>
      <c r="I2559" s="252">
        <f t="shared" si="123"/>
        <v>57600</v>
      </c>
      <c r="J2559" s="252">
        <f t="shared" si="123"/>
        <v>62250</v>
      </c>
      <c r="K2559" s="252">
        <f t="shared" si="123"/>
        <v>66850</v>
      </c>
      <c r="L2559" s="252">
        <f t="shared" si="123"/>
        <v>71450</v>
      </c>
      <c r="M2559" s="252">
        <f t="shared" si="123"/>
        <v>76050</v>
      </c>
    </row>
    <row r="2560" spans="1:13" ht="21.95" customHeight="1" x14ac:dyDescent="0.25">
      <c r="A2560" s="36" t="s">
        <v>2904</v>
      </c>
      <c r="B2560" s="36" t="str">
        <f t="shared" si="124"/>
        <v>WV_GILMER COUNTY, WV</v>
      </c>
      <c r="D2560" s="265" t="s">
        <v>58</v>
      </c>
      <c r="E2560" s="266" t="s">
        <v>5263</v>
      </c>
      <c r="F2560" s="252">
        <f t="shared" si="123"/>
        <v>39950</v>
      </c>
      <c r="G2560" s="252">
        <f t="shared" si="123"/>
        <v>45650</v>
      </c>
      <c r="H2560" s="252">
        <f t="shared" ref="F2560:M2589" si="125">VLOOKUP($B2560,LOOKUP_AMI_TABLE,5+((H$7-1)),FALSE)</f>
        <v>51350</v>
      </c>
      <c r="I2560" s="252">
        <f t="shared" si="125"/>
        <v>57050</v>
      </c>
      <c r="J2560" s="252">
        <f t="shared" si="125"/>
        <v>61650</v>
      </c>
      <c r="K2560" s="252">
        <f t="shared" si="125"/>
        <v>66200</v>
      </c>
      <c r="L2560" s="252">
        <f t="shared" si="125"/>
        <v>70750</v>
      </c>
      <c r="M2560" s="252">
        <f t="shared" si="125"/>
        <v>75350</v>
      </c>
    </row>
    <row r="2561" spans="1:13" ht="21.95" customHeight="1" x14ac:dyDescent="0.25">
      <c r="A2561" s="36" t="s">
        <v>2904</v>
      </c>
      <c r="B2561" s="36" t="str">
        <f t="shared" si="124"/>
        <v>WV_GRANT COUNTY, WV</v>
      </c>
      <c r="D2561" s="265" t="s">
        <v>58</v>
      </c>
      <c r="E2561" s="266" t="s">
        <v>5264</v>
      </c>
      <c r="F2561" s="252">
        <f t="shared" si="125"/>
        <v>44800</v>
      </c>
      <c r="G2561" s="252">
        <f t="shared" si="125"/>
        <v>51200</v>
      </c>
      <c r="H2561" s="252">
        <f t="shared" si="125"/>
        <v>57600</v>
      </c>
      <c r="I2561" s="252">
        <f t="shared" si="125"/>
        <v>64000</v>
      </c>
      <c r="J2561" s="252">
        <f t="shared" si="125"/>
        <v>69150</v>
      </c>
      <c r="K2561" s="252">
        <f t="shared" si="125"/>
        <v>74250</v>
      </c>
      <c r="L2561" s="252">
        <f t="shared" si="125"/>
        <v>79400</v>
      </c>
      <c r="M2561" s="252">
        <f t="shared" si="125"/>
        <v>84500</v>
      </c>
    </row>
    <row r="2562" spans="1:13" ht="21.95" customHeight="1" x14ac:dyDescent="0.25">
      <c r="A2562" s="36" t="s">
        <v>2904</v>
      </c>
      <c r="B2562" s="36" t="str">
        <f t="shared" si="124"/>
        <v>WV_GREENBRIER COUNTY, WV</v>
      </c>
      <c r="D2562" s="265" t="s">
        <v>58</v>
      </c>
      <c r="E2562" s="266" t="s">
        <v>5265</v>
      </c>
      <c r="F2562" s="252">
        <f t="shared" si="125"/>
        <v>40250</v>
      </c>
      <c r="G2562" s="252">
        <f t="shared" si="125"/>
        <v>46000</v>
      </c>
      <c r="H2562" s="252">
        <f t="shared" si="125"/>
        <v>51750</v>
      </c>
      <c r="I2562" s="252">
        <f t="shared" si="125"/>
        <v>57450</v>
      </c>
      <c r="J2562" s="252">
        <f t="shared" si="125"/>
        <v>62050</v>
      </c>
      <c r="K2562" s="252">
        <f t="shared" si="125"/>
        <v>66650</v>
      </c>
      <c r="L2562" s="252">
        <f t="shared" si="125"/>
        <v>71250</v>
      </c>
      <c r="M2562" s="252">
        <f t="shared" si="125"/>
        <v>75850</v>
      </c>
    </row>
    <row r="2563" spans="1:13" ht="21.95" customHeight="1" x14ac:dyDescent="0.25">
      <c r="A2563" s="36" t="s">
        <v>2904</v>
      </c>
      <c r="B2563" s="36" t="str">
        <f t="shared" si="124"/>
        <v>WV_HARDY COUNTY, WV</v>
      </c>
      <c r="D2563" s="265" t="s">
        <v>58</v>
      </c>
      <c r="E2563" s="266" t="s">
        <v>5266</v>
      </c>
      <c r="F2563" s="252">
        <f t="shared" si="125"/>
        <v>39950</v>
      </c>
      <c r="G2563" s="252">
        <f t="shared" si="125"/>
        <v>45650</v>
      </c>
      <c r="H2563" s="252">
        <f t="shared" si="125"/>
        <v>51350</v>
      </c>
      <c r="I2563" s="252">
        <f t="shared" si="125"/>
        <v>57050</v>
      </c>
      <c r="J2563" s="252">
        <f t="shared" si="125"/>
        <v>61650</v>
      </c>
      <c r="K2563" s="252">
        <f t="shared" si="125"/>
        <v>66200</v>
      </c>
      <c r="L2563" s="252">
        <f t="shared" si="125"/>
        <v>70750</v>
      </c>
      <c r="M2563" s="252">
        <f t="shared" si="125"/>
        <v>75350</v>
      </c>
    </row>
    <row r="2564" spans="1:13" ht="21.95" customHeight="1" x14ac:dyDescent="0.25">
      <c r="A2564" s="36" t="s">
        <v>2904</v>
      </c>
      <c r="B2564" s="36" t="str">
        <f t="shared" si="124"/>
        <v>WV_HARRISON COUNTY, WV</v>
      </c>
      <c r="D2564" s="265" t="s">
        <v>58</v>
      </c>
      <c r="E2564" s="266" t="s">
        <v>5267</v>
      </c>
      <c r="F2564" s="252">
        <f t="shared" si="125"/>
        <v>47450</v>
      </c>
      <c r="G2564" s="252">
        <f t="shared" si="125"/>
        <v>54200</v>
      </c>
      <c r="H2564" s="252">
        <f t="shared" si="125"/>
        <v>61000</v>
      </c>
      <c r="I2564" s="252">
        <f t="shared" si="125"/>
        <v>67750</v>
      </c>
      <c r="J2564" s="252">
        <f t="shared" si="125"/>
        <v>73200</v>
      </c>
      <c r="K2564" s="252">
        <f t="shared" si="125"/>
        <v>78600</v>
      </c>
      <c r="L2564" s="252">
        <f t="shared" si="125"/>
        <v>84050</v>
      </c>
      <c r="M2564" s="252">
        <f t="shared" si="125"/>
        <v>89450</v>
      </c>
    </row>
    <row r="2565" spans="1:13" ht="21.95" customHeight="1" x14ac:dyDescent="0.25">
      <c r="A2565" s="36" t="s">
        <v>2904</v>
      </c>
      <c r="B2565" s="36" t="str">
        <f t="shared" si="124"/>
        <v>WV_HUNTINGTON-ASHLAND, WV-KY-OH HUD METRO FMR AREA</v>
      </c>
      <c r="D2565" s="265" t="s">
        <v>58</v>
      </c>
      <c r="E2565" s="266" t="s">
        <v>3771</v>
      </c>
      <c r="F2565" s="252">
        <f t="shared" si="125"/>
        <v>43600</v>
      </c>
      <c r="G2565" s="252">
        <f t="shared" si="125"/>
        <v>49800</v>
      </c>
      <c r="H2565" s="252">
        <f t="shared" si="125"/>
        <v>56050</v>
      </c>
      <c r="I2565" s="252">
        <f t="shared" si="125"/>
        <v>62250</v>
      </c>
      <c r="J2565" s="252">
        <f t="shared" si="125"/>
        <v>67250</v>
      </c>
      <c r="K2565" s="252">
        <f t="shared" si="125"/>
        <v>72250</v>
      </c>
      <c r="L2565" s="252">
        <f t="shared" si="125"/>
        <v>77200</v>
      </c>
      <c r="M2565" s="252">
        <f t="shared" si="125"/>
        <v>82200</v>
      </c>
    </row>
    <row r="2566" spans="1:13" ht="21.95" customHeight="1" x14ac:dyDescent="0.25">
      <c r="A2566" s="36" t="s">
        <v>2904</v>
      </c>
      <c r="B2566" s="36" t="str">
        <f t="shared" si="124"/>
        <v>WV_JACKSON COUNTY, WV</v>
      </c>
      <c r="D2566" s="265" t="s">
        <v>58</v>
      </c>
      <c r="E2566" s="266" t="s">
        <v>9290</v>
      </c>
      <c r="F2566" s="252">
        <f t="shared" si="125"/>
        <v>46550</v>
      </c>
      <c r="G2566" s="252">
        <f t="shared" si="125"/>
        <v>53200</v>
      </c>
      <c r="H2566" s="252">
        <f t="shared" si="125"/>
        <v>59850</v>
      </c>
      <c r="I2566" s="252">
        <f t="shared" si="125"/>
        <v>66500</v>
      </c>
      <c r="J2566" s="252">
        <f t="shared" si="125"/>
        <v>71850</v>
      </c>
      <c r="K2566" s="252">
        <f t="shared" si="125"/>
        <v>77150</v>
      </c>
      <c r="L2566" s="252">
        <f t="shared" si="125"/>
        <v>82500</v>
      </c>
      <c r="M2566" s="252">
        <f t="shared" si="125"/>
        <v>87800</v>
      </c>
    </row>
    <row r="2567" spans="1:13" ht="21.95" customHeight="1" x14ac:dyDescent="0.25">
      <c r="A2567" s="36" t="s">
        <v>2904</v>
      </c>
      <c r="B2567" s="36" t="str">
        <f t="shared" si="124"/>
        <v>WV_JEFFERSON COUNTY, WV HUD METRO FMR AREA</v>
      </c>
      <c r="D2567" s="265" t="s">
        <v>58</v>
      </c>
      <c r="E2567" s="266" t="s">
        <v>5268</v>
      </c>
      <c r="F2567" s="252">
        <f t="shared" si="125"/>
        <v>71500</v>
      </c>
      <c r="G2567" s="252">
        <f t="shared" si="125"/>
        <v>81700</v>
      </c>
      <c r="H2567" s="252">
        <f t="shared" si="125"/>
        <v>91900</v>
      </c>
      <c r="I2567" s="252">
        <f t="shared" si="125"/>
        <v>102100</v>
      </c>
      <c r="J2567" s="252">
        <f t="shared" si="125"/>
        <v>110300</v>
      </c>
      <c r="K2567" s="252">
        <f t="shared" si="125"/>
        <v>118450</v>
      </c>
      <c r="L2567" s="252">
        <f t="shared" si="125"/>
        <v>126650</v>
      </c>
      <c r="M2567" s="252">
        <f t="shared" si="125"/>
        <v>134800</v>
      </c>
    </row>
    <row r="2568" spans="1:13" ht="21.95" customHeight="1" x14ac:dyDescent="0.25">
      <c r="A2568" s="36" t="s">
        <v>2904</v>
      </c>
      <c r="B2568" s="36" t="str">
        <f t="shared" si="124"/>
        <v>WV_LEWIS COUNTY, WV</v>
      </c>
      <c r="D2568" s="265" t="s">
        <v>58</v>
      </c>
      <c r="E2568" s="266" t="s">
        <v>5269</v>
      </c>
      <c r="F2568" s="252">
        <f t="shared" si="125"/>
        <v>42200</v>
      </c>
      <c r="G2568" s="252">
        <f t="shared" si="125"/>
        <v>48200</v>
      </c>
      <c r="H2568" s="252">
        <f t="shared" si="125"/>
        <v>54250</v>
      </c>
      <c r="I2568" s="252">
        <f t="shared" si="125"/>
        <v>60250</v>
      </c>
      <c r="J2568" s="252">
        <f t="shared" si="125"/>
        <v>65100</v>
      </c>
      <c r="K2568" s="252">
        <f t="shared" si="125"/>
        <v>69900</v>
      </c>
      <c r="L2568" s="252">
        <f t="shared" si="125"/>
        <v>74750</v>
      </c>
      <c r="M2568" s="252">
        <f t="shared" si="125"/>
        <v>79550</v>
      </c>
    </row>
    <row r="2569" spans="1:13" ht="21.95" customHeight="1" x14ac:dyDescent="0.25">
      <c r="A2569" s="36" t="s">
        <v>2904</v>
      </c>
      <c r="B2569" s="36" t="str">
        <f t="shared" si="124"/>
        <v>WV_LINCOLN COUNTY, WV</v>
      </c>
      <c r="D2569" s="265" t="s">
        <v>58</v>
      </c>
      <c r="E2569" s="266" t="s">
        <v>9291</v>
      </c>
      <c r="F2569" s="252">
        <f t="shared" si="125"/>
        <v>39950</v>
      </c>
      <c r="G2569" s="252">
        <f t="shared" si="125"/>
        <v>45650</v>
      </c>
      <c r="H2569" s="252">
        <f t="shared" si="125"/>
        <v>51350</v>
      </c>
      <c r="I2569" s="252">
        <f t="shared" si="125"/>
        <v>57050</v>
      </c>
      <c r="J2569" s="252">
        <f t="shared" si="125"/>
        <v>61650</v>
      </c>
      <c r="K2569" s="252">
        <f t="shared" si="125"/>
        <v>66200</v>
      </c>
      <c r="L2569" s="252">
        <f t="shared" si="125"/>
        <v>70750</v>
      </c>
      <c r="M2569" s="252">
        <f t="shared" si="125"/>
        <v>75350</v>
      </c>
    </row>
    <row r="2570" spans="1:13" ht="21.95" customHeight="1" x14ac:dyDescent="0.25">
      <c r="A2570" s="36" t="s">
        <v>2904</v>
      </c>
      <c r="B2570" s="36" t="str">
        <f t="shared" si="124"/>
        <v>WV_LOGAN COUNTY, WV</v>
      </c>
      <c r="D2570" s="265" t="s">
        <v>58</v>
      </c>
      <c r="E2570" s="266" t="s">
        <v>5270</v>
      </c>
      <c r="F2570" s="252">
        <f t="shared" si="125"/>
        <v>39950</v>
      </c>
      <c r="G2570" s="252">
        <f t="shared" si="125"/>
        <v>45650</v>
      </c>
      <c r="H2570" s="252">
        <f t="shared" si="125"/>
        <v>51350</v>
      </c>
      <c r="I2570" s="252">
        <f t="shared" si="125"/>
        <v>57050</v>
      </c>
      <c r="J2570" s="252">
        <f t="shared" si="125"/>
        <v>61650</v>
      </c>
      <c r="K2570" s="252">
        <f t="shared" si="125"/>
        <v>66200</v>
      </c>
      <c r="L2570" s="252">
        <f t="shared" si="125"/>
        <v>70750</v>
      </c>
      <c r="M2570" s="252">
        <f t="shared" si="125"/>
        <v>75350</v>
      </c>
    </row>
    <row r="2571" spans="1:13" ht="21.95" customHeight="1" x14ac:dyDescent="0.25">
      <c r="A2571" s="36" t="s">
        <v>2904</v>
      </c>
      <c r="B2571" s="36" t="str">
        <f t="shared" si="124"/>
        <v>WV_MARION COUNTY, WV</v>
      </c>
      <c r="D2571" s="265" t="s">
        <v>58</v>
      </c>
      <c r="E2571" s="266" t="s">
        <v>5271</v>
      </c>
      <c r="F2571" s="252">
        <f t="shared" si="125"/>
        <v>49800</v>
      </c>
      <c r="G2571" s="252">
        <f t="shared" si="125"/>
        <v>56900</v>
      </c>
      <c r="H2571" s="252">
        <f t="shared" si="125"/>
        <v>64000</v>
      </c>
      <c r="I2571" s="252">
        <f t="shared" si="125"/>
        <v>71100</v>
      </c>
      <c r="J2571" s="252">
        <f t="shared" si="125"/>
        <v>76800</v>
      </c>
      <c r="K2571" s="252">
        <f t="shared" si="125"/>
        <v>82500</v>
      </c>
      <c r="L2571" s="252">
        <f t="shared" si="125"/>
        <v>88200</v>
      </c>
      <c r="M2571" s="252">
        <f t="shared" si="125"/>
        <v>93900</v>
      </c>
    </row>
    <row r="2572" spans="1:13" ht="21.95" customHeight="1" x14ac:dyDescent="0.25">
      <c r="A2572" s="36" t="s">
        <v>2904</v>
      </c>
      <c r="B2572" s="36" t="str">
        <f t="shared" si="124"/>
        <v>WV_MARTINSBURG, WV HUD METRO FMR AREA</v>
      </c>
      <c r="D2572" s="265" t="s">
        <v>58</v>
      </c>
      <c r="E2572" s="266" t="s">
        <v>5272</v>
      </c>
      <c r="F2572" s="252">
        <f t="shared" si="125"/>
        <v>50200</v>
      </c>
      <c r="G2572" s="252">
        <f t="shared" si="125"/>
        <v>57400</v>
      </c>
      <c r="H2572" s="252">
        <f t="shared" si="125"/>
        <v>64550</v>
      </c>
      <c r="I2572" s="252">
        <f t="shared" si="125"/>
        <v>71700</v>
      </c>
      <c r="J2572" s="252">
        <f t="shared" si="125"/>
        <v>77450</v>
      </c>
      <c r="K2572" s="252">
        <f t="shared" si="125"/>
        <v>83200</v>
      </c>
      <c r="L2572" s="252">
        <f t="shared" si="125"/>
        <v>88950</v>
      </c>
      <c r="M2572" s="252">
        <f t="shared" si="125"/>
        <v>94650</v>
      </c>
    </row>
    <row r="2573" spans="1:13" ht="21.95" customHeight="1" x14ac:dyDescent="0.25">
      <c r="A2573" s="36" t="s">
        <v>2904</v>
      </c>
      <c r="B2573" s="36" t="str">
        <f t="shared" si="124"/>
        <v>WV_MASON COUNTY, WV</v>
      </c>
      <c r="D2573" s="265" t="s">
        <v>58</v>
      </c>
      <c r="E2573" s="266" t="s">
        <v>5273</v>
      </c>
      <c r="F2573" s="252">
        <f t="shared" si="125"/>
        <v>42650</v>
      </c>
      <c r="G2573" s="252">
        <f t="shared" si="125"/>
        <v>48750</v>
      </c>
      <c r="H2573" s="252">
        <f t="shared" si="125"/>
        <v>54850</v>
      </c>
      <c r="I2573" s="252">
        <f t="shared" si="125"/>
        <v>60900</v>
      </c>
      <c r="J2573" s="252">
        <f t="shared" si="125"/>
        <v>65800</v>
      </c>
      <c r="K2573" s="252">
        <f t="shared" si="125"/>
        <v>70650</v>
      </c>
      <c r="L2573" s="252">
        <f t="shared" si="125"/>
        <v>75550</v>
      </c>
      <c r="M2573" s="252">
        <f t="shared" si="125"/>
        <v>80400</v>
      </c>
    </row>
    <row r="2574" spans="1:13" ht="21.95" customHeight="1" x14ac:dyDescent="0.25">
      <c r="A2574" s="36" t="s">
        <v>2904</v>
      </c>
      <c r="B2574" s="36" t="str">
        <f t="shared" si="124"/>
        <v>WV_MCDOWELL COUNTY, WV</v>
      </c>
      <c r="D2574" s="265" t="s">
        <v>58</v>
      </c>
      <c r="E2574" s="266" t="s">
        <v>5274</v>
      </c>
      <c r="F2574" s="252">
        <f t="shared" si="125"/>
        <v>39950</v>
      </c>
      <c r="G2574" s="252">
        <f t="shared" si="125"/>
        <v>45650</v>
      </c>
      <c r="H2574" s="252">
        <f t="shared" si="125"/>
        <v>51350</v>
      </c>
      <c r="I2574" s="252">
        <f t="shared" si="125"/>
        <v>57050</v>
      </c>
      <c r="J2574" s="252">
        <f t="shared" si="125"/>
        <v>61650</v>
      </c>
      <c r="K2574" s="252">
        <f t="shared" si="125"/>
        <v>66200</v>
      </c>
      <c r="L2574" s="252">
        <f t="shared" si="125"/>
        <v>70750</v>
      </c>
      <c r="M2574" s="252">
        <f t="shared" si="125"/>
        <v>75350</v>
      </c>
    </row>
    <row r="2575" spans="1:13" ht="21.95" customHeight="1" x14ac:dyDescent="0.25">
      <c r="A2575" s="36" t="s">
        <v>2904</v>
      </c>
      <c r="B2575" s="36" t="str">
        <f t="shared" si="124"/>
        <v>WV_MERCER COUNTY, WV</v>
      </c>
      <c r="D2575" s="265" t="s">
        <v>58</v>
      </c>
      <c r="E2575" s="266" t="s">
        <v>5275</v>
      </c>
      <c r="F2575" s="252">
        <f t="shared" si="125"/>
        <v>40000</v>
      </c>
      <c r="G2575" s="252">
        <f t="shared" si="125"/>
        <v>45700</v>
      </c>
      <c r="H2575" s="252">
        <f t="shared" si="125"/>
        <v>51400</v>
      </c>
      <c r="I2575" s="252">
        <f t="shared" si="125"/>
        <v>57100</v>
      </c>
      <c r="J2575" s="252">
        <f t="shared" si="125"/>
        <v>61700</v>
      </c>
      <c r="K2575" s="252">
        <f t="shared" si="125"/>
        <v>66250</v>
      </c>
      <c r="L2575" s="252">
        <f t="shared" si="125"/>
        <v>70850</v>
      </c>
      <c r="M2575" s="252">
        <f t="shared" si="125"/>
        <v>75400</v>
      </c>
    </row>
    <row r="2576" spans="1:13" ht="21.95" customHeight="1" x14ac:dyDescent="0.25">
      <c r="A2576" s="36" t="s">
        <v>2904</v>
      </c>
      <c r="B2576" s="36" t="str">
        <f t="shared" si="124"/>
        <v>WV_MINERAL COUNTY, WV</v>
      </c>
      <c r="D2576" s="265" t="s">
        <v>58</v>
      </c>
      <c r="E2576" s="266" t="s">
        <v>9292</v>
      </c>
      <c r="F2576" s="252">
        <f t="shared" si="125"/>
        <v>52000</v>
      </c>
      <c r="G2576" s="252">
        <f t="shared" si="125"/>
        <v>59400</v>
      </c>
      <c r="H2576" s="252">
        <f t="shared" si="125"/>
        <v>66850</v>
      </c>
      <c r="I2576" s="252">
        <f t="shared" si="125"/>
        <v>74250</v>
      </c>
      <c r="J2576" s="252">
        <f t="shared" si="125"/>
        <v>80200</v>
      </c>
      <c r="K2576" s="252">
        <f t="shared" si="125"/>
        <v>86150</v>
      </c>
      <c r="L2576" s="252">
        <f t="shared" si="125"/>
        <v>92100</v>
      </c>
      <c r="M2576" s="252">
        <f t="shared" si="125"/>
        <v>98050</v>
      </c>
    </row>
    <row r="2577" spans="1:13" ht="21.95" customHeight="1" x14ac:dyDescent="0.25">
      <c r="A2577" s="36" t="s">
        <v>2904</v>
      </c>
      <c r="B2577" s="36" t="str">
        <f t="shared" si="124"/>
        <v>WV_MINGO COUNTY, WV</v>
      </c>
      <c r="D2577" s="265" t="s">
        <v>58</v>
      </c>
      <c r="E2577" s="266" t="s">
        <v>5276</v>
      </c>
      <c r="F2577" s="252">
        <f t="shared" si="125"/>
        <v>39950</v>
      </c>
      <c r="G2577" s="252">
        <f t="shared" si="125"/>
        <v>45650</v>
      </c>
      <c r="H2577" s="252">
        <f t="shared" si="125"/>
        <v>51350</v>
      </c>
      <c r="I2577" s="252">
        <f t="shared" si="125"/>
        <v>57050</v>
      </c>
      <c r="J2577" s="252">
        <f t="shared" si="125"/>
        <v>61650</v>
      </c>
      <c r="K2577" s="252">
        <f t="shared" si="125"/>
        <v>66200</v>
      </c>
      <c r="L2577" s="252">
        <f t="shared" si="125"/>
        <v>70750</v>
      </c>
      <c r="M2577" s="252">
        <f t="shared" si="125"/>
        <v>75350</v>
      </c>
    </row>
    <row r="2578" spans="1:13" ht="21.95" customHeight="1" x14ac:dyDescent="0.25">
      <c r="A2578" s="36" t="s">
        <v>2904</v>
      </c>
      <c r="B2578" s="36" t="str">
        <f t="shared" si="124"/>
        <v>WV_MONROE COUNTY, WV</v>
      </c>
      <c r="D2578" s="265" t="s">
        <v>58</v>
      </c>
      <c r="E2578" s="266" t="s">
        <v>5277</v>
      </c>
      <c r="F2578" s="252">
        <f t="shared" si="125"/>
        <v>41200</v>
      </c>
      <c r="G2578" s="252">
        <f t="shared" si="125"/>
        <v>47050</v>
      </c>
      <c r="H2578" s="252">
        <f t="shared" si="125"/>
        <v>52950</v>
      </c>
      <c r="I2578" s="252">
        <f t="shared" si="125"/>
        <v>58800</v>
      </c>
      <c r="J2578" s="252">
        <f t="shared" si="125"/>
        <v>63550</v>
      </c>
      <c r="K2578" s="252">
        <f t="shared" si="125"/>
        <v>68250</v>
      </c>
      <c r="L2578" s="252">
        <f t="shared" si="125"/>
        <v>72950</v>
      </c>
      <c r="M2578" s="252">
        <f t="shared" si="125"/>
        <v>77650</v>
      </c>
    </row>
    <row r="2579" spans="1:13" ht="21.95" customHeight="1" x14ac:dyDescent="0.25">
      <c r="A2579" s="36" t="s">
        <v>2904</v>
      </c>
      <c r="B2579" s="36" t="str">
        <f t="shared" si="124"/>
        <v>WV_MORGAN COUNTY, WV HUD METRO FMR AREA</v>
      </c>
      <c r="D2579" s="265" t="s">
        <v>58</v>
      </c>
      <c r="E2579" s="266" t="s">
        <v>5278</v>
      </c>
      <c r="F2579" s="252">
        <f t="shared" si="125"/>
        <v>46150</v>
      </c>
      <c r="G2579" s="252">
        <f t="shared" si="125"/>
        <v>52750</v>
      </c>
      <c r="H2579" s="252">
        <f t="shared" si="125"/>
        <v>59350</v>
      </c>
      <c r="I2579" s="252">
        <f t="shared" si="125"/>
        <v>65900</v>
      </c>
      <c r="J2579" s="252">
        <f t="shared" si="125"/>
        <v>71200</v>
      </c>
      <c r="K2579" s="252">
        <f t="shared" si="125"/>
        <v>76450</v>
      </c>
      <c r="L2579" s="252">
        <f t="shared" si="125"/>
        <v>81750</v>
      </c>
      <c r="M2579" s="252">
        <f t="shared" si="125"/>
        <v>87000</v>
      </c>
    </row>
    <row r="2580" spans="1:13" ht="21.95" customHeight="1" x14ac:dyDescent="0.25">
      <c r="A2580" s="36" t="s">
        <v>2904</v>
      </c>
      <c r="B2580" s="36" t="str">
        <f t="shared" si="124"/>
        <v>WV_MORGANTOWN, WV MSA</v>
      </c>
      <c r="D2580" s="265" t="s">
        <v>58</v>
      </c>
      <c r="E2580" s="266" t="s">
        <v>5279</v>
      </c>
      <c r="F2580" s="252">
        <f t="shared" si="125"/>
        <v>55100</v>
      </c>
      <c r="G2580" s="252">
        <f t="shared" si="125"/>
        <v>63000</v>
      </c>
      <c r="H2580" s="252">
        <f t="shared" si="125"/>
        <v>70850</v>
      </c>
      <c r="I2580" s="252">
        <f t="shared" si="125"/>
        <v>78700</v>
      </c>
      <c r="J2580" s="252">
        <f t="shared" si="125"/>
        <v>85000</v>
      </c>
      <c r="K2580" s="252">
        <f t="shared" si="125"/>
        <v>91300</v>
      </c>
      <c r="L2580" s="252">
        <f t="shared" si="125"/>
        <v>97600</v>
      </c>
      <c r="M2580" s="252">
        <f t="shared" si="125"/>
        <v>103900</v>
      </c>
    </row>
    <row r="2581" spans="1:13" ht="21.95" customHeight="1" x14ac:dyDescent="0.25">
      <c r="A2581" s="36" t="s">
        <v>2904</v>
      </c>
      <c r="B2581" s="36" t="str">
        <f t="shared" si="124"/>
        <v>WV_NICHOLAS COUNTY, WV</v>
      </c>
      <c r="D2581" s="265" t="s">
        <v>58</v>
      </c>
      <c r="E2581" s="266" t="s">
        <v>5280</v>
      </c>
      <c r="F2581" s="252">
        <f t="shared" si="125"/>
        <v>42150</v>
      </c>
      <c r="G2581" s="252">
        <f t="shared" si="125"/>
        <v>48150</v>
      </c>
      <c r="H2581" s="252">
        <f t="shared" si="125"/>
        <v>54150</v>
      </c>
      <c r="I2581" s="252">
        <f t="shared" si="125"/>
        <v>60150</v>
      </c>
      <c r="J2581" s="252">
        <f t="shared" si="125"/>
        <v>65000</v>
      </c>
      <c r="K2581" s="252">
        <f t="shared" si="125"/>
        <v>69800</v>
      </c>
      <c r="L2581" s="252">
        <f t="shared" si="125"/>
        <v>74600</v>
      </c>
      <c r="M2581" s="252">
        <f t="shared" si="125"/>
        <v>79400</v>
      </c>
    </row>
    <row r="2582" spans="1:13" ht="21.95" customHeight="1" x14ac:dyDescent="0.25">
      <c r="A2582" s="36" t="s">
        <v>2904</v>
      </c>
      <c r="B2582" s="36" t="str">
        <f t="shared" si="124"/>
        <v>WV_PARKERSBURG-VIENNA, WV MSA</v>
      </c>
      <c r="D2582" s="265" t="s">
        <v>58</v>
      </c>
      <c r="E2582" s="266" t="s">
        <v>5281</v>
      </c>
      <c r="F2582" s="252">
        <f t="shared" si="125"/>
        <v>40550</v>
      </c>
      <c r="G2582" s="252">
        <f t="shared" si="125"/>
        <v>46350</v>
      </c>
      <c r="H2582" s="252">
        <f t="shared" si="125"/>
        <v>52150</v>
      </c>
      <c r="I2582" s="252">
        <f t="shared" si="125"/>
        <v>57900</v>
      </c>
      <c r="J2582" s="252">
        <f t="shared" si="125"/>
        <v>62550</v>
      </c>
      <c r="K2582" s="252">
        <f t="shared" si="125"/>
        <v>67200</v>
      </c>
      <c r="L2582" s="252">
        <f t="shared" si="125"/>
        <v>71800</v>
      </c>
      <c r="M2582" s="252">
        <f t="shared" si="125"/>
        <v>76450</v>
      </c>
    </row>
    <row r="2583" spans="1:13" ht="21.95" customHeight="1" x14ac:dyDescent="0.25">
      <c r="A2583" s="36" t="s">
        <v>2904</v>
      </c>
      <c r="B2583" s="36" t="str">
        <f t="shared" si="124"/>
        <v>WV_PENDLETON COUNTY, WV</v>
      </c>
      <c r="D2583" s="265" t="s">
        <v>58</v>
      </c>
      <c r="E2583" s="266" t="s">
        <v>5282</v>
      </c>
      <c r="F2583" s="252">
        <f t="shared" si="125"/>
        <v>39950</v>
      </c>
      <c r="G2583" s="252">
        <f t="shared" si="125"/>
        <v>45650</v>
      </c>
      <c r="H2583" s="252">
        <f t="shared" si="125"/>
        <v>51350</v>
      </c>
      <c r="I2583" s="252">
        <f t="shared" si="125"/>
        <v>57050</v>
      </c>
      <c r="J2583" s="252">
        <f t="shared" si="125"/>
        <v>61650</v>
      </c>
      <c r="K2583" s="252">
        <f t="shared" si="125"/>
        <v>66200</v>
      </c>
      <c r="L2583" s="252">
        <f t="shared" si="125"/>
        <v>70750</v>
      </c>
      <c r="M2583" s="252">
        <f t="shared" si="125"/>
        <v>75350</v>
      </c>
    </row>
    <row r="2584" spans="1:13" ht="21.95" customHeight="1" x14ac:dyDescent="0.25">
      <c r="A2584" s="36" t="s">
        <v>2904</v>
      </c>
      <c r="B2584" s="36" t="str">
        <f t="shared" si="124"/>
        <v>WV_PLEASANTS COUNTY, WV</v>
      </c>
      <c r="D2584" s="265" t="s">
        <v>58</v>
      </c>
      <c r="E2584" s="266" t="s">
        <v>5283</v>
      </c>
      <c r="F2584" s="252">
        <f t="shared" si="125"/>
        <v>46500</v>
      </c>
      <c r="G2584" s="252">
        <f t="shared" si="125"/>
        <v>53150</v>
      </c>
      <c r="H2584" s="252">
        <f t="shared" si="125"/>
        <v>59800</v>
      </c>
      <c r="I2584" s="252">
        <f t="shared" si="125"/>
        <v>66400</v>
      </c>
      <c r="J2584" s="252">
        <f t="shared" si="125"/>
        <v>71750</v>
      </c>
      <c r="K2584" s="252">
        <f t="shared" si="125"/>
        <v>77050</v>
      </c>
      <c r="L2584" s="252">
        <f t="shared" si="125"/>
        <v>82350</v>
      </c>
      <c r="M2584" s="252">
        <f t="shared" si="125"/>
        <v>87650</v>
      </c>
    </row>
    <row r="2585" spans="1:13" ht="21.95" customHeight="1" x14ac:dyDescent="0.25">
      <c r="A2585" s="36" t="s">
        <v>2904</v>
      </c>
      <c r="B2585" s="36" t="str">
        <f t="shared" si="124"/>
        <v>WV_POCAHONTAS COUNTY, WV</v>
      </c>
      <c r="D2585" s="265" t="s">
        <v>58</v>
      </c>
      <c r="E2585" s="266" t="s">
        <v>5284</v>
      </c>
      <c r="F2585" s="252">
        <f t="shared" si="125"/>
        <v>39950</v>
      </c>
      <c r="G2585" s="252">
        <f t="shared" si="125"/>
        <v>45650</v>
      </c>
      <c r="H2585" s="252">
        <f t="shared" si="125"/>
        <v>51350</v>
      </c>
      <c r="I2585" s="252">
        <f t="shared" si="125"/>
        <v>57050</v>
      </c>
      <c r="J2585" s="252">
        <f t="shared" si="125"/>
        <v>61650</v>
      </c>
      <c r="K2585" s="252">
        <f t="shared" si="125"/>
        <v>66200</v>
      </c>
      <c r="L2585" s="252">
        <f t="shared" si="125"/>
        <v>70750</v>
      </c>
      <c r="M2585" s="252">
        <f t="shared" si="125"/>
        <v>75350</v>
      </c>
    </row>
    <row r="2586" spans="1:13" ht="21.95" customHeight="1" x14ac:dyDescent="0.25">
      <c r="A2586" s="36" t="s">
        <v>2904</v>
      </c>
      <c r="B2586" s="36" t="str">
        <f t="shared" si="124"/>
        <v>WV_PUTNAM COUNTY, WV HUD METRO FMR AREA</v>
      </c>
      <c r="D2586" s="265" t="s">
        <v>58</v>
      </c>
      <c r="E2586" s="266" t="s">
        <v>5285</v>
      </c>
      <c r="F2586" s="252">
        <f t="shared" si="125"/>
        <v>56850</v>
      </c>
      <c r="G2586" s="252">
        <f t="shared" si="125"/>
        <v>65000</v>
      </c>
      <c r="H2586" s="252">
        <f t="shared" si="125"/>
        <v>73100</v>
      </c>
      <c r="I2586" s="252">
        <f t="shared" si="125"/>
        <v>81200</v>
      </c>
      <c r="J2586" s="252">
        <f t="shared" si="125"/>
        <v>87700</v>
      </c>
      <c r="K2586" s="252">
        <f t="shared" si="125"/>
        <v>94200</v>
      </c>
      <c r="L2586" s="252">
        <f t="shared" si="125"/>
        <v>100700</v>
      </c>
      <c r="M2586" s="252">
        <f t="shared" si="125"/>
        <v>107200</v>
      </c>
    </row>
    <row r="2587" spans="1:13" ht="21.95" customHeight="1" x14ac:dyDescent="0.25">
      <c r="A2587" s="36" t="s">
        <v>2904</v>
      </c>
      <c r="B2587" s="36" t="str">
        <f t="shared" si="124"/>
        <v>WV_RALEIGH COUNTY, WV HUD METRO FMR AREA</v>
      </c>
      <c r="D2587" s="265" t="s">
        <v>58</v>
      </c>
      <c r="E2587" s="266" t="s">
        <v>5286</v>
      </c>
      <c r="F2587" s="252">
        <f t="shared" si="125"/>
        <v>40350</v>
      </c>
      <c r="G2587" s="252">
        <f t="shared" si="125"/>
        <v>46100</v>
      </c>
      <c r="H2587" s="252">
        <f t="shared" si="125"/>
        <v>51850</v>
      </c>
      <c r="I2587" s="252">
        <f t="shared" si="125"/>
        <v>57600</v>
      </c>
      <c r="J2587" s="252">
        <f t="shared" si="125"/>
        <v>62250</v>
      </c>
      <c r="K2587" s="252">
        <f t="shared" si="125"/>
        <v>66850</v>
      </c>
      <c r="L2587" s="252">
        <f t="shared" si="125"/>
        <v>71450</v>
      </c>
      <c r="M2587" s="252">
        <f t="shared" si="125"/>
        <v>76050</v>
      </c>
    </row>
    <row r="2588" spans="1:13" ht="21.95" customHeight="1" x14ac:dyDescent="0.25">
      <c r="A2588" s="36" t="s">
        <v>2904</v>
      </c>
      <c r="B2588" s="36" t="str">
        <f t="shared" si="124"/>
        <v>WV_RANDOLPH COUNTY, WV</v>
      </c>
      <c r="D2588" s="265" t="s">
        <v>58</v>
      </c>
      <c r="E2588" s="266" t="s">
        <v>5287</v>
      </c>
      <c r="F2588" s="252">
        <f t="shared" si="125"/>
        <v>41550</v>
      </c>
      <c r="G2588" s="252">
        <f t="shared" si="125"/>
        <v>47500</v>
      </c>
      <c r="H2588" s="252">
        <f t="shared" si="125"/>
        <v>53450</v>
      </c>
      <c r="I2588" s="252">
        <f t="shared" si="125"/>
        <v>59350</v>
      </c>
      <c r="J2588" s="252">
        <f t="shared" si="125"/>
        <v>64100</v>
      </c>
      <c r="K2588" s="252">
        <f t="shared" si="125"/>
        <v>68850</v>
      </c>
      <c r="L2588" s="252">
        <f t="shared" si="125"/>
        <v>73600</v>
      </c>
      <c r="M2588" s="252">
        <f t="shared" si="125"/>
        <v>78350</v>
      </c>
    </row>
    <row r="2589" spans="1:13" ht="21.95" customHeight="1" x14ac:dyDescent="0.25">
      <c r="A2589" s="36" t="s">
        <v>2904</v>
      </c>
      <c r="B2589" s="36" t="str">
        <f t="shared" ref="B2589:B2624" si="126">UPPER(TRIM(D2589)&amp;"_"&amp;TRIM(E2589))</f>
        <v>WV_RITCHIE COUNTY, WV</v>
      </c>
      <c r="D2589" s="265" t="s">
        <v>58</v>
      </c>
      <c r="E2589" s="266" t="s">
        <v>5288</v>
      </c>
      <c r="F2589" s="252">
        <f t="shared" si="125"/>
        <v>39950</v>
      </c>
      <c r="G2589" s="252">
        <f t="shared" si="125"/>
        <v>45650</v>
      </c>
      <c r="H2589" s="252">
        <f t="shared" si="125"/>
        <v>51350</v>
      </c>
      <c r="I2589" s="252">
        <f t="shared" si="125"/>
        <v>57050</v>
      </c>
      <c r="J2589" s="252">
        <f t="shared" si="125"/>
        <v>61650</v>
      </c>
      <c r="K2589" s="252">
        <f t="shared" si="125"/>
        <v>66200</v>
      </c>
      <c r="L2589" s="252">
        <f t="shared" si="125"/>
        <v>70750</v>
      </c>
      <c r="M2589" s="252">
        <f t="shared" si="125"/>
        <v>75350</v>
      </c>
    </row>
    <row r="2590" spans="1:13" ht="21.95" customHeight="1" x14ac:dyDescent="0.25">
      <c r="A2590" s="36" t="s">
        <v>2904</v>
      </c>
      <c r="B2590" s="36" t="str">
        <f t="shared" si="126"/>
        <v>WV_ROANE COUNTY, WV</v>
      </c>
      <c r="D2590" s="265" t="s">
        <v>58</v>
      </c>
      <c r="E2590" s="266" t="s">
        <v>5289</v>
      </c>
      <c r="F2590" s="252">
        <f t="shared" ref="F2590:M2621" si="127">VLOOKUP($B2590,LOOKUP_AMI_TABLE,5+((F$7-1)),FALSE)</f>
        <v>39950</v>
      </c>
      <c r="G2590" s="252">
        <f t="shared" si="127"/>
        <v>45650</v>
      </c>
      <c r="H2590" s="252">
        <f t="shared" si="127"/>
        <v>51350</v>
      </c>
      <c r="I2590" s="252">
        <f t="shared" si="127"/>
        <v>57050</v>
      </c>
      <c r="J2590" s="252">
        <f t="shared" si="127"/>
        <v>61650</v>
      </c>
      <c r="K2590" s="252">
        <f t="shared" si="127"/>
        <v>66200</v>
      </c>
      <c r="L2590" s="252">
        <f t="shared" si="127"/>
        <v>70750</v>
      </c>
      <c r="M2590" s="252">
        <f t="shared" si="127"/>
        <v>75350</v>
      </c>
    </row>
    <row r="2591" spans="1:13" ht="21.95" customHeight="1" x14ac:dyDescent="0.25">
      <c r="A2591" s="36" t="s">
        <v>2904</v>
      </c>
      <c r="B2591" s="36" t="str">
        <f t="shared" si="126"/>
        <v>WV_SUMMERS COUNTY, WV</v>
      </c>
      <c r="D2591" s="265" t="s">
        <v>58</v>
      </c>
      <c r="E2591" s="266" t="s">
        <v>5290</v>
      </c>
      <c r="F2591" s="252">
        <f t="shared" si="127"/>
        <v>39950</v>
      </c>
      <c r="G2591" s="252">
        <f t="shared" si="127"/>
        <v>45650</v>
      </c>
      <c r="H2591" s="252">
        <f t="shared" si="127"/>
        <v>51350</v>
      </c>
      <c r="I2591" s="252">
        <f t="shared" si="127"/>
        <v>57050</v>
      </c>
      <c r="J2591" s="252">
        <f t="shared" si="127"/>
        <v>61650</v>
      </c>
      <c r="K2591" s="252">
        <f t="shared" si="127"/>
        <v>66200</v>
      </c>
      <c r="L2591" s="252">
        <f t="shared" si="127"/>
        <v>70750</v>
      </c>
      <c r="M2591" s="252">
        <f t="shared" si="127"/>
        <v>75350</v>
      </c>
    </row>
    <row r="2592" spans="1:13" ht="21.95" customHeight="1" x14ac:dyDescent="0.25">
      <c r="A2592" s="36" t="s">
        <v>2904</v>
      </c>
      <c r="B2592" s="36" t="str">
        <f t="shared" si="126"/>
        <v>WV_TAYLOR COUNTY, WV</v>
      </c>
      <c r="D2592" s="265" t="s">
        <v>58</v>
      </c>
      <c r="E2592" s="266" t="s">
        <v>5291</v>
      </c>
      <c r="F2592" s="252">
        <f t="shared" si="127"/>
        <v>40500</v>
      </c>
      <c r="G2592" s="252">
        <f t="shared" si="127"/>
        <v>46300</v>
      </c>
      <c r="H2592" s="252">
        <f t="shared" si="127"/>
        <v>52100</v>
      </c>
      <c r="I2592" s="252">
        <f t="shared" si="127"/>
        <v>57850</v>
      </c>
      <c r="J2592" s="252">
        <f t="shared" si="127"/>
        <v>62500</v>
      </c>
      <c r="K2592" s="252">
        <f t="shared" si="127"/>
        <v>67150</v>
      </c>
      <c r="L2592" s="252">
        <f t="shared" si="127"/>
        <v>71750</v>
      </c>
      <c r="M2592" s="252">
        <f t="shared" si="127"/>
        <v>76400</v>
      </c>
    </row>
    <row r="2593" spans="1:13" ht="21.95" customHeight="1" x14ac:dyDescent="0.25">
      <c r="A2593" s="36" t="s">
        <v>2904</v>
      </c>
      <c r="B2593" s="36" t="str">
        <f t="shared" si="126"/>
        <v>WV_TUCKER COUNTY, WV</v>
      </c>
      <c r="D2593" s="265" t="s">
        <v>58</v>
      </c>
      <c r="E2593" s="266" t="s">
        <v>5292</v>
      </c>
      <c r="F2593" s="252">
        <f t="shared" si="127"/>
        <v>42850</v>
      </c>
      <c r="G2593" s="252">
        <f t="shared" si="127"/>
        <v>49000</v>
      </c>
      <c r="H2593" s="252">
        <f t="shared" si="127"/>
        <v>55100</v>
      </c>
      <c r="I2593" s="252">
        <f t="shared" si="127"/>
        <v>61200</v>
      </c>
      <c r="J2593" s="252">
        <f t="shared" si="127"/>
        <v>66100</v>
      </c>
      <c r="K2593" s="252">
        <f t="shared" si="127"/>
        <v>71000</v>
      </c>
      <c r="L2593" s="252">
        <f t="shared" si="127"/>
        <v>75900</v>
      </c>
      <c r="M2593" s="252">
        <f t="shared" si="127"/>
        <v>80800</v>
      </c>
    </row>
    <row r="2594" spans="1:13" ht="21.95" customHeight="1" x14ac:dyDescent="0.25">
      <c r="A2594" s="36" t="s">
        <v>2904</v>
      </c>
      <c r="B2594" s="36" t="str">
        <f t="shared" si="126"/>
        <v>WV_TYLER COUNTY, WV</v>
      </c>
      <c r="D2594" s="265" t="s">
        <v>58</v>
      </c>
      <c r="E2594" s="266" t="s">
        <v>5293</v>
      </c>
      <c r="F2594" s="252">
        <f t="shared" si="127"/>
        <v>45150</v>
      </c>
      <c r="G2594" s="252">
        <f t="shared" si="127"/>
        <v>51600</v>
      </c>
      <c r="H2594" s="252">
        <f t="shared" si="127"/>
        <v>58050</v>
      </c>
      <c r="I2594" s="252">
        <f t="shared" si="127"/>
        <v>64500</v>
      </c>
      <c r="J2594" s="252">
        <f t="shared" si="127"/>
        <v>69700</v>
      </c>
      <c r="K2594" s="252">
        <f t="shared" si="127"/>
        <v>74850</v>
      </c>
      <c r="L2594" s="252">
        <f t="shared" si="127"/>
        <v>80000</v>
      </c>
      <c r="M2594" s="252">
        <f t="shared" si="127"/>
        <v>85150</v>
      </c>
    </row>
    <row r="2595" spans="1:13" ht="21.95" customHeight="1" x14ac:dyDescent="0.25">
      <c r="A2595" s="36" t="s">
        <v>2904</v>
      </c>
      <c r="B2595" s="36" t="str">
        <f t="shared" si="126"/>
        <v>WV_UPSHUR COUNTY, WV</v>
      </c>
      <c r="D2595" s="265" t="s">
        <v>58</v>
      </c>
      <c r="E2595" s="266" t="s">
        <v>5294</v>
      </c>
      <c r="F2595" s="252">
        <f t="shared" si="127"/>
        <v>40600</v>
      </c>
      <c r="G2595" s="252">
        <f t="shared" si="127"/>
        <v>46400</v>
      </c>
      <c r="H2595" s="252">
        <f t="shared" si="127"/>
        <v>52200</v>
      </c>
      <c r="I2595" s="252">
        <f t="shared" si="127"/>
        <v>58000</v>
      </c>
      <c r="J2595" s="252">
        <f t="shared" si="127"/>
        <v>62650</v>
      </c>
      <c r="K2595" s="252">
        <f t="shared" si="127"/>
        <v>67300</v>
      </c>
      <c r="L2595" s="252">
        <f t="shared" si="127"/>
        <v>71950</v>
      </c>
      <c r="M2595" s="252">
        <f t="shared" si="127"/>
        <v>76600</v>
      </c>
    </row>
    <row r="2596" spans="1:13" ht="21.95" customHeight="1" x14ac:dyDescent="0.25">
      <c r="A2596" s="36" t="s">
        <v>2904</v>
      </c>
      <c r="B2596" s="36" t="str">
        <f t="shared" si="126"/>
        <v>WV_WEBSTER COUNTY, WV</v>
      </c>
      <c r="D2596" s="265" t="s">
        <v>58</v>
      </c>
      <c r="E2596" s="266" t="s">
        <v>5295</v>
      </c>
      <c r="F2596" s="252">
        <f t="shared" si="127"/>
        <v>39950</v>
      </c>
      <c r="G2596" s="252">
        <f t="shared" si="127"/>
        <v>45650</v>
      </c>
      <c r="H2596" s="252">
        <f t="shared" si="127"/>
        <v>51350</v>
      </c>
      <c r="I2596" s="252">
        <f t="shared" si="127"/>
        <v>57050</v>
      </c>
      <c r="J2596" s="252">
        <f t="shared" si="127"/>
        <v>61650</v>
      </c>
      <c r="K2596" s="252">
        <f t="shared" si="127"/>
        <v>66200</v>
      </c>
      <c r="L2596" s="252">
        <f t="shared" si="127"/>
        <v>70750</v>
      </c>
      <c r="M2596" s="252">
        <f t="shared" si="127"/>
        <v>75350</v>
      </c>
    </row>
    <row r="2597" spans="1:13" ht="21.95" customHeight="1" x14ac:dyDescent="0.25">
      <c r="A2597" s="36" t="s">
        <v>2904</v>
      </c>
      <c r="B2597" s="36" t="str">
        <f t="shared" si="126"/>
        <v>WV_WEIRTON-STEUBENVILLE, WV-OH MSA</v>
      </c>
      <c r="D2597" s="265" t="s">
        <v>58</v>
      </c>
      <c r="E2597" s="266" t="s">
        <v>4574</v>
      </c>
      <c r="F2597" s="252">
        <f t="shared" si="127"/>
        <v>47750</v>
      </c>
      <c r="G2597" s="252">
        <f t="shared" si="127"/>
        <v>54550</v>
      </c>
      <c r="H2597" s="252">
        <f t="shared" si="127"/>
        <v>61350</v>
      </c>
      <c r="I2597" s="252">
        <f t="shared" si="127"/>
        <v>68150</v>
      </c>
      <c r="J2597" s="252">
        <f t="shared" si="127"/>
        <v>73650</v>
      </c>
      <c r="K2597" s="252">
        <f t="shared" si="127"/>
        <v>79100</v>
      </c>
      <c r="L2597" s="252">
        <f t="shared" si="127"/>
        <v>84550</v>
      </c>
      <c r="M2597" s="252">
        <f t="shared" si="127"/>
        <v>90000</v>
      </c>
    </row>
    <row r="2598" spans="1:13" ht="21.95" customHeight="1" x14ac:dyDescent="0.25">
      <c r="A2598" s="36" t="s">
        <v>2904</v>
      </c>
      <c r="B2598" s="36" t="str">
        <f t="shared" si="126"/>
        <v>WV_WETZEL COUNTY, WV</v>
      </c>
      <c r="D2598" s="265" t="s">
        <v>58</v>
      </c>
      <c r="E2598" s="266" t="s">
        <v>5296</v>
      </c>
      <c r="F2598" s="252">
        <f t="shared" si="127"/>
        <v>41800</v>
      </c>
      <c r="G2598" s="252">
        <f t="shared" si="127"/>
        <v>47800</v>
      </c>
      <c r="H2598" s="252">
        <f t="shared" si="127"/>
        <v>53750</v>
      </c>
      <c r="I2598" s="252">
        <f t="shared" si="127"/>
        <v>59700</v>
      </c>
      <c r="J2598" s="252">
        <f t="shared" si="127"/>
        <v>64500</v>
      </c>
      <c r="K2598" s="252">
        <f t="shared" si="127"/>
        <v>69300</v>
      </c>
      <c r="L2598" s="252">
        <f t="shared" si="127"/>
        <v>74050</v>
      </c>
      <c r="M2598" s="252">
        <f t="shared" si="127"/>
        <v>78850</v>
      </c>
    </row>
    <row r="2599" spans="1:13" ht="21.95" customHeight="1" x14ac:dyDescent="0.25">
      <c r="A2599" s="36" t="s">
        <v>2904</v>
      </c>
      <c r="B2599" s="36" t="str">
        <f t="shared" si="126"/>
        <v>WV_WHEELING, WV-OH MSA</v>
      </c>
      <c r="D2599" s="265" t="s">
        <v>58</v>
      </c>
      <c r="E2599" s="266" t="s">
        <v>4575</v>
      </c>
      <c r="F2599" s="252">
        <f t="shared" si="127"/>
        <v>46000</v>
      </c>
      <c r="G2599" s="252">
        <f t="shared" si="127"/>
        <v>52600</v>
      </c>
      <c r="H2599" s="252">
        <f t="shared" si="127"/>
        <v>59150</v>
      </c>
      <c r="I2599" s="252">
        <f t="shared" si="127"/>
        <v>65700</v>
      </c>
      <c r="J2599" s="252">
        <f t="shared" si="127"/>
        <v>71000</v>
      </c>
      <c r="K2599" s="252">
        <f t="shared" si="127"/>
        <v>76250</v>
      </c>
      <c r="L2599" s="252">
        <f t="shared" si="127"/>
        <v>81500</v>
      </c>
      <c r="M2599" s="252">
        <f t="shared" si="127"/>
        <v>86750</v>
      </c>
    </row>
    <row r="2600" spans="1:13" ht="21.95" customHeight="1" x14ac:dyDescent="0.25">
      <c r="A2600" s="36" t="s">
        <v>2904</v>
      </c>
      <c r="B2600" s="36" t="str">
        <f t="shared" si="126"/>
        <v>WV_WINCHESTER, VA-WV MSA</v>
      </c>
      <c r="D2600" s="265" t="s">
        <v>58</v>
      </c>
      <c r="E2600" s="266" t="s">
        <v>5156</v>
      </c>
      <c r="F2600" s="252">
        <f t="shared" si="127"/>
        <v>63350</v>
      </c>
      <c r="G2600" s="252">
        <f t="shared" si="127"/>
        <v>72400</v>
      </c>
      <c r="H2600" s="252">
        <f t="shared" si="127"/>
        <v>81450</v>
      </c>
      <c r="I2600" s="252">
        <f t="shared" si="127"/>
        <v>90500</v>
      </c>
      <c r="J2600" s="252">
        <f t="shared" si="127"/>
        <v>97750</v>
      </c>
      <c r="K2600" s="252">
        <f t="shared" si="127"/>
        <v>105000</v>
      </c>
      <c r="L2600" s="252">
        <f t="shared" si="127"/>
        <v>112250</v>
      </c>
      <c r="M2600" s="252">
        <f t="shared" si="127"/>
        <v>119500</v>
      </c>
    </row>
    <row r="2601" spans="1:13" ht="21.95" customHeight="1" x14ac:dyDescent="0.25">
      <c r="A2601" s="36" t="s">
        <v>2904</v>
      </c>
      <c r="B2601" s="36" t="str">
        <f t="shared" si="126"/>
        <v>WV_WYOMING COUNTY, WV</v>
      </c>
      <c r="D2601" s="265" t="s">
        <v>58</v>
      </c>
      <c r="E2601" s="266" t="s">
        <v>5297</v>
      </c>
      <c r="F2601" s="252">
        <f t="shared" si="127"/>
        <v>39950</v>
      </c>
      <c r="G2601" s="252">
        <f t="shared" si="127"/>
        <v>45650</v>
      </c>
      <c r="H2601" s="252">
        <f t="shared" si="127"/>
        <v>51350</v>
      </c>
      <c r="I2601" s="252">
        <f t="shared" si="127"/>
        <v>57050</v>
      </c>
      <c r="J2601" s="252">
        <f t="shared" si="127"/>
        <v>61650</v>
      </c>
      <c r="K2601" s="252">
        <f t="shared" si="127"/>
        <v>66200</v>
      </c>
      <c r="L2601" s="252">
        <f t="shared" si="127"/>
        <v>70750</v>
      </c>
      <c r="M2601" s="252">
        <f t="shared" si="127"/>
        <v>75350</v>
      </c>
    </row>
    <row r="2602" spans="1:13" ht="21.95" customHeight="1" x14ac:dyDescent="0.25">
      <c r="A2602" s="36" t="s">
        <v>2904</v>
      </c>
      <c r="B2602" s="36" t="str">
        <f t="shared" si="126"/>
        <v>WY_ALBANY COUNTY, WY</v>
      </c>
      <c r="D2602" s="265" t="s">
        <v>56</v>
      </c>
      <c r="E2602" s="266" t="s">
        <v>5298</v>
      </c>
      <c r="F2602" s="252">
        <f t="shared" si="127"/>
        <v>58350</v>
      </c>
      <c r="G2602" s="252">
        <f t="shared" si="127"/>
        <v>66650</v>
      </c>
      <c r="H2602" s="252">
        <f t="shared" si="127"/>
        <v>75000</v>
      </c>
      <c r="I2602" s="252">
        <f t="shared" si="127"/>
        <v>83300</v>
      </c>
      <c r="J2602" s="252">
        <f t="shared" si="127"/>
        <v>90000</v>
      </c>
      <c r="K2602" s="252">
        <f t="shared" si="127"/>
        <v>96650</v>
      </c>
      <c r="L2602" s="252">
        <f t="shared" si="127"/>
        <v>103300</v>
      </c>
      <c r="M2602" s="252">
        <f t="shared" si="127"/>
        <v>110000</v>
      </c>
    </row>
    <row r="2603" spans="1:13" ht="21.95" customHeight="1" x14ac:dyDescent="0.25">
      <c r="A2603" s="36" t="s">
        <v>2904</v>
      </c>
      <c r="B2603" s="36" t="str">
        <f t="shared" si="126"/>
        <v>WY_BIG HORN COUNTY, WY</v>
      </c>
      <c r="D2603" s="265" t="s">
        <v>56</v>
      </c>
      <c r="E2603" s="266" t="s">
        <v>5299</v>
      </c>
      <c r="F2603" s="252">
        <f t="shared" si="127"/>
        <v>55650</v>
      </c>
      <c r="G2603" s="252">
        <f t="shared" si="127"/>
        <v>63600</v>
      </c>
      <c r="H2603" s="252">
        <f t="shared" si="127"/>
        <v>71550</v>
      </c>
      <c r="I2603" s="252">
        <f t="shared" si="127"/>
        <v>79450</v>
      </c>
      <c r="J2603" s="252">
        <f t="shared" si="127"/>
        <v>85850</v>
      </c>
      <c r="K2603" s="252">
        <f t="shared" si="127"/>
        <v>92200</v>
      </c>
      <c r="L2603" s="252">
        <f t="shared" si="127"/>
        <v>98550</v>
      </c>
      <c r="M2603" s="252">
        <f t="shared" si="127"/>
        <v>104900</v>
      </c>
    </row>
    <row r="2604" spans="1:13" ht="21.95" customHeight="1" x14ac:dyDescent="0.25">
      <c r="A2604" s="36" t="s">
        <v>2904</v>
      </c>
      <c r="B2604" s="36" t="str">
        <f t="shared" si="126"/>
        <v>WY_CAMPBELL COUNTY, WY</v>
      </c>
      <c r="D2604" s="265" t="s">
        <v>56</v>
      </c>
      <c r="E2604" s="266" t="s">
        <v>5300</v>
      </c>
      <c r="F2604" s="252">
        <f t="shared" si="127"/>
        <v>63200</v>
      </c>
      <c r="G2604" s="252">
        <f t="shared" si="127"/>
        <v>72200</v>
      </c>
      <c r="H2604" s="252">
        <f t="shared" si="127"/>
        <v>81250</v>
      </c>
      <c r="I2604" s="252">
        <f t="shared" si="127"/>
        <v>90250</v>
      </c>
      <c r="J2604" s="252">
        <f t="shared" si="127"/>
        <v>97500</v>
      </c>
      <c r="K2604" s="252">
        <f t="shared" si="127"/>
        <v>104700</v>
      </c>
      <c r="L2604" s="252">
        <f t="shared" si="127"/>
        <v>111950</v>
      </c>
      <c r="M2604" s="252">
        <f t="shared" si="127"/>
        <v>119150</v>
      </c>
    </row>
    <row r="2605" spans="1:13" ht="21.95" customHeight="1" x14ac:dyDescent="0.25">
      <c r="A2605" s="36" t="s">
        <v>2904</v>
      </c>
      <c r="B2605" s="36" t="str">
        <f t="shared" si="126"/>
        <v>WY_CARBON COUNTY, WY</v>
      </c>
      <c r="D2605" s="265" t="s">
        <v>56</v>
      </c>
      <c r="E2605" s="266" t="s">
        <v>5301</v>
      </c>
      <c r="F2605" s="252">
        <f t="shared" si="127"/>
        <v>55650</v>
      </c>
      <c r="G2605" s="252">
        <f t="shared" si="127"/>
        <v>63600</v>
      </c>
      <c r="H2605" s="252">
        <f t="shared" si="127"/>
        <v>71550</v>
      </c>
      <c r="I2605" s="252">
        <f t="shared" si="127"/>
        <v>79450</v>
      </c>
      <c r="J2605" s="252">
        <f t="shared" si="127"/>
        <v>85850</v>
      </c>
      <c r="K2605" s="252">
        <f t="shared" si="127"/>
        <v>92200</v>
      </c>
      <c r="L2605" s="252">
        <f t="shared" si="127"/>
        <v>98550</v>
      </c>
      <c r="M2605" s="252">
        <f t="shared" si="127"/>
        <v>104900</v>
      </c>
    </row>
    <row r="2606" spans="1:13" ht="21.95" customHeight="1" x14ac:dyDescent="0.25">
      <c r="A2606" s="36" t="s">
        <v>2904</v>
      </c>
      <c r="B2606" s="36" t="str">
        <f t="shared" si="126"/>
        <v>WY_CASPER, WY MSA</v>
      </c>
      <c r="D2606" s="265" t="s">
        <v>56</v>
      </c>
      <c r="E2606" s="266" t="s">
        <v>5302</v>
      </c>
      <c r="F2606" s="252">
        <f t="shared" si="127"/>
        <v>55650</v>
      </c>
      <c r="G2606" s="252">
        <f t="shared" si="127"/>
        <v>63600</v>
      </c>
      <c r="H2606" s="252">
        <f t="shared" si="127"/>
        <v>71550</v>
      </c>
      <c r="I2606" s="252">
        <f t="shared" si="127"/>
        <v>79450</v>
      </c>
      <c r="J2606" s="252">
        <f t="shared" si="127"/>
        <v>85850</v>
      </c>
      <c r="K2606" s="252">
        <f t="shared" si="127"/>
        <v>92200</v>
      </c>
      <c r="L2606" s="252">
        <f t="shared" si="127"/>
        <v>98550</v>
      </c>
      <c r="M2606" s="252">
        <f t="shared" si="127"/>
        <v>104900</v>
      </c>
    </row>
    <row r="2607" spans="1:13" ht="21.95" customHeight="1" x14ac:dyDescent="0.25">
      <c r="A2607" s="36" t="s">
        <v>2904</v>
      </c>
      <c r="B2607" s="36" t="str">
        <f t="shared" si="126"/>
        <v>WY_CHEYENNE, WY MSA</v>
      </c>
      <c r="D2607" s="265" t="s">
        <v>56</v>
      </c>
      <c r="E2607" s="266" t="s">
        <v>5303</v>
      </c>
      <c r="F2607" s="252">
        <f t="shared" si="127"/>
        <v>55650</v>
      </c>
      <c r="G2607" s="252">
        <f t="shared" si="127"/>
        <v>63600</v>
      </c>
      <c r="H2607" s="252">
        <f t="shared" si="127"/>
        <v>71550</v>
      </c>
      <c r="I2607" s="252">
        <f t="shared" si="127"/>
        <v>79450</v>
      </c>
      <c r="J2607" s="252">
        <f t="shared" si="127"/>
        <v>85850</v>
      </c>
      <c r="K2607" s="252">
        <f t="shared" si="127"/>
        <v>92200</v>
      </c>
      <c r="L2607" s="252">
        <f t="shared" si="127"/>
        <v>98550</v>
      </c>
      <c r="M2607" s="252">
        <f t="shared" si="127"/>
        <v>104900</v>
      </c>
    </row>
    <row r="2608" spans="1:13" ht="21.95" customHeight="1" x14ac:dyDescent="0.25">
      <c r="A2608" s="36" t="s">
        <v>2904</v>
      </c>
      <c r="B2608" s="36" t="str">
        <f t="shared" si="126"/>
        <v>WY_CONVERSE COUNTY, WY</v>
      </c>
      <c r="D2608" s="265" t="s">
        <v>56</v>
      </c>
      <c r="E2608" s="266" t="s">
        <v>5304</v>
      </c>
      <c r="F2608" s="252">
        <f t="shared" si="127"/>
        <v>57800</v>
      </c>
      <c r="G2608" s="252">
        <f t="shared" si="127"/>
        <v>66050</v>
      </c>
      <c r="H2608" s="252">
        <f t="shared" si="127"/>
        <v>74300</v>
      </c>
      <c r="I2608" s="252">
        <f t="shared" si="127"/>
        <v>82550</v>
      </c>
      <c r="J2608" s="252">
        <f t="shared" si="127"/>
        <v>89200</v>
      </c>
      <c r="K2608" s="252">
        <f t="shared" si="127"/>
        <v>95800</v>
      </c>
      <c r="L2608" s="252">
        <f t="shared" si="127"/>
        <v>102400</v>
      </c>
      <c r="M2608" s="252">
        <f t="shared" si="127"/>
        <v>109000</v>
      </c>
    </row>
    <row r="2609" spans="1:13" ht="21.95" customHeight="1" x14ac:dyDescent="0.25">
      <c r="A2609" s="36" t="s">
        <v>2904</v>
      </c>
      <c r="B2609" s="36" t="str">
        <f t="shared" si="126"/>
        <v>WY_CROOK COUNTY, WY</v>
      </c>
      <c r="D2609" s="265" t="s">
        <v>56</v>
      </c>
      <c r="E2609" s="266" t="s">
        <v>5305</v>
      </c>
      <c r="F2609" s="252">
        <f t="shared" si="127"/>
        <v>58700</v>
      </c>
      <c r="G2609" s="252">
        <f t="shared" si="127"/>
        <v>67100</v>
      </c>
      <c r="H2609" s="252">
        <f t="shared" si="127"/>
        <v>75500</v>
      </c>
      <c r="I2609" s="252">
        <f t="shared" si="127"/>
        <v>83850</v>
      </c>
      <c r="J2609" s="252">
        <f t="shared" si="127"/>
        <v>90600</v>
      </c>
      <c r="K2609" s="252">
        <f t="shared" si="127"/>
        <v>97300</v>
      </c>
      <c r="L2609" s="252">
        <f t="shared" si="127"/>
        <v>104000</v>
      </c>
      <c r="M2609" s="252">
        <f t="shared" si="127"/>
        <v>110700</v>
      </c>
    </row>
    <row r="2610" spans="1:13" ht="21.95" customHeight="1" x14ac:dyDescent="0.25">
      <c r="A2610" s="36" t="s">
        <v>2904</v>
      </c>
      <c r="B2610" s="36" t="str">
        <f t="shared" si="126"/>
        <v>WY_FREMONT COUNTY, WY</v>
      </c>
      <c r="D2610" s="265" t="s">
        <v>56</v>
      </c>
      <c r="E2610" s="266" t="s">
        <v>5306</v>
      </c>
      <c r="F2610" s="252">
        <f t="shared" si="127"/>
        <v>55650</v>
      </c>
      <c r="G2610" s="252">
        <f t="shared" si="127"/>
        <v>63600</v>
      </c>
      <c r="H2610" s="252">
        <f t="shared" si="127"/>
        <v>71550</v>
      </c>
      <c r="I2610" s="252">
        <f t="shared" si="127"/>
        <v>79450</v>
      </c>
      <c r="J2610" s="252">
        <f t="shared" si="127"/>
        <v>85850</v>
      </c>
      <c r="K2610" s="252">
        <f t="shared" si="127"/>
        <v>92200</v>
      </c>
      <c r="L2610" s="252">
        <f t="shared" si="127"/>
        <v>98550</v>
      </c>
      <c r="M2610" s="252">
        <f t="shared" si="127"/>
        <v>104900</v>
      </c>
    </row>
    <row r="2611" spans="1:13" ht="21.95" customHeight="1" x14ac:dyDescent="0.25">
      <c r="A2611" s="36" t="s">
        <v>2904</v>
      </c>
      <c r="B2611" s="36" t="str">
        <f t="shared" si="126"/>
        <v>WY_GOSHEN COUNTY, WY</v>
      </c>
      <c r="D2611" s="265" t="s">
        <v>56</v>
      </c>
      <c r="E2611" s="266" t="s">
        <v>5307</v>
      </c>
      <c r="F2611" s="252">
        <f t="shared" si="127"/>
        <v>55650</v>
      </c>
      <c r="G2611" s="252">
        <f t="shared" si="127"/>
        <v>63600</v>
      </c>
      <c r="H2611" s="252">
        <f t="shared" si="127"/>
        <v>71550</v>
      </c>
      <c r="I2611" s="252">
        <f t="shared" si="127"/>
        <v>79450</v>
      </c>
      <c r="J2611" s="252">
        <f t="shared" si="127"/>
        <v>85850</v>
      </c>
      <c r="K2611" s="252">
        <f t="shared" si="127"/>
        <v>92200</v>
      </c>
      <c r="L2611" s="252">
        <f t="shared" si="127"/>
        <v>98550</v>
      </c>
      <c r="M2611" s="252">
        <f t="shared" si="127"/>
        <v>104900</v>
      </c>
    </row>
    <row r="2612" spans="1:13" ht="21.95" customHeight="1" x14ac:dyDescent="0.25">
      <c r="A2612" s="36" t="s">
        <v>2904</v>
      </c>
      <c r="B2612" s="36" t="str">
        <f t="shared" si="126"/>
        <v>WY_HOT SPRINGS COUNTY, WY</v>
      </c>
      <c r="D2612" s="265" t="s">
        <v>56</v>
      </c>
      <c r="E2612" s="266" t="s">
        <v>5308</v>
      </c>
      <c r="F2612" s="252">
        <f t="shared" si="127"/>
        <v>55650</v>
      </c>
      <c r="G2612" s="252">
        <f t="shared" si="127"/>
        <v>63600</v>
      </c>
      <c r="H2612" s="252">
        <f t="shared" si="127"/>
        <v>71550</v>
      </c>
      <c r="I2612" s="252">
        <f t="shared" si="127"/>
        <v>79450</v>
      </c>
      <c r="J2612" s="252">
        <f t="shared" si="127"/>
        <v>85850</v>
      </c>
      <c r="K2612" s="252">
        <f t="shared" si="127"/>
        <v>92200</v>
      </c>
      <c r="L2612" s="252">
        <f t="shared" si="127"/>
        <v>98550</v>
      </c>
      <c r="M2612" s="252">
        <f t="shared" si="127"/>
        <v>104900</v>
      </c>
    </row>
    <row r="2613" spans="1:13" ht="21.95" customHeight="1" x14ac:dyDescent="0.25">
      <c r="A2613" s="36" t="s">
        <v>2904</v>
      </c>
      <c r="B2613" s="36" t="str">
        <f t="shared" si="126"/>
        <v>WY_JOHNSON COUNTY, WY</v>
      </c>
      <c r="D2613" s="265" t="s">
        <v>56</v>
      </c>
      <c r="E2613" s="266" t="s">
        <v>5309</v>
      </c>
      <c r="F2613" s="252">
        <f t="shared" si="127"/>
        <v>55650</v>
      </c>
      <c r="G2613" s="252">
        <f t="shared" si="127"/>
        <v>63600</v>
      </c>
      <c r="H2613" s="252">
        <f t="shared" si="127"/>
        <v>71550</v>
      </c>
      <c r="I2613" s="252">
        <f t="shared" si="127"/>
        <v>79450</v>
      </c>
      <c r="J2613" s="252">
        <f t="shared" si="127"/>
        <v>85850</v>
      </c>
      <c r="K2613" s="252">
        <f t="shared" si="127"/>
        <v>92200</v>
      </c>
      <c r="L2613" s="252">
        <f t="shared" si="127"/>
        <v>98550</v>
      </c>
      <c r="M2613" s="252">
        <f t="shared" si="127"/>
        <v>104900</v>
      </c>
    </row>
    <row r="2614" spans="1:13" ht="21.95" customHeight="1" x14ac:dyDescent="0.25">
      <c r="A2614" s="36" t="s">
        <v>2904</v>
      </c>
      <c r="B2614" s="36" t="str">
        <f t="shared" si="126"/>
        <v>WY_LINCOLN COUNTY, WY</v>
      </c>
      <c r="D2614" s="265" t="s">
        <v>56</v>
      </c>
      <c r="E2614" s="266" t="s">
        <v>5310</v>
      </c>
      <c r="F2614" s="252">
        <f t="shared" si="127"/>
        <v>64700</v>
      </c>
      <c r="G2614" s="252">
        <f t="shared" si="127"/>
        <v>73950</v>
      </c>
      <c r="H2614" s="252">
        <f t="shared" si="127"/>
        <v>83200</v>
      </c>
      <c r="I2614" s="252">
        <f t="shared" si="127"/>
        <v>92400</v>
      </c>
      <c r="J2614" s="252">
        <f t="shared" si="127"/>
        <v>99800</v>
      </c>
      <c r="K2614" s="252">
        <f t="shared" si="127"/>
        <v>107200</v>
      </c>
      <c r="L2614" s="252">
        <f t="shared" si="127"/>
        <v>114600</v>
      </c>
      <c r="M2614" s="252">
        <f t="shared" si="127"/>
        <v>122000</v>
      </c>
    </row>
    <row r="2615" spans="1:13" ht="21.95" customHeight="1" x14ac:dyDescent="0.25">
      <c r="A2615" s="36" t="s">
        <v>2904</v>
      </c>
      <c r="B2615" s="36" t="str">
        <f t="shared" si="126"/>
        <v>WY_NIOBRARA COUNTY, WY</v>
      </c>
      <c r="D2615" s="265" t="s">
        <v>56</v>
      </c>
      <c r="E2615" s="266" t="s">
        <v>5311</v>
      </c>
      <c r="F2615" s="252">
        <f t="shared" si="127"/>
        <v>55650</v>
      </c>
      <c r="G2615" s="252">
        <f t="shared" si="127"/>
        <v>63600</v>
      </c>
      <c r="H2615" s="252">
        <f t="shared" si="127"/>
        <v>71550</v>
      </c>
      <c r="I2615" s="252">
        <f t="shared" si="127"/>
        <v>79450</v>
      </c>
      <c r="J2615" s="252">
        <f t="shared" si="127"/>
        <v>85850</v>
      </c>
      <c r="K2615" s="252">
        <f t="shared" si="127"/>
        <v>92200</v>
      </c>
      <c r="L2615" s="252">
        <f t="shared" si="127"/>
        <v>98550</v>
      </c>
      <c r="M2615" s="252">
        <f t="shared" si="127"/>
        <v>104900</v>
      </c>
    </row>
    <row r="2616" spans="1:13" ht="21.95" customHeight="1" x14ac:dyDescent="0.25">
      <c r="A2616" s="36" t="s">
        <v>2904</v>
      </c>
      <c r="B2616" s="36" t="str">
        <f t="shared" si="126"/>
        <v>WY_PARK COUNTY, WY</v>
      </c>
      <c r="D2616" s="265" t="s">
        <v>56</v>
      </c>
      <c r="E2616" s="266" t="s">
        <v>5312</v>
      </c>
      <c r="F2616" s="252">
        <f t="shared" si="127"/>
        <v>55750</v>
      </c>
      <c r="G2616" s="252">
        <f t="shared" si="127"/>
        <v>63700</v>
      </c>
      <c r="H2616" s="252">
        <f t="shared" si="127"/>
        <v>71650</v>
      </c>
      <c r="I2616" s="252">
        <f t="shared" si="127"/>
        <v>79600</v>
      </c>
      <c r="J2616" s="252">
        <f t="shared" si="127"/>
        <v>86000</v>
      </c>
      <c r="K2616" s="252">
        <f t="shared" si="127"/>
        <v>92350</v>
      </c>
      <c r="L2616" s="252">
        <f t="shared" si="127"/>
        <v>98750</v>
      </c>
      <c r="M2616" s="252">
        <f t="shared" si="127"/>
        <v>105100</v>
      </c>
    </row>
    <row r="2617" spans="1:13" ht="21.95" customHeight="1" x14ac:dyDescent="0.25">
      <c r="A2617" s="36" t="s">
        <v>2904</v>
      </c>
      <c r="B2617" s="36" t="str">
        <f t="shared" si="126"/>
        <v>WY_PLATTE COUNTY, WY</v>
      </c>
      <c r="D2617" s="265" t="s">
        <v>56</v>
      </c>
      <c r="E2617" s="266" t="s">
        <v>5313</v>
      </c>
      <c r="F2617" s="252">
        <f t="shared" si="127"/>
        <v>55650</v>
      </c>
      <c r="G2617" s="252">
        <f t="shared" si="127"/>
        <v>63600</v>
      </c>
      <c r="H2617" s="252">
        <f t="shared" si="127"/>
        <v>71550</v>
      </c>
      <c r="I2617" s="252">
        <f t="shared" si="127"/>
        <v>79450</v>
      </c>
      <c r="J2617" s="252">
        <f t="shared" si="127"/>
        <v>85850</v>
      </c>
      <c r="K2617" s="252">
        <f t="shared" si="127"/>
        <v>92200</v>
      </c>
      <c r="L2617" s="252">
        <f t="shared" si="127"/>
        <v>98550</v>
      </c>
      <c r="M2617" s="252">
        <f t="shared" si="127"/>
        <v>104900</v>
      </c>
    </row>
    <row r="2618" spans="1:13" ht="21.95" customHeight="1" x14ac:dyDescent="0.25">
      <c r="A2618" s="36" t="s">
        <v>2904</v>
      </c>
      <c r="B2618" s="36" t="str">
        <f t="shared" si="126"/>
        <v>WY_SHERIDAN COUNTY, WY</v>
      </c>
      <c r="D2618" s="265" t="s">
        <v>56</v>
      </c>
      <c r="E2618" s="266" t="s">
        <v>5314</v>
      </c>
      <c r="F2618" s="252">
        <f t="shared" si="127"/>
        <v>60500</v>
      </c>
      <c r="G2618" s="252">
        <f t="shared" si="127"/>
        <v>69150</v>
      </c>
      <c r="H2618" s="252">
        <f t="shared" si="127"/>
        <v>77800</v>
      </c>
      <c r="I2618" s="252">
        <f t="shared" si="127"/>
        <v>86400</v>
      </c>
      <c r="J2618" s="252">
        <f t="shared" si="127"/>
        <v>93350</v>
      </c>
      <c r="K2618" s="252">
        <f t="shared" si="127"/>
        <v>100250</v>
      </c>
      <c r="L2618" s="252">
        <f t="shared" si="127"/>
        <v>107150</v>
      </c>
      <c r="M2618" s="252">
        <f t="shared" si="127"/>
        <v>114050</v>
      </c>
    </row>
    <row r="2619" spans="1:13" ht="21.95" customHeight="1" x14ac:dyDescent="0.25">
      <c r="A2619" s="36" t="s">
        <v>2904</v>
      </c>
      <c r="B2619" s="36" t="str">
        <f t="shared" si="126"/>
        <v>WY_SUBLETTE COUNTY, WY</v>
      </c>
      <c r="D2619" s="265" t="s">
        <v>56</v>
      </c>
      <c r="E2619" s="266" t="s">
        <v>5315</v>
      </c>
      <c r="F2619" s="252">
        <f t="shared" si="127"/>
        <v>63250</v>
      </c>
      <c r="G2619" s="252">
        <f t="shared" si="127"/>
        <v>72250</v>
      </c>
      <c r="H2619" s="252">
        <f t="shared" si="127"/>
        <v>81300</v>
      </c>
      <c r="I2619" s="252">
        <f t="shared" si="127"/>
        <v>90300</v>
      </c>
      <c r="J2619" s="252">
        <f t="shared" si="127"/>
        <v>97550</v>
      </c>
      <c r="K2619" s="252">
        <f t="shared" si="127"/>
        <v>104750</v>
      </c>
      <c r="L2619" s="252">
        <f t="shared" si="127"/>
        <v>112000</v>
      </c>
      <c r="M2619" s="252">
        <f t="shared" si="127"/>
        <v>119200</v>
      </c>
    </row>
    <row r="2620" spans="1:13" ht="21.95" customHeight="1" x14ac:dyDescent="0.25">
      <c r="A2620" s="36" t="s">
        <v>2904</v>
      </c>
      <c r="B2620" s="36" t="str">
        <f t="shared" si="126"/>
        <v>WY_SWEETWATER COUNTY, WY</v>
      </c>
      <c r="D2620" s="265" t="s">
        <v>56</v>
      </c>
      <c r="E2620" s="266" t="s">
        <v>5316</v>
      </c>
      <c r="F2620" s="252">
        <f t="shared" si="127"/>
        <v>60200</v>
      </c>
      <c r="G2620" s="252">
        <f t="shared" si="127"/>
        <v>68800</v>
      </c>
      <c r="H2620" s="252">
        <f t="shared" si="127"/>
        <v>77400</v>
      </c>
      <c r="I2620" s="252">
        <f t="shared" si="127"/>
        <v>86000</v>
      </c>
      <c r="J2620" s="252">
        <f t="shared" si="127"/>
        <v>92900</v>
      </c>
      <c r="K2620" s="252">
        <f t="shared" si="127"/>
        <v>99800</v>
      </c>
      <c r="L2620" s="252">
        <f t="shared" si="127"/>
        <v>106650</v>
      </c>
      <c r="M2620" s="252">
        <f t="shared" si="127"/>
        <v>113550</v>
      </c>
    </row>
    <row r="2621" spans="1:13" ht="21.95" customHeight="1" x14ac:dyDescent="0.25">
      <c r="A2621" s="36" t="s">
        <v>2904</v>
      </c>
      <c r="B2621" s="36" t="str">
        <f t="shared" si="126"/>
        <v>WY_TETON COUNTY, WY</v>
      </c>
      <c r="D2621" s="265" t="s">
        <v>56</v>
      </c>
      <c r="E2621" s="266" t="s">
        <v>5317</v>
      </c>
      <c r="F2621" s="252">
        <f t="shared" si="127"/>
        <v>72950</v>
      </c>
      <c r="G2621" s="252">
        <f t="shared" si="127"/>
        <v>83400</v>
      </c>
      <c r="H2621" s="252">
        <f t="shared" si="127"/>
        <v>93800</v>
      </c>
      <c r="I2621" s="252">
        <f t="shared" si="127"/>
        <v>104200</v>
      </c>
      <c r="J2621" s="252">
        <f t="shared" si="127"/>
        <v>112550</v>
      </c>
      <c r="K2621" s="252">
        <f t="shared" si="127"/>
        <v>120900</v>
      </c>
      <c r="L2621" s="252">
        <f t="shared" si="127"/>
        <v>129250</v>
      </c>
      <c r="M2621" s="252">
        <f t="shared" ref="F2621:M2624" si="128">VLOOKUP($B2621,LOOKUP_AMI_TABLE,5+((M$7-1)),FALSE)</f>
        <v>137550</v>
      </c>
    </row>
    <row r="2622" spans="1:13" ht="21.95" customHeight="1" x14ac:dyDescent="0.25">
      <c r="A2622" s="36" t="s">
        <v>2904</v>
      </c>
      <c r="B2622" s="36" t="str">
        <f t="shared" si="126"/>
        <v>WY_UINTA COUNTY, WY</v>
      </c>
      <c r="D2622" s="265" t="s">
        <v>56</v>
      </c>
      <c r="E2622" s="266" t="s">
        <v>5318</v>
      </c>
      <c r="F2622" s="252">
        <f t="shared" si="128"/>
        <v>58050</v>
      </c>
      <c r="G2622" s="252">
        <f t="shared" si="128"/>
        <v>66350</v>
      </c>
      <c r="H2622" s="252">
        <f t="shared" si="128"/>
        <v>74650</v>
      </c>
      <c r="I2622" s="252">
        <f t="shared" si="128"/>
        <v>82900</v>
      </c>
      <c r="J2622" s="252">
        <f t="shared" si="128"/>
        <v>89550</v>
      </c>
      <c r="K2622" s="252">
        <f t="shared" si="128"/>
        <v>96200</v>
      </c>
      <c r="L2622" s="252">
        <f t="shared" si="128"/>
        <v>102800</v>
      </c>
      <c r="M2622" s="252">
        <f t="shared" si="128"/>
        <v>109450</v>
      </c>
    </row>
    <row r="2623" spans="1:13" ht="21.95" customHeight="1" x14ac:dyDescent="0.25">
      <c r="A2623" s="36" t="s">
        <v>2904</v>
      </c>
      <c r="B2623" s="36" t="str">
        <f t="shared" si="126"/>
        <v>WY_WASHAKIE COUNTY, WY</v>
      </c>
      <c r="D2623" s="265" t="s">
        <v>56</v>
      </c>
      <c r="E2623" s="266" t="s">
        <v>5319</v>
      </c>
      <c r="F2623" s="252">
        <f t="shared" si="128"/>
        <v>55650</v>
      </c>
      <c r="G2623" s="252">
        <f t="shared" si="128"/>
        <v>63600</v>
      </c>
      <c r="H2623" s="252">
        <f t="shared" si="128"/>
        <v>71550</v>
      </c>
      <c r="I2623" s="252">
        <f t="shared" si="128"/>
        <v>79450</v>
      </c>
      <c r="J2623" s="252">
        <f t="shared" si="128"/>
        <v>85850</v>
      </c>
      <c r="K2623" s="252">
        <f t="shared" si="128"/>
        <v>92200</v>
      </c>
      <c r="L2623" s="252">
        <f t="shared" si="128"/>
        <v>98550</v>
      </c>
      <c r="M2623" s="252">
        <f t="shared" si="128"/>
        <v>104900</v>
      </c>
    </row>
    <row r="2624" spans="1:13" ht="21.95" customHeight="1" x14ac:dyDescent="0.25">
      <c r="A2624" s="36" t="s">
        <v>2904</v>
      </c>
      <c r="B2624" s="36" t="str">
        <f t="shared" si="126"/>
        <v>WY_WESTON COUNTY, WY</v>
      </c>
      <c r="D2624" s="265" t="s">
        <v>56</v>
      </c>
      <c r="E2624" s="266" t="s">
        <v>5320</v>
      </c>
      <c r="F2624" s="252">
        <f t="shared" si="128"/>
        <v>56150</v>
      </c>
      <c r="G2624" s="252">
        <f t="shared" si="128"/>
        <v>64150</v>
      </c>
      <c r="H2624" s="252">
        <f t="shared" si="128"/>
        <v>72150</v>
      </c>
      <c r="I2624" s="252">
        <f t="shared" si="128"/>
        <v>80150</v>
      </c>
      <c r="J2624" s="252">
        <f t="shared" si="128"/>
        <v>86600</v>
      </c>
      <c r="K2624" s="252">
        <f t="shared" si="128"/>
        <v>93000</v>
      </c>
      <c r="L2624" s="252">
        <f t="shared" si="128"/>
        <v>99400</v>
      </c>
      <c r="M2624" s="252">
        <f t="shared" si="128"/>
        <v>105800</v>
      </c>
    </row>
    <row r="2625" ht="15" customHeight="1" x14ac:dyDescent="0.25"/>
  </sheetData>
  <sheetProtection algorithmName="SHA-512" hashValue="WGVM3DEgBZk+PELxPBqQaI9guJNwsEIJdUvSN57SFc1E0rMWJA89YUgFqLXLRmAFDIcIGWd04bmaEcLiFaBNZQ==" saltValue="OonL1eNJDWOstr14qZCyjQ==" spinCount="100000" sheet="1" objects="1" scenarios="1" autoFilter="0"/>
  <autoFilter ref="D7:E2624" xr:uid="{AFA53B38-9009-4F33-B197-B32DADA94ECF}"/>
  <mergeCells count="2">
    <mergeCell ref="J2:M2"/>
    <mergeCell ref="F6:M6"/>
  </mergeCells>
  <pageMargins left="0.7" right="0.7" top="0.75" bottom="0.75" header="0.3" footer="0.3"/>
  <pageSetup scale="61" fitToHeight="0" orientation="portrait" horizontalDpi="0" verticalDpi="0" r:id="rId1"/>
  <headerFooter>
    <oddFooter>Page &amp;P of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4DC96-5A8A-4C9C-A435-121A66E859A1}">
  <dimension ref="A1:I29"/>
  <sheetViews>
    <sheetView showGridLines="0" showRowColHeaders="0" zoomScaleNormal="100" workbookViewId="0">
      <pane ySplit="7" topLeftCell="A8" activePane="bottomLeft" state="frozen"/>
      <selection activeCell="C1" sqref="C1"/>
      <selection pane="bottomLeft" activeCell="E8" sqref="E8"/>
    </sheetView>
  </sheetViews>
  <sheetFormatPr defaultColWidth="0" defaultRowHeight="14.45" customHeight="1" zeroHeight="1" x14ac:dyDescent="0.25"/>
  <cols>
    <col min="1" max="1" width="22.28515625" hidden="1" customWidth="1"/>
    <col min="2" max="2" width="31.42578125" hidden="1" customWidth="1"/>
    <col min="3" max="3" width="1.42578125" customWidth="1"/>
    <col min="4" max="4" width="31.28515625" customWidth="1"/>
    <col min="5" max="8" width="20.7109375" customWidth="1"/>
    <col min="9" max="9" width="1.42578125" customWidth="1"/>
    <col min="10" max="16384" width="9.140625" hidden="1"/>
  </cols>
  <sheetData>
    <row r="1" spans="1:9" ht="11.1" customHeight="1" x14ac:dyDescent="0.25"/>
    <row r="2" spans="1:9" ht="24.95" customHeight="1" x14ac:dyDescent="0.25">
      <c r="A2" s="43" t="s">
        <v>179</v>
      </c>
      <c r="B2" s="43" t="s">
        <v>178</v>
      </c>
      <c r="F2" s="433" t="str">
        <f>HYPERLINK("#"&amp;$B$4,$B$5)</f>
        <v xml:space="preserve">Return to </v>
      </c>
      <c r="G2" s="433"/>
      <c r="H2" s="433"/>
    </row>
    <row r="3" spans="1:9" ht="11.1" customHeight="1" x14ac:dyDescent="0.25"/>
    <row r="4" spans="1:9" ht="21.75" customHeight="1" x14ac:dyDescent="0.25">
      <c r="A4" t="s">
        <v>2852</v>
      </c>
      <c r="B4" t="str">
        <f>"TARGET_" &amp;CONFIG_EFORM_TYPE_CODE&amp;"_"&amp;CONFIG_FHC_PROG_ID&amp;"_ICW_BOOKMARK"</f>
        <v>TARGET___ICW_BOOKMARK</v>
      </c>
      <c r="C4" s="210"/>
      <c r="D4" s="212" t="str">
        <f>"Mortgage Revenue Bond Median Income Guidelines: New Jersey State ("&amp;Configuration!M53&amp;")"</f>
        <v>Mortgage Revenue Bond Median Income Guidelines: New Jersey State (2025)</v>
      </c>
      <c r="E4" s="212"/>
      <c r="F4" s="210"/>
      <c r="G4" s="210"/>
      <c r="H4" s="250"/>
      <c r="I4" s="210"/>
    </row>
    <row r="5" spans="1:9" s="208" customFormat="1" ht="9" customHeight="1" x14ac:dyDescent="0.25">
      <c r="A5" s="36" t="s">
        <v>2853</v>
      </c>
      <c r="B5" s="36" t="str">
        <f>"Return to "&amp;CONFIG_EFORM_TYPE_NAME</f>
        <v xml:space="preserve">Return to </v>
      </c>
      <c r="C5" s="207"/>
      <c r="D5" s="251"/>
      <c r="E5" s="209"/>
    </row>
    <row r="6" spans="1:9" s="208" customFormat="1" ht="21" customHeight="1" x14ac:dyDescent="0.25">
      <c r="A6" s="36"/>
      <c r="B6" s="36"/>
      <c r="C6" s="207"/>
      <c r="D6" s="224"/>
      <c r="E6" s="461" t="s">
        <v>2902</v>
      </c>
      <c r="F6" s="461"/>
      <c r="G6" s="461" t="s">
        <v>2903</v>
      </c>
      <c r="H6" s="461"/>
    </row>
    <row r="7" spans="1:9" s="208" customFormat="1" ht="20.100000000000001" customHeight="1" x14ac:dyDescent="0.25">
      <c r="A7"/>
      <c r="B7"/>
      <c r="C7"/>
      <c r="D7" s="248" t="s">
        <v>105</v>
      </c>
      <c r="E7" s="168" t="s">
        <v>8993</v>
      </c>
      <c r="F7" s="247" t="s">
        <v>2389</v>
      </c>
      <c r="G7" s="168" t="s">
        <v>8993</v>
      </c>
      <c r="H7" s="247" t="s">
        <v>2326</v>
      </c>
    </row>
    <row r="8" spans="1:9" s="36" customFormat="1" ht="20.100000000000001" customHeight="1" x14ac:dyDescent="0.25">
      <c r="A8" s="36" t="s">
        <v>2904</v>
      </c>
      <c r="B8" s="36" t="str">
        <f>"NJ_"&amp;UPPER(D8)</f>
        <v>NJ_ATLANTIC</v>
      </c>
      <c r="D8" s="249" t="s">
        <v>1326</v>
      </c>
      <c r="E8" s="283" t="e" cm="1">
        <f t="array" aca="1" ref="E8" ca="1">((VLOOKUP(B8,LOOKUP_AMI_TABLE,5,FALSE)/0.8)*INDIRECT("AMI_MIN_PCT_NJ_"&amp;CONFIG_FHC_PROG_ID))+0.01</f>
        <v>#REF!</v>
      </c>
      <c r="F8" s="283" t="e" cm="1">
        <f t="array" aca="1" ref="F8" ca="1">((VLOOKUP(B8,LOOKUP_AMI_TABLE,5,FALSE)/0.8)*INDIRECT("AMI_MAX_PCT_NJ_"&amp;CONFIG_FHC_PROG_ID))</f>
        <v>#REF!</v>
      </c>
      <c r="G8" s="283" t="e" cm="1">
        <f t="array" aca="1" ref="G8" ca="1">((VLOOKUP(B8,LOOKUP_AMI_TABLE,7,FALSE)/0.8)*INDIRECT("AMI_MIN_PCT_NJ_"&amp;CONFIG_FHC_PROG_ID))+0.01</f>
        <v>#REF!</v>
      </c>
      <c r="H8" s="283" t="e" cm="1">
        <f t="array" aca="1" ref="H8" ca="1">((VLOOKUP(B8,LOOKUP_AMI_TABLE,7,FALSE)/0.8)*INDIRECT("AMI_MAX_PCT_NJ_"&amp;CONFIG_FHC_PROG_ID))</f>
        <v>#REF!</v>
      </c>
    </row>
    <row r="9" spans="1:9" s="36" customFormat="1" ht="20.100000000000001" customHeight="1" x14ac:dyDescent="0.25">
      <c r="A9" s="36" t="s">
        <v>2904</v>
      </c>
      <c r="B9" s="36" t="str">
        <f t="shared" ref="B9:B28" si="0">"NJ_"&amp;UPPER(D9)</f>
        <v>NJ_BERGEN</v>
      </c>
      <c r="D9" s="249" t="s">
        <v>1327</v>
      </c>
      <c r="E9" s="283" t="e" cm="1">
        <f t="array" aca="1" ref="E9" ca="1">((VLOOKUP(B9,LOOKUP_AMI_TABLE,5,FALSE)/0.8)*INDIRECT("AMI_MIN_PCT_NJ_"&amp;CONFIG_FHC_PROG_ID))+0.01</f>
        <v>#REF!</v>
      </c>
      <c r="F9" s="283" t="e" cm="1">
        <f t="array" aca="1" ref="F9" ca="1">((VLOOKUP(B9,LOOKUP_AMI_TABLE,5,FALSE)/0.8)*INDIRECT("AMI_MAX_PCT_NJ_"&amp;CONFIG_FHC_PROG_ID))</f>
        <v>#REF!</v>
      </c>
      <c r="G9" s="283" t="e" cm="1">
        <f t="array" aca="1" ref="G9" ca="1">((VLOOKUP(B9,LOOKUP_AMI_TABLE,7,FALSE)/0.8)*INDIRECT("AMI_MIN_PCT_NJ_"&amp;CONFIG_FHC_PROG_ID))+0.01</f>
        <v>#REF!</v>
      </c>
      <c r="H9" s="283" t="e" cm="1">
        <f t="array" aca="1" ref="H9" ca="1">((VLOOKUP(B9,LOOKUP_AMI_TABLE,7,FALSE)/0.8)*INDIRECT("AMI_MAX_PCT_NJ_"&amp;CONFIG_FHC_PROG_ID))</f>
        <v>#REF!</v>
      </c>
    </row>
    <row r="10" spans="1:9" s="36" customFormat="1" ht="20.100000000000001" customHeight="1" x14ac:dyDescent="0.25">
      <c r="A10" s="36" t="s">
        <v>2904</v>
      </c>
      <c r="B10" s="36" t="str">
        <f t="shared" si="0"/>
        <v>NJ_BURLINGTON</v>
      </c>
      <c r="D10" s="249" t="s">
        <v>1328</v>
      </c>
      <c r="E10" s="283" t="e" cm="1">
        <f t="array" aca="1" ref="E10" ca="1">((VLOOKUP(B10,LOOKUP_AMI_TABLE,5,FALSE)/0.8)*INDIRECT("AMI_MIN_PCT_NJ_"&amp;CONFIG_FHC_PROG_ID))+0.01</f>
        <v>#REF!</v>
      </c>
      <c r="F10" s="283" t="e" cm="1">
        <f t="array" aca="1" ref="F10" ca="1">((VLOOKUP(B10,LOOKUP_AMI_TABLE,5,FALSE)/0.8)*INDIRECT("AMI_MAX_PCT_NJ_"&amp;CONFIG_FHC_PROG_ID))</f>
        <v>#REF!</v>
      </c>
      <c r="G10" s="283" t="e" cm="1">
        <f t="array" aca="1" ref="G10" ca="1">((VLOOKUP(B10,LOOKUP_AMI_TABLE,7,FALSE)/0.8)*INDIRECT("AMI_MIN_PCT_NJ_"&amp;CONFIG_FHC_PROG_ID))+0.01</f>
        <v>#REF!</v>
      </c>
      <c r="H10" s="283" t="e" cm="1">
        <f t="array" aca="1" ref="H10" ca="1">((VLOOKUP(B10,LOOKUP_AMI_TABLE,7,FALSE)/0.8)*INDIRECT("AMI_MAX_PCT_NJ_"&amp;CONFIG_FHC_PROG_ID))</f>
        <v>#REF!</v>
      </c>
    </row>
    <row r="11" spans="1:9" s="36" customFormat="1" ht="20.100000000000001" customHeight="1" x14ac:dyDescent="0.25">
      <c r="A11" s="36" t="s">
        <v>2904</v>
      </c>
      <c r="B11" s="36" t="str">
        <f t="shared" si="0"/>
        <v>NJ_CAMDEN</v>
      </c>
      <c r="D11" s="249" t="s">
        <v>537</v>
      </c>
      <c r="E11" s="283" t="e" cm="1">
        <f t="array" aca="1" ref="E11" ca="1">((VLOOKUP(B11,LOOKUP_AMI_TABLE,5,FALSE)/0.8)*INDIRECT("AMI_MIN_PCT_NJ_"&amp;CONFIG_FHC_PROG_ID))+0.01</f>
        <v>#REF!</v>
      </c>
      <c r="F11" s="283" t="e" cm="1">
        <f t="array" aca="1" ref="F11" ca="1">((VLOOKUP(B11,LOOKUP_AMI_TABLE,5,FALSE)/0.8)*INDIRECT("AMI_MAX_PCT_NJ_"&amp;CONFIG_FHC_PROG_ID))</f>
        <v>#REF!</v>
      </c>
      <c r="G11" s="283" t="e" cm="1">
        <f t="array" aca="1" ref="G11" ca="1">((VLOOKUP(B11,LOOKUP_AMI_TABLE,7,FALSE)/0.8)*INDIRECT("AMI_MIN_PCT_NJ_"&amp;CONFIG_FHC_PROG_ID))+0.01</f>
        <v>#REF!</v>
      </c>
      <c r="H11" s="283" t="e" cm="1">
        <f t="array" aca="1" ref="H11" ca="1">((VLOOKUP(B11,LOOKUP_AMI_TABLE,7,FALSE)/0.8)*INDIRECT("AMI_MAX_PCT_NJ_"&amp;CONFIG_FHC_PROG_ID))</f>
        <v>#REF!</v>
      </c>
    </row>
    <row r="12" spans="1:9" s="36" customFormat="1" ht="20.100000000000001" customHeight="1" x14ac:dyDescent="0.25">
      <c r="A12" s="36" t="s">
        <v>2904</v>
      </c>
      <c r="B12" s="36" t="str">
        <f t="shared" si="0"/>
        <v>NJ_CAPE MAY</v>
      </c>
      <c r="D12" s="249" t="s">
        <v>1329</v>
      </c>
      <c r="E12" s="283" t="e" cm="1">
        <f t="array" aca="1" ref="E12" ca="1">((VLOOKUP(B12,LOOKUP_AMI_TABLE,5,FALSE)/0.8)*INDIRECT("AMI_MIN_PCT_NJ_"&amp;CONFIG_FHC_PROG_ID))+0.01</f>
        <v>#REF!</v>
      </c>
      <c r="F12" s="283" t="e" cm="1">
        <f t="array" aca="1" ref="F12" ca="1">((VLOOKUP(B12,LOOKUP_AMI_TABLE,5,FALSE)/0.8)*INDIRECT("AMI_MAX_PCT_NJ_"&amp;CONFIG_FHC_PROG_ID))</f>
        <v>#REF!</v>
      </c>
      <c r="G12" s="283" t="e" cm="1">
        <f t="array" aca="1" ref="G12" ca="1">((VLOOKUP(B12,LOOKUP_AMI_TABLE,7,FALSE)/0.8)*INDIRECT("AMI_MIN_PCT_NJ_"&amp;CONFIG_FHC_PROG_ID))+0.01</f>
        <v>#REF!</v>
      </c>
      <c r="H12" s="283" t="e" cm="1">
        <f t="array" aca="1" ref="H12" ca="1">((VLOOKUP(B12,LOOKUP_AMI_TABLE,7,FALSE)/0.8)*INDIRECT("AMI_MAX_PCT_NJ_"&amp;CONFIG_FHC_PROG_ID))</f>
        <v>#REF!</v>
      </c>
    </row>
    <row r="13" spans="1:9" s="36" customFormat="1" ht="20.100000000000001" customHeight="1" x14ac:dyDescent="0.25">
      <c r="A13" s="36" t="s">
        <v>2904</v>
      </c>
      <c r="B13" s="36" t="str">
        <f t="shared" si="0"/>
        <v>NJ_CUMBERLAND</v>
      </c>
      <c r="D13" s="249" t="s">
        <v>677</v>
      </c>
      <c r="E13" s="283" t="e" cm="1">
        <f t="array" aca="1" ref="E13" ca="1">((VLOOKUP(B13,LOOKUP_AMI_TABLE,5,FALSE)/0.8)*INDIRECT("AMI_MIN_PCT_NJ_"&amp;CONFIG_FHC_PROG_ID))+0.01</f>
        <v>#REF!</v>
      </c>
      <c r="F13" s="283" t="e" cm="1">
        <f t="array" aca="1" ref="F13" ca="1">((VLOOKUP(B13,LOOKUP_AMI_TABLE,5,FALSE)/0.8)*INDIRECT("AMI_MAX_PCT_NJ_"&amp;CONFIG_FHC_PROG_ID))</f>
        <v>#REF!</v>
      </c>
      <c r="G13" s="283" t="e" cm="1">
        <f t="array" aca="1" ref="G13" ca="1">((VLOOKUP(B13,LOOKUP_AMI_TABLE,7,FALSE)/0.8)*INDIRECT("AMI_MIN_PCT_NJ_"&amp;CONFIG_FHC_PROG_ID))+0.01</f>
        <v>#REF!</v>
      </c>
      <c r="H13" s="283" t="e" cm="1">
        <f t="array" aca="1" ref="H13" ca="1">((VLOOKUP(B13,LOOKUP_AMI_TABLE,7,FALSE)/0.8)*INDIRECT("AMI_MAX_PCT_NJ_"&amp;CONFIG_FHC_PROG_ID))</f>
        <v>#REF!</v>
      </c>
    </row>
    <row r="14" spans="1:9" s="36" customFormat="1" ht="20.100000000000001" customHeight="1" x14ac:dyDescent="0.25">
      <c r="A14" s="36" t="s">
        <v>2904</v>
      </c>
      <c r="B14" s="36" t="str">
        <f t="shared" si="0"/>
        <v>NJ_ESSEX</v>
      </c>
      <c r="D14" s="249" t="s">
        <v>1025</v>
      </c>
      <c r="E14" s="283" t="e" cm="1">
        <f t="array" aca="1" ref="E14" ca="1">((VLOOKUP(B14,LOOKUP_AMI_TABLE,5,FALSE)/0.8)*INDIRECT("AMI_MIN_PCT_NJ_"&amp;CONFIG_FHC_PROG_ID))+0.01</f>
        <v>#REF!</v>
      </c>
      <c r="F14" s="283" t="e" cm="1">
        <f t="array" aca="1" ref="F14" ca="1">((VLOOKUP(B14,LOOKUP_AMI_TABLE,5,FALSE)/0.8)*INDIRECT("AMI_MAX_PCT_NJ_"&amp;CONFIG_FHC_PROG_ID))</f>
        <v>#REF!</v>
      </c>
      <c r="G14" s="283" t="e" cm="1">
        <f t="array" aca="1" ref="G14" ca="1">((VLOOKUP(B14,LOOKUP_AMI_TABLE,7,FALSE)/0.8)*INDIRECT("AMI_MIN_PCT_NJ_"&amp;CONFIG_FHC_PROG_ID))+0.01</f>
        <v>#REF!</v>
      </c>
      <c r="H14" s="283" t="e" cm="1">
        <f t="array" aca="1" ref="H14" ca="1">((VLOOKUP(B14,LOOKUP_AMI_TABLE,7,FALSE)/0.8)*INDIRECT("AMI_MAX_PCT_NJ_"&amp;CONFIG_FHC_PROG_ID))</f>
        <v>#REF!</v>
      </c>
    </row>
    <row r="15" spans="1:9" s="36" customFormat="1" ht="20.100000000000001" customHeight="1" x14ac:dyDescent="0.25">
      <c r="A15" s="36" t="s">
        <v>2904</v>
      </c>
      <c r="B15" s="36" t="str">
        <f t="shared" si="0"/>
        <v>NJ_GLOUCESTER</v>
      </c>
      <c r="D15" s="249" t="s">
        <v>1330</v>
      </c>
      <c r="E15" s="283" t="e" cm="1">
        <f t="array" aca="1" ref="E15" ca="1">((VLOOKUP(B15,LOOKUP_AMI_TABLE,5,FALSE)/0.8)*INDIRECT("AMI_MIN_PCT_NJ_"&amp;CONFIG_FHC_PROG_ID))+0.01</f>
        <v>#REF!</v>
      </c>
      <c r="F15" s="283" t="e" cm="1">
        <f t="array" aca="1" ref="F15" ca="1">((VLOOKUP(B15,LOOKUP_AMI_TABLE,5,FALSE)/0.8)*INDIRECT("AMI_MAX_PCT_NJ_"&amp;CONFIG_FHC_PROG_ID))</f>
        <v>#REF!</v>
      </c>
      <c r="G15" s="283" t="e" cm="1">
        <f t="array" aca="1" ref="G15" ca="1">((VLOOKUP(B15,LOOKUP_AMI_TABLE,7,FALSE)/0.8)*INDIRECT("AMI_MIN_PCT_NJ_"&amp;CONFIG_FHC_PROG_ID))+0.01</f>
        <v>#REF!</v>
      </c>
      <c r="H15" s="283" t="e" cm="1">
        <f t="array" aca="1" ref="H15" ca="1">((VLOOKUP(B15,LOOKUP_AMI_TABLE,7,FALSE)/0.8)*INDIRECT("AMI_MAX_PCT_NJ_"&amp;CONFIG_FHC_PROG_ID))</f>
        <v>#REF!</v>
      </c>
    </row>
    <row r="16" spans="1:9" s="36" customFormat="1" ht="20.100000000000001" customHeight="1" x14ac:dyDescent="0.25">
      <c r="A16" s="36" t="s">
        <v>2904</v>
      </c>
      <c r="B16" s="36" t="str">
        <f t="shared" si="0"/>
        <v>NJ_HUDSON</v>
      </c>
      <c r="D16" s="249" t="s">
        <v>1331</v>
      </c>
      <c r="E16" s="283" t="e" cm="1">
        <f t="array" aca="1" ref="E16" ca="1">((VLOOKUP(B16,LOOKUP_AMI_TABLE,5,FALSE)/0.8)*INDIRECT("AMI_MIN_PCT_NJ_"&amp;CONFIG_FHC_PROG_ID))+0.01</f>
        <v>#REF!</v>
      </c>
      <c r="F16" s="283" t="e" cm="1">
        <f t="array" aca="1" ref="F16" ca="1">((VLOOKUP(B16,LOOKUP_AMI_TABLE,5,FALSE)/0.8)*INDIRECT("AMI_MAX_PCT_NJ_"&amp;CONFIG_FHC_PROG_ID))</f>
        <v>#REF!</v>
      </c>
      <c r="G16" s="283" t="e" cm="1">
        <f t="array" aca="1" ref="G16" ca="1">((VLOOKUP(B16,LOOKUP_AMI_TABLE,7,FALSE)/0.8)*INDIRECT("AMI_MIN_PCT_NJ_"&amp;CONFIG_FHC_PROG_ID))+0.01</f>
        <v>#REF!</v>
      </c>
      <c r="H16" s="283" t="e" cm="1">
        <f t="array" aca="1" ref="H16" ca="1">((VLOOKUP(B16,LOOKUP_AMI_TABLE,7,FALSE)/0.8)*INDIRECT("AMI_MAX_PCT_NJ_"&amp;CONFIG_FHC_PROG_ID))</f>
        <v>#REF!</v>
      </c>
    </row>
    <row r="17" spans="1:8" s="36" customFormat="1" ht="20.100000000000001" customHeight="1" x14ac:dyDescent="0.25">
      <c r="A17" s="36" t="s">
        <v>2904</v>
      </c>
      <c r="B17" s="36" t="str">
        <f t="shared" si="0"/>
        <v>NJ_HUNTERDON</v>
      </c>
      <c r="D17" s="249" t="s">
        <v>1332</v>
      </c>
      <c r="E17" s="283" t="e" cm="1">
        <f t="array" aca="1" ref="E17" ca="1">((VLOOKUP(B17,LOOKUP_AMI_TABLE,5,FALSE)/0.8)*INDIRECT("AMI_MIN_PCT_NJ_"&amp;CONFIG_FHC_PROG_ID))+0.01</f>
        <v>#REF!</v>
      </c>
      <c r="F17" s="283" t="e" cm="1">
        <f t="array" aca="1" ref="F17" ca="1">((VLOOKUP(B17,LOOKUP_AMI_TABLE,5,FALSE)/0.8)*INDIRECT("AMI_MAX_PCT_NJ_"&amp;CONFIG_FHC_PROG_ID))</f>
        <v>#REF!</v>
      </c>
      <c r="G17" s="283" t="e" cm="1">
        <f t="array" aca="1" ref="G17" ca="1">((VLOOKUP(B17,LOOKUP_AMI_TABLE,7,FALSE)/0.8)*INDIRECT("AMI_MIN_PCT_NJ_"&amp;CONFIG_FHC_PROG_ID))+0.01</f>
        <v>#REF!</v>
      </c>
      <c r="H17" s="283" t="e" cm="1">
        <f t="array" aca="1" ref="H17" ca="1">((VLOOKUP(B17,LOOKUP_AMI_TABLE,7,FALSE)/0.8)*INDIRECT("AMI_MAX_PCT_NJ_"&amp;CONFIG_FHC_PROG_ID))</f>
        <v>#REF!</v>
      </c>
    </row>
    <row r="18" spans="1:8" s="36" customFormat="1" ht="20.100000000000001" customHeight="1" x14ac:dyDescent="0.25">
      <c r="A18" s="36" t="s">
        <v>2904</v>
      </c>
      <c r="B18" s="36" t="str">
        <f t="shared" si="0"/>
        <v>NJ_MERCER</v>
      </c>
      <c r="D18" s="249" t="s">
        <v>703</v>
      </c>
      <c r="E18" s="283" t="e" cm="1">
        <f t="array" aca="1" ref="E18" ca="1">((VLOOKUP(B18,LOOKUP_AMI_TABLE,5,FALSE)/0.8)*INDIRECT("AMI_MIN_PCT_NJ_"&amp;CONFIG_FHC_PROG_ID))+0.01</f>
        <v>#REF!</v>
      </c>
      <c r="F18" s="283" t="e" cm="1">
        <f t="array" aca="1" ref="F18" ca="1">((VLOOKUP(B18,LOOKUP_AMI_TABLE,5,FALSE)/0.8)*INDIRECT("AMI_MAX_PCT_NJ_"&amp;CONFIG_FHC_PROG_ID))</f>
        <v>#REF!</v>
      </c>
      <c r="G18" s="283" t="e" cm="1">
        <f t="array" aca="1" ref="G18" ca="1">((VLOOKUP(B18,LOOKUP_AMI_TABLE,7,FALSE)/0.8)*INDIRECT("AMI_MIN_PCT_NJ_"&amp;CONFIG_FHC_PROG_ID))+0.01</f>
        <v>#REF!</v>
      </c>
      <c r="H18" s="283" t="e" cm="1">
        <f t="array" aca="1" ref="H18" ca="1">((VLOOKUP(B18,LOOKUP_AMI_TABLE,7,FALSE)/0.8)*INDIRECT("AMI_MAX_PCT_NJ_"&amp;CONFIG_FHC_PROG_ID))</f>
        <v>#REF!</v>
      </c>
    </row>
    <row r="19" spans="1:8" s="36" customFormat="1" ht="20.100000000000001" customHeight="1" x14ac:dyDescent="0.25">
      <c r="A19" s="36" t="s">
        <v>2904</v>
      </c>
      <c r="B19" s="36" t="str">
        <f t="shared" si="0"/>
        <v>NJ_MIDDLESEX</v>
      </c>
      <c r="D19" s="249" t="s">
        <v>463</v>
      </c>
      <c r="E19" s="283" t="e" cm="1">
        <f t="array" aca="1" ref="E19" ca="1">((VLOOKUP(B19,LOOKUP_AMI_TABLE,5,FALSE)/0.8)*INDIRECT("AMI_MIN_PCT_NJ_"&amp;CONFIG_FHC_PROG_ID))+0.01</f>
        <v>#REF!</v>
      </c>
      <c r="F19" s="283" t="e" cm="1">
        <f t="array" aca="1" ref="F19" ca="1">((VLOOKUP(B19,LOOKUP_AMI_TABLE,5,FALSE)/0.8)*INDIRECT("AMI_MAX_PCT_NJ_"&amp;CONFIG_FHC_PROG_ID))</f>
        <v>#REF!</v>
      </c>
      <c r="G19" s="283" t="e" cm="1">
        <f t="array" aca="1" ref="G19" ca="1">((VLOOKUP(B19,LOOKUP_AMI_TABLE,7,FALSE)/0.8)*INDIRECT("AMI_MIN_PCT_NJ_"&amp;CONFIG_FHC_PROG_ID))+0.01</f>
        <v>#REF!</v>
      </c>
      <c r="H19" s="283" t="e" cm="1">
        <f t="array" aca="1" ref="H19" ca="1">((VLOOKUP(B19,LOOKUP_AMI_TABLE,7,FALSE)/0.8)*INDIRECT("AMI_MAX_PCT_NJ_"&amp;CONFIG_FHC_PROG_ID))</f>
        <v>#REF!</v>
      </c>
    </row>
    <row r="20" spans="1:8" s="36" customFormat="1" ht="20.100000000000001" customHeight="1" x14ac:dyDescent="0.25">
      <c r="A20" s="36" t="s">
        <v>2904</v>
      </c>
      <c r="B20" s="36" t="str">
        <f t="shared" si="0"/>
        <v>NJ_MONMOUTH</v>
      </c>
      <c r="D20" s="249" t="s">
        <v>1333</v>
      </c>
      <c r="E20" s="283" t="e" cm="1">
        <f t="array" aca="1" ref="E20" ca="1">((VLOOKUP(B20,LOOKUP_AMI_TABLE,5,FALSE)/0.8)*INDIRECT("AMI_MIN_PCT_NJ_"&amp;CONFIG_FHC_PROG_ID))+0.01</f>
        <v>#REF!</v>
      </c>
      <c r="F20" s="283" t="e" cm="1">
        <f t="array" aca="1" ref="F20" ca="1">((VLOOKUP(B20,LOOKUP_AMI_TABLE,5,FALSE)/0.8)*INDIRECT("AMI_MAX_PCT_NJ_"&amp;CONFIG_FHC_PROG_ID))</f>
        <v>#REF!</v>
      </c>
      <c r="G20" s="283" t="e" cm="1">
        <f t="array" aca="1" ref="G20" ca="1">((VLOOKUP(B20,LOOKUP_AMI_TABLE,7,FALSE)/0.8)*INDIRECT("AMI_MIN_PCT_NJ_"&amp;CONFIG_FHC_PROG_ID))+0.01</f>
        <v>#REF!</v>
      </c>
      <c r="H20" s="283" t="e" cm="1">
        <f t="array" aca="1" ref="H20" ca="1">((VLOOKUP(B20,LOOKUP_AMI_TABLE,7,FALSE)/0.8)*INDIRECT("AMI_MAX_PCT_NJ_"&amp;CONFIG_FHC_PROG_ID))</f>
        <v>#REF!</v>
      </c>
    </row>
    <row r="21" spans="1:8" s="36" customFormat="1" ht="20.100000000000001" customHeight="1" x14ac:dyDescent="0.25">
      <c r="A21" s="36" t="s">
        <v>2904</v>
      </c>
      <c r="B21" s="36" t="str">
        <f t="shared" si="0"/>
        <v>NJ_MORRIS</v>
      </c>
      <c r="D21" s="249" t="s">
        <v>841</v>
      </c>
      <c r="E21" s="283" t="e" cm="1">
        <f t="array" aca="1" ref="E21" ca="1">((VLOOKUP(B21,LOOKUP_AMI_TABLE,5,FALSE)/0.8)*INDIRECT("AMI_MIN_PCT_NJ_"&amp;CONFIG_FHC_PROG_ID))+0.01</f>
        <v>#REF!</v>
      </c>
      <c r="F21" s="283" t="e" cm="1">
        <f t="array" aca="1" ref="F21" ca="1">((VLOOKUP(B21,LOOKUP_AMI_TABLE,5,FALSE)/0.8)*INDIRECT("AMI_MAX_PCT_NJ_"&amp;CONFIG_FHC_PROG_ID))</f>
        <v>#REF!</v>
      </c>
      <c r="G21" s="283" t="e" cm="1">
        <f t="array" aca="1" ref="G21" ca="1">((VLOOKUP(B21,LOOKUP_AMI_TABLE,7,FALSE)/0.8)*INDIRECT("AMI_MIN_PCT_NJ_"&amp;CONFIG_FHC_PROG_ID))+0.01</f>
        <v>#REF!</v>
      </c>
      <c r="H21" s="283" t="e" cm="1">
        <f t="array" aca="1" ref="H21" ca="1">((VLOOKUP(B21,LOOKUP_AMI_TABLE,7,FALSE)/0.8)*INDIRECT("AMI_MAX_PCT_NJ_"&amp;CONFIG_FHC_PROG_ID))</f>
        <v>#REF!</v>
      </c>
    </row>
    <row r="22" spans="1:8" s="36" customFormat="1" ht="20.100000000000001" customHeight="1" x14ac:dyDescent="0.25">
      <c r="A22" s="36" t="s">
        <v>2904</v>
      </c>
      <c r="B22" s="36" t="str">
        <f t="shared" si="0"/>
        <v>NJ_OCEAN</v>
      </c>
      <c r="D22" s="249" t="s">
        <v>1334</v>
      </c>
      <c r="E22" s="283" t="e" cm="1">
        <f t="array" aca="1" ref="E22" ca="1">((VLOOKUP(B22,LOOKUP_AMI_TABLE,5,FALSE)/0.8)*INDIRECT("AMI_MIN_PCT_NJ_"&amp;CONFIG_FHC_PROG_ID))+0.01</f>
        <v>#REF!</v>
      </c>
      <c r="F22" s="283" t="e" cm="1">
        <f t="array" aca="1" ref="F22" ca="1">((VLOOKUP(B22,LOOKUP_AMI_TABLE,5,FALSE)/0.8)*INDIRECT("AMI_MAX_PCT_NJ_"&amp;CONFIG_FHC_PROG_ID))</f>
        <v>#REF!</v>
      </c>
      <c r="G22" s="283" t="e" cm="1">
        <f t="array" aca="1" ref="G22" ca="1">((VLOOKUP(B22,LOOKUP_AMI_TABLE,7,FALSE)/0.8)*INDIRECT("AMI_MIN_PCT_NJ_"&amp;CONFIG_FHC_PROG_ID))+0.01</f>
        <v>#REF!</v>
      </c>
      <c r="H22" s="283" t="e" cm="1">
        <f t="array" aca="1" ref="H22" ca="1">((VLOOKUP(B22,LOOKUP_AMI_TABLE,7,FALSE)/0.8)*INDIRECT("AMI_MAX_PCT_NJ_"&amp;CONFIG_FHC_PROG_ID))</f>
        <v>#REF!</v>
      </c>
    </row>
    <row r="23" spans="1:8" s="36" customFormat="1" ht="20.100000000000001" customHeight="1" x14ac:dyDescent="0.25">
      <c r="A23" s="36" t="s">
        <v>2904</v>
      </c>
      <c r="B23" s="36" t="str">
        <f t="shared" si="0"/>
        <v>NJ_PASSAIC</v>
      </c>
      <c r="D23" s="249" t="s">
        <v>1335</v>
      </c>
      <c r="E23" s="283" t="e" cm="1">
        <f t="array" aca="1" ref="E23" ca="1">((VLOOKUP(B23,LOOKUP_AMI_TABLE,5,FALSE)/0.8)*INDIRECT("AMI_MIN_PCT_NJ_"&amp;CONFIG_FHC_PROG_ID))+0.01</f>
        <v>#REF!</v>
      </c>
      <c r="F23" s="283" t="e" cm="1">
        <f t="array" aca="1" ref="F23" ca="1">((VLOOKUP(B23,LOOKUP_AMI_TABLE,5,FALSE)/0.8)*INDIRECT("AMI_MAX_PCT_NJ_"&amp;CONFIG_FHC_PROG_ID))</f>
        <v>#REF!</v>
      </c>
      <c r="G23" s="283" t="e" cm="1">
        <f t="array" aca="1" ref="G23" ca="1">((VLOOKUP(B23,LOOKUP_AMI_TABLE,7,FALSE)/0.8)*INDIRECT("AMI_MIN_PCT_NJ_"&amp;CONFIG_FHC_PROG_ID))+0.01</f>
        <v>#REF!</v>
      </c>
      <c r="H23" s="283" t="e" cm="1">
        <f t="array" aca="1" ref="H23" ca="1">((VLOOKUP(B23,LOOKUP_AMI_TABLE,7,FALSE)/0.8)*INDIRECT("AMI_MAX_PCT_NJ_"&amp;CONFIG_FHC_PROG_ID))</f>
        <v>#REF!</v>
      </c>
    </row>
    <row r="24" spans="1:8" s="36" customFormat="1" ht="20.100000000000001" customHeight="1" x14ac:dyDescent="0.25">
      <c r="A24" s="36" t="s">
        <v>2904</v>
      </c>
      <c r="B24" s="36" t="str">
        <f t="shared" si="0"/>
        <v>NJ_SALEM</v>
      </c>
      <c r="D24" s="249" t="s">
        <v>1336</v>
      </c>
      <c r="E24" s="283" t="e" cm="1">
        <f t="array" aca="1" ref="E24" ca="1">((VLOOKUP(B24,LOOKUP_AMI_TABLE,5,FALSE)/0.8)*INDIRECT("AMI_MIN_PCT_NJ_"&amp;CONFIG_FHC_PROG_ID))+0.01</f>
        <v>#REF!</v>
      </c>
      <c r="F24" s="283" t="e" cm="1">
        <f t="array" aca="1" ref="F24" ca="1">((VLOOKUP(B24,LOOKUP_AMI_TABLE,5,FALSE)/0.8)*INDIRECT("AMI_MAX_PCT_NJ_"&amp;CONFIG_FHC_PROG_ID))</f>
        <v>#REF!</v>
      </c>
      <c r="G24" s="283" t="e" cm="1">
        <f t="array" aca="1" ref="G24" ca="1">((VLOOKUP(B24,LOOKUP_AMI_TABLE,7,FALSE)/0.8)*INDIRECT("AMI_MIN_PCT_NJ_"&amp;CONFIG_FHC_PROG_ID))+0.01</f>
        <v>#REF!</v>
      </c>
      <c r="H24" s="283" t="e" cm="1">
        <f t="array" aca="1" ref="H24" ca="1">((VLOOKUP(B24,LOOKUP_AMI_TABLE,7,FALSE)/0.8)*INDIRECT("AMI_MAX_PCT_NJ_"&amp;CONFIG_FHC_PROG_ID))</f>
        <v>#REF!</v>
      </c>
    </row>
    <row r="25" spans="1:8" s="36" customFormat="1" ht="20.100000000000001" customHeight="1" x14ac:dyDescent="0.25">
      <c r="A25" s="36" t="s">
        <v>2904</v>
      </c>
      <c r="B25" s="36" t="str">
        <f t="shared" si="0"/>
        <v>NJ_SOMERSET</v>
      </c>
      <c r="D25" s="249" t="s">
        <v>1001</v>
      </c>
      <c r="E25" s="283" t="e" cm="1">
        <f t="array" aca="1" ref="E25" ca="1">((VLOOKUP(B25,LOOKUP_AMI_TABLE,5,FALSE)/0.8)*INDIRECT("AMI_MIN_PCT_NJ_"&amp;CONFIG_FHC_PROG_ID))+0.01</f>
        <v>#REF!</v>
      </c>
      <c r="F25" s="283" t="e" cm="1">
        <f t="array" aca="1" ref="F25" ca="1">((VLOOKUP(B25,LOOKUP_AMI_TABLE,5,FALSE)/0.8)*INDIRECT("AMI_MAX_PCT_NJ_"&amp;CONFIG_FHC_PROG_ID))</f>
        <v>#REF!</v>
      </c>
      <c r="G25" s="283" t="e" cm="1">
        <f t="array" aca="1" ref="G25" ca="1">((VLOOKUP(B25,LOOKUP_AMI_TABLE,7,FALSE)/0.8)*INDIRECT("AMI_MIN_PCT_NJ_"&amp;CONFIG_FHC_PROG_ID))+0.01</f>
        <v>#REF!</v>
      </c>
      <c r="H25" s="283" t="e" cm="1">
        <f t="array" aca="1" ref="H25" ca="1">((VLOOKUP(B25,LOOKUP_AMI_TABLE,7,FALSE)/0.8)*INDIRECT("AMI_MAX_PCT_NJ_"&amp;CONFIG_FHC_PROG_ID))</f>
        <v>#REF!</v>
      </c>
    </row>
    <row r="26" spans="1:8" s="36" customFormat="1" ht="20.100000000000001" customHeight="1" x14ac:dyDescent="0.25">
      <c r="A26" s="36" t="s">
        <v>2904</v>
      </c>
      <c r="B26" s="36" t="str">
        <f t="shared" si="0"/>
        <v>NJ_SUSSEX</v>
      </c>
      <c r="D26" s="249" t="s">
        <v>470</v>
      </c>
      <c r="E26" s="283" t="e" cm="1">
        <f t="array" aca="1" ref="E26" ca="1">((VLOOKUP(B26,LOOKUP_AMI_TABLE,5,FALSE)/0.8)*INDIRECT("AMI_MIN_PCT_NJ_"&amp;CONFIG_FHC_PROG_ID))+0.01</f>
        <v>#REF!</v>
      </c>
      <c r="F26" s="283" t="e" cm="1">
        <f t="array" aca="1" ref="F26" ca="1">((VLOOKUP(B26,LOOKUP_AMI_TABLE,5,FALSE)/0.8)*INDIRECT("AMI_MAX_PCT_NJ_"&amp;CONFIG_FHC_PROG_ID))</f>
        <v>#REF!</v>
      </c>
      <c r="G26" s="283" t="e" cm="1">
        <f t="array" aca="1" ref="G26" ca="1">((VLOOKUP(B26,LOOKUP_AMI_TABLE,7,FALSE)/0.8)*INDIRECT("AMI_MIN_PCT_NJ_"&amp;CONFIG_FHC_PROG_ID))+0.01</f>
        <v>#REF!</v>
      </c>
      <c r="H26" s="283" t="e" cm="1">
        <f t="array" aca="1" ref="H26" ca="1">((VLOOKUP(B26,LOOKUP_AMI_TABLE,7,FALSE)/0.8)*INDIRECT("AMI_MAX_PCT_NJ_"&amp;CONFIG_FHC_PROG_ID))</f>
        <v>#REF!</v>
      </c>
    </row>
    <row r="27" spans="1:8" s="36" customFormat="1" ht="20.100000000000001" customHeight="1" x14ac:dyDescent="0.25">
      <c r="A27" s="36" t="s">
        <v>2904</v>
      </c>
      <c r="B27" s="36" t="str">
        <f t="shared" si="0"/>
        <v>NJ_UNION</v>
      </c>
      <c r="D27" s="249" t="s">
        <v>345</v>
      </c>
      <c r="E27" s="283" t="e" cm="1">
        <f t="array" aca="1" ref="E27" ca="1">((VLOOKUP(B27,LOOKUP_AMI_TABLE,5,FALSE)/0.8)*INDIRECT("AMI_MIN_PCT_NJ_"&amp;CONFIG_FHC_PROG_ID))+0.01</f>
        <v>#REF!</v>
      </c>
      <c r="F27" s="283" t="e" cm="1">
        <f t="array" aca="1" ref="F27" ca="1">((VLOOKUP(B27,LOOKUP_AMI_TABLE,5,FALSE)/0.8)*INDIRECT("AMI_MAX_PCT_NJ_"&amp;CONFIG_FHC_PROG_ID))</f>
        <v>#REF!</v>
      </c>
      <c r="G27" s="283" t="e" cm="1">
        <f t="array" aca="1" ref="G27" ca="1">((VLOOKUP(B27,LOOKUP_AMI_TABLE,7,FALSE)/0.8)*INDIRECT("AMI_MIN_PCT_NJ_"&amp;CONFIG_FHC_PROG_ID))+0.01</f>
        <v>#REF!</v>
      </c>
      <c r="H27" s="283" t="e" cm="1">
        <f t="array" aca="1" ref="H27" ca="1">((VLOOKUP(B27,LOOKUP_AMI_TABLE,7,FALSE)/0.8)*INDIRECT("AMI_MAX_PCT_NJ_"&amp;CONFIG_FHC_PROG_ID))</f>
        <v>#REF!</v>
      </c>
    </row>
    <row r="28" spans="1:8" s="36" customFormat="1" ht="20.100000000000001" customHeight="1" x14ac:dyDescent="0.25">
      <c r="A28" s="36" t="s">
        <v>2904</v>
      </c>
      <c r="B28" s="36" t="str">
        <f t="shared" si="0"/>
        <v>NJ_WARREN</v>
      </c>
      <c r="D28" s="249" t="s">
        <v>622</v>
      </c>
      <c r="E28" s="283" t="e" cm="1">
        <f t="array" aca="1" ref="E28" ca="1">((VLOOKUP(B28,LOOKUP_AMI_TABLE,5,FALSE)/0.8)*INDIRECT("AMI_MIN_PCT_NJ_"&amp;CONFIG_FHC_PROG_ID))+0.01</f>
        <v>#REF!</v>
      </c>
      <c r="F28" s="283" t="e" cm="1">
        <f t="array" aca="1" ref="F28" ca="1">((VLOOKUP(B28,LOOKUP_AMI_TABLE,5,FALSE)/0.8)*INDIRECT("AMI_MAX_PCT_NJ_"&amp;CONFIG_FHC_PROG_ID))</f>
        <v>#REF!</v>
      </c>
      <c r="G28" s="283" t="e" cm="1">
        <f t="array" aca="1" ref="G28" ca="1">((VLOOKUP(B28,LOOKUP_AMI_TABLE,7,FALSE)/0.8)*INDIRECT("AMI_MIN_PCT_NJ_"&amp;CONFIG_FHC_PROG_ID))+0.01</f>
        <v>#REF!</v>
      </c>
      <c r="H28" s="283" t="e" cm="1">
        <f t="array" aca="1" ref="H28" ca="1">((VLOOKUP(B28,LOOKUP_AMI_TABLE,7,FALSE)/0.8)*INDIRECT("AMI_MAX_PCT_NJ_"&amp;CONFIG_FHC_PROG_ID))</f>
        <v>#REF!</v>
      </c>
    </row>
    <row r="29" spans="1:8" ht="15" x14ac:dyDescent="0.25"/>
  </sheetData>
  <sheetProtection algorithmName="SHA-512" hashValue="1Lk7QPKyTqp1N/jK8miJmmA2PsjRxKf2AjY5AAm62CICrbra0ao8Xqn3YDLBRAyyQERR/e8EpNq3p0gDxHlncA==" saltValue="ZAQY6v0dq2MSx1p/Tj7Qpw==" spinCount="100000" sheet="1" objects="1" scenarios="1"/>
  <mergeCells count="3">
    <mergeCell ref="F2:H2"/>
    <mergeCell ref="E6:F6"/>
    <mergeCell ref="G6:H6"/>
  </mergeCells>
  <pageMargins left="0.7" right="0.7" top="0.75" bottom="0.75" header="0.3" footer="0.3"/>
  <pageSetup scale="82" orientation="portrait" horizontalDpi="0" verticalDpi="0" r:id="rId1"/>
  <headerFooter>
    <oddFooter>Page &amp;P of &amp;N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623AF-93F9-405D-A1AB-D9CDCA130E05}">
  <dimension ref="A1:I70"/>
  <sheetViews>
    <sheetView showGridLines="0" showRowColHeaders="0" zoomScaleNormal="100" workbookViewId="0">
      <pane ySplit="7" topLeftCell="A8" activePane="bottomLeft" state="frozen"/>
      <selection activeCell="C1" sqref="C1"/>
      <selection pane="bottomLeft" activeCell="C8" sqref="C8"/>
    </sheetView>
  </sheetViews>
  <sheetFormatPr defaultColWidth="0" defaultRowHeight="15" customHeight="1" zeroHeight="1" x14ac:dyDescent="0.25"/>
  <cols>
    <col min="1" max="1" width="22.28515625" hidden="1" customWidth="1"/>
    <col min="2" max="2" width="31.42578125" hidden="1" customWidth="1"/>
    <col min="3" max="3" width="1.42578125" customWidth="1"/>
    <col min="4" max="4" width="31.28515625" customWidth="1"/>
    <col min="5" max="8" width="20.7109375" customWidth="1"/>
    <col min="9" max="9" width="1.42578125" customWidth="1"/>
    <col min="10" max="16384" width="9.140625" hidden="1"/>
  </cols>
  <sheetData>
    <row r="1" spans="1:9" ht="11.1" customHeight="1" x14ac:dyDescent="0.25"/>
    <row r="2" spans="1:9" ht="24.95" customHeight="1" x14ac:dyDescent="0.25">
      <c r="A2" s="43" t="s">
        <v>179</v>
      </c>
      <c r="B2" s="43" t="s">
        <v>178</v>
      </c>
      <c r="F2" s="433" t="str">
        <f>HYPERLINK("#"&amp;$B$4,$B$5)</f>
        <v xml:space="preserve">Return to </v>
      </c>
      <c r="G2" s="433"/>
      <c r="H2" s="433"/>
    </row>
    <row r="3" spans="1:9" ht="11.1" customHeight="1" x14ac:dyDescent="0.25"/>
    <row r="4" spans="1:9" ht="21.75" customHeight="1" x14ac:dyDescent="0.25">
      <c r="A4" t="s">
        <v>2852</v>
      </c>
      <c r="B4" t="str">
        <f>"TARGET_" &amp;CONFIG_EFORM_TYPE_CODE&amp;"_"&amp;CONFIG_FHC_PROG_ID&amp;"_ICW_BOOKMARK"</f>
        <v>TARGET___ICW_BOOKMARK</v>
      </c>
      <c r="C4" s="210"/>
      <c r="D4" s="212" t="str">
        <f>"Mortgage Revenue Bond Median Income Guidelines: New York State ("&amp;Configuration!M54&amp;")"</f>
        <v>Mortgage Revenue Bond Median Income Guidelines: New York State (2025)</v>
      </c>
      <c r="E4" s="212"/>
      <c r="F4" s="210"/>
      <c r="G4" s="210"/>
      <c r="H4" s="250"/>
      <c r="I4" s="210"/>
    </row>
    <row r="5" spans="1:9" s="208" customFormat="1" ht="9" customHeight="1" x14ac:dyDescent="0.25">
      <c r="A5" s="36" t="s">
        <v>2853</v>
      </c>
      <c r="B5" s="36" t="str">
        <f>"Return to "&amp;CONFIG_EFORM_TYPE_NAME</f>
        <v xml:space="preserve">Return to </v>
      </c>
      <c r="C5" s="207"/>
      <c r="D5" s="251"/>
      <c r="E5" s="209"/>
    </row>
    <row r="6" spans="1:9" s="208" customFormat="1" ht="21" customHeight="1" x14ac:dyDescent="0.25">
      <c r="A6" s="36"/>
      <c r="B6" s="36"/>
      <c r="C6" s="207"/>
      <c r="D6" s="224"/>
      <c r="E6" s="461" t="s">
        <v>2902</v>
      </c>
      <c r="F6" s="461"/>
      <c r="G6" s="461" t="s">
        <v>2903</v>
      </c>
      <c r="H6" s="461"/>
    </row>
    <row r="7" spans="1:9" s="208" customFormat="1" ht="20.100000000000001" customHeight="1" x14ac:dyDescent="0.25">
      <c r="A7"/>
      <c r="B7"/>
      <c r="C7"/>
      <c r="D7" s="248" t="s">
        <v>105</v>
      </c>
      <c r="E7" s="168" t="s">
        <v>8993</v>
      </c>
      <c r="F7" s="247" t="s">
        <v>2389</v>
      </c>
      <c r="G7" s="168" t="s">
        <v>8993</v>
      </c>
      <c r="H7" s="247" t="s">
        <v>2326</v>
      </c>
    </row>
    <row r="8" spans="1:9" s="36" customFormat="1" ht="20.100000000000001" customHeight="1" x14ac:dyDescent="0.25">
      <c r="A8" s="36" t="s">
        <v>2904</v>
      </c>
      <c r="B8" s="36" t="str">
        <f>"NY_"&amp;UPPER(D8)</f>
        <v>NY_ALBANY</v>
      </c>
      <c r="D8" s="249" t="s">
        <v>1361</v>
      </c>
      <c r="E8" s="283" t="e" cm="1">
        <f t="array" aca="1" ref="E8" ca="1">((VLOOKUP(B8,LOOKUP_AMI_TABLE,5,FALSE)/0.8)*INDIRECT("AMI_MIN_PCT_NY_"&amp;CONFIG_FHC_PROG_ID))+0.01</f>
        <v>#REF!</v>
      </c>
      <c r="F8" s="283" t="e" cm="1">
        <f t="array" aca="1" ref="F8" ca="1">((VLOOKUP(B8,LOOKUP_AMI_TABLE,5,FALSE)/0.8)*INDIRECT("AMI_MAX_PCT_NY_"&amp;CONFIG_FHC_PROG_ID))</f>
        <v>#REF!</v>
      </c>
      <c r="G8" s="283" t="e" cm="1">
        <f t="array" aca="1" ref="G8" ca="1">((VLOOKUP(B8,LOOKUP_AMI_TABLE,7,FALSE)/0.8)*INDIRECT("AMI_MIN_PCT_NY_"&amp;CONFIG_FHC_PROG_ID))+0.01</f>
        <v>#REF!</v>
      </c>
      <c r="H8" s="283" t="e" cm="1">
        <f t="array" aca="1" ref="H8" ca="1">((VLOOKUP(B8,LOOKUP_AMI_TABLE,7,FALSE)/0.8)*INDIRECT("AMI_MAX_PCT_NY_"&amp;CONFIG_FHC_PROG_ID))</f>
        <v>#REF!</v>
      </c>
    </row>
    <row r="9" spans="1:9" s="36" customFormat="1" ht="20.100000000000001" customHeight="1" x14ac:dyDescent="0.25">
      <c r="A9" s="36" t="s">
        <v>2904</v>
      </c>
      <c r="B9" s="36" t="str">
        <f t="shared" ref="B9:B69" si="0">"NY_"&amp;UPPER(D9)</f>
        <v>NY_ALLEGANY</v>
      </c>
      <c r="D9" s="249" t="s">
        <v>1004</v>
      </c>
      <c r="E9" s="283" t="e" cm="1">
        <f t="array" aca="1" ref="E9" ca="1">((VLOOKUP(B9,LOOKUP_AMI_TABLE,5,FALSE)/0.8)*INDIRECT("AMI_MIN_PCT_NY_"&amp;CONFIG_FHC_PROG_ID))+0.01</f>
        <v>#REF!</v>
      </c>
      <c r="F9" s="283" t="e" cm="1">
        <f t="array" aca="1" ref="F9" ca="1">((VLOOKUP(B9,LOOKUP_AMI_TABLE,5,FALSE)/0.8)*INDIRECT("AMI_MAX_PCT_NY_"&amp;CONFIG_FHC_PROG_ID))</f>
        <v>#REF!</v>
      </c>
      <c r="G9" s="283" t="e" cm="1">
        <f t="array" aca="1" ref="G9" ca="1">((VLOOKUP(B9,LOOKUP_AMI_TABLE,7,FALSE)/0.8)*INDIRECT("AMI_MIN_PCT_NY_"&amp;CONFIG_FHC_PROG_ID))+0.01</f>
        <v>#REF!</v>
      </c>
      <c r="H9" s="283" t="e" cm="1">
        <f t="array" aca="1" ref="H9" ca="1">((VLOOKUP(B9,LOOKUP_AMI_TABLE,7,FALSE)/0.8)*INDIRECT("AMI_MAX_PCT_NY_"&amp;CONFIG_FHC_PROG_ID))</f>
        <v>#REF!</v>
      </c>
    </row>
    <row r="10" spans="1:9" s="36" customFormat="1" ht="20.100000000000001" customHeight="1" x14ac:dyDescent="0.25">
      <c r="A10" s="36" t="s">
        <v>2904</v>
      </c>
      <c r="B10" s="36" t="str">
        <f t="shared" si="0"/>
        <v>NY_BRONX</v>
      </c>
      <c r="D10" s="249" t="s">
        <v>1362</v>
      </c>
      <c r="E10" s="283" t="e" cm="1">
        <f t="array" aca="1" ref="E10" ca="1">((VLOOKUP(B10,LOOKUP_AMI_TABLE,5,FALSE)/0.8)*INDIRECT("AMI_MIN_PCT_NY_"&amp;CONFIG_FHC_PROG_ID))+0.01</f>
        <v>#REF!</v>
      </c>
      <c r="F10" s="283" t="e" cm="1">
        <f t="array" aca="1" ref="F10" ca="1">((VLOOKUP(B10,LOOKUP_AMI_TABLE,5,FALSE)/0.8)*INDIRECT("AMI_MAX_PCT_NY_"&amp;CONFIG_FHC_PROG_ID))</f>
        <v>#REF!</v>
      </c>
      <c r="G10" s="283" t="e" cm="1">
        <f t="array" aca="1" ref="G10" ca="1">((VLOOKUP(B10,LOOKUP_AMI_TABLE,7,FALSE)/0.8)*INDIRECT("AMI_MIN_PCT_NY_"&amp;CONFIG_FHC_PROG_ID))+0.01</f>
        <v>#REF!</v>
      </c>
      <c r="H10" s="283" t="e" cm="1">
        <f t="array" aca="1" ref="H10" ca="1">((VLOOKUP(B10,LOOKUP_AMI_TABLE,7,FALSE)/0.8)*INDIRECT("AMI_MAX_PCT_NY_"&amp;CONFIG_FHC_PROG_ID))</f>
        <v>#REF!</v>
      </c>
    </row>
    <row r="11" spans="1:9" s="36" customFormat="1" ht="20.100000000000001" customHeight="1" x14ac:dyDescent="0.25">
      <c r="A11" s="36" t="s">
        <v>2904</v>
      </c>
      <c r="B11" s="36" t="str">
        <f t="shared" si="0"/>
        <v>NY_BROOME</v>
      </c>
      <c r="D11" s="249" t="s">
        <v>1363</v>
      </c>
      <c r="E11" s="283" t="e" cm="1">
        <f t="array" aca="1" ref="E11" ca="1">((VLOOKUP(B11,LOOKUP_AMI_TABLE,5,FALSE)/0.8)*INDIRECT("AMI_MIN_PCT_NY_"&amp;CONFIG_FHC_PROG_ID))+0.01</f>
        <v>#REF!</v>
      </c>
      <c r="F11" s="283" t="e" cm="1">
        <f t="array" aca="1" ref="F11" ca="1">((VLOOKUP(B11,LOOKUP_AMI_TABLE,5,FALSE)/0.8)*INDIRECT("AMI_MAX_PCT_NY_"&amp;CONFIG_FHC_PROG_ID))</f>
        <v>#REF!</v>
      </c>
      <c r="G11" s="283" t="e" cm="1">
        <f t="array" aca="1" ref="G11" ca="1">((VLOOKUP(B11,LOOKUP_AMI_TABLE,7,FALSE)/0.8)*INDIRECT("AMI_MIN_PCT_NY_"&amp;CONFIG_FHC_PROG_ID))+0.01</f>
        <v>#REF!</v>
      </c>
      <c r="H11" s="283" t="e" cm="1">
        <f t="array" aca="1" ref="H11" ca="1">((VLOOKUP(B11,LOOKUP_AMI_TABLE,7,FALSE)/0.8)*INDIRECT("AMI_MAX_PCT_NY_"&amp;CONFIG_FHC_PROG_ID))</f>
        <v>#REF!</v>
      </c>
    </row>
    <row r="12" spans="1:9" s="36" customFormat="1" ht="20.100000000000001" customHeight="1" x14ac:dyDescent="0.25">
      <c r="A12" s="36" t="s">
        <v>2904</v>
      </c>
      <c r="B12" s="36" t="str">
        <f t="shared" si="0"/>
        <v>NY_CATTARAUGUS</v>
      </c>
      <c r="D12" s="249" t="s">
        <v>1364</v>
      </c>
      <c r="E12" s="283" t="e" cm="1">
        <f t="array" aca="1" ref="E12" ca="1">((VLOOKUP(B12,LOOKUP_AMI_TABLE,5,FALSE)/0.8)*INDIRECT("AMI_MIN_PCT_NY_"&amp;CONFIG_FHC_PROG_ID))+0.01</f>
        <v>#REF!</v>
      </c>
      <c r="F12" s="283" t="e" cm="1">
        <f t="array" aca="1" ref="F12" ca="1">((VLOOKUP(B12,LOOKUP_AMI_TABLE,5,FALSE)/0.8)*INDIRECT("AMI_MAX_PCT_NY_"&amp;CONFIG_FHC_PROG_ID))</f>
        <v>#REF!</v>
      </c>
      <c r="G12" s="283" t="e" cm="1">
        <f t="array" aca="1" ref="G12" ca="1">((VLOOKUP(B12,LOOKUP_AMI_TABLE,7,FALSE)/0.8)*INDIRECT("AMI_MIN_PCT_NY_"&amp;CONFIG_FHC_PROG_ID))+0.01</f>
        <v>#REF!</v>
      </c>
      <c r="H12" s="283" t="e" cm="1">
        <f t="array" aca="1" ref="H12" ca="1">((VLOOKUP(B12,LOOKUP_AMI_TABLE,7,FALSE)/0.8)*INDIRECT("AMI_MAX_PCT_NY_"&amp;CONFIG_FHC_PROG_ID))</f>
        <v>#REF!</v>
      </c>
    </row>
    <row r="13" spans="1:9" s="36" customFormat="1" ht="20.100000000000001" customHeight="1" x14ac:dyDescent="0.25">
      <c r="A13" s="36" t="s">
        <v>2904</v>
      </c>
      <c r="B13" s="36" t="str">
        <f t="shared" si="0"/>
        <v>NY_CAYUGA</v>
      </c>
      <c r="D13" s="249" t="s">
        <v>1365</v>
      </c>
      <c r="E13" s="283" t="e" cm="1">
        <f t="array" aca="1" ref="E13" ca="1">((VLOOKUP(B13,LOOKUP_AMI_TABLE,5,FALSE)/0.8)*INDIRECT("AMI_MIN_PCT_NY_"&amp;CONFIG_FHC_PROG_ID))+0.01</f>
        <v>#REF!</v>
      </c>
      <c r="F13" s="283" t="e" cm="1">
        <f t="array" aca="1" ref="F13" ca="1">((VLOOKUP(B13,LOOKUP_AMI_TABLE,5,FALSE)/0.8)*INDIRECT("AMI_MAX_PCT_NY_"&amp;CONFIG_FHC_PROG_ID))</f>
        <v>#REF!</v>
      </c>
      <c r="G13" s="283" t="e" cm="1">
        <f t="array" aca="1" ref="G13" ca="1">((VLOOKUP(B13,LOOKUP_AMI_TABLE,7,FALSE)/0.8)*INDIRECT("AMI_MIN_PCT_NY_"&amp;CONFIG_FHC_PROG_ID))+0.01</f>
        <v>#REF!</v>
      </c>
      <c r="H13" s="283" t="e" cm="1">
        <f t="array" aca="1" ref="H13" ca="1">((VLOOKUP(B13,LOOKUP_AMI_TABLE,7,FALSE)/0.8)*INDIRECT("AMI_MAX_PCT_NY_"&amp;CONFIG_FHC_PROG_ID))</f>
        <v>#REF!</v>
      </c>
    </row>
    <row r="14" spans="1:9" s="36" customFormat="1" ht="20.100000000000001" customHeight="1" x14ac:dyDescent="0.25">
      <c r="A14" s="36" t="s">
        <v>2904</v>
      </c>
      <c r="B14" s="36" t="str">
        <f t="shared" si="0"/>
        <v>NY_CHAUTAUQUA</v>
      </c>
      <c r="D14" s="249" t="s">
        <v>814</v>
      </c>
      <c r="E14" s="283" t="e" cm="1">
        <f t="array" aca="1" ref="E14" ca="1">((VLOOKUP(B14,LOOKUP_AMI_TABLE,5,FALSE)/0.8)*INDIRECT("AMI_MIN_PCT_NY_"&amp;CONFIG_FHC_PROG_ID))+0.01</f>
        <v>#REF!</v>
      </c>
      <c r="F14" s="283" t="e" cm="1">
        <f t="array" aca="1" ref="F14" ca="1">((VLOOKUP(B14,LOOKUP_AMI_TABLE,5,FALSE)/0.8)*INDIRECT("AMI_MAX_PCT_NY_"&amp;CONFIG_FHC_PROG_ID))</f>
        <v>#REF!</v>
      </c>
      <c r="G14" s="283" t="e" cm="1">
        <f t="array" aca="1" ref="G14" ca="1">((VLOOKUP(B14,LOOKUP_AMI_TABLE,7,FALSE)/0.8)*INDIRECT("AMI_MIN_PCT_NY_"&amp;CONFIG_FHC_PROG_ID))+0.01</f>
        <v>#REF!</v>
      </c>
      <c r="H14" s="283" t="e" cm="1">
        <f t="array" aca="1" ref="H14" ca="1">((VLOOKUP(B14,LOOKUP_AMI_TABLE,7,FALSE)/0.8)*INDIRECT("AMI_MAX_PCT_NY_"&amp;CONFIG_FHC_PROG_ID))</f>
        <v>#REF!</v>
      </c>
    </row>
    <row r="15" spans="1:9" s="36" customFormat="1" ht="20.100000000000001" customHeight="1" x14ac:dyDescent="0.25">
      <c r="A15" s="36" t="s">
        <v>2904</v>
      </c>
      <c r="B15" s="36" t="str">
        <f t="shared" si="0"/>
        <v>NY_CHEMUNG</v>
      </c>
      <c r="D15" s="249" t="s">
        <v>1366</v>
      </c>
      <c r="E15" s="283" t="e" cm="1">
        <f t="array" aca="1" ref="E15" ca="1">((VLOOKUP(B15,LOOKUP_AMI_TABLE,5,FALSE)/0.8)*INDIRECT("AMI_MIN_PCT_NY_"&amp;CONFIG_FHC_PROG_ID))+0.01</f>
        <v>#REF!</v>
      </c>
      <c r="F15" s="283" t="e" cm="1">
        <f t="array" aca="1" ref="F15" ca="1">((VLOOKUP(B15,LOOKUP_AMI_TABLE,5,FALSE)/0.8)*INDIRECT("AMI_MAX_PCT_NY_"&amp;CONFIG_FHC_PROG_ID))</f>
        <v>#REF!</v>
      </c>
      <c r="G15" s="283" t="e" cm="1">
        <f t="array" aca="1" ref="G15" ca="1">((VLOOKUP(B15,LOOKUP_AMI_TABLE,7,FALSE)/0.8)*INDIRECT("AMI_MIN_PCT_NY_"&amp;CONFIG_FHC_PROG_ID))+0.01</f>
        <v>#REF!</v>
      </c>
      <c r="H15" s="283" t="e" cm="1">
        <f t="array" aca="1" ref="H15" ca="1">((VLOOKUP(B15,LOOKUP_AMI_TABLE,7,FALSE)/0.8)*INDIRECT("AMI_MAX_PCT_NY_"&amp;CONFIG_FHC_PROG_ID))</f>
        <v>#REF!</v>
      </c>
    </row>
    <row r="16" spans="1:9" s="36" customFormat="1" ht="20.100000000000001" customHeight="1" x14ac:dyDescent="0.25">
      <c r="A16" s="36" t="s">
        <v>2904</v>
      </c>
      <c r="B16" s="36" t="str">
        <f t="shared" si="0"/>
        <v>NY_CHENANGO</v>
      </c>
      <c r="D16" s="249" t="s">
        <v>1367</v>
      </c>
      <c r="E16" s="283" t="e" cm="1">
        <f t="array" aca="1" ref="E16" ca="1">((VLOOKUP(B16,LOOKUP_AMI_TABLE,5,FALSE)/0.8)*INDIRECT("AMI_MIN_PCT_NY_"&amp;CONFIG_FHC_PROG_ID))+0.01</f>
        <v>#REF!</v>
      </c>
      <c r="F16" s="283" t="e" cm="1">
        <f t="array" aca="1" ref="F16" ca="1">((VLOOKUP(B16,LOOKUP_AMI_TABLE,5,FALSE)/0.8)*INDIRECT("AMI_MAX_PCT_NY_"&amp;CONFIG_FHC_PROG_ID))</f>
        <v>#REF!</v>
      </c>
      <c r="G16" s="283" t="e" cm="1">
        <f t="array" aca="1" ref="G16" ca="1">((VLOOKUP(B16,LOOKUP_AMI_TABLE,7,FALSE)/0.8)*INDIRECT("AMI_MIN_PCT_NY_"&amp;CONFIG_FHC_PROG_ID))+0.01</f>
        <v>#REF!</v>
      </c>
      <c r="H16" s="283" t="e" cm="1">
        <f t="array" aca="1" ref="H16" ca="1">((VLOOKUP(B16,LOOKUP_AMI_TABLE,7,FALSE)/0.8)*INDIRECT("AMI_MAX_PCT_NY_"&amp;CONFIG_FHC_PROG_ID))</f>
        <v>#REF!</v>
      </c>
    </row>
    <row r="17" spans="1:8" s="36" customFormat="1" ht="20.100000000000001" customHeight="1" x14ac:dyDescent="0.25">
      <c r="A17" s="36" t="s">
        <v>2904</v>
      </c>
      <c r="B17" s="36" t="str">
        <f t="shared" si="0"/>
        <v>NY_CLINTON</v>
      </c>
      <c r="D17" s="249" t="s">
        <v>675</v>
      </c>
      <c r="E17" s="283" t="e" cm="1">
        <f t="array" aca="1" ref="E17" ca="1">((VLOOKUP(B17,LOOKUP_AMI_TABLE,5,FALSE)/0.8)*INDIRECT("AMI_MIN_PCT_NY_"&amp;CONFIG_FHC_PROG_ID))+0.01</f>
        <v>#REF!</v>
      </c>
      <c r="F17" s="283" t="e" cm="1">
        <f t="array" aca="1" ref="F17" ca="1">((VLOOKUP(B17,LOOKUP_AMI_TABLE,5,FALSE)/0.8)*INDIRECT("AMI_MAX_PCT_NY_"&amp;CONFIG_FHC_PROG_ID))</f>
        <v>#REF!</v>
      </c>
      <c r="G17" s="283" t="e" cm="1">
        <f t="array" aca="1" ref="G17" ca="1">((VLOOKUP(B17,LOOKUP_AMI_TABLE,7,FALSE)/0.8)*INDIRECT("AMI_MIN_PCT_NY_"&amp;CONFIG_FHC_PROG_ID))+0.01</f>
        <v>#REF!</v>
      </c>
      <c r="H17" s="283" t="e" cm="1">
        <f t="array" aca="1" ref="H17" ca="1">((VLOOKUP(B17,LOOKUP_AMI_TABLE,7,FALSE)/0.8)*INDIRECT("AMI_MAX_PCT_NY_"&amp;CONFIG_FHC_PROG_ID))</f>
        <v>#REF!</v>
      </c>
    </row>
    <row r="18" spans="1:8" s="36" customFormat="1" ht="20.100000000000001" customHeight="1" x14ac:dyDescent="0.25">
      <c r="A18" s="36" t="s">
        <v>2904</v>
      </c>
      <c r="B18" s="36" t="str">
        <f t="shared" si="0"/>
        <v>NY_COLUMBIA</v>
      </c>
      <c r="D18" s="249" t="s">
        <v>303</v>
      </c>
      <c r="E18" s="283" t="e" cm="1">
        <f t="array" aca="1" ref="E18" ca="1">((VLOOKUP(B18,LOOKUP_AMI_TABLE,5,FALSE)/0.8)*INDIRECT("AMI_MIN_PCT_NY_"&amp;CONFIG_FHC_PROG_ID))+0.01</f>
        <v>#REF!</v>
      </c>
      <c r="F18" s="283" t="e" cm="1">
        <f t="array" aca="1" ref="F18" ca="1">((VLOOKUP(B18,LOOKUP_AMI_TABLE,5,FALSE)/0.8)*INDIRECT("AMI_MAX_PCT_NY_"&amp;CONFIG_FHC_PROG_ID))</f>
        <v>#REF!</v>
      </c>
      <c r="G18" s="283" t="e" cm="1">
        <f t="array" aca="1" ref="G18" ca="1">((VLOOKUP(B18,LOOKUP_AMI_TABLE,7,FALSE)/0.8)*INDIRECT("AMI_MIN_PCT_NY_"&amp;CONFIG_FHC_PROG_ID))+0.01</f>
        <v>#REF!</v>
      </c>
      <c r="H18" s="283" t="e" cm="1">
        <f t="array" aca="1" ref="H18" ca="1">((VLOOKUP(B18,LOOKUP_AMI_TABLE,7,FALSE)/0.8)*INDIRECT("AMI_MAX_PCT_NY_"&amp;CONFIG_FHC_PROG_ID))</f>
        <v>#REF!</v>
      </c>
    </row>
    <row r="19" spans="1:8" s="36" customFormat="1" ht="20.100000000000001" customHeight="1" x14ac:dyDescent="0.25">
      <c r="A19" s="36" t="s">
        <v>2904</v>
      </c>
      <c r="B19" s="36" t="str">
        <f t="shared" si="0"/>
        <v>NY_CORTLAND</v>
      </c>
      <c r="D19" s="249" t="s">
        <v>1368</v>
      </c>
      <c r="E19" s="283" t="e" cm="1">
        <f t="array" aca="1" ref="E19" ca="1">((VLOOKUP(B19,LOOKUP_AMI_TABLE,5,FALSE)/0.8)*INDIRECT("AMI_MIN_PCT_NY_"&amp;CONFIG_FHC_PROG_ID))+0.01</f>
        <v>#REF!</v>
      </c>
      <c r="F19" s="283" t="e" cm="1">
        <f t="array" aca="1" ref="F19" ca="1">((VLOOKUP(B19,LOOKUP_AMI_TABLE,5,FALSE)/0.8)*INDIRECT("AMI_MAX_PCT_NY_"&amp;CONFIG_FHC_PROG_ID))</f>
        <v>#REF!</v>
      </c>
      <c r="G19" s="283" t="e" cm="1">
        <f t="array" aca="1" ref="G19" ca="1">((VLOOKUP(B19,LOOKUP_AMI_TABLE,7,FALSE)/0.8)*INDIRECT("AMI_MIN_PCT_NY_"&amp;CONFIG_FHC_PROG_ID))+0.01</f>
        <v>#REF!</v>
      </c>
      <c r="H19" s="283" t="e" cm="1">
        <f t="array" aca="1" ref="H19" ca="1">((VLOOKUP(B19,LOOKUP_AMI_TABLE,7,FALSE)/0.8)*INDIRECT("AMI_MAX_PCT_NY_"&amp;CONFIG_FHC_PROG_ID))</f>
        <v>#REF!</v>
      </c>
    </row>
    <row r="20" spans="1:8" s="36" customFormat="1" ht="20.100000000000001" customHeight="1" x14ac:dyDescent="0.25">
      <c r="A20" s="36" t="s">
        <v>2904</v>
      </c>
      <c r="B20" s="36" t="str">
        <f t="shared" si="0"/>
        <v>NY_DELAWARE</v>
      </c>
      <c r="D20" s="249" t="s">
        <v>727</v>
      </c>
      <c r="E20" s="283" t="e" cm="1">
        <f t="array" aca="1" ref="E20" ca="1">((VLOOKUP(B20,LOOKUP_AMI_TABLE,5,FALSE)/0.8)*INDIRECT("AMI_MIN_PCT_NY_"&amp;CONFIG_FHC_PROG_ID))+0.01</f>
        <v>#REF!</v>
      </c>
      <c r="F20" s="283" t="e" cm="1">
        <f t="array" aca="1" ref="F20" ca="1">((VLOOKUP(B20,LOOKUP_AMI_TABLE,5,FALSE)/0.8)*INDIRECT("AMI_MAX_PCT_NY_"&amp;CONFIG_FHC_PROG_ID))</f>
        <v>#REF!</v>
      </c>
      <c r="G20" s="283" t="e" cm="1">
        <f t="array" aca="1" ref="G20" ca="1">((VLOOKUP(B20,LOOKUP_AMI_TABLE,7,FALSE)/0.8)*INDIRECT("AMI_MIN_PCT_NY_"&amp;CONFIG_FHC_PROG_ID))+0.01</f>
        <v>#REF!</v>
      </c>
      <c r="H20" s="283" t="e" cm="1">
        <f t="array" aca="1" ref="H20" ca="1">((VLOOKUP(B20,LOOKUP_AMI_TABLE,7,FALSE)/0.8)*INDIRECT("AMI_MAX_PCT_NY_"&amp;CONFIG_FHC_PROG_ID))</f>
        <v>#REF!</v>
      </c>
    </row>
    <row r="21" spans="1:8" s="36" customFormat="1" ht="20.100000000000001" customHeight="1" x14ac:dyDescent="0.25">
      <c r="A21" s="36" t="s">
        <v>2904</v>
      </c>
      <c r="B21" s="36" t="str">
        <f t="shared" si="0"/>
        <v>NY_DUTCHESS</v>
      </c>
      <c r="D21" s="249" t="s">
        <v>1369</v>
      </c>
      <c r="E21" s="283" t="e" cm="1">
        <f t="array" aca="1" ref="E21" ca="1">((VLOOKUP(B21,LOOKUP_AMI_TABLE,5,FALSE)/0.8)*INDIRECT("AMI_MIN_PCT_NY_"&amp;CONFIG_FHC_PROG_ID))+0.01</f>
        <v>#REF!</v>
      </c>
      <c r="F21" s="283" t="e" cm="1">
        <f t="array" aca="1" ref="F21" ca="1">((VLOOKUP(B21,LOOKUP_AMI_TABLE,5,FALSE)/0.8)*INDIRECT("AMI_MAX_PCT_NY_"&amp;CONFIG_FHC_PROG_ID))</f>
        <v>#REF!</v>
      </c>
      <c r="G21" s="283" t="e" cm="1">
        <f t="array" aca="1" ref="G21" ca="1">((VLOOKUP(B21,LOOKUP_AMI_TABLE,7,FALSE)/0.8)*INDIRECT("AMI_MIN_PCT_NY_"&amp;CONFIG_FHC_PROG_ID))+0.01</f>
        <v>#REF!</v>
      </c>
      <c r="H21" s="283" t="e" cm="1">
        <f t="array" aca="1" ref="H21" ca="1">((VLOOKUP(B21,LOOKUP_AMI_TABLE,7,FALSE)/0.8)*INDIRECT("AMI_MAX_PCT_NY_"&amp;CONFIG_FHC_PROG_ID))</f>
        <v>#REF!</v>
      </c>
    </row>
    <row r="22" spans="1:8" s="36" customFormat="1" ht="20.100000000000001" customHeight="1" x14ac:dyDescent="0.25">
      <c r="A22" s="36" t="s">
        <v>2904</v>
      </c>
      <c r="B22" s="36" t="str">
        <f t="shared" si="0"/>
        <v>NY_ERIE</v>
      </c>
      <c r="D22" s="249" t="s">
        <v>1370</v>
      </c>
      <c r="E22" s="283" t="e" cm="1">
        <f t="array" aca="1" ref="E22" ca="1">((VLOOKUP(B22,LOOKUP_AMI_TABLE,5,FALSE)/0.8)*INDIRECT("AMI_MIN_PCT_NY_"&amp;CONFIG_FHC_PROG_ID))+0.01</f>
        <v>#REF!</v>
      </c>
      <c r="F22" s="283" t="e" cm="1">
        <f t="array" aca="1" ref="F22" ca="1">((VLOOKUP(B22,LOOKUP_AMI_TABLE,5,FALSE)/0.8)*INDIRECT("AMI_MAX_PCT_NY_"&amp;CONFIG_FHC_PROG_ID))</f>
        <v>#REF!</v>
      </c>
      <c r="G22" s="283" t="e" cm="1">
        <f t="array" aca="1" ref="G22" ca="1">((VLOOKUP(B22,LOOKUP_AMI_TABLE,7,FALSE)/0.8)*INDIRECT("AMI_MIN_PCT_NY_"&amp;CONFIG_FHC_PROG_ID))+0.01</f>
        <v>#REF!</v>
      </c>
      <c r="H22" s="283" t="e" cm="1">
        <f t="array" aca="1" ref="H22" ca="1">((VLOOKUP(B22,LOOKUP_AMI_TABLE,7,FALSE)/0.8)*INDIRECT("AMI_MAX_PCT_NY_"&amp;CONFIG_FHC_PROG_ID))</f>
        <v>#REF!</v>
      </c>
    </row>
    <row r="23" spans="1:8" s="36" customFormat="1" ht="20.100000000000001" customHeight="1" x14ac:dyDescent="0.25">
      <c r="A23" s="36" t="s">
        <v>2904</v>
      </c>
      <c r="B23" s="36" t="str">
        <f t="shared" si="0"/>
        <v>NY_ESSEX</v>
      </c>
      <c r="D23" s="249" t="s">
        <v>1025</v>
      </c>
      <c r="E23" s="283" t="e" cm="1">
        <f t="array" aca="1" ref="E23" ca="1">((VLOOKUP(B23,LOOKUP_AMI_TABLE,5,FALSE)/0.8)*INDIRECT("AMI_MIN_PCT_NY_"&amp;CONFIG_FHC_PROG_ID))+0.01</f>
        <v>#REF!</v>
      </c>
      <c r="F23" s="283" t="e" cm="1">
        <f t="array" aca="1" ref="F23" ca="1">((VLOOKUP(B23,LOOKUP_AMI_TABLE,5,FALSE)/0.8)*INDIRECT("AMI_MAX_PCT_NY_"&amp;CONFIG_FHC_PROG_ID))</f>
        <v>#REF!</v>
      </c>
      <c r="G23" s="283" t="e" cm="1">
        <f t="array" aca="1" ref="G23" ca="1">((VLOOKUP(B23,LOOKUP_AMI_TABLE,7,FALSE)/0.8)*INDIRECT("AMI_MIN_PCT_NY_"&amp;CONFIG_FHC_PROG_ID))+0.01</f>
        <v>#REF!</v>
      </c>
      <c r="H23" s="283" t="e" cm="1">
        <f t="array" aca="1" ref="H23" ca="1">((VLOOKUP(B23,LOOKUP_AMI_TABLE,7,FALSE)/0.8)*INDIRECT("AMI_MAX_PCT_NY_"&amp;CONFIG_FHC_PROG_ID))</f>
        <v>#REF!</v>
      </c>
    </row>
    <row r="24" spans="1:8" s="36" customFormat="1" ht="20.100000000000001" customHeight="1" x14ac:dyDescent="0.25">
      <c r="A24" s="36" t="s">
        <v>2904</v>
      </c>
      <c r="B24" s="36" t="str">
        <f t="shared" si="0"/>
        <v>NY_FRANKLIN</v>
      </c>
      <c r="D24" s="249" t="s">
        <v>223</v>
      </c>
      <c r="E24" s="283" t="e" cm="1">
        <f t="array" aca="1" ref="E24" ca="1">((VLOOKUP(B24,LOOKUP_AMI_TABLE,5,FALSE)/0.8)*INDIRECT("AMI_MIN_PCT_NY_"&amp;CONFIG_FHC_PROG_ID))+0.01</f>
        <v>#REF!</v>
      </c>
      <c r="F24" s="283" t="e" cm="1">
        <f t="array" aca="1" ref="F24" ca="1">((VLOOKUP(B24,LOOKUP_AMI_TABLE,5,FALSE)/0.8)*INDIRECT("AMI_MAX_PCT_NY_"&amp;CONFIG_FHC_PROG_ID))</f>
        <v>#REF!</v>
      </c>
      <c r="G24" s="283" t="e" cm="1">
        <f t="array" aca="1" ref="G24" ca="1">((VLOOKUP(B24,LOOKUP_AMI_TABLE,7,FALSE)/0.8)*INDIRECT("AMI_MIN_PCT_NY_"&amp;CONFIG_FHC_PROG_ID))+0.01</f>
        <v>#REF!</v>
      </c>
      <c r="H24" s="283" t="e" cm="1">
        <f t="array" aca="1" ref="H24" ca="1">((VLOOKUP(B24,LOOKUP_AMI_TABLE,7,FALSE)/0.8)*INDIRECT("AMI_MAX_PCT_NY_"&amp;CONFIG_FHC_PROG_ID))</f>
        <v>#REF!</v>
      </c>
    </row>
    <row r="25" spans="1:8" s="36" customFormat="1" ht="20.100000000000001" customHeight="1" x14ac:dyDescent="0.25">
      <c r="A25" s="36" t="s">
        <v>2904</v>
      </c>
      <c r="B25" s="36" t="str">
        <f t="shared" si="0"/>
        <v>NY_FULTON</v>
      </c>
      <c r="D25" s="249" t="s">
        <v>312</v>
      </c>
      <c r="E25" s="283" t="e" cm="1">
        <f t="array" aca="1" ref="E25" ca="1">((VLOOKUP(B25,LOOKUP_AMI_TABLE,5,FALSE)/0.8)*INDIRECT("AMI_MIN_PCT_NY_"&amp;CONFIG_FHC_PROG_ID))+0.01</f>
        <v>#REF!</v>
      </c>
      <c r="F25" s="283" t="e" cm="1">
        <f t="array" aca="1" ref="F25" ca="1">((VLOOKUP(B25,LOOKUP_AMI_TABLE,5,FALSE)/0.8)*INDIRECT("AMI_MAX_PCT_NY_"&amp;CONFIG_FHC_PROG_ID))</f>
        <v>#REF!</v>
      </c>
      <c r="G25" s="283" t="e" cm="1">
        <f t="array" aca="1" ref="G25" ca="1">((VLOOKUP(B25,LOOKUP_AMI_TABLE,7,FALSE)/0.8)*INDIRECT("AMI_MIN_PCT_NY_"&amp;CONFIG_FHC_PROG_ID))+0.01</f>
        <v>#REF!</v>
      </c>
      <c r="H25" s="283" t="e" cm="1">
        <f t="array" aca="1" ref="H25" ca="1">((VLOOKUP(B25,LOOKUP_AMI_TABLE,7,FALSE)/0.8)*INDIRECT("AMI_MAX_PCT_NY_"&amp;CONFIG_FHC_PROG_ID))</f>
        <v>#REF!</v>
      </c>
    </row>
    <row r="26" spans="1:8" s="36" customFormat="1" ht="20.100000000000001" customHeight="1" x14ac:dyDescent="0.25">
      <c r="A26" s="36" t="s">
        <v>2904</v>
      </c>
      <c r="B26" s="36" t="str">
        <f t="shared" si="0"/>
        <v>NY_GENESEE</v>
      </c>
      <c r="D26" s="249" t="s">
        <v>1046</v>
      </c>
      <c r="E26" s="283" t="e" cm="1">
        <f t="array" aca="1" ref="E26" ca="1">((VLOOKUP(B26,LOOKUP_AMI_TABLE,5,FALSE)/0.8)*INDIRECT("AMI_MIN_PCT_NY_"&amp;CONFIG_FHC_PROG_ID))+0.01</f>
        <v>#REF!</v>
      </c>
      <c r="F26" s="283" t="e" cm="1">
        <f t="array" aca="1" ref="F26" ca="1">((VLOOKUP(B26,LOOKUP_AMI_TABLE,5,FALSE)/0.8)*INDIRECT("AMI_MAX_PCT_NY_"&amp;CONFIG_FHC_PROG_ID))</f>
        <v>#REF!</v>
      </c>
      <c r="G26" s="283" t="e" cm="1">
        <f t="array" aca="1" ref="G26" ca="1">((VLOOKUP(B26,LOOKUP_AMI_TABLE,7,FALSE)/0.8)*INDIRECT("AMI_MIN_PCT_NY_"&amp;CONFIG_FHC_PROG_ID))+0.01</f>
        <v>#REF!</v>
      </c>
      <c r="H26" s="283" t="e" cm="1">
        <f t="array" aca="1" ref="H26" ca="1">((VLOOKUP(B26,LOOKUP_AMI_TABLE,7,FALSE)/0.8)*INDIRECT("AMI_MAX_PCT_NY_"&amp;CONFIG_FHC_PROG_ID))</f>
        <v>#REF!</v>
      </c>
    </row>
    <row r="27" spans="1:8" s="36" customFormat="1" ht="20.100000000000001" customHeight="1" x14ac:dyDescent="0.25">
      <c r="A27" s="36" t="s">
        <v>2904</v>
      </c>
      <c r="B27" s="36" t="str">
        <f t="shared" si="0"/>
        <v>NY_GREENE</v>
      </c>
      <c r="D27" s="249" t="s">
        <v>225</v>
      </c>
      <c r="E27" s="283" t="e" cm="1">
        <f t="array" aca="1" ref="E27" ca="1">((VLOOKUP(B27,LOOKUP_AMI_TABLE,5,FALSE)/0.8)*INDIRECT("AMI_MIN_PCT_NY_"&amp;CONFIG_FHC_PROG_ID))+0.01</f>
        <v>#REF!</v>
      </c>
      <c r="F27" s="283" t="e" cm="1">
        <f t="array" aca="1" ref="F27" ca="1">((VLOOKUP(B27,LOOKUP_AMI_TABLE,5,FALSE)/0.8)*INDIRECT("AMI_MAX_PCT_NY_"&amp;CONFIG_FHC_PROG_ID))</f>
        <v>#REF!</v>
      </c>
      <c r="G27" s="283" t="e" cm="1">
        <f t="array" aca="1" ref="G27" ca="1">((VLOOKUP(B27,LOOKUP_AMI_TABLE,7,FALSE)/0.8)*INDIRECT("AMI_MIN_PCT_NY_"&amp;CONFIG_FHC_PROG_ID))+0.01</f>
        <v>#REF!</v>
      </c>
      <c r="H27" s="283" t="e" cm="1">
        <f t="array" aca="1" ref="H27" ca="1">((VLOOKUP(B27,LOOKUP_AMI_TABLE,7,FALSE)/0.8)*INDIRECT("AMI_MAX_PCT_NY_"&amp;CONFIG_FHC_PROG_ID))</f>
        <v>#REF!</v>
      </c>
    </row>
    <row r="28" spans="1:8" s="36" customFormat="1" ht="20.100000000000001" customHeight="1" x14ac:dyDescent="0.25">
      <c r="A28" s="36" t="s">
        <v>2904</v>
      </c>
      <c r="B28" s="36" t="str">
        <f t="shared" si="0"/>
        <v>NY_HAMILTON</v>
      </c>
      <c r="D28" s="249" t="s">
        <v>491</v>
      </c>
      <c r="E28" s="283" t="e" cm="1">
        <f t="array" aca="1" ref="E28" ca="1">((VLOOKUP(B28,LOOKUP_AMI_TABLE,5,FALSE)/0.8)*INDIRECT("AMI_MIN_PCT_NY_"&amp;CONFIG_FHC_PROG_ID))+0.01</f>
        <v>#REF!</v>
      </c>
      <c r="F28" s="283" t="e" cm="1">
        <f t="array" aca="1" ref="F28" ca="1">((VLOOKUP(B28,LOOKUP_AMI_TABLE,5,FALSE)/0.8)*INDIRECT("AMI_MAX_PCT_NY_"&amp;CONFIG_FHC_PROG_ID))</f>
        <v>#REF!</v>
      </c>
      <c r="G28" s="283" t="e" cm="1">
        <f t="array" aca="1" ref="G28" ca="1">((VLOOKUP(B28,LOOKUP_AMI_TABLE,7,FALSE)/0.8)*INDIRECT("AMI_MIN_PCT_NY_"&amp;CONFIG_FHC_PROG_ID))+0.01</f>
        <v>#REF!</v>
      </c>
      <c r="H28" s="283" t="e" cm="1">
        <f t="array" aca="1" ref="H28" ca="1">((VLOOKUP(B28,LOOKUP_AMI_TABLE,7,FALSE)/0.8)*INDIRECT("AMI_MAX_PCT_NY_"&amp;CONFIG_FHC_PROG_ID))</f>
        <v>#REF!</v>
      </c>
    </row>
    <row r="29" spans="1:8" s="36" customFormat="1" ht="20.100000000000001" customHeight="1" x14ac:dyDescent="0.25">
      <c r="A29" s="36" t="s">
        <v>2904</v>
      </c>
      <c r="B29" s="36" t="str">
        <f t="shared" si="0"/>
        <v>NY_HERKIMER</v>
      </c>
      <c r="D29" s="249" t="s">
        <v>1371</v>
      </c>
      <c r="E29" s="283" t="e" cm="1">
        <f t="array" aca="1" ref="E29" ca="1">((VLOOKUP(B29,LOOKUP_AMI_TABLE,5,FALSE)/0.8)*INDIRECT("AMI_MIN_PCT_NY_"&amp;CONFIG_FHC_PROG_ID))+0.01</f>
        <v>#REF!</v>
      </c>
      <c r="F29" s="283" t="e" cm="1">
        <f t="array" aca="1" ref="F29" ca="1">((VLOOKUP(B29,LOOKUP_AMI_TABLE,5,FALSE)/0.8)*INDIRECT("AMI_MAX_PCT_NY_"&amp;CONFIG_FHC_PROG_ID))</f>
        <v>#REF!</v>
      </c>
      <c r="G29" s="283" t="e" cm="1">
        <f t="array" aca="1" ref="G29" ca="1">((VLOOKUP(B29,LOOKUP_AMI_TABLE,7,FALSE)/0.8)*INDIRECT("AMI_MIN_PCT_NY_"&amp;CONFIG_FHC_PROG_ID))+0.01</f>
        <v>#REF!</v>
      </c>
      <c r="H29" s="283" t="e" cm="1">
        <f t="array" aca="1" ref="H29" ca="1">((VLOOKUP(B29,LOOKUP_AMI_TABLE,7,FALSE)/0.8)*INDIRECT("AMI_MAX_PCT_NY_"&amp;CONFIG_FHC_PROG_ID))</f>
        <v>#REF!</v>
      </c>
    </row>
    <row r="30" spans="1:8" s="36" customFormat="1" ht="20.100000000000001" customHeight="1" x14ac:dyDescent="0.25">
      <c r="A30" s="36" t="s">
        <v>2904</v>
      </c>
      <c r="B30" s="36" t="str">
        <f t="shared" si="0"/>
        <v>NY_JEFFERSON</v>
      </c>
      <c r="D30" s="249" t="s">
        <v>230</v>
      </c>
      <c r="E30" s="283" t="e" cm="1">
        <f t="array" aca="1" ref="E30" ca="1">((VLOOKUP(B30,LOOKUP_AMI_TABLE,5,FALSE)/0.8)*INDIRECT("AMI_MIN_PCT_NY_"&amp;CONFIG_FHC_PROG_ID))+0.01</f>
        <v>#REF!</v>
      </c>
      <c r="F30" s="283" t="e" cm="1">
        <f t="array" aca="1" ref="F30" ca="1">((VLOOKUP(B30,LOOKUP_AMI_TABLE,5,FALSE)/0.8)*INDIRECT("AMI_MAX_PCT_NY_"&amp;CONFIG_FHC_PROG_ID))</f>
        <v>#REF!</v>
      </c>
      <c r="G30" s="283" t="e" cm="1">
        <f t="array" aca="1" ref="G30" ca="1">((VLOOKUP(B30,LOOKUP_AMI_TABLE,7,FALSE)/0.8)*INDIRECT("AMI_MIN_PCT_NY_"&amp;CONFIG_FHC_PROG_ID))+0.01</f>
        <v>#REF!</v>
      </c>
      <c r="H30" s="283" t="e" cm="1">
        <f t="array" aca="1" ref="H30" ca="1">((VLOOKUP(B30,LOOKUP_AMI_TABLE,7,FALSE)/0.8)*INDIRECT("AMI_MAX_PCT_NY_"&amp;CONFIG_FHC_PROG_ID))</f>
        <v>#REF!</v>
      </c>
    </row>
    <row r="31" spans="1:8" s="36" customFormat="1" ht="20.100000000000001" customHeight="1" x14ac:dyDescent="0.25">
      <c r="A31" s="36" t="s">
        <v>2904</v>
      </c>
      <c r="B31" s="36" t="str">
        <f t="shared" si="0"/>
        <v>NY_KINGS</v>
      </c>
      <c r="D31" s="249" t="s">
        <v>365</v>
      </c>
      <c r="E31" s="283" t="e" cm="1">
        <f t="array" aca="1" ref="E31" ca="1">((VLOOKUP(B31,LOOKUP_AMI_TABLE,5,FALSE)/0.8)*INDIRECT("AMI_MIN_PCT_NY_"&amp;CONFIG_FHC_PROG_ID))+0.01</f>
        <v>#REF!</v>
      </c>
      <c r="F31" s="283" t="e" cm="1">
        <f t="array" aca="1" ref="F31" ca="1">((VLOOKUP(B31,LOOKUP_AMI_TABLE,5,FALSE)/0.8)*INDIRECT("AMI_MAX_PCT_NY_"&amp;CONFIG_FHC_PROG_ID))</f>
        <v>#REF!</v>
      </c>
      <c r="G31" s="283" t="e" cm="1">
        <f t="array" aca="1" ref="G31" ca="1">((VLOOKUP(B31,LOOKUP_AMI_TABLE,7,FALSE)/0.8)*INDIRECT("AMI_MIN_PCT_NY_"&amp;CONFIG_FHC_PROG_ID))+0.01</f>
        <v>#REF!</v>
      </c>
      <c r="H31" s="283" t="e" cm="1">
        <f t="array" aca="1" ref="H31" ca="1">((VLOOKUP(B31,LOOKUP_AMI_TABLE,7,FALSE)/0.8)*INDIRECT("AMI_MAX_PCT_NY_"&amp;CONFIG_FHC_PROG_ID))</f>
        <v>#REF!</v>
      </c>
    </row>
    <row r="32" spans="1:8" s="36" customFormat="1" ht="20.100000000000001" customHeight="1" x14ac:dyDescent="0.25">
      <c r="A32" s="36" t="s">
        <v>2904</v>
      </c>
      <c r="B32" s="36" t="str">
        <f t="shared" si="0"/>
        <v>NY_LEWIS</v>
      </c>
      <c r="D32" s="249" t="s">
        <v>657</v>
      </c>
      <c r="E32" s="283" t="e" cm="1">
        <f t="array" aca="1" ref="E32" ca="1">((VLOOKUP(B32,LOOKUP_AMI_TABLE,5,FALSE)/0.8)*INDIRECT("AMI_MIN_PCT_NY_"&amp;CONFIG_FHC_PROG_ID))+0.01</f>
        <v>#REF!</v>
      </c>
      <c r="F32" s="283" t="e" cm="1">
        <f t="array" aca="1" ref="F32" ca="1">((VLOOKUP(B32,LOOKUP_AMI_TABLE,5,FALSE)/0.8)*INDIRECT("AMI_MAX_PCT_NY_"&amp;CONFIG_FHC_PROG_ID))</f>
        <v>#REF!</v>
      </c>
      <c r="G32" s="283" t="e" cm="1">
        <f t="array" aca="1" ref="G32" ca="1">((VLOOKUP(B32,LOOKUP_AMI_TABLE,7,FALSE)/0.8)*INDIRECT("AMI_MIN_PCT_NY_"&amp;CONFIG_FHC_PROG_ID))+0.01</f>
        <v>#REF!</v>
      </c>
      <c r="H32" s="283" t="e" cm="1">
        <f t="array" aca="1" ref="H32" ca="1">((VLOOKUP(B32,LOOKUP_AMI_TABLE,7,FALSE)/0.8)*INDIRECT("AMI_MAX_PCT_NY_"&amp;CONFIG_FHC_PROG_ID))</f>
        <v>#REF!</v>
      </c>
    </row>
    <row r="33" spans="1:8" s="36" customFormat="1" ht="20.100000000000001" customHeight="1" x14ac:dyDescent="0.25">
      <c r="A33" s="36" t="s">
        <v>2904</v>
      </c>
      <c r="B33" s="36" t="str">
        <f t="shared" si="0"/>
        <v>NY_LIVINGSTON</v>
      </c>
      <c r="D33" s="249" t="s">
        <v>695</v>
      </c>
      <c r="E33" s="283" t="e" cm="1">
        <f t="array" aca="1" ref="E33" ca="1">((VLOOKUP(B33,LOOKUP_AMI_TABLE,5,FALSE)/0.8)*INDIRECT("AMI_MIN_PCT_NY_"&amp;CONFIG_FHC_PROG_ID))+0.01</f>
        <v>#REF!</v>
      </c>
      <c r="F33" s="283" t="e" cm="1">
        <f t="array" aca="1" ref="F33" ca="1">((VLOOKUP(B33,LOOKUP_AMI_TABLE,5,FALSE)/0.8)*INDIRECT("AMI_MAX_PCT_NY_"&amp;CONFIG_FHC_PROG_ID))</f>
        <v>#REF!</v>
      </c>
      <c r="G33" s="283" t="e" cm="1">
        <f t="array" aca="1" ref="G33" ca="1">((VLOOKUP(B33,LOOKUP_AMI_TABLE,7,FALSE)/0.8)*INDIRECT("AMI_MIN_PCT_NY_"&amp;CONFIG_FHC_PROG_ID))+0.01</f>
        <v>#REF!</v>
      </c>
      <c r="H33" s="283" t="e" cm="1">
        <f t="array" aca="1" ref="H33" ca="1">((VLOOKUP(B33,LOOKUP_AMI_TABLE,7,FALSE)/0.8)*INDIRECT("AMI_MAX_PCT_NY_"&amp;CONFIG_FHC_PROG_ID))</f>
        <v>#REF!</v>
      </c>
    </row>
    <row r="34" spans="1:8" s="36" customFormat="1" ht="20.100000000000001" customHeight="1" x14ac:dyDescent="0.25">
      <c r="A34" s="36" t="s">
        <v>2904</v>
      </c>
      <c r="B34" s="36" t="str">
        <f t="shared" si="0"/>
        <v>NY_MADISON</v>
      </c>
      <c r="D34" s="249" t="s">
        <v>238</v>
      </c>
      <c r="E34" s="283" t="e" cm="1">
        <f t="array" aca="1" ref="E34" ca="1">((VLOOKUP(B34,LOOKUP_AMI_TABLE,5,FALSE)/0.8)*INDIRECT("AMI_MIN_PCT_NY_"&amp;CONFIG_FHC_PROG_ID))+0.01</f>
        <v>#REF!</v>
      </c>
      <c r="F34" s="283" t="e" cm="1">
        <f t="array" aca="1" ref="F34" ca="1">((VLOOKUP(B34,LOOKUP_AMI_TABLE,5,FALSE)/0.8)*INDIRECT("AMI_MAX_PCT_NY_"&amp;CONFIG_FHC_PROG_ID))</f>
        <v>#REF!</v>
      </c>
      <c r="G34" s="283" t="e" cm="1">
        <f t="array" aca="1" ref="G34" ca="1">((VLOOKUP(B34,LOOKUP_AMI_TABLE,7,FALSE)/0.8)*INDIRECT("AMI_MIN_PCT_NY_"&amp;CONFIG_FHC_PROG_ID))+0.01</f>
        <v>#REF!</v>
      </c>
      <c r="H34" s="283" t="e" cm="1">
        <f t="array" aca="1" ref="H34" ca="1">((VLOOKUP(B34,LOOKUP_AMI_TABLE,7,FALSE)/0.8)*INDIRECT("AMI_MAX_PCT_NY_"&amp;CONFIG_FHC_PROG_ID))</f>
        <v>#REF!</v>
      </c>
    </row>
    <row r="35" spans="1:8" s="36" customFormat="1" ht="20.100000000000001" customHeight="1" x14ac:dyDescent="0.25">
      <c r="A35" s="36" t="s">
        <v>2904</v>
      </c>
      <c r="B35" s="36" t="str">
        <f t="shared" si="0"/>
        <v>NY_MONROE</v>
      </c>
      <c r="D35" s="249" t="s">
        <v>243</v>
      </c>
      <c r="E35" s="283" t="e" cm="1">
        <f t="array" aca="1" ref="E35" ca="1">((VLOOKUP(B35,LOOKUP_AMI_TABLE,5,FALSE)/0.8)*INDIRECT("AMI_MIN_PCT_NY_"&amp;CONFIG_FHC_PROG_ID))+0.01</f>
        <v>#REF!</v>
      </c>
      <c r="F35" s="283" t="e" cm="1">
        <f t="array" aca="1" ref="F35" ca="1">((VLOOKUP(B35,LOOKUP_AMI_TABLE,5,FALSE)/0.8)*INDIRECT("AMI_MAX_PCT_NY_"&amp;CONFIG_FHC_PROG_ID))</f>
        <v>#REF!</v>
      </c>
      <c r="G35" s="283" t="e" cm="1">
        <f t="array" aca="1" ref="G35" ca="1">((VLOOKUP(B35,LOOKUP_AMI_TABLE,7,FALSE)/0.8)*INDIRECT("AMI_MIN_PCT_NY_"&amp;CONFIG_FHC_PROG_ID))+0.01</f>
        <v>#REF!</v>
      </c>
      <c r="H35" s="283" t="e" cm="1">
        <f t="array" aca="1" ref="H35" ca="1">((VLOOKUP(B35,LOOKUP_AMI_TABLE,7,FALSE)/0.8)*INDIRECT("AMI_MAX_PCT_NY_"&amp;CONFIG_FHC_PROG_ID))</f>
        <v>#REF!</v>
      </c>
    </row>
    <row r="36" spans="1:8" s="36" customFormat="1" ht="20.100000000000001" customHeight="1" x14ac:dyDescent="0.25">
      <c r="A36" s="36" t="s">
        <v>2904</v>
      </c>
      <c r="B36" s="36" t="str">
        <f t="shared" si="0"/>
        <v>NY_MONTGOMERY</v>
      </c>
      <c r="D36" s="249" t="s">
        <v>244</v>
      </c>
      <c r="E36" s="283" t="e" cm="1">
        <f t="array" aca="1" ref="E36" ca="1">((VLOOKUP(B36,LOOKUP_AMI_TABLE,5,FALSE)/0.8)*INDIRECT("AMI_MIN_PCT_NY_"&amp;CONFIG_FHC_PROG_ID))+0.01</f>
        <v>#REF!</v>
      </c>
      <c r="F36" s="283" t="e" cm="1">
        <f t="array" aca="1" ref="F36" ca="1">((VLOOKUP(B36,LOOKUP_AMI_TABLE,5,FALSE)/0.8)*INDIRECT("AMI_MAX_PCT_NY_"&amp;CONFIG_FHC_PROG_ID))</f>
        <v>#REF!</v>
      </c>
      <c r="G36" s="283" t="e" cm="1">
        <f t="array" aca="1" ref="G36" ca="1">((VLOOKUP(B36,LOOKUP_AMI_TABLE,7,FALSE)/0.8)*INDIRECT("AMI_MIN_PCT_NY_"&amp;CONFIG_FHC_PROG_ID))+0.01</f>
        <v>#REF!</v>
      </c>
      <c r="H36" s="283" t="e" cm="1">
        <f t="array" aca="1" ref="H36" ca="1">((VLOOKUP(B36,LOOKUP_AMI_TABLE,7,FALSE)/0.8)*INDIRECT("AMI_MAX_PCT_NY_"&amp;CONFIG_FHC_PROG_ID))</f>
        <v>#REF!</v>
      </c>
    </row>
    <row r="37" spans="1:8" s="36" customFormat="1" ht="20.100000000000001" customHeight="1" x14ac:dyDescent="0.25">
      <c r="A37" s="36" t="s">
        <v>2904</v>
      </c>
      <c r="B37" s="36" t="str">
        <f t="shared" si="0"/>
        <v>NY_NASSAU</v>
      </c>
      <c r="D37" s="249" t="s">
        <v>504</v>
      </c>
      <c r="E37" s="283" t="e" cm="1">
        <f t="array" aca="1" ref="E37" ca="1">((VLOOKUP(B37,LOOKUP_AMI_TABLE,5,FALSE)/0.8)*INDIRECT("AMI_MIN_PCT_NY_"&amp;CONFIG_FHC_PROG_ID))+0.01</f>
        <v>#REF!</v>
      </c>
      <c r="F37" s="283" t="e" cm="1">
        <f t="array" aca="1" ref="F37" ca="1">((VLOOKUP(B37,LOOKUP_AMI_TABLE,5,FALSE)/0.8)*INDIRECT("AMI_MAX_PCT_NY_"&amp;CONFIG_FHC_PROG_ID))</f>
        <v>#REF!</v>
      </c>
      <c r="G37" s="283" t="e" cm="1">
        <f t="array" aca="1" ref="G37" ca="1">((VLOOKUP(B37,LOOKUP_AMI_TABLE,7,FALSE)/0.8)*INDIRECT("AMI_MIN_PCT_NY_"&amp;CONFIG_FHC_PROG_ID))+0.01</f>
        <v>#REF!</v>
      </c>
      <c r="H37" s="283" t="e" cm="1">
        <f t="array" aca="1" ref="H37" ca="1">((VLOOKUP(B37,LOOKUP_AMI_TABLE,7,FALSE)/0.8)*INDIRECT("AMI_MAX_PCT_NY_"&amp;CONFIG_FHC_PROG_ID))</f>
        <v>#REF!</v>
      </c>
    </row>
    <row r="38" spans="1:8" s="36" customFormat="1" ht="20.100000000000001" customHeight="1" x14ac:dyDescent="0.25">
      <c r="A38" s="36" t="s">
        <v>2904</v>
      </c>
      <c r="B38" s="36" t="str">
        <f t="shared" si="0"/>
        <v>NY_NEW YORK</v>
      </c>
      <c r="D38" s="249" t="s">
        <v>1372</v>
      </c>
      <c r="E38" s="283" t="e" cm="1">
        <f t="array" aca="1" ref="E38" ca="1">((VLOOKUP(B38,LOOKUP_AMI_TABLE,5,FALSE)/0.8)*INDIRECT("AMI_MIN_PCT_NY_"&amp;CONFIG_FHC_PROG_ID))+0.01</f>
        <v>#REF!</v>
      </c>
      <c r="F38" s="283" t="e" cm="1">
        <f t="array" aca="1" ref="F38" ca="1">((VLOOKUP(B38,LOOKUP_AMI_TABLE,5,FALSE)/0.8)*INDIRECT("AMI_MAX_PCT_NY_"&amp;CONFIG_FHC_PROG_ID))</f>
        <v>#REF!</v>
      </c>
      <c r="G38" s="283" t="e" cm="1">
        <f t="array" aca="1" ref="G38" ca="1">((VLOOKUP(B38,LOOKUP_AMI_TABLE,7,FALSE)/0.8)*INDIRECT("AMI_MIN_PCT_NY_"&amp;CONFIG_FHC_PROG_ID))+0.01</f>
        <v>#REF!</v>
      </c>
      <c r="H38" s="283" t="e" cm="1">
        <f t="array" aca="1" ref="H38" ca="1">((VLOOKUP(B38,LOOKUP_AMI_TABLE,7,FALSE)/0.8)*INDIRECT("AMI_MAX_PCT_NY_"&amp;CONFIG_FHC_PROG_ID))</f>
        <v>#REF!</v>
      </c>
    </row>
    <row r="39" spans="1:8" s="36" customFormat="1" ht="20.100000000000001" customHeight="1" x14ac:dyDescent="0.25">
      <c r="A39" s="36" t="s">
        <v>2904</v>
      </c>
      <c r="B39" s="36" t="str">
        <f t="shared" si="0"/>
        <v>NY_NIAGARA</v>
      </c>
      <c r="D39" s="249" t="s">
        <v>1373</v>
      </c>
      <c r="E39" s="283" t="e" cm="1">
        <f t="array" aca="1" ref="E39" ca="1">((VLOOKUP(B39,LOOKUP_AMI_TABLE,5,FALSE)/0.8)*INDIRECT("AMI_MIN_PCT_NY_"&amp;CONFIG_FHC_PROG_ID))+0.01</f>
        <v>#REF!</v>
      </c>
      <c r="F39" s="283" t="e" cm="1">
        <f t="array" aca="1" ref="F39" ca="1">((VLOOKUP(B39,LOOKUP_AMI_TABLE,5,FALSE)/0.8)*INDIRECT("AMI_MAX_PCT_NY_"&amp;CONFIG_FHC_PROG_ID))</f>
        <v>#REF!</v>
      </c>
      <c r="G39" s="283" t="e" cm="1">
        <f t="array" aca="1" ref="G39" ca="1">((VLOOKUP(B39,LOOKUP_AMI_TABLE,7,FALSE)/0.8)*INDIRECT("AMI_MIN_PCT_NY_"&amp;CONFIG_FHC_PROG_ID))+0.01</f>
        <v>#REF!</v>
      </c>
      <c r="H39" s="283" t="e" cm="1">
        <f t="array" aca="1" ref="H39" ca="1">((VLOOKUP(B39,LOOKUP_AMI_TABLE,7,FALSE)/0.8)*INDIRECT("AMI_MAX_PCT_NY_"&amp;CONFIG_FHC_PROG_ID))</f>
        <v>#REF!</v>
      </c>
    </row>
    <row r="40" spans="1:8" s="36" customFormat="1" ht="20.100000000000001" customHeight="1" x14ac:dyDescent="0.25">
      <c r="A40" s="36" t="s">
        <v>2904</v>
      </c>
      <c r="B40" s="36" t="str">
        <f t="shared" si="0"/>
        <v>NY_ONEIDA</v>
      </c>
      <c r="D40" s="249" t="s">
        <v>660</v>
      </c>
      <c r="E40" s="283" t="e" cm="1">
        <f t="array" aca="1" ref="E40" ca="1">((VLOOKUP(B40,LOOKUP_AMI_TABLE,5,FALSE)/0.8)*INDIRECT("AMI_MIN_PCT_NY_"&amp;CONFIG_FHC_PROG_ID))+0.01</f>
        <v>#REF!</v>
      </c>
      <c r="F40" s="283" t="e" cm="1">
        <f t="array" aca="1" ref="F40" ca="1">((VLOOKUP(B40,LOOKUP_AMI_TABLE,5,FALSE)/0.8)*INDIRECT("AMI_MAX_PCT_NY_"&amp;CONFIG_FHC_PROG_ID))</f>
        <v>#REF!</v>
      </c>
      <c r="G40" s="283" t="e" cm="1">
        <f t="array" aca="1" ref="G40" ca="1">((VLOOKUP(B40,LOOKUP_AMI_TABLE,7,FALSE)/0.8)*INDIRECT("AMI_MIN_PCT_NY_"&amp;CONFIG_FHC_PROG_ID))+0.01</f>
        <v>#REF!</v>
      </c>
      <c r="H40" s="283" t="e" cm="1">
        <f t="array" aca="1" ref="H40" ca="1">((VLOOKUP(B40,LOOKUP_AMI_TABLE,7,FALSE)/0.8)*INDIRECT("AMI_MAX_PCT_NY_"&amp;CONFIG_FHC_PROG_ID))</f>
        <v>#REF!</v>
      </c>
    </row>
    <row r="41" spans="1:8" s="36" customFormat="1" ht="20.100000000000001" customHeight="1" x14ac:dyDescent="0.25">
      <c r="A41" s="36" t="s">
        <v>2904</v>
      </c>
      <c r="B41" s="36" t="str">
        <f t="shared" si="0"/>
        <v>NY_ONONDAGA</v>
      </c>
      <c r="D41" s="249" t="s">
        <v>1374</v>
      </c>
      <c r="E41" s="283" t="e" cm="1">
        <f t="array" aca="1" ref="E41" ca="1">((VLOOKUP(B41,LOOKUP_AMI_TABLE,5,FALSE)/0.8)*INDIRECT("AMI_MIN_PCT_NY_"&amp;CONFIG_FHC_PROG_ID))+0.01</f>
        <v>#REF!</v>
      </c>
      <c r="F41" s="283" t="e" cm="1">
        <f t="array" aca="1" ref="F41" ca="1">((VLOOKUP(B41,LOOKUP_AMI_TABLE,5,FALSE)/0.8)*INDIRECT("AMI_MAX_PCT_NY_"&amp;CONFIG_FHC_PROG_ID))</f>
        <v>#REF!</v>
      </c>
      <c r="G41" s="283" t="e" cm="1">
        <f t="array" aca="1" ref="G41" ca="1">((VLOOKUP(B41,LOOKUP_AMI_TABLE,7,FALSE)/0.8)*INDIRECT("AMI_MIN_PCT_NY_"&amp;CONFIG_FHC_PROG_ID))+0.01</f>
        <v>#REF!</v>
      </c>
      <c r="H41" s="283" t="e" cm="1">
        <f t="array" aca="1" ref="H41" ca="1">((VLOOKUP(B41,LOOKUP_AMI_TABLE,7,FALSE)/0.8)*INDIRECT("AMI_MAX_PCT_NY_"&amp;CONFIG_FHC_PROG_ID))</f>
        <v>#REF!</v>
      </c>
    </row>
    <row r="42" spans="1:8" s="36" customFormat="1" ht="20.100000000000001" customHeight="1" x14ac:dyDescent="0.25">
      <c r="A42" s="36" t="s">
        <v>2904</v>
      </c>
      <c r="B42" s="36" t="str">
        <f t="shared" si="0"/>
        <v>NY_ONTARIO</v>
      </c>
      <c r="D42" s="249" t="s">
        <v>1375</v>
      </c>
      <c r="E42" s="283" t="e" cm="1">
        <f t="array" aca="1" ref="E42" ca="1">((VLOOKUP(B42,LOOKUP_AMI_TABLE,5,FALSE)/0.8)*INDIRECT("AMI_MIN_PCT_NY_"&amp;CONFIG_FHC_PROG_ID))+0.01</f>
        <v>#REF!</v>
      </c>
      <c r="F42" s="283" t="e" cm="1">
        <f t="array" aca="1" ref="F42" ca="1">((VLOOKUP(B42,LOOKUP_AMI_TABLE,5,FALSE)/0.8)*INDIRECT("AMI_MAX_PCT_NY_"&amp;CONFIG_FHC_PROG_ID))</f>
        <v>#REF!</v>
      </c>
      <c r="G42" s="283" t="e" cm="1">
        <f t="array" aca="1" ref="G42" ca="1">((VLOOKUP(B42,LOOKUP_AMI_TABLE,7,FALSE)/0.8)*INDIRECT("AMI_MIN_PCT_NY_"&amp;CONFIG_FHC_PROG_ID))+0.01</f>
        <v>#REF!</v>
      </c>
      <c r="H42" s="283" t="e" cm="1">
        <f t="array" aca="1" ref="H42" ca="1">((VLOOKUP(B42,LOOKUP_AMI_TABLE,7,FALSE)/0.8)*INDIRECT("AMI_MAX_PCT_NY_"&amp;CONFIG_FHC_PROG_ID))</f>
        <v>#REF!</v>
      </c>
    </row>
    <row r="43" spans="1:8" s="36" customFormat="1" ht="20.100000000000001" customHeight="1" x14ac:dyDescent="0.25">
      <c r="A43" s="36" t="s">
        <v>2904</v>
      </c>
      <c r="B43" s="36" t="str">
        <f t="shared" si="0"/>
        <v>NY_ORANGE</v>
      </c>
      <c r="D43" s="249" t="s">
        <v>378</v>
      </c>
      <c r="E43" s="283" t="e" cm="1">
        <f t="array" aca="1" ref="E43" ca="1">((VLOOKUP(B43,LOOKUP_AMI_TABLE,5,FALSE)/0.8)*INDIRECT("AMI_MIN_PCT_NY_"&amp;CONFIG_FHC_PROG_ID))+0.01</f>
        <v>#REF!</v>
      </c>
      <c r="F43" s="283" t="e" cm="1">
        <f t="array" aca="1" ref="F43" ca="1">((VLOOKUP(B43,LOOKUP_AMI_TABLE,5,FALSE)/0.8)*INDIRECT("AMI_MAX_PCT_NY_"&amp;CONFIG_FHC_PROG_ID))</f>
        <v>#REF!</v>
      </c>
      <c r="G43" s="283" t="e" cm="1">
        <f t="array" aca="1" ref="G43" ca="1">((VLOOKUP(B43,LOOKUP_AMI_TABLE,7,FALSE)/0.8)*INDIRECT("AMI_MIN_PCT_NY_"&amp;CONFIG_FHC_PROG_ID))+0.01</f>
        <v>#REF!</v>
      </c>
      <c r="H43" s="283" t="e" cm="1">
        <f t="array" aca="1" ref="H43" ca="1">((VLOOKUP(B43,LOOKUP_AMI_TABLE,7,FALSE)/0.8)*INDIRECT("AMI_MAX_PCT_NY_"&amp;CONFIG_FHC_PROG_ID))</f>
        <v>#REF!</v>
      </c>
    </row>
    <row r="44" spans="1:8" s="36" customFormat="1" ht="20.100000000000001" customHeight="1" x14ac:dyDescent="0.25">
      <c r="A44" s="36" t="s">
        <v>2904</v>
      </c>
      <c r="B44" s="36" t="str">
        <f t="shared" si="0"/>
        <v>NY_ORLEANS</v>
      </c>
      <c r="D44" s="249" t="s">
        <v>1376</v>
      </c>
      <c r="E44" s="283" t="e" cm="1">
        <f t="array" aca="1" ref="E44" ca="1">((VLOOKUP(B44,LOOKUP_AMI_TABLE,5,FALSE)/0.8)*INDIRECT("AMI_MIN_PCT_NY_"&amp;CONFIG_FHC_PROG_ID))+0.01</f>
        <v>#REF!</v>
      </c>
      <c r="F44" s="283" t="e" cm="1">
        <f t="array" aca="1" ref="F44" ca="1">((VLOOKUP(B44,LOOKUP_AMI_TABLE,5,FALSE)/0.8)*INDIRECT("AMI_MAX_PCT_NY_"&amp;CONFIG_FHC_PROG_ID))</f>
        <v>#REF!</v>
      </c>
      <c r="G44" s="283" t="e" cm="1">
        <f t="array" aca="1" ref="G44" ca="1">((VLOOKUP(B44,LOOKUP_AMI_TABLE,7,FALSE)/0.8)*INDIRECT("AMI_MIN_PCT_NY_"&amp;CONFIG_FHC_PROG_ID))+0.01</f>
        <v>#REF!</v>
      </c>
      <c r="H44" s="283" t="e" cm="1">
        <f t="array" aca="1" ref="H44" ca="1">((VLOOKUP(B44,LOOKUP_AMI_TABLE,7,FALSE)/0.8)*INDIRECT("AMI_MAX_PCT_NY_"&amp;CONFIG_FHC_PROG_ID))</f>
        <v>#REF!</v>
      </c>
    </row>
    <row r="45" spans="1:8" s="36" customFormat="1" ht="20.100000000000001" customHeight="1" x14ac:dyDescent="0.25">
      <c r="A45" s="36" t="s">
        <v>2904</v>
      </c>
      <c r="B45" s="36" t="str">
        <f t="shared" si="0"/>
        <v>NY_OSWEGO</v>
      </c>
      <c r="D45" s="249" t="s">
        <v>1377</v>
      </c>
      <c r="E45" s="283" t="e" cm="1">
        <f t="array" aca="1" ref="E45" ca="1">((VLOOKUP(B45,LOOKUP_AMI_TABLE,5,FALSE)/0.8)*INDIRECT("AMI_MIN_PCT_NY_"&amp;CONFIG_FHC_PROG_ID))+0.01</f>
        <v>#REF!</v>
      </c>
      <c r="F45" s="283" t="e" cm="1">
        <f t="array" aca="1" ref="F45" ca="1">((VLOOKUP(B45,LOOKUP_AMI_TABLE,5,FALSE)/0.8)*INDIRECT("AMI_MAX_PCT_NY_"&amp;CONFIG_FHC_PROG_ID))</f>
        <v>#REF!</v>
      </c>
      <c r="G45" s="283" t="e" cm="1">
        <f t="array" aca="1" ref="G45" ca="1">((VLOOKUP(B45,LOOKUP_AMI_TABLE,7,FALSE)/0.8)*INDIRECT("AMI_MIN_PCT_NY_"&amp;CONFIG_FHC_PROG_ID))+0.01</f>
        <v>#REF!</v>
      </c>
      <c r="H45" s="283" t="e" cm="1">
        <f t="array" aca="1" ref="H45" ca="1">((VLOOKUP(B45,LOOKUP_AMI_TABLE,7,FALSE)/0.8)*INDIRECT("AMI_MAX_PCT_NY_"&amp;CONFIG_FHC_PROG_ID))</f>
        <v>#REF!</v>
      </c>
    </row>
    <row r="46" spans="1:8" s="36" customFormat="1" ht="20.100000000000001" customHeight="1" x14ac:dyDescent="0.25">
      <c r="A46" s="36" t="s">
        <v>2904</v>
      </c>
      <c r="B46" s="36" t="str">
        <f t="shared" si="0"/>
        <v>NY_OTSEGO</v>
      </c>
      <c r="D46" s="249" t="s">
        <v>1083</v>
      </c>
      <c r="E46" s="283" t="e" cm="1">
        <f t="array" aca="1" ref="E46" ca="1">((VLOOKUP(B46,LOOKUP_AMI_TABLE,5,FALSE)/0.8)*INDIRECT("AMI_MIN_PCT_NY_"&amp;CONFIG_FHC_PROG_ID))+0.01</f>
        <v>#REF!</v>
      </c>
      <c r="F46" s="283" t="e" cm="1">
        <f t="array" aca="1" ref="F46" ca="1">((VLOOKUP(B46,LOOKUP_AMI_TABLE,5,FALSE)/0.8)*INDIRECT("AMI_MAX_PCT_NY_"&amp;CONFIG_FHC_PROG_ID))</f>
        <v>#REF!</v>
      </c>
      <c r="G46" s="283" t="e" cm="1">
        <f t="array" aca="1" ref="G46" ca="1">((VLOOKUP(B46,LOOKUP_AMI_TABLE,7,FALSE)/0.8)*INDIRECT("AMI_MIN_PCT_NY_"&amp;CONFIG_FHC_PROG_ID))+0.01</f>
        <v>#REF!</v>
      </c>
      <c r="H46" s="283" t="e" cm="1">
        <f t="array" aca="1" ref="H46" ca="1">((VLOOKUP(B46,LOOKUP_AMI_TABLE,7,FALSE)/0.8)*INDIRECT("AMI_MAX_PCT_NY_"&amp;CONFIG_FHC_PROG_ID))</f>
        <v>#REF!</v>
      </c>
    </row>
    <row r="47" spans="1:8" s="36" customFormat="1" ht="20.100000000000001" customHeight="1" x14ac:dyDescent="0.25">
      <c r="A47" s="36" t="s">
        <v>2904</v>
      </c>
      <c r="B47" s="36" t="str">
        <f t="shared" si="0"/>
        <v>NY_PUTNAM</v>
      </c>
      <c r="D47" s="249" t="s">
        <v>511</v>
      </c>
      <c r="E47" s="283" t="e" cm="1">
        <f t="array" aca="1" ref="E47" ca="1">((VLOOKUP(B47,LOOKUP_AMI_TABLE,5,FALSE)/0.8)*INDIRECT("AMI_MIN_PCT_NY_"&amp;CONFIG_FHC_PROG_ID))+0.01</f>
        <v>#REF!</v>
      </c>
      <c r="F47" s="283" t="e" cm="1">
        <f t="array" aca="1" ref="F47" ca="1">((VLOOKUP(B47,LOOKUP_AMI_TABLE,5,FALSE)/0.8)*INDIRECT("AMI_MAX_PCT_NY_"&amp;CONFIG_FHC_PROG_ID))</f>
        <v>#REF!</v>
      </c>
      <c r="G47" s="283" t="e" cm="1">
        <f t="array" aca="1" ref="G47" ca="1">((VLOOKUP(B47,LOOKUP_AMI_TABLE,7,FALSE)/0.8)*INDIRECT("AMI_MIN_PCT_NY_"&amp;CONFIG_FHC_PROG_ID))+0.01</f>
        <v>#REF!</v>
      </c>
      <c r="H47" s="283" t="e" cm="1">
        <f t="array" aca="1" ref="H47" ca="1">((VLOOKUP(B47,LOOKUP_AMI_TABLE,7,FALSE)/0.8)*INDIRECT("AMI_MAX_PCT_NY_"&amp;CONFIG_FHC_PROG_ID))</f>
        <v>#REF!</v>
      </c>
    </row>
    <row r="48" spans="1:8" s="36" customFormat="1" ht="20.100000000000001" customHeight="1" x14ac:dyDescent="0.25">
      <c r="A48" s="36" t="s">
        <v>2904</v>
      </c>
      <c r="B48" s="36" t="str">
        <f t="shared" si="0"/>
        <v>NY_QUEENS</v>
      </c>
      <c r="D48" s="249" t="s">
        <v>1378</v>
      </c>
      <c r="E48" s="283" t="e" cm="1">
        <f t="array" aca="1" ref="E48" ca="1">((VLOOKUP(B48,LOOKUP_AMI_TABLE,5,FALSE)/0.8)*INDIRECT("AMI_MIN_PCT_NY_"&amp;CONFIG_FHC_PROG_ID))+0.01</f>
        <v>#REF!</v>
      </c>
      <c r="F48" s="283" t="e" cm="1">
        <f t="array" aca="1" ref="F48" ca="1">((VLOOKUP(B48,LOOKUP_AMI_TABLE,5,FALSE)/0.8)*INDIRECT("AMI_MAX_PCT_NY_"&amp;CONFIG_FHC_PROG_ID))</f>
        <v>#REF!</v>
      </c>
      <c r="G48" s="283" t="e" cm="1">
        <f t="array" aca="1" ref="G48" ca="1">((VLOOKUP(B48,LOOKUP_AMI_TABLE,7,FALSE)/0.8)*INDIRECT("AMI_MIN_PCT_NY_"&amp;CONFIG_FHC_PROG_ID))+0.01</f>
        <v>#REF!</v>
      </c>
      <c r="H48" s="283" t="e" cm="1">
        <f t="array" aca="1" ref="H48" ca="1">((VLOOKUP(B48,LOOKUP_AMI_TABLE,7,FALSE)/0.8)*INDIRECT("AMI_MAX_PCT_NY_"&amp;CONFIG_FHC_PROG_ID))</f>
        <v>#REF!</v>
      </c>
    </row>
    <row r="49" spans="1:8" s="36" customFormat="1" ht="20.100000000000001" customHeight="1" x14ac:dyDescent="0.25">
      <c r="A49" s="36" t="s">
        <v>2904</v>
      </c>
      <c r="B49" s="36" t="str">
        <f t="shared" si="0"/>
        <v>NY_RENSSELAER</v>
      </c>
      <c r="D49" s="249" t="s">
        <v>1379</v>
      </c>
      <c r="E49" s="283" t="e" cm="1">
        <f t="array" aca="1" ref="E49" ca="1">((VLOOKUP(B49,LOOKUP_AMI_TABLE,5,FALSE)/0.8)*INDIRECT("AMI_MIN_PCT_NY_"&amp;CONFIG_FHC_PROG_ID))+0.01</f>
        <v>#REF!</v>
      </c>
      <c r="F49" s="283" t="e" cm="1">
        <f t="array" aca="1" ref="F49" ca="1">((VLOOKUP(B49,LOOKUP_AMI_TABLE,5,FALSE)/0.8)*INDIRECT("AMI_MAX_PCT_NY_"&amp;CONFIG_FHC_PROG_ID))</f>
        <v>#REF!</v>
      </c>
      <c r="G49" s="283" t="e" cm="1">
        <f t="array" aca="1" ref="G49" ca="1">((VLOOKUP(B49,LOOKUP_AMI_TABLE,7,FALSE)/0.8)*INDIRECT("AMI_MIN_PCT_NY_"&amp;CONFIG_FHC_PROG_ID))+0.01</f>
        <v>#REF!</v>
      </c>
      <c r="H49" s="283" t="e" cm="1">
        <f t="array" aca="1" ref="H49" ca="1">((VLOOKUP(B49,LOOKUP_AMI_TABLE,7,FALSE)/0.8)*INDIRECT("AMI_MAX_PCT_NY_"&amp;CONFIG_FHC_PROG_ID))</f>
        <v>#REF!</v>
      </c>
    </row>
    <row r="50" spans="1:8" s="36" customFormat="1" ht="20.100000000000001" customHeight="1" x14ac:dyDescent="0.25">
      <c r="A50" s="36" t="s">
        <v>2904</v>
      </c>
      <c r="B50" s="36" t="str">
        <f t="shared" si="0"/>
        <v>NY_RICHMOND</v>
      </c>
      <c r="D50" s="249" t="s">
        <v>600</v>
      </c>
      <c r="E50" s="283" t="e" cm="1">
        <f t="array" aca="1" ref="E50" ca="1">((VLOOKUP(B50,LOOKUP_AMI_TABLE,5,FALSE)/0.8)*INDIRECT("AMI_MIN_PCT_NY_"&amp;CONFIG_FHC_PROG_ID))+0.01</f>
        <v>#REF!</v>
      </c>
      <c r="F50" s="283" t="e" cm="1">
        <f t="array" aca="1" ref="F50" ca="1">((VLOOKUP(B50,LOOKUP_AMI_TABLE,5,FALSE)/0.8)*INDIRECT("AMI_MAX_PCT_NY_"&amp;CONFIG_FHC_PROG_ID))</f>
        <v>#REF!</v>
      </c>
      <c r="G50" s="283" t="e" cm="1">
        <f t="array" aca="1" ref="G50" ca="1">((VLOOKUP(B50,LOOKUP_AMI_TABLE,7,FALSE)/0.8)*INDIRECT("AMI_MIN_PCT_NY_"&amp;CONFIG_FHC_PROG_ID))+0.01</f>
        <v>#REF!</v>
      </c>
      <c r="H50" s="283" t="e" cm="1">
        <f t="array" aca="1" ref="H50" ca="1">((VLOOKUP(B50,LOOKUP_AMI_TABLE,7,FALSE)/0.8)*INDIRECT("AMI_MAX_PCT_NY_"&amp;CONFIG_FHC_PROG_ID))</f>
        <v>#REF!</v>
      </c>
    </row>
    <row r="51" spans="1:8" s="36" customFormat="1" ht="20.100000000000001" customHeight="1" x14ac:dyDescent="0.25">
      <c r="A51" s="36" t="s">
        <v>2904</v>
      </c>
      <c r="B51" s="36" t="str">
        <f t="shared" si="0"/>
        <v>NY_ROCKLAND</v>
      </c>
      <c r="D51" s="249" t="s">
        <v>1380</v>
      </c>
      <c r="E51" s="283" t="e" cm="1">
        <f t="array" aca="1" ref="E51" ca="1">((VLOOKUP(B51,LOOKUP_AMI_TABLE,5,FALSE)/0.8)*INDIRECT("AMI_MIN_PCT_NY_"&amp;CONFIG_FHC_PROG_ID))+0.01</f>
        <v>#REF!</v>
      </c>
      <c r="F51" s="283" t="e" cm="1">
        <f t="array" aca="1" ref="F51" ca="1">((VLOOKUP(B51,LOOKUP_AMI_TABLE,5,FALSE)/0.8)*INDIRECT("AMI_MAX_PCT_NY_"&amp;CONFIG_FHC_PROG_ID))</f>
        <v>#REF!</v>
      </c>
      <c r="G51" s="283" t="e" cm="1">
        <f t="array" aca="1" ref="G51" ca="1">((VLOOKUP(B51,LOOKUP_AMI_TABLE,7,FALSE)/0.8)*INDIRECT("AMI_MIN_PCT_NY_"&amp;CONFIG_FHC_PROG_ID))+0.01</f>
        <v>#REF!</v>
      </c>
      <c r="H51" s="283" t="e" cm="1">
        <f t="array" aca="1" ref="H51" ca="1">((VLOOKUP(B51,LOOKUP_AMI_TABLE,7,FALSE)/0.8)*INDIRECT("AMI_MAX_PCT_NY_"&amp;CONFIG_FHC_PROG_ID))</f>
        <v>#REF!</v>
      </c>
    </row>
    <row r="52" spans="1:8" s="36" customFormat="1" ht="20.100000000000001" customHeight="1" x14ac:dyDescent="0.25">
      <c r="A52" s="36" t="s">
        <v>2904</v>
      </c>
      <c r="B52" s="36" t="str">
        <f t="shared" si="0"/>
        <v>NY_SARATOGA</v>
      </c>
      <c r="D52" s="249" t="s">
        <v>1382</v>
      </c>
      <c r="E52" s="283" t="e" cm="1">
        <f t="array" aca="1" ref="E52" ca="1">((VLOOKUP(B52,LOOKUP_AMI_TABLE,5,FALSE)/0.8)*INDIRECT("AMI_MIN_PCT_NY_"&amp;CONFIG_FHC_PROG_ID))+0.01</f>
        <v>#REF!</v>
      </c>
      <c r="F52" s="283" t="e" cm="1">
        <f t="array" aca="1" ref="F52" ca="1">((VLOOKUP(B52,LOOKUP_AMI_TABLE,5,FALSE)/0.8)*INDIRECT("AMI_MAX_PCT_NY_"&amp;CONFIG_FHC_PROG_ID))</f>
        <v>#REF!</v>
      </c>
      <c r="G52" s="283" t="e" cm="1">
        <f t="array" aca="1" ref="G52" ca="1">((VLOOKUP(B52,LOOKUP_AMI_TABLE,7,FALSE)/0.8)*INDIRECT("AMI_MIN_PCT_NY_"&amp;CONFIG_FHC_PROG_ID))+0.01</f>
        <v>#REF!</v>
      </c>
      <c r="H52" s="283" t="e" cm="1">
        <f t="array" aca="1" ref="H52" ca="1">((VLOOKUP(B52,LOOKUP_AMI_TABLE,7,FALSE)/0.8)*INDIRECT("AMI_MAX_PCT_NY_"&amp;CONFIG_FHC_PROG_ID))</f>
        <v>#REF!</v>
      </c>
    </row>
    <row r="53" spans="1:8" s="36" customFormat="1" ht="20.100000000000001" customHeight="1" x14ac:dyDescent="0.25">
      <c r="A53" s="36" t="s">
        <v>2904</v>
      </c>
      <c r="B53" s="36" t="str">
        <f t="shared" si="0"/>
        <v>NY_SCHENECTADY</v>
      </c>
      <c r="D53" s="249" t="s">
        <v>1383</v>
      </c>
      <c r="E53" s="283" t="e" cm="1">
        <f t="array" aca="1" ref="E53" ca="1">((VLOOKUP(B53,LOOKUP_AMI_TABLE,5,FALSE)/0.8)*INDIRECT("AMI_MIN_PCT_NY_"&amp;CONFIG_FHC_PROG_ID))+0.01</f>
        <v>#REF!</v>
      </c>
      <c r="F53" s="283" t="e" cm="1">
        <f t="array" aca="1" ref="F53" ca="1">((VLOOKUP(B53,LOOKUP_AMI_TABLE,5,FALSE)/0.8)*INDIRECT("AMI_MAX_PCT_NY_"&amp;CONFIG_FHC_PROG_ID))</f>
        <v>#REF!</v>
      </c>
      <c r="G53" s="283" t="e" cm="1">
        <f t="array" aca="1" ref="G53" ca="1">((VLOOKUP(B53,LOOKUP_AMI_TABLE,7,FALSE)/0.8)*INDIRECT("AMI_MIN_PCT_NY_"&amp;CONFIG_FHC_PROG_ID))+0.01</f>
        <v>#REF!</v>
      </c>
      <c r="H53" s="283" t="e" cm="1">
        <f t="array" aca="1" ref="H53" ca="1">((VLOOKUP(B53,LOOKUP_AMI_TABLE,7,FALSE)/0.8)*INDIRECT("AMI_MAX_PCT_NY_"&amp;CONFIG_FHC_PROG_ID))</f>
        <v>#REF!</v>
      </c>
    </row>
    <row r="54" spans="1:8" s="36" customFormat="1" ht="20.100000000000001" customHeight="1" x14ac:dyDescent="0.25">
      <c r="A54" s="36" t="s">
        <v>2904</v>
      </c>
      <c r="B54" s="36" t="str">
        <f t="shared" si="0"/>
        <v>NY_SCHOHARIE</v>
      </c>
      <c r="D54" s="249" t="s">
        <v>1384</v>
      </c>
      <c r="E54" s="283" t="e" cm="1">
        <f t="array" aca="1" ref="E54" ca="1">((VLOOKUP(B54,LOOKUP_AMI_TABLE,5,FALSE)/0.8)*INDIRECT("AMI_MIN_PCT_NY_"&amp;CONFIG_FHC_PROG_ID))+0.01</f>
        <v>#REF!</v>
      </c>
      <c r="F54" s="283" t="e" cm="1">
        <f t="array" aca="1" ref="F54" ca="1">((VLOOKUP(B54,LOOKUP_AMI_TABLE,5,FALSE)/0.8)*INDIRECT("AMI_MAX_PCT_NY_"&amp;CONFIG_FHC_PROG_ID))</f>
        <v>#REF!</v>
      </c>
      <c r="G54" s="283" t="e" cm="1">
        <f t="array" aca="1" ref="G54" ca="1">((VLOOKUP(B54,LOOKUP_AMI_TABLE,7,FALSE)/0.8)*INDIRECT("AMI_MIN_PCT_NY_"&amp;CONFIG_FHC_PROG_ID))+0.01</f>
        <v>#REF!</v>
      </c>
      <c r="H54" s="283" t="e" cm="1">
        <f t="array" aca="1" ref="H54" ca="1">((VLOOKUP(B54,LOOKUP_AMI_TABLE,7,FALSE)/0.8)*INDIRECT("AMI_MAX_PCT_NY_"&amp;CONFIG_FHC_PROG_ID))</f>
        <v>#REF!</v>
      </c>
    </row>
    <row r="55" spans="1:8" s="36" customFormat="1" ht="20.100000000000001" customHeight="1" x14ac:dyDescent="0.25">
      <c r="A55" s="36" t="s">
        <v>2904</v>
      </c>
      <c r="B55" s="36" t="str">
        <f t="shared" si="0"/>
        <v>NY_SCHUYLER</v>
      </c>
      <c r="D55" s="249" t="s">
        <v>711</v>
      </c>
      <c r="E55" s="283" t="e" cm="1">
        <f t="array" aca="1" ref="E55" ca="1">((VLOOKUP(B55,LOOKUP_AMI_TABLE,5,FALSE)/0.8)*INDIRECT("AMI_MIN_PCT_NY_"&amp;CONFIG_FHC_PROG_ID))+0.01</f>
        <v>#REF!</v>
      </c>
      <c r="F55" s="283" t="e" cm="1">
        <f t="array" aca="1" ref="F55" ca="1">((VLOOKUP(B55,LOOKUP_AMI_TABLE,5,FALSE)/0.8)*INDIRECT("AMI_MAX_PCT_NY_"&amp;CONFIG_FHC_PROG_ID))</f>
        <v>#REF!</v>
      </c>
      <c r="G55" s="283" t="e" cm="1">
        <f t="array" aca="1" ref="G55" ca="1">((VLOOKUP(B55,LOOKUP_AMI_TABLE,7,FALSE)/0.8)*INDIRECT("AMI_MIN_PCT_NY_"&amp;CONFIG_FHC_PROG_ID))+0.01</f>
        <v>#REF!</v>
      </c>
      <c r="H55" s="283" t="e" cm="1">
        <f t="array" aca="1" ref="H55" ca="1">((VLOOKUP(B55,LOOKUP_AMI_TABLE,7,FALSE)/0.8)*INDIRECT("AMI_MAX_PCT_NY_"&amp;CONFIG_FHC_PROG_ID))</f>
        <v>#REF!</v>
      </c>
    </row>
    <row r="56" spans="1:8" s="36" customFormat="1" ht="20.100000000000001" customHeight="1" x14ac:dyDescent="0.25">
      <c r="A56" s="36" t="s">
        <v>2904</v>
      </c>
      <c r="B56" s="36" t="str">
        <f t="shared" si="0"/>
        <v>NY_SENECA</v>
      </c>
      <c r="D56" s="249" t="s">
        <v>1385</v>
      </c>
      <c r="E56" s="283" t="e" cm="1">
        <f t="array" aca="1" ref="E56" ca="1">((VLOOKUP(B56,LOOKUP_AMI_TABLE,5,FALSE)/0.8)*INDIRECT("AMI_MIN_PCT_NY_"&amp;CONFIG_FHC_PROG_ID))+0.01</f>
        <v>#REF!</v>
      </c>
      <c r="F56" s="283" t="e" cm="1">
        <f t="array" aca="1" ref="F56" ca="1">((VLOOKUP(B56,LOOKUP_AMI_TABLE,5,FALSE)/0.8)*INDIRECT("AMI_MAX_PCT_NY_"&amp;CONFIG_FHC_PROG_ID))</f>
        <v>#REF!</v>
      </c>
      <c r="G56" s="283" t="e" cm="1">
        <f t="array" aca="1" ref="G56" ca="1">((VLOOKUP(B56,LOOKUP_AMI_TABLE,7,FALSE)/0.8)*INDIRECT("AMI_MIN_PCT_NY_"&amp;CONFIG_FHC_PROG_ID))+0.01</f>
        <v>#REF!</v>
      </c>
      <c r="H56" s="283" t="e" cm="1">
        <f t="array" aca="1" ref="H56" ca="1">((VLOOKUP(B56,LOOKUP_AMI_TABLE,7,FALSE)/0.8)*INDIRECT("AMI_MAX_PCT_NY_"&amp;CONFIG_FHC_PROG_ID))</f>
        <v>#REF!</v>
      </c>
    </row>
    <row r="57" spans="1:8" s="36" customFormat="1" ht="20.100000000000001" customHeight="1" x14ac:dyDescent="0.25">
      <c r="A57" s="36" t="s">
        <v>2904</v>
      </c>
      <c r="B57" s="36" t="str">
        <f t="shared" si="0"/>
        <v>NY_ST. LAWRENCE</v>
      </c>
      <c r="D57" s="249" t="s">
        <v>1381</v>
      </c>
      <c r="E57" s="283" t="e" cm="1">
        <f t="array" aca="1" ref="E57" ca="1">((VLOOKUP(B57,LOOKUP_AMI_TABLE,5,FALSE)/0.8)*INDIRECT("AMI_MIN_PCT_NY_"&amp;CONFIG_FHC_PROG_ID))+0.01</f>
        <v>#REF!</v>
      </c>
      <c r="F57" s="283" t="e" cm="1">
        <f t="array" aca="1" ref="F57" ca="1">((VLOOKUP(B57,LOOKUP_AMI_TABLE,5,FALSE)/0.8)*INDIRECT("AMI_MAX_PCT_NY_"&amp;CONFIG_FHC_PROG_ID))</f>
        <v>#REF!</v>
      </c>
      <c r="G57" s="283" t="e" cm="1">
        <f t="array" aca="1" ref="G57" ca="1">((VLOOKUP(B57,LOOKUP_AMI_TABLE,7,FALSE)/0.8)*INDIRECT("AMI_MIN_PCT_NY_"&amp;CONFIG_FHC_PROG_ID))+0.01</f>
        <v>#REF!</v>
      </c>
      <c r="H57" s="283" t="e" cm="1">
        <f t="array" aca="1" ref="H57" ca="1">((VLOOKUP(B57,LOOKUP_AMI_TABLE,7,FALSE)/0.8)*INDIRECT("AMI_MAX_PCT_NY_"&amp;CONFIG_FHC_PROG_ID))</f>
        <v>#REF!</v>
      </c>
    </row>
    <row r="58" spans="1:8" s="36" customFormat="1" ht="20.100000000000001" customHeight="1" x14ac:dyDescent="0.25">
      <c r="A58" s="36" t="s">
        <v>2904</v>
      </c>
      <c r="B58" s="36" t="str">
        <f t="shared" si="0"/>
        <v>NY_STEUBEN</v>
      </c>
      <c r="D58" s="249" t="s">
        <v>752</v>
      </c>
      <c r="E58" s="283" t="e" cm="1">
        <f t="array" aca="1" ref="E58" ca="1">((VLOOKUP(B58,LOOKUP_AMI_TABLE,5,FALSE)/0.8)*INDIRECT("AMI_MIN_PCT_NY_"&amp;CONFIG_FHC_PROG_ID))+0.01</f>
        <v>#REF!</v>
      </c>
      <c r="F58" s="283" t="e" cm="1">
        <f t="array" aca="1" ref="F58" ca="1">((VLOOKUP(B58,LOOKUP_AMI_TABLE,5,FALSE)/0.8)*INDIRECT("AMI_MAX_PCT_NY_"&amp;CONFIG_FHC_PROG_ID))</f>
        <v>#REF!</v>
      </c>
      <c r="G58" s="283" t="e" cm="1">
        <f t="array" aca="1" ref="G58" ca="1">((VLOOKUP(B58,LOOKUP_AMI_TABLE,7,FALSE)/0.8)*INDIRECT("AMI_MIN_PCT_NY_"&amp;CONFIG_FHC_PROG_ID))+0.01</f>
        <v>#REF!</v>
      </c>
      <c r="H58" s="283" t="e" cm="1">
        <f t="array" aca="1" ref="H58" ca="1">((VLOOKUP(B58,LOOKUP_AMI_TABLE,7,FALSE)/0.8)*INDIRECT("AMI_MAX_PCT_NY_"&amp;CONFIG_FHC_PROG_ID))</f>
        <v>#REF!</v>
      </c>
    </row>
    <row r="59" spans="1:8" s="36" customFormat="1" ht="20.100000000000001" customHeight="1" x14ac:dyDescent="0.25">
      <c r="A59" s="36" t="s">
        <v>2904</v>
      </c>
      <c r="B59" s="36" t="str">
        <f t="shared" si="0"/>
        <v>NY_SUFFOLK</v>
      </c>
      <c r="D59" s="249" t="s">
        <v>1030</v>
      </c>
      <c r="E59" s="283" t="e" cm="1">
        <f t="array" aca="1" ref="E59" ca="1">((VLOOKUP(B59,LOOKUP_AMI_TABLE,5,FALSE)/0.8)*INDIRECT("AMI_MIN_PCT_NY_"&amp;CONFIG_FHC_PROG_ID))+0.01</f>
        <v>#REF!</v>
      </c>
      <c r="F59" s="283" t="e" cm="1">
        <f t="array" aca="1" ref="F59" ca="1">((VLOOKUP(B59,LOOKUP_AMI_TABLE,5,FALSE)/0.8)*INDIRECT("AMI_MAX_PCT_NY_"&amp;CONFIG_FHC_PROG_ID))</f>
        <v>#REF!</v>
      </c>
      <c r="G59" s="283" t="e" cm="1">
        <f t="array" aca="1" ref="G59" ca="1">((VLOOKUP(B59,LOOKUP_AMI_TABLE,7,FALSE)/0.8)*INDIRECT("AMI_MIN_PCT_NY_"&amp;CONFIG_FHC_PROG_ID))+0.01</f>
        <v>#REF!</v>
      </c>
      <c r="H59" s="283" t="e" cm="1">
        <f t="array" aca="1" ref="H59" ca="1">((VLOOKUP(B59,LOOKUP_AMI_TABLE,7,FALSE)/0.8)*INDIRECT("AMI_MAX_PCT_NY_"&amp;CONFIG_FHC_PROG_ID))</f>
        <v>#REF!</v>
      </c>
    </row>
    <row r="60" spans="1:8" s="36" customFormat="1" ht="20.100000000000001" customHeight="1" x14ac:dyDescent="0.25">
      <c r="A60" s="36" t="s">
        <v>2904</v>
      </c>
      <c r="B60" s="36" t="str">
        <f t="shared" si="0"/>
        <v>NY_SULLIVAN</v>
      </c>
      <c r="D60" s="249" t="s">
        <v>753</v>
      </c>
      <c r="E60" s="283" t="e" cm="1">
        <f t="array" aca="1" ref="E60" ca="1">((VLOOKUP(B60,LOOKUP_AMI_TABLE,5,FALSE)/0.8)*INDIRECT("AMI_MIN_PCT_NY_"&amp;CONFIG_FHC_PROG_ID))+0.01</f>
        <v>#REF!</v>
      </c>
      <c r="F60" s="283" t="e" cm="1">
        <f t="array" aca="1" ref="F60" ca="1">((VLOOKUP(B60,LOOKUP_AMI_TABLE,5,FALSE)/0.8)*INDIRECT("AMI_MAX_PCT_NY_"&amp;CONFIG_FHC_PROG_ID))</f>
        <v>#REF!</v>
      </c>
      <c r="G60" s="283" t="e" cm="1">
        <f t="array" aca="1" ref="G60" ca="1">((VLOOKUP(B60,LOOKUP_AMI_TABLE,7,FALSE)/0.8)*INDIRECT("AMI_MIN_PCT_NY_"&amp;CONFIG_FHC_PROG_ID))+0.01</f>
        <v>#REF!</v>
      </c>
      <c r="H60" s="283" t="e" cm="1">
        <f t="array" aca="1" ref="H60" ca="1">((VLOOKUP(B60,LOOKUP_AMI_TABLE,7,FALSE)/0.8)*INDIRECT("AMI_MAX_PCT_NY_"&amp;CONFIG_FHC_PROG_ID))</f>
        <v>#REF!</v>
      </c>
    </row>
    <row r="61" spans="1:8" s="36" customFormat="1" ht="20.100000000000001" customHeight="1" x14ac:dyDescent="0.25">
      <c r="A61" s="36" t="s">
        <v>2904</v>
      </c>
      <c r="B61" s="36" t="str">
        <f t="shared" si="0"/>
        <v>NY_TIOGA</v>
      </c>
      <c r="D61" s="249" t="s">
        <v>1386</v>
      </c>
      <c r="E61" s="283" t="e" cm="1">
        <f t="array" aca="1" ref="E61" ca="1">((VLOOKUP(B61,LOOKUP_AMI_TABLE,5,FALSE)/0.8)*INDIRECT("AMI_MIN_PCT_NY_"&amp;CONFIG_FHC_PROG_ID))+0.01</f>
        <v>#REF!</v>
      </c>
      <c r="F61" s="283" t="e" cm="1">
        <f t="array" aca="1" ref="F61" ca="1">((VLOOKUP(B61,LOOKUP_AMI_TABLE,5,FALSE)/0.8)*INDIRECT("AMI_MAX_PCT_NY_"&amp;CONFIG_FHC_PROG_ID))</f>
        <v>#REF!</v>
      </c>
      <c r="G61" s="283" t="e" cm="1">
        <f t="array" aca="1" ref="G61" ca="1">((VLOOKUP(B61,LOOKUP_AMI_TABLE,7,FALSE)/0.8)*INDIRECT("AMI_MIN_PCT_NY_"&amp;CONFIG_FHC_PROG_ID))+0.01</f>
        <v>#REF!</v>
      </c>
      <c r="H61" s="283" t="e" cm="1">
        <f t="array" aca="1" ref="H61" ca="1">((VLOOKUP(B61,LOOKUP_AMI_TABLE,7,FALSE)/0.8)*INDIRECT("AMI_MAX_PCT_NY_"&amp;CONFIG_FHC_PROG_ID))</f>
        <v>#REF!</v>
      </c>
    </row>
    <row r="62" spans="1:8" s="36" customFormat="1" ht="20.100000000000001" customHeight="1" x14ac:dyDescent="0.25">
      <c r="A62" s="36" t="s">
        <v>2904</v>
      </c>
      <c r="B62" s="36" t="str">
        <f t="shared" si="0"/>
        <v>NY_TOMPKINS</v>
      </c>
      <c r="D62" s="249" t="s">
        <v>1387</v>
      </c>
      <c r="E62" s="283" t="e" cm="1">
        <f t="array" aca="1" ref="E62" ca="1">((VLOOKUP(B62,LOOKUP_AMI_TABLE,5,FALSE)/0.8)*INDIRECT("AMI_MIN_PCT_NY_"&amp;CONFIG_FHC_PROG_ID))+0.01</f>
        <v>#REF!</v>
      </c>
      <c r="F62" s="283" t="e" cm="1">
        <f t="array" aca="1" ref="F62" ca="1">((VLOOKUP(B62,LOOKUP_AMI_TABLE,5,FALSE)/0.8)*INDIRECT("AMI_MAX_PCT_NY_"&amp;CONFIG_FHC_PROG_ID))</f>
        <v>#REF!</v>
      </c>
      <c r="G62" s="283" t="e" cm="1">
        <f t="array" aca="1" ref="G62" ca="1">((VLOOKUP(B62,LOOKUP_AMI_TABLE,7,FALSE)/0.8)*INDIRECT("AMI_MIN_PCT_NY_"&amp;CONFIG_FHC_PROG_ID))+0.01</f>
        <v>#REF!</v>
      </c>
      <c r="H62" s="283" t="e" cm="1">
        <f t="array" aca="1" ref="H62" ca="1">((VLOOKUP(B62,LOOKUP_AMI_TABLE,7,FALSE)/0.8)*INDIRECT("AMI_MAX_PCT_NY_"&amp;CONFIG_FHC_PROG_ID))</f>
        <v>#REF!</v>
      </c>
    </row>
    <row r="63" spans="1:8" s="36" customFormat="1" ht="20.100000000000001" customHeight="1" x14ac:dyDescent="0.25">
      <c r="A63" s="36" t="s">
        <v>2904</v>
      </c>
      <c r="B63" s="36" t="str">
        <f t="shared" si="0"/>
        <v>NY_ULSTER</v>
      </c>
      <c r="D63" s="249" t="s">
        <v>1388</v>
      </c>
      <c r="E63" s="283" t="e" cm="1">
        <f t="array" aca="1" ref="E63" ca="1">((VLOOKUP(B63,LOOKUP_AMI_TABLE,5,FALSE)/0.8)*INDIRECT("AMI_MIN_PCT_NY_"&amp;CONFIG_FHC_PROG_ID))+0.01</f>
        <v>#REF!</v>
      </c>
      <c r="F63" s="283" t="e" cm="1">
        <f t="array" aca="1" ref="F63" ca="1">((VLOOKUP(B63,LOOKUP_AMI_TABLE,5,FALSE)/0.8)*INDIRECT("AMI_MAX_PCT_NY_"&amp;CONFIG_FHC_PROG_ID))</f>
        <v>#REF!</v>
      </c>
      <c r="G63" s="283" t="e" cm="1">
        <f t="array" aca="1" ref="G63" ca="1">((VLOOKUP(B63,LOOKUP_AMI_TABLE,7,FALSE)/0.8)*INDIRECT("AMI_MIN_PCT_NY_"&amp;CONFIG_FHC_PROG_ID))+0.01</f>
        <v>#REF!</v>
      </c>
      <c r="H63" s="283" t="e" cm="1">
        <f t="array" aca="1" ref="H63" ca="1">((VLOOKUP(B63,LOOKUP_AMI_TABLE,7,FALSE)/0.8)*INDIRECT("AMI_MAX_PCT_NY_"&amp;CONFIG_FHC_PROG_ID))</f>
        <v>#REF!</v>
      </c>
    </row>
    <row r="64" spans="1:8" s="36" customFormat="1" ht="20.100000000000001" customHeight="1" x14ac:dyDescent="0.25">
      <c r="A64" s="36" t="s">
        <v>2904</v>
      </c>
      <c r="B64" s="36" t="str">
        <f t="shared" si="0"/>
        <v>NY_WARREN</v>
      </c>
      <c r="D64" s="249" t="s">
        <v>622</v>
      </c>
      <c r="E64" s="283" t="e" cm="1">
        <f t="array" aca="1" ref="E64" ca="1">((VLOOKUP(B64,LOOKUP_AMI_TABLE,5,FALSE)/0.8)*INDIRECT("AMI_MIN_PCT_NY_"&amp;CONFIG_FHC_PROG_ID))+0.01</f>
        <v>#REF!</v>
      </c>
      <c r="F64" s="283" t="e" cm="1">
        <f t="array" aca="1" ref="F64" ca="1">((VLOOKUP(B64,LOOKUP_AMI_TABLE,5,FALSE)/0.8)*INDIRECT("AMI_MAX_PCT_NY_"&amp;CONFIG_FHC_PROG_ID))</f>
        <v>#REF!</v>
      </c>
      <c r="G64" s="283" t="e" cm="1">
        <f t="array" aca="1" ref="G64" ca="1">((VLOOKUP(B64,LOOKUP_AMI_TABLE,7,FALSE)/0.8)*INDIRECT("AMI_MIN_PCT_NY_"&amp;CONFIG_FHC_PROG_ID))+0.01</f>
        <v>#REF!</v>
      </c>
      <c r="H64" s="283" t="e" cm="1">
        <f t="array" aca="1" ref="H64" ca="1">((VLOOKUP(B64,LOOKUP_AMI_TABLE,7,FALSE)/0.8)*INDIRECT("AMI_MAX_PCT_NY_"&amp;CONFIG_FHC_PROG_ID))</f>
        <v>#REF!</v>
      </c>
    </row>
    <row r="65" spans="1:8" s="36" customFormat="1" ht="20.100000000000001" customHeight="1" x14ac:dyDescent="0.25">
      <c r="A65" s="36" t="s">
        <v>2904</v>
      </c>
      <c r="B65" s="36" t="str">
        <f t="shared" si="0"/>
        <v>NY_WASHINGTON</v>
      </c>
      <c r="D65" s="249" t="s">
        <v>258</v>
      </c>
      <c r="E65" s="283" t="e" cm="1">
        <f t="array" aca="1" ref="E65" ca="1">((VLOOKUP(B65,LOOKUP_AMI_TABLE,5,FALSE)/0.8)*INDIRECT("AMI_MIN_PCT_NY_"&amp;CONFIG_FHC_PROG_ID))+0.01</f>
        <v>#REF!</v>
      </c>
      <c r="F65" s="283" t="e" cm="1">
        <f t="array" aca="1" ref="F65" ca="1">((VLOOKUP(B65,LOOKUP_AMI_TABLE,5,FALSE)/0.8)*INDIRECT("AMI_MAX_PCT_NY_"&amp;CONFIG_FHC_PROG_ID))</f>
        <v>#REF!</v>
      </c>
      <c r="G65" s="283" t="e" cm="1">
        <f t="array" aca="1" ref="G65" ca="1">((VLOOKUP(B65,LOOKUP_AMI_TABLE,7,FALSE)/0.8)*INDIRECT("AMI_MIN_PCT_NY_"&amp;CONFIG_FHC_PROG_ID))+0.01</f>
        <v>#REF!</v>
      </c>
      <c r="H65" s="283" t="e" cm="1">
        <f t="array" aca="1" ref="H65" ca="1">((VLOOKUP(B65,LOOKUP_AMI_TABLE,7,FALSE)/0.8)*INDIRECT("AMI_MAX_PCT_NY_"&amp;CONFIG_FHC_PROG_ID))</f>
        <v>#REF!</v>
      </c>
    </row>
    <row r="66" spans="1:8" s="36" customFormat="1" ht="20.100000000000001" customHeight="1" x14ac:dyDescent="0.25">
      <c r="A66" s="36" t="s">
        <v>2904</v>
      </c>
      <c r="B66" s="36" t="str">
        <f t="shared" si="0"/>
        <v>NY_WAYNE</v>
      </c>
      <c r="D66" s="249" t="s">
        <v>623</v>
      </c>
      <c r="E66" s="283" t="e" cm="1">
        <f t="array" aca="1" ref="E66" ca="1">((VLOOKUP(B66,LOOKUP_AMI_TABLE,5,FALSE)/0.8)*INDIRECT("AMI_MIN_PCT_NY_"&amp;CONFIG_FHC_PROG_ID))+0.01</f>
        <v>#REF!</v>
      </c>
      <c r="F66" s="283" t="e" cm="1">
        <f t="array" aca="1" ref="F66" ca="1">((VLOOKUP(B66,LOOKUP_AMI_TABLE,5,FALSE)/0.8)*INDIRECT("AMI_MAX_PCT_NY_"&amp;CONFIG_FHC_PROG_ID))</f>
        <v>#REF!</v>
      </c>
      <c r="G66" s="283" t="e" cm="1">
        <f t="array" aca="1" ref="G66" ca="1">((VLOOKUP(B66,LOOKUP_AMI_TABLE,7,FALSE)/0.8)*INDIRECT("AMI_MIN_PCT_NY_"&amp;CONFIG_FHC_PROG_ID))+0.01</f>
        <v>#REF!</v>
      </c>
      <c r="H66" s="283" t="e" cm="1">
        <f t="array" aca="1" ref="H66" ca="1">((VLOOKUP(B66,LOOKUP_AMI_TABLE,7,FALSE)/0.8)*INDIRECT("AMI_MAX_PCT_NY_"&amp;CONFIG_FHC_PROG_ID))</f>
        <v>#REF!</v>
      </c>
    </row>
    <row r="67" spans="1:8" s="36" customFormat="1" ht="20.100000000000001" customHeight="1" x14ac:dyDescent="0.25">
      <c r="A67" s="36" t="s">
        <v>2904</v>
      </c>
      <c r="B67" s="36" t="str">
        <f t="shared" si="0"/>
        <v>NY_WESTCHESTER</v>
      </c>
      <c r="D67" s="249" t="s">
        <v>1389</v>
      </c>
      <c r="E67" s="283" t="e" cm="1">
        <f t="array" aca="1" ref="E67" ca="1">((VLOOKUP(B67,LOOKUP_AMI_TABLE,5,FALSE)/0.8)*INDIRECT("AMI_MIN_PCT_NY_"&amp;CONFIG_FHC_PROG_ID))+0.01</f>
        <v>#REF!</v>
      </c>
      <c r="F67" s="283" t="e" cm="1">
        <f t="array" aca="1" ref="F67" ca="1">((VLOOKUP(B67,LOOKUP_AMI_TABLE,5,FALSE)/0.8)*INDIRECT("AMI_MAX_PCT_NY_"&amp;CONFIG_FHC_PROG_ID))</f>
        <v>#REF!</v>
      </c>
      <c r="G67" s="283" t="e" cm="1">
        <f t="array" aca="1" ref="G67" ca="1">((VLOOKUP(B67,LOOKUP_AMI_TABLE,7,FALSE)/0.8)*INDIRECT("AMI_MIN_PCT_NY_"&amp;CONFIG_FHC_PROG_ID))+0.01</f>
        <v>#REF!</v>
      </c>
      <c r="H67" s="283" t="e" cm="1">
        <f t="array" aca="1" ref="H67" ca="1">((VLOOKUP(B67,LOOKUP_AMI_TABLE,7,FALSE)/0.8)*INDIRECT("AMI_MAX_PCT_NY_"&amp;CONFIG_FHC_PROG_ID))</f>
        <v>#REF!</v>
      </c>
    </row>
    <row r="68" spans="1:8" s="36" customFormat="1" ht="20.100000000000001" customHeight="1" x14ac:dyDescent="0.25">
      <c r="A68" s="36" t="s">
        <v>2904</v>
      </c>
      <c r="B68" s="36" t="str">
        <f t="shared" si="0"/>
        <v>NY_WYOMING</v>
      </c>
      <c r="D68" s="249" t="s">
        <v>1390</v>
      </c>
      <c r="E68" s="283" t="e" cm="1">
        <f t="array" aca="1" ref="E68" ca="1">((VLOOKUP(B68,LOOKUP_AMI_TABLE,5,FALSE)/0.8)*INDIRECT("AMI_MIN_PCT_NY_"&amp;CONFIG_FHC_PROG_ID))+0.01</f>
        <v>#REF!</v>
      </c>
      <c r="F68" s="283" t="e" cm="1">
        <f t="array" aca="1" ref="F68" ca="1">((VLOOKUP(B68,LOOKUP_AMI_TABLE,5,FALSE)/0.8)*INDIRECT("AMI_MAX_PCT_NY_"&amp;CONFIG_FHC_PROG_ID))</f>
        <v>#REF!</v>
      </c>
      <c r="G68" s="283" t="e" cm="1">
        <f t="array" aca="1" ref="G68" ca="1">((VLOOKUP(B68,LOOKUP_AMI_TABLE,7,FALSE)/0.8)*INDIRECT("AMI_MIN_PCT_NY_"&amp;CONFIG_FHC_PROG_ID))+0.01</f>
        <v>#REF!</v>
      </c>
      <c r="H68" s="283" t="e" cm="1">
        <f t="array" aca="1" ref="H68" ca="1">((VLOOKUP(B68,LOOKUP_AMI_TABLE,7,FALSE)/0.8)*INDIRECT("AMI_MAX_PCT_NY_"&amp;CONFIG_FHC_PROG_ID))</f>
        <v>#REF!</v>
      </c>
    </row>
    <row r="69" spans="1:8" s="36" customFormat="1" ht="20.100000000000001" customHeight="1" x14ac:dyDescent="0.25">
      <c r="A69" s="36" t="s">
        <v>2904</v>
      </c>
      <c r="B69" s="36" t="str">
        <f t="shared" si="0"/>
        <v>NY_YATES</v>
      </c>
      <c r="D69" s="249" t="s">
        <v>1391</v>
      </c>
      <c r="E69" s="283" t="e" cm="1">
        <f t="array" aca="1" ref="E69" ca="1">((VLOOKUP(B69,LOOKUP_AMI_TABLE,5,FALSE)/0.8)*INDIRECT("AMI_MIN_PCT_NY_"&amp;CONFIG_FHC_PROG_ID))+0.01</f>
        <v>#REF!</v>
      </c>
      <c r="F69" s="283" t="e" cm="1">
        <f t="array" aca="1" ref="F69" ca="1">((VLOOKUP(B69,LOOKUP_AMI_TABLE,5,FALSE)/0.8)*INDIRECT("AMI_MAX_PCT_NY_"&amp;CONFIG_FHC_PROG_ID))</f>
        <v>#REF!</v>
      </c>
      <c r="G69" s="283" t="e" cm="1">
        <f t="array" aca="1" ref="G69" ca="1">((VLOOKUP(B69,LOOKUP_AMI_TABLE,7,FALSE)/0.8)*INDIRECT("AMI_MIN_PCT_NY_"&amp;CONFIG_FHC_PROG_ID))+0.01</f>
        <v>#REF!</v>
      </c>
      <c r="H69" s="283" t="e" cm="1">
        <f t="array" aca="1" ref="H69" ca="1">((VLOOKUP(B69,LOOKUP_AMI_TABLE,7,FALSE)/0.8)*INDIRECT("AMI_MAX_PCT_NY_"&amp;CONFIG_FHC_PROG_ID))</f>
        <v>#REF!</v>
      </c>
    </row>
    <row r="70" spans="1:8" ht="15" customHeight="1" x14ac:dyDescent="0.25"/>
  </sheetData>
  <sheetProtection algorithmName="SHA-512" hashValue="kruGCAoa77KzUwynNqmg8NH7BV6kRkCk1UNj/r6vSE7Xug0iNDH/ZVjFshSUmqa7dDc8Oousxhj1s/D8im0Ygg==" saltValue="l9CTpgwMQDTZAA9WIJMJfw==" spinCount="100000" sheet="1" objects="1" scenarios="1"/>
  <mergeCells count="3">
    <mergeCell ref="F2:H2"/>
    <mergeCell ref="E6:F6"/>
    <mergeCell ref="G6:H6"/>
  </mergeCells>
  <pageMargins left="0.7" right="0.7" top="0.75" bottom="0.75" header="0.3" footer="0.3"/>
  <pageSetup scale="82" orientation="portrait" horizontalDpi="0" verticalDpi="0" r:id="rId1"/>
  <headerFooter>
    <oddFooter>Page &amp;P of &amp;N</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2C07D-4CB8-4B85-9FFF-89C5C24DE1FC}">
  <sheetPr>
    <pageSetUpPr fitToPage="1"/>
  </sheetPr>
  <dimension ref="A1:I86"/>
  <sheetViews>
    <sheetView showGridLines="0" showRowColHeaders="0" zoomScaleNormal="100" workbookViewId="0">
      <pane ySplit="7" topLeftCell="A8" activePane="bottomLeft" state="frozen"/>
      <selection activeCell="C1" sqref="C1"/>
      <selection pane="bottomLeft" activeCell="C8" sqref="C8"/>
    </sheetView>
  </sheetViews>
  <sheetFormatPr defaultColWidth="0" defaultRowHeight="15" customHeight="1" zeroHeight="1" x14ac:dyDescent="0.25"/>
  <cols>
    <col min="1" max="1" width="22.28515625" hidden="1" customWidth="1"/>
    <col min="2" max="2" width="31.42578125" hidden="1" customWidth="1"/>
    <col min="3" max="3" width="1.42578125" customWidth="1"/>
    <col min="4" max="4" width="31.28515625" customWidth="1"/>
    <col min="5" max="8" width="20.7109375" customWidth="1"/>
    <col min="9" max="9" width="1.42578125" customWidth="1"/>
    <col min="10" max="16384" width="9.140625" hidden="1"/>
  </cols>
  <sheetData>
    <row r="1" spans="1:9" ht="11.1" customHeight="1" x14ac:dyDescent="0.25"/>
    <row r="2" spans="1:9" ht="24.95" customHeight="1" x14ac:dyDescent="0.25">
      <c r="A2" s="43" t="s">
        <v>179</v>
      </c>
      <c r="B2" s="43" t="s">
        <v>178</v>
      </c>
      <c r="F2" s="433" t="str">
        <f>HYPERLINK("#"&amp;$B$4,$B$5)</f>
        <v xml:space="preserve">Return to </v>
      </c>
      <c r="G2" s="433"/>
      <c r="H2" s="433"/>
    </row>
    <row r="3" spans="1:9" ht="11.1" customHeight="1" x14ac:dyDescent="0.25"/>
    <row r="4" spans="1:9" ht="21.75" customHeight="1" x14ac:dyDescent="0.25">
      <c r="A4" t="s">
        <v>2852</v>
      </c>
      <c r="B4" t="str">
        <f>"TARGET_" &amp;CONFIG_EFORM_TYPE_CODE&amp;"_"&amp;CONFIG_FHC_PROG_ID&amp;"_ICW_BOOKMARK"</f>
        <v>TARGET___ICW_BOOKMARK</v>
      </c>
      <c r="C4" s="210"/>
      <c r="D4" s="212" t="str">
        <f>"Mortgage Revenue Bond Median Income Guidelines: Puerto Rico ("&amp;Configuration!M55&amp;")"</f>
        <v>Mortgage Revenue Bond Median Income Guidelines: Puerto Rico (2025)</v>
      </c>
      <c r="E4" s="212"/>
      <c r="F4" s="210"/>
      <c r="G4" s="210"/>
      <c r="H4" s="250"/>
      <c r="I4" s="210"/>
    </row>
    <row r="5" spans="1:9" s="208" customFormat="1" ht="9" customHeight="1" x14ac:dyDescent="0.25">
      <c r="A5" s="36" t="s">
        <v>2853</v>
      </c>
      <c r="B5" s="36" t="str">
        <f>"Return to "&amp;CONFIG_EFORM_TYPE_NAME</f>
        <v xml:space="preserve">Return to </v>
      </c>
      <c r="C5" s="207"/>
      <c r="D5" s="251"/>
      <c r="E5" s="209"/>
    </row>
    <row r="6" spans="1:9" s="208" customFormat="1" ht="21" customHeight="1" x14ac:dyDescent="0.25">
      <c r="A6" s="36"/>
      <c r="B6" s="36"/>
      <c r="C6" s="207"/>
      <c r="D6" s="224"/>
      <c r="E6" s="461" t="s">
        <v>2902</v>
      </c>
      <c r="F6" s="461"/>
      <c r="G6" s="461" t="s">
        <v>2903</v>
      </c>
      <c r="H6" s="461"/>
    </row>
    <row r="7" spans="1:9" s="208" customFormat="1" ht="20.100000000000001" customHeight="1" x14ac:dyDescent="0.25">
      <c r="A7"/>
      <c r="B7"/>
      <c r="C7"/>
      <c r="D7" s="248" t="s">
        <v>105</v>
      </c>
      <c r="E7" s="168" t="s">
        <v>8993</v>
      </c>
      <c r="F7" s="247" t="s">
        <v>2389</v>
      </c>
      <c r="G7" s="168" t="s">
        <v>8993</v>
      </c>
      <c r="H7" s="247" t="s">
        <v>2326</v>
      </c>
    </row>
    <row r="8" spans="1:9" s="36" customFormat="1" ht="20.100000000000001" customHeight="1" x14ac:dyDescent="0.25">
      <c r="A8" s="36" t="s">
        <v>2904</v>
      </c>
      <c r="B8" s="36" t="str">
        <f>"PR_"&amp;UPPER(TRIM(D8))</f>
        <v>PR_ADJUNTAS</v>
      </c>
      <c r="D8" s="249" t="s">
        <v>2406</v>
      </c>
      <c r="E8" s="283" t="e" cm="1">
        <f t="array" aca="1" ref="E8" ca="1">((VLOOKUP(B8,LOOKUP_AMI_TABLE,5,FALSE)/0.8)*INDIRECT("AMI_MIN_PCT_PR_"&amp;CONFIG_FHC_PROG_ID))+0.01</f>
        <v>#REF!</v>
      </c>
      <c r="F8" s="283" t="e" cm="1">
        <f t="array" aca="1" ref="F8" ca="1">((VLOOKUP(B8,LOOKUP_AMI_TABLE,5,FALSE)/0.8)*INDIRECT("AMI_MAX_PCT_PR_"&amp;CONFIG_FHC_PROG_ID))</f>
        <v>#REF!</v>
      </c>
      <c r="G8" s="283" t="e" cm="1">
        <f t="array" aca="1" ref="G8" ca="1">((VLOOKUP(B8,LOOKUP_AMI_TABLE,7,FALSE)/0.8)*INDIRECT("AMI_MIN_PCT_PR_"&amp;CONFIG_FHC_PROG_ID))+0.01</f>
        <v>#REF!</v>
      </c>
      <c r="H8" s="283" t="e" cm="1">
        <f t="array" aca="1" ref="H8" ca="1">((VLOOKUP(B8,LOOKUP_AMI_TABLE,7,FALSE)/0.8)*INDIRECT("AMI_MAX_PCT_PR_"&amp;CONFIG_FHC_PROG_ID))</f>
        <v>#REF!</v>
      </c>
    </row>
    <row r="9" spans="1:9" s="36" customFormat="1" ht="20.100000000000001" customHeight="1" x14ac:dyDescent="0.25">
      <c r="A9" s="36" t="s">
        <v>2904</v>
      </c>
      <c r="B9" s="36" t="str">
        <f t="shared" ref="B9:B72" si="0">"PR_"&amp;UPPER(TRIM(D9))</f>
        <v>PR_AGUADA</v>
      </c>
      <c r="D9" s="249" t="s">
        <v>2407</v>
      </c>
      <c r="E9" s="283" t="e" cm="1">
        <f t="array" aca="1" ref="E9" ca="1">((VLOOKUP(B9,LOOKUP_AMI_TABLE,5,FALSE)/0.8)*INDIRECT("AMI_MIN_PCT_PR_"&amp;CONFIG_FHC_PROG_ID))+0.01</f>
        <v>#REF!</v>
      </c>
      <c r="F9" s="283" t="e" cm="1">
        <f t="array" aca="1" ref="F9" ca="1">((VLOOKUP(B9,LOOKUP_AMI_TABLE,5,FALSE)/0.8)*INDIRECT("AMI_MAX_PCT_PR_"&amp;CONFIG_FHC_PROG_ID))</f>
        <v>#REF!</v>
      </c>
      <c r="G9" s="283" t="e" cm="1">
        <f t="array" aca="1" ref="G9" ca="1">((VLOOKUP(B9,LOOKUP_AMI_TABLE,7,FALSE)/0.8)*INDIRECT("AMI_MIN_PCT_PR_"&amp;CONFIG_FHC_PROG_ID))+0.01</f>
        <v>#REF!</v>
      </c>
      <c r="H9" s="283" t="e" cm="1">
        <f t="array" aca="1" ref="H9" ca="1">((VLOOKUP(B9,LOOKUP_AMI_TABLE,7,FALSE)/0.8)*INDIRECT("AMI_MAX_PCT_PR_"&amp;CONFIG_FHC_PROG_ID))</f>
        <v>#REF!</v>
      </c>
    </row>
    <row r="10" spans="1:9" s="36" customFormat="1" ht="20.100000000000001" customHeight="1" x14ac:dyDescent="0.25">
      <c r="A10" s="36" t="s">
        <v>2904</v>
      </c>
      <c r="B10" s="36" t="str">
        <f t="shared" si="0"/>
        <v>PR_AGUADILLA</v>
      </c>
      <c r="D10" s="249" t="s">
        <v>2408</v>
      </c>
      <c r="E10" s="283" t="e" cm="1">
        <f t="array" aca="1" ref="E10" ca="1">((VLOOKUP(B10,LOOKUP_AMI_TABLE,5,FALSE)/0.8)*INDIRECT("AMI_MIN_PCT_PR_"&amp;CONFIG_FHC_PROG_ID))+0.01</f>
        <v>#REF!</v>
      </c>
      <c r="F10" s="283" t="e" cm="1">
        <f t="array" aca="1" ref="F10" ca="1">((VLOOKUP(B10,LOOKUP_AMI_TABLE,5,FALSE)/0.8)*INDIRECT("AMI_MAX_PCT_PR_"&amp;CONFIG_FHC_PROG_ID))</f>
        <v>#REF!</v>
      </c>
      <c r="G10" s="283" t="e" cm="1">
        <f t="array" aca="1" ref="G10" ca="1">((VLOOKUP(B10,LOOKUP_AMI_TABLE,7,FALSE)/0.8)*INDIRECT("AMI_MIN_PCT_PR_"&amp;CONFIG_FHC_PROG_ID))+0.01</f>
        <v>#REF!</v>
      </c>
      <c r="H10" s="283" t="e" cm="1">
        <f t="array" aca="1" ref="H10" ca="1">((VLOOKUP(B10,LOOKUP_AMI_TABLE,7,FALSE)/0.8)*INDIRECT("AMI_MAX_PCT_PR_"&amp;CONFIG_FHC_PROG_ID))</f>
        <v>#REF!</v>
      </c>
    </row>
    <row r="11" spans="1:9" s="36" customFormat="1" ht="20.100000000000001" customHeight="1" x14ac:dyDescent="0.25">
      <c r="A11" s="36" t="s">
        <v>2904</v>
      </c>
      <c r="B11" s="36" t="str">
        <f t="shared" si="0"/>
        <v>PR_AGUAS BUENAS</v>
      </c>
      <c r="D11" s="249" t="s">
        <v>2409</v>
      </c>
      <c r="E11" s="283" t="e" cm="1">
        <f t="array" aca="1" ref="E11" ca="1">((VLOOKUP(B11,LOOKUP_AMI_TABLE,5,FALSE)/0.8)*INDIRECT("AMI_MIN_PCT_PR_"&amp;CONFIG_FHC_PROG_ID))+0.01</f>
        <v>#REF!</v>
      </c>
      <c r="F11" s="283" t="e" cm="1">
        <f t="array" aca="1" ref="F11" ca="1">((VLOOKUP(B11,LOOKUP_AMI_TABLE,5,FALSE)/0.8)*INDIRECT("AMI_MAX_PCT_PR_"&amp;CONFIG_FHC_PROG_ID))</f>
        <v>#REF!</v>
      </c>
      <c r="G11" s="283" t="e" cm="1">
        <f t="array" aca="1" ref="G11" ca="1">((VLOOKUP(B11,LOOKUP_AMI_TABLE,7,FALSE)/0.8)*INDIRECT("AMI_MIN_PCT_PR_"&amp;CONFIG_FHC_PROG_ID))+0.01</f>
        <v>#REF!</v>
      </c>
      <c r="H11" s="283" t="e" cm="1">
        <f t="array" aca="1" ref="H11" ca="1">((VLOOKUP(B11,LOOKUP_AMI_TABLE,7,FALSE)/0.8)*INDIRECT("AMI_MAX_PCT_PR_"&amp;CONFIG_FHC_PROG_ID))</f>
        <v>#REF!</v>
      </c>
    </row>
    <row r="12" spans="1:9" s="36" customFormat="1" ht="20.100000000000001" customHeight="1" x14ac:dyDescent="0.25">
      <c r="A12" s="36" t="s">
        <v>2904</v>
      </c>
      <c r="B12" s="36" t="str">
        <f t="shared" si="0"/>
        <v>PR_AIBONITO</v>
      </c>
      <c r="D12" s="249" t="s">
        <v>2410</v>
      </c>
      <c r="E12" s="283" t="e" cm="1">
        <f t="array" aca="1" ref="E12" ca="1">((VLOOKUP(B12,LOOKUP_AMI_TABLE,5,FALSE)/0.8)*INDIRECT("AMI_MIN_PCT_PR_"&amp;CONFIG_FHC_PROG_ID))+0.01</f>
        <v>#REF!</v>
      </c>
      <c r="F12" s="283" t="e" cm="1">
        <f t="array" aca="1" ref="F12" ca="1">((VLOOKUP(B12,LOOKUP_AMI_TABLE,5,FALSE)/0.8)*INDIRECT("AMI_MAX_PCT_PR_"&amp;CONFIG_FHC_PROG_ID))</f>
        <v>#REF!</v>
      </c>
      <c r="G12" s="283" t="e" cm="1">
        <f t="array" aca="1" ref="G12" ca="1">((VLOOKUP(B12,LOOKUP_AMI_TABLE,7,FALSE)/0.8)*INDIRECT("AMI_MIN_PCT_PR_"&amp;CONFIG_FHC_PROG_ID))+0.01</f>
        <v>#REF!</v>
      </c>
      <c r="H12" s="283" t="e" cm="1">
        <f t="array" aca="1" ref="H12" ca="1">((VLOOKUP(B12,LOOKUP_AMI_TABLE,7,FALSE)/0.8)*INDIRECT("AMI_MAX_PCT_PR_"&amp;CONFIG_FHC_PROG_ID))</f>
        <v>#REF!</v>
      </c>
    </row>
    <row r="13" spans="1:9" s="36" customFormat="1" ht="20.100000000000001" customHeight="1" x14ac:dyDescent="0.25">
      <c r="A13" s="36" t="s">
        <v>2904</v>
      </c>
      <c r="B13" s="36" t="str">
        <f t="shared" si="0"/>
        <v>PR_ANASCO</v>
      </c>
      <c r="D13" s="249" t="s">
        <v>2411</v>
      </c>
      <c r="E13" s="283" t="e" cm="1">
        <f t="array" aca="1" ref="E13" ca="1">((VLOOKUP(B13,LOOKUP_AMI_TABLE,5,FALSE)/0.8)*INDIRECT("AMI_MIN_PCT_PR_"&amp;CONFIG_FHC_PROG_ID))+0.01</f>
        <v>#REF!</v>
      </c>
      <c r="F13" s="283" t="e" cm="1">
        <f t="array" aca="1" ref="F13" ca="1">((VLOOKUP(B13,LOOKUP_AMI_TABLE,5,FALSE)/0.8)*INDIRECT("AMI_MAX_PCT_PR_"&amp;CONFIG_FHC_PROG_ID))</f>
        <v>#REF!</v>
      </c>
      <c r="G13" s="283" t="e" cm="1">
        <f t="array" aca="1" ref="G13" ca="1">((VLOOKUP(B13,LOOKUP_AMI_TABLE,7,FALSE)/0.8)*INDIRECT("AMI_MIN_PCT_PR_"&amp;CONFIG_FHC_PROG_ID))+0.01</f>
        <v>#REF!</v>
      </c>
      <c r="H13" s="283" t="e" cm="1">
        <f t="array" aca="1" ref="H13" ca="1">((VLOOKUP(B13,LOOKUP_AMI_TABLE,7,FALSE)/0.8)*INDIRECT("AMI_MAX_PCT_PR_"&amp;CONFIG_FHC_PROG_ID))</f>
        <v>#REF!</v>
      </c>
    </row>
    <row r="14" spans="1:9" s="36" customFormat="1" ht="20.100000000000001" customHeight="1" x14ac:dyDescent="0.25">
      <c r="A14" s="36" t="s">
        <v>2904</v>
      </c>
      <c r="B14" s="36" t="str">
        <f t="shared" si="0"/>
        <v>PR_ARECIBO</v>
      </c>
      <c r="D14" s="249" t="s">
        <v>2412</v>
      </c>
      <c r="E14" s="283" t="e" cm="1">
        <f t="array" aca="1" ref="E14" ca="1">((VLOOKUP(B14,LOOKUP_AMI_TABLE,5,FALSE)/0.8)*INDIRECT("AMI_MIN_PCT_PR_"&amp;CONFIG_FHC_PROG_ID))+0.01</f>
        <v>#REF!</v>
      </c>
      <c r="F14" s="283" t="e" cm="1">
        <f t="array" aca="1" ref="F14" ca="1">((VLOOKUP(B14,LOOKUP_AMI_TABLE,5,FALSE)/0.8)*INDIRECT("AMI_MAX_PCT_PR_"&amp;CONFIG_FHC_PROG_ID))</f>
        <v>#REF!</v>
      </c>
      <c r="G14" s="283" t="e" cm="1">
        <f t="array" aca="1" ref="G14" ca="1">((VLOOKUP(B14,LOOKUP_AMI_TABLE,7,FALSE)/0.8)*INDIRECT("AMI_MIN_PCT_PR_"&amp;CONFIG_FHC_PROG_ID))+0.01</f>
        <v>#REF!</v>
      </c>
      <c r="H14" s="283" t="e" cm="1">
        <f t="array" aca="1" ref="H14" ca="1">((VLOOKUP(B14,LOOKUP_AMI_TABLE,7,FALSE)/0.8)*INDIRECT("AMI_MAX_PCT_PR_"&amp;CONFIG_FHC_PROG_ID))</f>
        <v>#REF!</v>
      </c>
    </row>
    <row r="15" spans="1:9" s="36" customFormat="1" ht="20.100000000000001" customHeight="1" x14ac:dyDescent="0.25">
      <c r="A15" s="36" t="s">
        <v>2904</v>
      </c>
      <c r="B15" s="36" t="str">
        <f t="shared" si="0"/>
        <v>PR_ARROYO</v>
      </c>
      <c r="D15" s="249" t="s">
        <v>2413</v>
      </c>
      <c r="E15" s="283" t="e" cm="1">
        <f t="array" aca="1" ref="E15" ca="1">((VLOOKUP(B15,LOOKUP_AMI_TABLE,5,FALSE)/0.8)*INDIRECT("AMI_MIN_PCT_PR_"&amp;CONFIG_FHC_PROG_ID))+0.01</f>
        <v>#REF!</v>
      </c>
      <c r="F15" s="283" t="e" cm="1">
        <f t="array" aca="1" ref="F15" ca="1">((VLOOKUP(B15,LOOKUP_AMI_TABLE,5,FALSE)/0.8)*INDIRECT("AMI_MAX_PCT_PR_"&amp;CONFIG_FHC_PROG_ID))</f>
        <v>#REF!</v>
      </c>
      <c r="G15" s="283" t="e" cm="1">
        <f t="array" aca="1" ref="G15" ca="1">((VLOOKUP(B15,LOOKUP_AMI_TABLE,7,FALSE)/0.8)*INDIRECT("AMI_MIN_PCT_PR_"&amp;CONFIG_FHC_PROG_ID))+0.01</f>
        <v>#REF!</v>
      </c>
      <c r="H15" s="283" t="e" cm="1">
        <f t="array" aca="1" ref="H15" ca="1">((VLOOKUP(B15,LOOKUP_AMI_TABLE,7,FALSE)/0.8)*INDIRECT("AMI_MAX_PCT_PR_"&amp;CONFIG_FHC_PROG_ID))</f>
        <v>#REF!</v>
      </c>
    </row>
    <row r="16" spans="1:9" s="36" customFormat="1" ht="20.100000000000001" customHeight="1" x14ac:dyDescent="0.25">
      <c r="A16" s="36" t="s">
        <v>2904</v>
      </c>
      <c r="B16" s="36" t="str">
        <f t="shared" si="0"/>
        <v>PR_BARCELONETA</v>
      </c>
      <c r="D16" s="249" t="s">
        <v>2414</v>
      </c>
      <c r="E16" s="283" t="e" cm="1">
        <f t="array" aca="1" ref="E16" ca="1">((VLOOKUP(B16,LOOKUP_AMI_TABLE,5,FALSE)/0.8)*INDIRECT("AMI_MIN_PCT_PR_"&amp;CONFIG_FHC_PROG_ID))+0.01</f>
        <v>#REF!</v>
      </c>
      <c r="F16" s="283" t="e" cm="1">
        <f t="array" aca="1" ref="F16" ca="1">((VLOOKUP(B16,LOOKUP_AMI_TABLE,5,FALSE)/0.8)*INDIRECT("AMI_MAX_PCT_PR_"&amp;CONFIG_FHC_PROG_ID))</f>
        <v>#REF!</v>
      </c>
      <c r="G16" s="283" t="e" cm="1">
        <f t="array" aca="1" ref="G16" ca="1">((VLOOKUP(B16,LOOKUP_AMI_TABLE,7,FALSE)/0.8)*INDIRECT("AMI_MIN_PCT_PR_"&amp;CONFIG_FHC_PROG_ID))+0.01</f>
        <v>#REF!</v>
      </c>
      <c r="H16" s="283" t="e" cm="1">
        <f t="array" aca="1" ref="H16" ca="1">((VLOOKUP(B16,LOOKUP_AMI_TABLE,7,FALSE)/0.8)*INDIRECT("AMI_MAX_PCT_PR_"&amp;CONFIG_FHC_PROG_ID))</f>
        <v>#REF!</v>
      </c>
    </row>
    <row r="17" spans="1:8" s="36" customFormat="1" ht="20.100000000000001" customHeight="1" x14ac:dyDescent="0.25">
      <c r="A17" s="36" t="s">
        <v>2904</v>
      </c>
      <c r="B17" s="36" t="str">
        <f t="shared" si="0"/>
        <v>PR_BARRANQUITAS</v>
      </c>
      <c r="D17" s="249" t="s">
        <v>2415</v>
      </c>
      <c r="E17" s="283" t="e" cm="1">
        <f t="array" aca="1" ref="E17" ca="1">((VLOOKUP(B17,LOOKUP_AMI_TABLE,5,FALSE)/0.8)*INDIRECT("AMI_MIN_PCT_PR_"&amp;CONFIG_FHC_PROG_ID))+0.01</f>
        <v>#REF!</v>
      </c>
      <c r="F17" s="283" t="e" cm="1">
        <f t="array" aca="1" ref="F17" ca="1">((VLOOKUP(B17,LOOKUP_AMI_TABLE,5,FALSE)/0.8)*INDIRECT("AMI_MAX_PCT_PR_"&amp;CONFIG_FHC_PROG_ID))</f>
        <v>#REF!</v>
      </c>
      <c r="G17" s="283" t="e" cm="1">
        <f t="array" aca="1" ref="G17" ca="1">((VLOOKUP(B17,LOOKUP_AMI_TABLE,7,FALSE)/0.8)*INDIRECT("AMI_MIN_PCT_PR_"&amp;CONFIG_FHC_PROG_ID))+0.01</f>
        <v>#REF!</v>
      </c>
      <c r="H17" s="283" t="e" cm="1">
        <f t="array" aca="1" ref="H17" ca="1">((VLOOKUP(B17,LOOKUP_AMI_TABLE,7,FALSE)/0.8)*INDIRECT("AMI_MAX_PCT_PR_"&amp;CONFIG_FHC_PROG_ID))</f>
        <v>#REF!</v>
      </c>
    </row>
    <row r="18" spans="1:8" s="36" customFormat="1" ht="20.100000000000001" customHeight="1" x14ac:dyDescent="0.25">
      <c r="A18" s="36" t="s">
        <v>2904</v>
      </c>
      <c r="B18" s="36" t="str">
        <f t="shared" si="0"/>
        <v>PR_BAYAMON</v>
      </c>
      <c r="D18" s="249" t="s">
        <v>2416</v>
      </c>
      <c r="E18" s="283" t="e" cm="1">
        <f t="array" aca="1" ref="E18" ca="1">((VLOOKUP(B18,LOOKUP_AMI_TABLE,5,FALSE)/0.8)*INDIRECT("AMI_MIN_PCT_PR_"&amp;CONFIG_FHC_PROG_ID))+0.01</f>
        <v>#REF!</v>
      </c>
      <c r="F18" s="283" t="e" cm="1">
        <f t="array" aca="1" ref="F18" ca="1">((VLOOKUP(B18,LOOKUP_AMI_TABLE,5,FALSE)/0.8)*INDIRECT("AMI_MAX_PCT_PR_"&amp;CONFIG_FHC_PROG_ID))</f>
        <v>#REF!</v>
      </c>
      <c r="G18" s="283" t="e" cm="1">
        <f t="array" aca="1" ref="G18" ca="1">((VLOOKUP(B18,LOOKUP_AMI_TABLE,7,FALSE)/0.8)*INDIRECT("AMI_MIN_PCT_PR_"&amp;CONFIG_FHC_PROG_ID))+0.01</f>
        <v>#REF!</v>
      </c>
      <c r="H18" s="283" t="e" cm="1">
        <f t="array" aca="1" ref="H18" ca="1">((VLOOKUP(B18,LOOKUP_AMI_TABLE,7,FALSE)/0.8)*INDIRECT("AMI_MAX_PCT_PR_"&amp;CONFIG_FHC_PROG_ID))</f>
        <v>#REF!</v>
      </c>
    </row>
    <row r="19" spans="1:8" s="36" customFormat="1" ht="20.100000000000001" customHeight="1" x14ac:dyDescent="0.25">
      <c r="A19" s="36" t="s">
        <v>2904</v>
      </c>
      <c r="B19" s="36" t="str">
        <f t="shared" si="0"/>
        <v>PR_CABO ROJO</v>
      </c>
      <c r="D19" s="249" t="s">
        <v>2417</v>
      </c>
      <c r="E19" s="283" t="e" cm="1">
        <f t="array" aca="1" ref="E19" ca="1">((VLOOKUP(B19,LOOKUP_AMI_TABLE,5,FALSE)/0.8)*INDIRECT("AMI_MIN_PCT_PR_"&amp;CONFIG_FHC_PROG_ID))+0.01</f>
        <v>#REF!</v>
      </c>
      <c r="F19" s="283" t="e" cm="1">
        <f t="array" aca="1" ref="F19" ca="1">((VLOOKUP(B19,LOOKUP_AMI_TABLE,5,FALSE)/0.8)*INDIRECT("AMI_MAX_PCT_PR_"&amp;CONFIG_FHC_PROG_ID))</f>
        <v>#REF!</v>
      </c>
      <c r="G19" s="283" t="e" cm="1">
        <f t="array" aca="1" ref="G19" ca="1">((VLOOKUP(B19,LOOKUP_AMI_TABLE,7,FALSE)/0.8)*INDIRECT("AMI_MIN_PCT_PR_"&amp;CONFIG_FHC_PROG_ID))+0.01</f>
        <v>#REF!</v>
      </c>
      <c r="H19" s="283" t="e" cm="1">
        <f t="array" aca="1" ref="H19" ca="1">((VLOOKUP(B19,LOOKUP_AMI_TABLE,7,FALSE)/0.8)*INDIRECT("AMI_MAX_PCT_PR_"&amp;CONFIG_FHC_PROG_ID))</f>
        <v>#REF!</v>
      </c>
    </row>
    <row r="20" spans="1:8" s="36" customFormat="1" ht="20.100000000000001" customHeight="1" x14ac:dyDescent="0.25">
      <c r="A20" s="36" t="s">
        <v>2904</v>
      </c>
      <c r="B20" s="36" t="str">
        <f t="shared" si="0"/>
        <v>PR_CAGUAS</v>
      </c>
      <c r="D20" s="249" t="s">
        <v>2418</v>
      </c>
      <c r="E20" s="283" t="e" cm="1">
        <f t="array" aca="1" ref="E20" ca="1">((VLOOKUP(B20,LOOKUP_AMI_TABLE,5,FALSE)/0.8)*INDIRECT("AMI_MIN_PCT_PR_"&amp;CONFIG_FHC_PROG_ID))+0.01</f>
        <v>#REF!</v>
      </c>
      <c r="F20" s="283" t="e" cm="1">
        <f t="array" aca="1" ref="F20" ca="1">((VLOOKUP(B20,LOOKUP_AMI_TABLE,5,FALSE)/0.8)*INDIRECT("AMI_MAX_PCT_PR_"&amp;CONFIG_FHC_PROG_ID))</f>
        <v>#REF!</v>
      </c>
      <c r="G20" s="283" t="e" cm="1">
        <f t="array" aca="1" ref="G20" ca="1">((VLOOKUP(B20,LOOKUP_AMI_TABLE,7,FALSE)/0.8)*INDIRECT("AMI_MIN_PCT_PR_"&amp;CONFIG_FHC_PROG_ID))+0.01</f>
        <v>#REF!</v>
      </c>
      <c r="H20" s="283" t="e" cm="1">
        <f t="array" aca="1" ref="H20" ca="1">((VLOOKUP(B20,LOOKUP_AMI_TABLE,7,FALSE)/0.8)*INDIRECT("AMI_MAX_PCT_PR_"&amp;CONFIG_FHC_PROG_ID))</f>
        <v>#REF!</v>
      </c>
    </row>
    <row r="21" spans="1:8" s="36" customFormat="1" ht="20.100000000000001" customHeight="1" x14ac:dyDescent="0.25">
      <c r="A21" s="36" t="s">
        <v>2904</v>
      </c>
      <c r="B21" s="36" t="str">
        <f t="shared" si="0"/>
        <v>PR_CAMUY</v>
      </c>
      <c r="D21" s="249" t="s">
        <v>2419</v>
      </c>
      <c r="E21" s="283" t="e" cm="1">
        <f t="array" aca="1" ref="E21" ca="1">((VLOOKUP(B21,LOOKUP_AMI_TABLE,5,FALSE)/0.8)*INDIRECT("AMI_MIN_PCT_PR_"&amp;CONFIG_FHC_PROG_ID))+0.01</f>
        <v>#REF!</v>
      </c>
      <c r="F21" s="283" t="e" cm="1">
        <f t="array" aca="1" ref="F21" ca="1">((VLOOKUP(B21,LOOKUP_AMI_TABLE,5,FALSE)/0.8)*INDIRECT("AMI_MAX_PCT_PR_"&amp;CONFIG_FHC_PROG_ID))</f>
        <v>#REF!</v>
      </c>
      <c r="G21" s="283" t="e" cm="1">
        <f t="array" aca="1" ref="G21" ca="1">((VLOOKUP(B21,LOOKUP_AMI_TABLE,7,FALSE)/0.8)*INDIRECT("AMI_MIN_PCT_PR_"&amp;CONFIG_FHC_PROG_ID))+0.01</f>
        <v>#REF!</v>
      </c>
      <c r="H21" s="283" t="e" cm="1">
        <f t="array" aca="1" ref="H21" ca="1">((VLOOKUP(B21,LOOKUP_AMI_TABLE,7,FALSE)/0.8)*INDIRECT("AMI_MAX_PCT_PR_"&amp;CONFIG_FHC_PROG_ID))</f>
        <v>#REF!</v>
      </c>
    </row>
    <row r="22" spans="1:8" s="36" customFormat="1" ht="20.100000000000001" customHeight="1" x14ac:dyDescent="0.25">
      <c r="A22" s="36" t="s">
        <v>2904</v>
      </c>
      <c r="B22" s="36" t="str">
        <f t="shared" si="0"/>
        <v>PR_CANOVANAS</v>
      </c>
      <c r="D22" s="249" t="s">
        <v>2420</v>
      </c>
      <c r="E22" s="283" t="e" cm="1">
        <f t="array" aca="1" ref="E22" ca="1">((VLOOKUP(B22,LOOKUP_AMI_TABLE,5,FALSE)/0.8)*INDIRECT("AMI_MIN_PCT_PR_"&amp;CONFIG_FHC_PROG_ID))+0.01</f>
        <v>#REF!</v>
      </c>
      <c r="F22" s="283" t="e" cm="1">
        <f t="array" aca="1" ref="F22" ca="1">((VLOOKUP(B22,LOOKUP_AMI_TABLE,5,FALSE)/0.8)*INDIRECT("AMI_MAX_PCT_PR_"&amp;CONFIG_FHC_PROG_ID))</f>
        <v>#REF!</v>
      </c>
      <c r="G22" s="283" t="e" cm="1">
        <f t="array" aca="1" ref="G22" ca="1">((VLOOKUP(B22,LOOKUP_AMI_TABLE,7,FALSE)/0.8)*INDIRECT("AMI_MIN_PCT_PR_"&amp;CONFIG_FHC_PROG_ID))+0.01</f>
        <v>#REF!</v>
      </c>
      <c r="H22" s="283" t="e" cm="1">
        <f t="array" aca="1" ref="H22" ca="1">((VLOOKUP(B22,LOOKUP_AMI_TABLE,7,FALSE)/0.8)*INDIRECT("AMI_MAX_PCT_PR_"&amp;CONFIG_FHC_PROG_ID))</f>
        <v>#REF!</v>
      </c>
    </row>
    <row r="23" spans="1:8" s="36" customFormat="1" ht="20.100000000000001" customHeight="1" x14ac:dyDescent="0.25">
      <c r="A23" s="36" t="s">
        <v>2904</v>
      </c>
      <c r="B23" s="36" t="str">
        <f t="shared" si="0"/>
        <v>PR_CAROLINA</v>
      </c>
      <c r="D23" s="249" t="s">
        <v>2421</v>
      </c>
      <c r="E23" s="283" t="e" cm="1">
        <f t="array" aca="1" ref="E23" ca="1">((VLOOKUP(B23,LOOKUP_AMI_TABLE,5,FALSE)/0.8)*INDIRECT("AMI_MIN_PCT_PR_"&amp;CONFIG_FHC_PROG_ID))+0.01</f>
        <v>#REF!</v>
      </c>
      <c r="F23" s="283" t="e" cm="1">
        <f t="array" aca="1" ref="F23" ca="1">((VLOOKUP(B23,LOOKUP_AMI_TABLE,5,FALSE)/0.8)*INDIRECT("AMI_MAX_PCT_PR_"&amp;CONFIG_FHC_PROG_ID))</f>
        <v>#REF!</v>
      </c>
      <c r="G23" s="283" t="e" cm="1">
        <f t="array" aca="1" ref="G23" ca="1">((VLOOKUP(B23,LOOKUP_AMI_TABLE,7,FALSE)/0.8)*INDIRECT("AMI_MIN_PCT_PR_"&amp;CONFIG_FHC_PROG_ID))+0.01</f>
        <v>#REF!</v>
      </c>
      <c r="H23" s="283" t="e" cm="1">
        <f t="array" aca="1" ref="H23" ca="1">((VLOOKUP(B23,LOOKUP_AMI_TABLE,7,FALSE)/0.8)*INDIRECT("AMI_MAX_PCT_PR_"&amp;CONFIG_FHC_PROG_ID))</f>
        <v>#REF!</v>
      </c>
    </row>
    <row r="24" spans="1:8" s="36" customFormat="1" ht="20.100000000000001" customHeight="1" x14ac:dyDescent="0.25">
      <c r="A24" s="36" t="s">
        <v>2904</v>
      </c>
      <c r="B24" s="36" t="str">
        <f t="shared" si="0"/>
        <v>PR_CATANO</v>
      </c>
      <c r="D24" s="249" t="s">
        <v>2422</v>
      </c>
      <c r="E24" s="283" t="e" cm="1">
        <f t="array" aca="1" ref="E24" ca="1">((VLOOKUP(B24,LOOKUP_AMI_TABLE,5,FALSE)/0.8)*INDIRECT("AMI_MIN_PCT_PR_"&amp;CONFIG_FHC_PROG_ID))+0.01</f>
        <v>#REF!</v>
      </c>
      <c r="F24" s="283" t="e" cm="1">
        <f t="array" aca="1" ref="F24" ca="1">((VLOOKUP(B24,LOOKUP_AMI_TABLE,5,FALSE)/0.8)*INDIRECT("AMI_MAX_PCT_PR_"&amp;CONFIG_FHC_PROG_ID))</f>
        <v>#REF!</v>
      </c>
      <c r="G24" s="283" t="e" cm="1">
        <f t="array" aca="1" ref="G24" ca="1">((VLOOKUP(B24,LOOKUP_AMI_TABLE,7,FALSE)/0.8)*INDIRECT("AMI_MIN_PCT_PR_"&amp;CONFIG_FHC_PROG_ID))+0.01</f>
        <v>#REF!</v>
      </c>
      <c r="H24" s="283" t="e" cm="1">
        <f t="array" aca="1" ref="H24" ca="1">((VLOOKUP(B24,LOOKUP_AMI_TABLE,7,FALSE)/0.8)*INDIRECT("AMI_MAX_PCT_PR_"&amp;CONFIG_FHC_PROG_ID))</f>
        <v>#REF!</v>
      </c>
    </row>
    <row r="25" spans="1:8" s="36" customFormat="1" ht="20.100000000000001" customHeight="1" x14ac:dyDescent="0.25">
      <c r="A25" s="36" t="s">
        <v>2904</v>
      </c>
      <c r="B25" s="36" t="str">
        <f t="shared" si="0"/>
        <v>PR_CAYEY</v>
      </c>
      <c r="D25" s="249" t="s">
        <v>2423</v>
      </c>
      <c r="E25" s="283" t="e" cm="1">
        <f t="array" aca="1" ref="E25" ca="1">((VLOOKUP(B25,LOOKUP_AMI_TABLE,5,FALSE)/0.8)*INDIRECT("AMI_MIN_PCT_PR_"&amp;CONFIG_FHC_PROG_ID))+0.01</f>
        <v>#REF!</v>
      </c>
      <c r="F25" s="283" t="e" cm="1">
        <f t="array" aca="1" ref="F25" ca="1">((VLOOKUP(B25,LOOKUP_AMI_TABLE,5,FALSE)/0.8)*INDIRECT("AMI_MAX_PCT_PR_"&amp;CONFIG_FHC_PROG_ID))</f>
        <v>#REF!</v>
      </c>
      <c r="G25" s="283" t="e" cm="1">
        <f t="array" aca="1" ref="G25" ca="1">((VLOOKUP(B25,LOOKUP_AMI_TABLE,7,FALSE)/0.8)*INDIRECT("AMI_MIN_PCT_PR_"&amp;CONFIG_FHC_PROG_ID))+0.01</f>
        <v>#REF!</v>
      </c>
      <c r="H25" s="283" t="e" cm="1">
        <f t="array" aca="1" ref="H25" ca="1">((VLOOKUP(B25,LOOKUP_AMI_TABLE,7,FALSE)/0.8)*INDIRECT("AMI_MAX_PCT_PR_"&amp;CONFIG_FHC_PROG_ID))</f>
        <v>#REF!</v>
      </c>
    </row>
    <row r="26" spans="1:8" s="36" customFormat="1" ht="20.100000000000001" customHeight="1" x14ac:dyDescent="0.25">
      <c r="A26" s="36" t="s">
        <v>2904</v>
      </c>
      <c r="B26" s="36" t="str">
        <f t="shared" si="0"/>
        <v>PR_CEIBA</v>
      </c>
      <c r="D26" s="249" t="s">
        <v>2424</v>
      </c>
      <c r="E26" s="283" t="e" cm="1">
        <f t="array" aca="1" ref="E26" ca="1">((VLOOKUP(B26,LOOKUP_AMI_TABLE,5,FALSE)/0.8)*INDIRECT("AMI_MIN_PCT_PR_"&amp;CONFIG_FHC_PROG_ID))+0.01</f>
        <v>#REF!</v>
      </c>
      <c r="F26" s="283" t="e" cm="1">
        <f t="array" aca="1" ref="F26" ca="1">((VLOOKUP(B26,LOOKUP_AMI_TABLE,5,FALSE)/0.8)*INDIRECT("AMI_MAX_PCT_PR_"&amp;CONFIG_FHC_PROG_ID))</f>
        <v>#REF!</v>
      </c>
      <c r="G26" s="283" t="e" cm="1">
        <f t="array" aca="1" ref="G26" ca="1">((VLOOKUP(B26,LOOKUP_AMI_TABLE,7,FALSE)/0.8)*INDIRECT("AMI_MIN_PCT_PR_"&amp;CONFIG_FHC_PROG_ID))+0.01</f>
        <v>#REF!</v>
      </c>
      <c r="H26" s="283" t="e" cm="1">
        <f t="array" aca="1" ref="H26" ca="1">((VLOOKUP(B26,LOOKUP_AMI_TABLE,7,FALSE)/0.8)*INDIRECT("AMI_MAX_PCT_PR_"&amp;CONFIG_FHC_PROG_ID))</f>
        <v>#REF!</v>
      </c>
    </row>
    <row r="27" spans="1:8" s="36" customFormat="1" ht="20.100000000000001" customHeight="1" x14ac:dyDescent="0.25">
      <c r="A27" s="36" t="s">
        <v>2904</v>
      </c>
      <c r="B27" s="36" t="str">
        <f t="shared" si="0"/>
        <v>PR_CIALES</v>
      </c>
      <c r="D27" s="249" t="s">
        <v>2425</v>
      </c>
      <c r="E27" s="283" t="e" cm="1">
        <f t="array" aca="1" ref="E27" ca="1">((VLOOKUP(B27,LOOKUP_AMI_TABLE,5,FALSE)/0.8)*INDIRECT("AMI_MIN_PCT_PR_"&amp;CONFIG_FHC_PROG_ID))+0.01</f>
        <v>#REF!</v>
      </c>
      <c r="F27" s="283" t="e" cm="1">
        <f t="array" aca="1" ref="F27" ca="1">((VLOOKUP(B27,LOOKUP_AMI_TABLE,5,FALSE)/0.8)*INDIRECT("AMI_MAX_PCT_PR_"&amp;CONFIG_FHC_PROG_ID))</f>
        <v>#REF!</v>
      </c>
      <c r="G27" s="283" t="e" cm="1">
        <f t="array" aca="1" ref="G27" ca="1">((VLOOKUP(B27,LOOKUP_AMI_TABLE,7,FALSE)/0.8)*INDIRECT("AMI_MIN_PCT_PR_"&amp;CONFIG_FHC_PROG_ID))+0.01</f>
        <v>#REF!</v>
      </c>
      <c r="H27" s="283" t="e" cm="1">
        <f t="array" aca="1" ref="H27" ca="1">((VLOOKUP(B27,LOOKUP_AMI_TABLE,7,FALSE)/0.8)*INDIRECT("AMI_MAX_PCT_PR_"&amp;CONFIG_FHC_PROG_ID))</f>
        <v>#REF!</v>
      </c>
    </row>
    <row r="28" spans="1:8" s="36" customFormat="1" ht="20.100000000000001" customHeight="1" x14ac:dyDescent="0.25">
      <c r="A28" s="36" t="s">
        <v>2904</v>
      </c>
      <c r="B28" s="36" t="str">
        <f t="shared" si="0"/>
        <v>PR_CIDRA</v>
      </c>
      <c r="D28" s="249" t="s">
        <v>2426</v>
      </c>
      <c r="E28" s="283" t="e" cm="1">
        <f t="array" aca="1" ref="E28" ca="1">((VLOOKUP(B28,LOOKUP_AMI_TABLE,5,FALSE)/0.8)*INDIRECT("AMI_MIN_PCT_PR_"&amp;CONFIG_FHC_PROG_ID))+0.01</f>
        <v>#REF!</v>
      </c>
      <c r="F28" s="283" t="e" cm="1">
        <f t="array" aca="1" ref="F28" ca="1">((VLOOKUP(B28,LOOKUP_AMI_TABLE,5,FALSE)/0.8)*INDIRECT("AMI_MAX_PCT_PR_"&amp;CONFIG_FHC_PROG_ID))</f>
        <v>#REF!</v>
      </c>
      <c r="G28" s="283" t="e" cm="1">
        <f t="array" aca="1" ref="G28" ca="1">((VLOOKUP(B28,LOOKUP_AMI_TABLE,7,FALSE)/0.8)*INDIRECT("AMI_MIN_PCT_PR_"&amp;CONFIG_FHC_PROG_ID))+0.01</f>
        <v>#REF!</v>
      </c>
      <c r="H28" s="283" t="e" cm="1">
        <f t="array" aca="1" ref="H28" ca="1">((VLOOKUP(B28,LOOKUP_AMI_TABLE,7,FALSE)/0.8)*INDIRECT("AMI_MAX_PCT_PR_"&amp;CONFIG_FHC_PROG_ID))</f>
        <v>#REF!</v>
      </c>
    </row>
    <row r="29" spans="1:8" s="36" customFormat="1" ht="20.100000000000001" customHeight="1" x14ac:dyDescent="0.25">
      <c r="A29" s="36" t="s">
        <v>2904</v>
      </c>
      <c r="B29" s="36" t="str">
        <f t="shared" si="0"/>
        <v>PR_COAMO</v>
      </c>
      <c r="D29" s="249" t="s">
        <v>2427</v>
      </c>
      <c r="E29" s="283" t="e" cm="1">
        <f t="array" aca="1" ref="E29" ca="1">((VLOOKUP(B29,LOOKUP_AMI_TABLE,5,FALSE)/0.8)*INDIRECT("AMI_MIN_PCT_PR_"&amp;CONFIG_FHC_PROG_ID))+0.01</f>
        <v>#REF!</v>
      </c>
      <c r="F29" s="283" t="e" cm="1">
        <f t="array" aca="1" ref="F29" ca="1">((VLOOKUP(B29,LOOKUP_AMI_TABLE,5,FALSE)/0.8)*INDIRECT("AMI_MAX_PCT_PR_"&amp;CONFIG_FHC_PROG_ID))</f>
        <v>#REF!</v>
      </c>
      <c r="G29" s="283" t="e" cm="1">
        <f t="array" aca="1" ref="G29" ca="1">((VLOOKUP(B29,LOOKUP_AMI_TABLE,7,FALSE)/0.8)*INDIRECT("AMI_MIN_PCT_PR_"&amp;CONFIG_FHC_PROG_ID))+0.01</f>
        <v>#REF!</v>
      </c>
      <c r="H29" s="283" t="e" cm="1">
        <f t="array" aca="1" ref="H29" ca="1">((VLOOKUP(B29,LOOKUP_AMI_TABLE,7,FALSE)/0.8)*INDIRECT("AMI_MAX_PCT_PR_"&amp;CONFIG_FHC_PROG_ID))</f>
        <v>#REF!</v>
      </c>
    </row>
    <row r="30" spans="1:8" s="36" customFormat="1" ht="20.100000000000001" customHeight="1" x14ac:dyDescent="0.25">
      <c r="A30" s="36" t="s">
        <v>2904</v>
      </c>
      <c r="B30" s="36" t="str">
        <f t="shared" si="0"/>
        <v>PR_COMERIO</v>
      </c>
      <c r="D30" s="249" t="s">
        <v>2428</v>
      </c>
      <c r="E30" s="283" t="e" cm="1">
        <f t="array" aca="1" ref="E30" ca="1">((VLOOKUP(B30,LOOKUP_AMI_TABLE,5,FALSE)/0.8)*INDIRECT("AMI_MIN_PCT_PR_"&amp;CONFIG_FHC_PROG_ID))+0.01</f>
        <v>#REF!</v>
      </c>
      <c r="F30" s="283" t="e" cm="1">
        <f t="array" aca="1" ref="F30" ca="1">((VLOOKUP(B30,LOOKUP_AMI_TABLE,5,FALSE)/0.8)*INDIRECT("AMI_MAX_PCT_PR_"&amp;CONFIG_FHC_PROG_ID))</f>
        <v>#REF!</v>
      </c>
      <c r="G30" s="283" t="e" cm="1">
        <f t="array" aca="1" ref="G30" ca="1">((VLOOKUP(B30,LOOKUP_AMI_TABLE,7,FALSE)/0.8)*INDIRECT("AMI_MIN_PCT_PR_"&amp;CONFIG_FHC_PROG_ID))+0.01</f>
        <v>#REF!</v>
      </c>
      <c r="H30" s="283" t="e" cm="1">
        <f t="array" aca="1" ref="H30" ca="1">((VLOOKUP(B30,LOOKUP_AMI_TABLE,7,FALSE)/0.8)*INDIRECT("AMI_MAX_PCT_PR_"&amp;CONFIG_FHC_PROG_ID))</f>
        <v>#REF!</v>
      </c>
    </row>
    <row r="31" spans="1:8" s="36" customFormat="1" ht="20.100000000000001" customHeight="1" x14ac:dyDescent="0.25">
      <c r="A31" s="36" t="s">
        <v>2904</v>
      </c>
      <c r="B31" s="36" t="str">
        <f t="shared" si="0"/>
        <v>PR_COROZAL</v>
      </c>
      <c r="D31" s="249" t="s">
        <v>2429</v>
      </c>
      <c r="E31" s="283" t="e" cm="1">
        <f t="array" aca="1" ref="E31" ca="1">((VLOOKUP(B31,LOOKUP_AMI_TABLE,5,FALSE)/0.8)*INDIRECT("AMI_MIN_PCT_PR_"&amp;CONFIG_FHC_PROG_ID))+0.01</f>
        <v>#REF!</v>
      </c>
      <c r="F31" s="283" t="e" cm="1">
        <f t="array" aca="1" ref="F31" ca="1">((VLOOKUP(B31,LOOKUP_AMI_TABLE,5,FALSE)/0.8)*INDIRECT("AMI_MAX_PCT_PR_"&amp;CONFIG_FHC_PROG_ID))</f>
        <v>#REF!</v>
      </c>
      <c r="G31" s="283" t="e" cm="1">
        <f t="array" aca="1" ref="G31" ca="1">((VLOOKUP(B31,LOOKUP_AMI_TABLE,7,FALSE)/0.8)*INDIRECT("AMI_MIN_PCT_PR_"&amp;CONFIG_FHC_PROG_ID))+0.01</f>
        <v>#REF!</v>
      </c>
      <c r="H31" s="283" t="e" cm="1">
        <f t="array" aca="1" ref="H31" ca="1">((VLOOKUP(B31,LOOKUP_AMI_TABLE,7,FALSE)/0.8)*INDIRECT("AMI_MAX_PCT_PR_"&amp;CONFIG_FHC_PROG_ID))</f>
        <v>#REF!</v>
      </c>
    </row>
    <row r="32" spans="1:8" s="36" customFormat="1" ht="20.100000000000001" customHeight="1" x14ac:dyDescent="0.25">
      <c r="A32" s="36" t="s">
        <v>2904</v>
      </c>
      <c r="B32" s="36" t="str">
        <f t="shared" si="0"/>
        <v>PR_CULEBRA</v>
      </c>
      <c r="D32" s="249" t="s">
        <v>2430</v>
      </c>
      <c r="E32" s="283" t="e" cm="1">
        <f t="array" aca="1" ref="E32" ca="1">((VLOOKUP(B32,LOOKUP_AMI_TABLE,5,FALSE)/0.8)*INDIRECT("AMI_MIN_PCT_PR_"&amp;CONFIG_FHC_PROG_ID))+0.01</f>
        <v>#REF!</v>
      </c>
      <c r="F32" s="283" t="e" cm="1">
        <f t="array" aca="1" ref="F32" ca="1">((VLOOKUP(B32,LOOKUP_AMI_TABLE,5,FALSE)/0.8)*INDIRECT("AMI_MAX_PCT_PR_"&amp;CONFIG_FHC_PROG_ID))</f>
        <v>#REF!</v>
      </c>
      <c r="G32" s="283" t="e" cm="1">
        <f t="array" aca="1" ref="G32" ca="1">((VLOOKUP(B32,LOOKUP_AMI_TABLE,7,FALSE)/0.8)*INDIRECT("AMI_MIN_PCT_PR_"&amp;CONFIG_FHC_PROG_ID))+0.01</f>
        <v>#REF!</v>
      </c>
      <c r="H32" s="283" t="e" cm="1">
        <f t="array" aca="1" ref="H32" ca="1">((VLOOKUP(B32,LOOKUP_AMI_TABLE,7,FALSE)/0.8)*INDIRECT("AMI_MAX_PCT_PR_"&amp;CONFIG_FHC_PROG_ID))</f>
        <v>#REF!</v>
      </c>
    </row>
    <row r="33" spans="1:8" s="36" customFormat="1" ht="20.100000000000001" customHeight="1" x14ac:dyDescent="0.25">
      <c r="A33" s="36" t="s">
        <v>2904</v>
      </c>
      <c r="B33" s="36" t="str">
        <f t="shared" si="0"/>
        <v>PR_DORADO</v>
      </c>
      <c r="D33" s="249" t="s">
        <v>2431</v>
      </c>
      <c r="E33" s="283" t="e" cm="1">
        <f t="array" aca="1" ref="E33" ca="1">((VLOOKUP(B33,LOOKUP_AMI_TABLE,5,FALSE)/0.8)*INDIRECT("AMI_MIN_PCT_PR_"&amp;CONFIG_FHC_PROG_ID))+0.01</f>
        <v>#REF!</v>
      </c>
      <c r="F33" s="283" t="e" cm="1">
        <f t="array" aca="1" ref="F33" ca="1">((VLOOKUP(B33,LOOKUP_AMI_TABLE,5,FALSE)/0.8)*INDIRECT("AMI_MAX_PCT_PR_"&amp;CONFIG_FHC_PROG_ID))</f>
        <v>#REF!</v>
      </c>
      <c r="G33" s="283" t="e" cm="1">
        <f t="array" aca="1" ref="G33" ca="1">((VLOOKUP(B33,LOOKUP_AMI_TABLE,7,FALSE)/0.8)*INDIRECT("AMI_MIN_PCT_PR_"&amp;CONFIG_FHC_PROG_ID))+0.01</f>
        <v>#REF!</v>
      </c>
      <c r="H33" s="283" t="e" cm="1">
        <f t="array" aca="1" ref="H33" ca="1">((VLOOKUP(B33,LOOKUP_AMI_TABLE,7,FALSE)/0.8)*INDIRECT("AMI_MAX_PCT_PR_"&amp;CONFIG_FHC_PROG_ID))</f>
        <v>#REF!</v>
      </c>
    </row>
    <row r="34" spans="1:8" s="36" customFormat="1" ht="20.100000000000001" customHeight="1" x14ac:dyDescent="0.25">
      <c r="A34" s="36" t="s">
        <v>2904</v>
      </c>
      <c r="B34" s="36" t="str">
        <f t="shared" si="0"/>
        <v>PR_FAJARDO</v>
      </c>
      <c r="D34" s="249" t="s">
        <v>2432</v>
      </c>
      <c r="E34" s="283" t="e" cm="1">
        <f t="array" aca="1" ref="E34" ca="1">((VLOOKUP(B34,LOOKUP_AMI_TABLE,5,FALSE)/0.8)*INDIRECT("AMI_MIN_PCT_PR_"&amp;CONFIG_FHC_PROG_ID))+0.01</f>
        <v>#REF!</v>
      </c>
      <c r="F34" s="283" t="e" cm="1">
        <f t="array" aca="1" ref="F34" ca="1">((VLOOKUP(B34,LOOKUP_AMI_TABLE,5,FALSE)/0.8)*INDIRECT("AMI_MAX_PCT_PR_"&amp;CONFIG_FHC_PROG_ID))</f>
        <v>#REF!</v>
      </c>
      <c r="G34" s="283" t="e" cm="1">
        <f t="array" aca="1" ref="G34" ca="1">((VLOOKUP(B34,LOOKUP_AMI_TABLE,7,FALSE)/0.8)*INDIRECT("AMI_MIN_PCT_PR_"&amp;CONFIG_FHC_PROG_ID))+0.01</f>
        <v>#REF!</v>
      </c>
      <c r="H34" s="283" t="e" cm="1">
        <f t="array" aca="1" ref="H34" ca="1">((VLOOKUP(B34,LOOKUP_AMI_TABLE,7,FALSE)/0.8)*INDIRECT("AMI_MAX_PCT_PR_"&amp;CONFIG_FHC_PROG_ID))</f>
        <v>#REF!</v>
      </c>
    </row>
    <row r="35" spans="1:8" s="36" customFormat="1" ht="20.100000000000001" customHeight="1" x14ac:dyDescent="0.25">
      <c r="A35" s="36" t="s">
        <v>2904</v>
      </c>
      <c r="B35" s="36" t="str">
        <f t="shared" si="0"/>
        <v>PR_FLORIDA</v>
      </c>
      <c r="D35" s="249" t="s">
        <v>2433</v>
      </c>
      <c r="E35" s="283" t="e" cm="1">
        <f t="array" aca="1" ref="E35" ca="1">((VLOOKUP(B35,LOOKUP_AMI_TABLE,5,FALSE)/0.8)*INDIRECT("AMI_MIN_PCT_PR_"&amp;CONFIG_FHC_PROG_ID))+0.01</f>
        <v>#REF!</v>
      </c>
      <c r="F35" s="283" t="e" cm="1">
        <f t="array" aca="1" ref="F35" ca="1">((VLOOKUP(B35,LOOKUP_AMI_TABLE,5,FALSE)/0.8)*INDIRECT("AMI_MAX_PCT_PR_"&amp;CONFIG_FHC_PROG_ID))</f>
        <v>#REF!</v>
      </c>
      <c r="G35" s="283" t="e" cm="1">
        <f t="array" aca="1" ref="G35" ca="1">((VLOOKUP(B35,LOOKUP_AMI_TABLE,7,FALSE)/0.8)*INDIRECT("AMI_MIN_PCT_PR_"&amp;CONFIG_FHC_PROG_ID))+0.01</f>
        <v>#REF!</v>
      </c>
      <c r="H35" s="283" t="e" cm="1">
        <f t="array" aca="1" ref="H35" ca="1">((VLOOKUP(B35,LOOKUP_AMI_TABLE,7,FALSE)/0.8)*INDIRECT("AMI_MAX_PCT_PR_"&amp;CONFIG_FHC_PROG_ID))</f>
        <v>#REF!</v>
      </c>
    </row>
    <row r="36" spans="1:8" s="36" customFormat="1" ht="20.100000000000001" customHeight="1" x14ac:dyDescent="0.25">
      <c r="A36" s="36" t="s">
        <v>2904</v>
      </c>
      <c r="B36" s="36" t="str">
        <f t="shared" si="0"/>
        <v>PR_GUANICA</v>
      </c>
      <c r="D36" s="249" t="s">
        <v>2434</v>
      </c>
      <c r="E36" s="283" t="e" cm="1">
        <f t="array" aca="1" ref="E36" ca="1">((VLOOKUP(B36,LOOKUP_AMI_TABLE,5,FALSE)/0.8)*INDIRECT("AMI_MIN_PCT_PR_"&amp;CONFIG_FHC_PROG_ID))+0.01</f>
        <v>#REF!</v>
      </c>
      <c r="F36" s="283" t="e" cm="1">
        <f t="array" aca="1" ref="F36" ca="1">((VLOOKUP(B36,LOOKUP_AMI_TABLE,5,FALSE)/0.8)*INDIRECT("AMI_MAX_PCT_PR_"&amp;CONFIG_FHC_PROG_ID))</f>
        <v>#REF!</v>
      </c>
      <c r="G36" s="283" t="e" cm="1">
        <f t="array" aca="1" ref="G36" ca="1">((VLOOKUP(B36,LOOKUP_AMI_TABLE,7,FALSE)/0.8)*INDIRECT("AMI_MIN_PCT_PR_"&amp;CONFIG_FHC_PROG_ID))+0.01</f>
        <v>#REF!</v>
      </c>
      <c r="H36" s="283" t="e" cm="1">
        <f t="array" aca="1" ref="H36" ca="1">((VLOOKUP(B36,LOOKUP_AMI_TABLE,7,FALSE)/0.8)*INDIRECT("AMI_MAX_PCT_PR_"&amp;CONFIG_FHC_PROG_ID))</f>
        <v>#REF!</v>
      </c>
    </row>
    <row r="37" spans="1:8" s="36" customFormat="1" ht="20.100000000000001" customHeight="1" x14ac:dyDescent="0.25">
      <c r="A37" s="36" t="s">
        <v>2904</v>
      </c>
      <c r="B37" s="36" t="str">
        <f t="shared" si="0"/>
        <v>PR_GUAYAMA</v>
      </c>
      <c r="D37" s="249" t="s">
        <v>2435</v>
      </c>
      <c r="E37" s="283" t="e" cm="1">
        <f t="array" aca="1" ref="E37" ca="1">((VLOOKUP(B37,LOOKUP_AMI_TABLE,5,FALSE)/0.8)*INDIRECT("AMI_MIN_PCT_PR_"&amp;CONFIG_FHC_PROG_ID))+0.01</f>
        <v>#REF!</v>
      </c>
      <c r="F37" s="283" t="e" cm="1">
        <f t="array" aca="1" ref="F37" ca="1">((VLOOKUP(B37,LOOKUP_AMI_TABLE,5,FALSE)/0.8)*INDIRECT("AMI_MAX_PCT_PR_"&amp;CONFIG_FHC_PROG_ID))</f>
        <v>#REF!</v>
      </c>
      <c r="G37" s="283" t="e" cm="1">
        <f t="array" aca="1" ref="G37" ca="1">((VLOOKUP(B37,LOOKUP_AMI_TABLE,7,FALSE)/0.8)*INDIRECT("AMI_MIN_PCT_PR_"&amp;CONFIG_FHC_PROG_ID))+0.01</f>
        <v>#REF!</v>
      </c>
      <c r="H37" s="283" t="e" cm="1">
        <f t="array" aca="1" ref="H37" ca="1">((VLOOKUP(B37,LOOKUP_AMI_TABLE,7,FALSE)/0.8)*INDIRECT("AMI_MAX_PCT_PR_"&amp;CONFIG_FHC_PROG_ID))</f>
        <v>#REF!</v>
      </c>
    </row>
    <row r="38" spans="1:8" s="36" customFormat="1" ht="20.100000000000001" customHeight="1" x14ac:dyDescent="0.25">
      <c r="A38" s="36" t="s">
        <v>2904</v>
      </c>
      <c r="B38" s="36" t="str">
        <f t="shared" si="0"/>
        <v>PR_GUAYANILLA</v>
      </c>
      <c r="D38" s="249" t="s">
        <v>2436</v>
      </c>
      <c r="E38" s="283" t="e" cm="1">
        <f t="array" aca="1" ref="E38" ca="1">((VLOOKUP(B38,LOOKUP_AMI_TABLE,5,FALSE)/0.8)*INDIRECT("AMI_MIN_PCT_PR_"&amp;CONFIG_FHC_PROG_ID))+0.01</f>
        <v>#REF!</v>
      </c>
      <c r="F38" s="283" t="e" cm="1">
        <f t="array" aca="1" ref="F38" ca="1">((VLOOKUP(B38,LOOKUP_AMI_TABLE,5,FALSE)/0.8)*INDIRECT("AMI_MAX_PCT_PR_"&amp;CONFIG_FHC_PROG_ID))</f>
        <v>#REF!</v>
      </c>
      <c r="G38" s="283" t="e" cm="1">
        <f t="array" aca="1" ref="G38" ca="1">((VLOOKUP(B38,LOOKUP_AMI_TABLE,7,FALSE)/0.8)*INDIRECT("AMI_MIN_PCT_PR_"&amp;CONFIG_FHC_PROG_ID))+0.01</f>
        <v>#REF!</v>
      </c>
      <c r="H38" s="283" t="e" cm="1">
        <f t="array" aca="1" ref="H38" ca="1">((VLOOKUP(B38,LOOKUP_AMI_TABLE,7,FALSE)/0.8)*INDIRECT("AMI_MAX_PCT_PR_"&amp;CONFIG_FHC_PROG_ID))</f>
        <v>#REF!</v>
      </c>
    </row>
    <row r="39" spans="1:8" s="36" customFormat="1" ht="20.100000000000001" customHeight="1" x14ac:dyDescent="0.25">
      <c r="A39" s="36" t="s">
        <v>2904</v>
      </c>
      <c r="B39" s="36" t="str">
        <f t="shared" si="0"/>
        <v>PR_GUAYNABO</v>
      </c>
      <c r="D39" s="249" t="s">
        <v>2437</v>
      </c>
      <c r="E39" s="283" t="e" cm="1">
        <f t="array" aca="1" ref="E39" ca="1">((VLOOKUP(B39,LOOKUP_AMI_TABLE,5,FALSE)/0.8)*INDIRECT("AMI_MIN_PCT_PR_"&amp;CONFIG_FHC_PROG_ID))+0.01</f>
        <v>#REF!</v>
      </c>
      <c r="F39" s="283" t="e" cm="1">
        <f t="array" aca="1" ref="F39" ca="1">((VLOOKUP(B39,LOOKUP_AMI_TABLE,5,FALSE)/0.8)*INDIRECT("AMI_MAX_PCT_PR_"&amp;CONFIG_FHC_PROG_ID))</f>
        <v>#REF!</v>
      </c>
      <c r="G39" s="283" t="e" cm="1">
        <f t="array" aca="1" ref="G39" ca="1">((VLOOKUP(B39,LOOKUP_AMI_TABLE,7,FALSE)/0.8)*INDIRECT("AMI_MIN_PCT_PR_"&amp;CONFIG_FHC_PROG_ID))+0.01</f>
        <v>#REF!</v>
      </c>
      <c r="H39" s="283" t="e" cm="1">
        <f t="array" aca="1" ref="H39" ca="1">((VLOOKUP(B39,LOOKUP_AMI_TABLE,7,FALSE)/0.8)*INDIRECT("AMI_MAX_PCT_PR_"&amp;CONFIG_FHC_PROG_ID))</f>
        <v>#REF!</v>
      </c>
    </row>
    <row r="40" spans="1:8" s="36" customFormat="1" ht="20.100000000000001" customHeight="1" x14ac:dyDescent="0.25">
      <c r="A40" s="36" t="s">
        <v>2904</v>
      </c>
      <c r="B40" s="36" t="str">
        <f t="shared" si="0"/>
        <v>PR_GURABO</v>
      </c>
      <c r="D40" s="249" t="s">
        <v>2438</v>
      </c>
      <c r="E40" s="283" t="e" cm="1">
        <f t="array" aca="1" ref="E40" ca="1">((VLOOKUP(B40,LOOKUP_AMI_TABLE,5,FALSE)/0.8)*INDIRECT("AMI_MIN_PCT_PR_"&amp;CONFIG_FHC_PROG_ID))+0.01</f>
        <v>#REF!</v>
      </c>
      <c r="F40" s="283" t="e" cm="1">
        <f t="array" aca="1" ref="F40" ca="1">((VLOOKUP(B40,LOOKUP_AMI_TABLE,5,FALSE)/0.8)*INDIRECT("AMI_MAX_PCT_PR_"&amp;CONFIG_FHC_PROG_ID))</f>
        <v>#REF!</v>
      </c>
      <c r="G40" s="283" t="e" cm="1">
        <f t="array" aca="1" ref="G40" ca="1">((VLOOKUP(B40,LOOKUP_AMI_TABLE,7,FALSE)/0.8)*INDIRECT("AMI_MIN_PCT_PR_"&amp;CONFIG_FHC_PROG_ID))+0.01</f>
        <v>#REF!</v>
      </c>
      <c r="H40" s="283" t="e" cm="1">
        <f t="array" aca="1" ref="H40" ca="1">((VLOOKUP(B40,LOOKUP_AMI_TABLE,7,FALSE)/0.8)*INDIRECT("AMI_MAX_PCT_PR_"&amp;CONFIG_FHC_PROG_ID))</f>
        <v>#REF!</v>
      </c>
    </row>
    <row r="41" spans="1:8" s="36" customFormat="1" ht="20.100000000000001" customHeight="1" x14ac:dyDescent="0.25">
      <c r="A41" s="36" t="s">
        <v>2904</v>
      </c>
      <c r="B41" s="36" t="str">
        <f t="shared" si="0"/>
        <v>PR_HATILLO</v>
      </c>
      <c r="D41" s="249" t="s">
        <v>2439</v>
      </c>
      <c r="E41" s="283" t="e" cm="1">
        <f t="array" aca="1" ref="E41" ca="1">((VLOOKUP(B41,LOOKUP_AMI_TABLE,5,FALSE)/0.8)*INDIRECT("AMI_MIN_PCT_PR_"&amp;CONFIG_FHC_PROG_ID))+0.01</f>
        <v>#REF!</v>
      </c>
      <c r="F41" s="283" t="e" cm="1">
        <f t="array" aca="1" ref="F41" ca="1">((VLOOKUP(B41,LOOKUP_AMI_TABLE,5,FALSE)/0.8)*INDIRECT("AMI_MAX_PCT_PR_"&amp;CONFIG_FHC_PROG_ID))</f>
        <v>#REF!</v>
      </c>
      <c r="G41" s="283" t="e" cm="1">
        <f t="array" aca="1" ref="G41" ca="1">((VLOOKUP(B41,LOOKUP_AMI_TABLE,7,FALSE)/0.8)*INDIRECT("AMI_MIN_PCT_PR_"&amp;CONFIG_FHC_PROG_ID))+0.01</f>
        <v>#REF!</v>
      </c>
      <c r="H41" s="283" t="e" cm="1">
        <f t="array" aca="1" ref="H41" ca="1">((VLOOKUP(B41,LOOKUP_AMI_TABLE,7,FALSE)/0.8)*INDIRECT("AMI_MAX_PCT_PR_"&amp;CONFIG_FHC_PROG_ID))</f>
        <v>#REF!</v>
      </c>
    </row>
    <row r="42" spans="1:8" s="36" customFormat="1" ht="20.100000000000001" customHeight="1" x14ac:dyDescent="0.25">
      <c r="A42" s="36" t="s">
        <v>2904</v>
      </c>
      <c r="B42" s="36" t="str">
        <f t="shared" si="0"/>
        <v>PR_HORMIGUEROS</v>
      </c>
      <c r="D42" s="249" t="s">
        <v>2440</v>
      </c>
      <c r="E42" s="283" t="e" cm="1">
        <f t="array" aca="1" ref="E42" ca="1">((VLOOKUP(B42,LOOKUP_AMI_TABLE,5,FALSE)/0.8)*INDIRECT("AMI_MIN_PCT_PR_"&amp;CONFIG_FHC_PROG_ID))+0.01</f>
        <v>#REF!</v>
      </c>
      <c r="F42" s="283" t="e" cm="1">
        <f t="array" aca="1" ref="F42" ca="1">((VLOOKUP(B42,LOOKUP_AMI_TABLE,5,FALSE)/0.8)*INDIRECT("AMI_MAX_PCT_PR_"&amp;CONFIG_FHC_PROG_ID))</f>
        <v>#REF!</v>
      </c>
      <c r="G42" s="283" t="e" cm="1">
        <f t="array" aca="1" ref="G42" ca="1">((VLOOKUP(B42,LOOKUP_AMI_TABLE,7,FALSE)/0.8)*INDIRECT("AMI_MIN_PCT_PR_"&amp;CONFIG_FHC_PROG_ID))+0.01</f>
        <v>#REF!</v>
      </c>
      <c r="H42" s="283" t="e" cm="1">
        <f t="array" aca="1" ref="H42" ca="1">((VLOOKUP(B42,LOOKUP_AMI_TABLE,7,FALSE)/0.8)*INDIRECT("AMI_MAX_PCT_PR_"&amp;CONFIG_FHC_PROG_ID))</f>
        <v>#REF!</v>
      </c>
    </row>
    <row r="43" spans="1:8" s="36" customFormat="1" ht="20.100000000000001" customHeight="1" x14ac:dyDescent="0.25">
      <c r="A43" s="36" t="s">
        <v>2904</v>
      </c>
      <c r="B43" s="36" t="str">
        <f t="shared" si="0"/>
        <v>PR_HUMACAO</v>
      </c>
      <c r="D43" s="249" t="s">
        <v>2441</v>
      </c>
      <c r="E43" s="283" t="e" cm="1">
        <f t="array" aca="1" ref="E43" ca="1">((VLOOKUP(B43,LOOKUP_AMI_TABLE,5,FALSE)/0.8)*INDIRECT("AMI_MIN_PCT_PR_"&amp;CONFIG_FHC_PROG_ID))+0.01</f>
        <v>#REF!</v>
      </c>
      <c r="F43" s="283" t="e" cm="1">
        <f t="array" aca="1" ref="F43" ca="1">((VLOOKUP(B43,LOOKUP_AMI_TABLE,5,FALSE)/0.8)*INDIRECT("AMI_MAX_PCT_PR_"&amp;CONFIG_FHC_PROG_ID))</f>
        <v>#REF!</v>
      </c>
      <c r="G43" s="283" t="e" cm="1">
        <f t="array" aca="1" ref="G43" ca="1">((VLOOKUP(B43,LOOKUP_AMI_TABLE,7,FALSE)/0.8)*INDIRECT("AMI_MIN_PCT_PR_"&amp;CONFIG_FHC_PROG_ID))+0.01</f>
        <v>#REF!</v>
      </c>
      <c r="H43" s="283" t="e" cm="1">
        <f t="array" aca="1" ref="H43" ca="1">((VLOOKUP(B43,LOOKUP_AMI_TABLE,7,FALSE)/0.8)*INDIRECT("AMI_MAX_PCT_PR_"&amp;CONFIG_FHC_PROG_ID))</f>
        <v>#REF!</v>
      </c>
    </row>
    <row r="44" spans="1:8" s="36" customFormat="1" ht="20.100000000000001" customHeight="1" x14ac:dyDescent="0.25">
      <c r="A44" s="36" t="s">
        <v>2904</v>
      </c>
      <c r="B44" s="36" t="str">
        <f t="shared" si="0"/>
        <v>PR_ISABELA</v>
      </c>
      <c r="D44" s="249" t="s">
        <v>2442</v>
      </c>
      <c r="E44" s="283" t="e" cm="1">
        <f t="array" aca="1" ref="E44" ca="1">((VLOOKUP(B44,LOOKUP_AMI_TABLE,5,FALSE)/0.8)*INDIRECT("AMI_MIN_PCT_PR_"&amp;CONFIG_FHC_PROG_ID))+0.01</f>
        <v>#REF!</v>
      </c>
      <c r="F44" s="283" t="e" cm="1">
        <f t="array" aca="1" ref="F44" ca="1">((VLOOKUP(B44,LOOKUP_AMI_TABLE,5,FALSE)/0.8)*INDIRECT("AMI_MAX_PCT_PR_"&amp;CONFIG_FHC_PROG_ID))</f>
        <v>#REF!</v>
      </c>
      <c r="G44" s="283" t="e" cm="1">
        <f t="array" aca="1" ref="G44" ca="1">((VLOOKUP(B44,LOOKUP_AMI_TABLE,7,FALSE)/0.8)*INDIRECT("AMI_MIN_PCT_PR_"&amp;CONFIG_FHC_PROG_ID))+0.01</f>
        <v>#REF!</v>
      </c>
      <c r="H44" s="283" t="e" cm="1">
        <f t="array" aca="1" ref="H44" ca="1">((VLOOKUP(B44,LOOKUP_AMI_TABLE,7,FALSE)/0.8)*INDIRECT("AMI_MAX_PCT_PR_"&amp;CONFIG_FHC_PROG_ID))</f>
        <v>#REF!</v>
      </c>
    </row>
    <row r="45" spans="1:8" s="36" customFormat="1" ht="20.100000000000001" customHeight="1" x14ac:dyDescent="0.25">
      <c r="A45" s="36" t="s">
        <v>2904</v>
      </c>
      <c r="B45" s="36" t="str">
        <f t="shared" si="0"/>
        <v>PR_JAYUYA</v>
      </c>
      <c r="D45" s="249" t="s">
        <v>2443</v>
      </c>
      <c r="E45" s="283" t="e" cm="1">
        <f t="array" aca="1" ref="E45" ca="1">((VLOOKUP(B45,LOOKUP_AMI_TABLE,5,FALSE)/0.8)*INDIRECT("AMI_MIN_PCT_PR_"&amp;CONFIG_FHC_PROG_ID))+0.01</f>
        <v>#REF!</v>
      </c>
      <c r="F45" s="283" t="e" cm="1">
        <f t="array" aca="1" ref="F45" ca="1">((VLOOKUP(B45,LOOKUP_AMI_TABLE,5,FALSE)/0.8)*INDIRECT("AMI_MAX_PCT_PR_"&amp;CONFIG_FHC_PROG_ID))</f>
        <v>#REF!</v>
      </c>
      <c r="G45" s="283" t="e" cm="1">
        <f t="array" aca="1" ref="G45" ca="1">((VLOOKUP(B45,LOOKUP_AMI_TABLE,7,FALSE)/0.8)*INDIRECT("AMI_MIN_PCT_PR_"&amp;CONFIG_FHC_PROG_ID))+0.01</f>
        <v>#REF!</v>
      </c>
      <c r="H45" s="283" t="e" cm="1">
        <f t="array" aca="1" ref="H45" ca="1">((VLOOKUP(B45,LOOKUP_AMI_TABLE,7,FALSE)/0.8)*INDIRECT("AMI_MAX_PCT_PR_"&amp;CONFIG_FHC_PROG_ID))</f>
        <v>#REF!</v>
      </c>
    </row>
    <row r="46" spans="1:8" s="36" customFormat="1" ht="20.100000000000001" customHeight="1" x14ac:dyDescent="0.25">
      <c r="A46" s="36" t="s">
        <v>2904</v>
      </c>
      <c r="B46" s="36" t="str">
        <f t="shared" si="0"/>
        <v>PR_JUANA DIAZ</v>
      </c>
      <c r="D46" s="249" t="s">
        <v>2444</v>
      </c>
      <c r="E46" s="283" t="e" cm="1">
        <f t="array" aca="1" ref="E46" ca="1">((VLOOKUP(B46,LOOKUP_AMI_TABLE,5,FALSE)/0.8)*INDIRECT("AMI_MIN_PCT_PR_"&amp;CONFIG_FHC_PROG_ID))+0.01</f>
        <v>#REF!</v>
      </c>
      <c r="F46" s="283" t="e" cm="1">
        <f t="array" aca="1" ref="F46" ca="1">((VLOOKUP(B46,LOOKUP_AMI_TABLE,5,FALSE)/0.8)*INDIRECT("AMI_MAX_PCT_PR_"&amp;CONFIG_FHC_PROG_ID))</f>
        <v>#REF!</v>
      </c>
      <c r="G46" s="283" t="e" cm="1">
        <f t="array" aca="1" ref="G46" ca="1">((VLOOKUP(B46,LOOKUP_AMI_TABLE,7,FALSE)/0.8)*INDIRECT("AMI_MIN_PCT_PR_"&amp;CONFIG_FHC_PROG_ID))+0.01</f>
        <v>#REF!</v>
      </c>
      <c r="H46" s="283" t="e" cm="1">
        <f t="array" aca="1" ref="H46" ca="1">((VLOOKUP(B46,LOOKUP_AMI_TABLE,7,FALSE)/0.8)*INDIRECT("AMI_MAX_PCT_PR_"&amp;CONFIG_FHC_PROG_ID))</f>
        <v>#REF!</v>
      </c>
    </row>
    <row r="47" spans="1:8" s="36" customFormat="1" ht="20.100000000000001" customHeight="1" x14ac:dyDescent="0.25">
      <c r="A47" s="36" t="s">
        <v>2904</v>
      </c>
      <c r="B47" s="36" t="str">
        <f t="shared" si="0"/>
        <v>PR_JUNCOS</v>
      </c>
      <c r="D47" s="249" t="s">
        <v>2445</v>
      </c>
      <c r="E47" s="283" t="e" cm="1">
        <f t="array" aca="1" ref="E47" ca="1">((VLOOKUP(B47,LOOKUP_AMI_TABLE,5,FALSE)/0.8)*INDIRECT("AMI_MIN_PCT_PR_"&amp;CONFIG_FHC_PROG_ID))+0.01</f>
        <v>#REF!</v>
      </c>
      <c r="F47" s="283" t="e" cm="1">
        <f t="array" aca="1" ref="F47" ca="1">((VLOOKUP(B47,LOOKUP_AMI_TABLE,5,FALSE)/0.8)*INDIRECT("AMI_MAX_PCT_PR_"&amp;CONFIG_FHC_PROG_ID))</f>
        <v>#REF!</v>
      </c>
      <c r="G47" s="283" t="e" cm="1">
        <f t="array" aca="1" ref="G47" ca="1">((VLOOKUP(B47,LOOKUP_AMI_TABLE,7,FALSE)/0.8)*INDIRECT("AMI_MIN_PCT_PR_"&amp;CONFIG_FHC_PROG_ID))+0.01</f>
        <v>#REF!</v>
      </c>
      <c r="H47" s="283" t="e" cm="1">
        <f t="array" aca="1" ref="H47" ca="1">((VLOOKUP(B47,LOOKUP_AMI_TABLE,7,FALSE)/0.8)*INDIRECT("AMI_MAX_PCT_PR_"&amp;CONFIG_FHC_PROG_ID))</f>
        <v>#REF!</v>
      </c>
    </row>
    <row r="48" spans="1:8" s="36" customFormat="1" ht="20.100000000000001" customHeight="1" x14ac:dyDescent="0.25">
      <c r="A48" s="36" t="s">
        <v>2904</v>
      </c>
      <c r="B48" s="36" t="str">
        <f t="shared" si="0"/>
        <v>PR_LAJAS</v>
      </c>
      <c r="D48" s="249" t="s">
        <v>2446</v>
      </c>
      <c r="E48" s="283" t="e" cm="1">
        <f t="array" aca="1" ref="E48" ca="1">((VLOOKUP(B48,LOOKUP_AMI_TABLE,5,FALSE)/0.8)*INDIRECT("AMI_MIN_PCT_PR_"&amp;CONFIG_FHC_PROG_ID))+0.01</f>
        <v>#REF!</v>
      </c>
      <c r="F48" s="283" t="e" cm="1">
        <f t="array" aca="1" ref="F48" ca="1">((VLOOKUP(B48,LOOKUP_AMI_TABLE,5,FALSE)/0.8)*INDIRECT("AMI_MAX_PCT_PR_"&amp;CONFIG_FHC_PROG_ID))</f>
        <v>#REF!</v>
      </c>
      <c r="G48" s="283" t="e" cm="1">
        <f t="array" aca="1" ref="G48" ca="1">((VLOOKUP(B48,LOOKUP_AMI_TABLE,7,FALSE)/0.8)*INDIRECT("AMI_MIN_PCT_PR_"&amp;CONFIG_FHC_PROG_ID))+0.01</f>
        <v>#REF!</v>
      </c>
      <c r="H48" s="283" t="e" cm="1">
        <f t="array" aca="1" ref="H48" ca="1">((VLOOKUP(B48,LOOKUP_AMI_TABLE,7,FALSE)/0.8)*INDIRECT("AMI_MAX_PCT_PR_"&amp;CONFIG_FHC_PROG_ID))</f>
        <v>#REF!</v>
      </c>
    </row>
    <row r="49" spans="1:8" s="36" customFormat="1" ht="20.100000000000001" customHeight="1" x14ac:dyDescent="0.25">
      <c r="A49" s="36" t="s">
        <v>2904</v>
      </c>
      <c r="B49" s="36" t="str">
        <f t="shared" si="0"/>
        <v>PR_LARES</v>
      </c>
      <c r="D49" s="249" t="s">
        <v>2447</v>
      </c>
      <c r="E49" s="283" t="e" cm="1">
        <f t="array" aca="1" ref="E49" ca="1">((VLOOKUP(B49,LOOKUP_AMI_TABLE,5,FALSE)/0.8)*INDIRECT("AMI_MIN_PCT_PR_"&amp;CONFIG_FHC_PROG_ID))+0.01</f>
        <v>#REF!</v>
      </c>
      <c r="F49" s="283" t="e" cm="1">
        <f t="array" aca="1" ref="F49" ca="1">((VLOOKUP(B49,LOOKUP_AMI_TABLE,5,FALSE)/0.8)*INDIRECT("AMI_MAX_PCT_PR_"&amp;CONFIG_FHC_PROG_ID))</f>
        <v>#REF!</v>
      </c>
      <c r="G49" s="283" t="e" cm="1">
        <f t="array" aca="1" ref="G49" ca="1">((VLOOKUP(B49,LOOKUP_AMI_TABLE,7,FALSE)/0.8)*INDIRECT("AMI_MIN_PCT_PR_"&amp;CONFIG_FHC_PROG_ID))+0.01</f>
        <v>#REF!</v>
      </c>
      <c r="H49" s="283" t="e" cm="1">
        <f t="array" aca="1" ref="H49" ca="1">((VLOOKUP(B49,LOOKUP_AMI_TABLE,7,FALSE)/0.8)*INDIRECT("AMI_MAX_PCT_PR_"&amp;CONFIG_FHC_PROG_ID))</f>
        <v>#REF!</v>
      </c>
    </row>
    <row r="50" spans="1:8" s="36" customFormat="1" ht="20.100000000000001" customHeight="1" x14ac:dyDescent="0.25">
      <c r="A50" s="36" t="s">
        <v>2904</v>
      </c>
      <c r="B50" s="36" t="str">
        <f t="shared" si="0"/>
        <v>PR_LAS MARIAS</v>
      </c>
      <c r="D50" s="249" t="s">
        <v>2448</v>
      </c>
      <c r="E50" s="283" t="e" cm="1">
        <f t="array" aca="1" ref="E50" ca="1">((VLOOKUP(B50,LOOKUP_AMI_TABLE,5,FALSE)/0.8)*INDIRECT("AMI_MIN_PCT_PR_"&amp;CONFIG_FHC_PROG_ID))+0.01</f>
        <v>#REF!</v>
      </c>
      <c r="F50" s="283" t="e" cm="1">
        <f t="array" aca="1" ref="F50" ca="1">((VLOOKUP(B50,LOOKUP_AMI_TABLE,5,FALSE)/0.8)*INDIRECT("AMI_MAX_PCT_PR_"&amp;CONFIG_FHC_PROG_ID))</f>
        <v>#REF!</v>
      </c>
      <c r="G50" s="283" t="e" cm="1">
        <f t="array" aca="1" ref="G50" ca="1">((VLOOKUP(B50,LOOKUP_AMI_TABLE,7,FALSE)/0.8)*INDIRECT("AMI_MIN_PCT_PR_"&amp;CONFIG_FHC_PROG_ID))+0.01</f>
        <v>#REF!</v>
      </c>
      <c r="H50" s="283" t="e" cm="1">
        <f t="array" aca="1" ref="H50" ca="1">((VLOOKUP(B50,LOOKUP_AMI_TABLE,7,FALSE)/0.8)*INDIRECT("AMI_MAX_PCT_PR_"&amp;CONFIG_FHC_PROG_ID))</f>
        <v>#REF!</v>
      </c>
    </row>
    <row r="51" spans="1:8" s="36" customFormat="1" ht="20.100000000000001" customHeight="1" x14ac:dyDescent="0.25">
      <c r="A51" s="36" t="s">
        <v>2904</v>
      </c>
      <c r="B51" s="36" t="str">
        <f t="shared" si="0"/>
        <v>PR_LAS PIEDRAS</v>
      </c>
      <c r="D51" s="249" t="s">
        <v>2449</v>
      </c>
      <c r="E51" s="283" t="e" cm="1">
        <f t="array" aca="1" ref="E51" ca="1">((VLOOKUP(B51,LOOKUP_AMI_TABLE,5,FALSE)/0.8)*INDIRECT("AMI_MIN_PCT_PR_"&amp;CONFIG_FHC_PROG_ID))+0.01</f>
        <v>#REF!</v>
      </c>
      <c r="F51" s="283" t="e" cm="1">
        <f t="array" aca="1" ref="F51" ca="1">((VLOOKUP(B51,LOOKUP_AMI_TABLE,5,FALSE)/0.8)*INDIRECT("AMI_MAX_PCT_PR_"&amp;CONFIG_FHC_PROG_ID))</f>
        <v>#REF!</v>
      </c>
      <c r="G51" s="283" t="e" cm="1">
        <f t="array" aca="1" ref="G51" ca="1">((VLOOKUP(B51,LOOKUP_AMI_TABLE,7,FALSE)/0.8)*INDIRECT("AMI_MIN_PCT_PR_"&amp;CONFIG_FHC_PROG_ID))+0.01</f>
        <v>#REF!</v>
      </c>
      <c r="H51" s="283" t="e" cm="1">
        <f t="array" aca="1" ref="H51" ca="1">((VLOOKUP(B51,LOOKUP_AMI_TABLE,7,FALSE)/0.8)*INDIRECT("AMI_MAX_PCT_PR_"&amp;CONFIG_FHC_PROG_ID))</f>
        <v>#REF!</v>
      </c>
    </row>
    <row r="52" spans="1:8" s="36" customFormat="1" ht="20.100000000000001" customHeight="1" x14ac:dyDescent="0.25">
      <c r="A52" s="36" t="s">
        <v>2904</v>
      </c>
      <c r="B52" s="36" t="str">
        <f t="shared" si="0"/>
        <v>PR_LOIZA</v>
      </c>
      <c r="D52" s="249" t="s">
        <v>2450</v>
      </c>
      <c r="E52" s="283" t="e" cm="1">
        <f t="array" aca="1" ref="E52" ca="1">((VLOOKUP(B52,LOOKUP_AMI_TABLE,5,FALSE)/0.8)*INDIRECT("AMI_MIN_PCT_PR_"&amp;CONFIG_FHC_PROG_ID))+0.01</f>
        <v>#REF!</v>
      </c>
      <c r="F52" s="283" t="e" cm="1">
        <f t="array" aca="1" ref="F52" ca="1">((VLOOKUP(B52,LOOKUP_AMI_TABLE,5,FALSE)/0.8)*INDIRECT("AMI_MAX_PCT_PR_"&amp;CONFIG_FHC_PROG_ID))</f>
        <v>#REF!</v>
      </c>
      <c r="G52" s="283" t="e" cm="1">
        <f t="array" aca="1" ref="G52" ca="1">((VLOOKUP(B52,LOOKUP_AMI_TABLE,7,FALSE)/0.8)*INDIRECT("AMI_MIN_PCT_PR_"&amp;CONFIG_FHC_PROG_ID))+0.01</f>
        <v>#REF!</v>
      </c>
      <c r="H52" s="283" t="e" cm="1">
        <f t="array" aca="1" ref="H52" ca="1">((VLOOKUP(B52,LOOKUP_AMI_TABLE,7,FALSE)/0.8)*INDIRECT("AMI_MAX_PCT_PR_"&amp;CONFIG_FHC_PROG_ID))</f>
        <v>#REF!</v>
      </c>
    </row>
    <row r="53" spans="1:8" s="36" customFormat="1" ht="20.100000000000001" customHeight="1" x14ac:dyDescent="0.25">
      <c r="A53" s="36" t="s">
        <v>2904</v>
      </c>
      <c r="B53" s="36" t="str">
        <f t="shared" si="0"/>
        <v>PR_LUQUILLO</v>
      </c>
      <c r="D53" s="249" t="s">
        <v>2451</v>
      </c>
      <c r="E53" s="283" t="e" cm="1">
        <f t="array" aca="1" ref="E53" ca="1">((VLOOKUP(B53,LOOKUP_AMI_TABLE,5,FALSE)/0.8)*INDIRECT("AMI_MIN_PCT_PR_"&amp;CONFIG_FHC_PROG_ID))+0.01</f>
        <v>#REF!</v>
      </c>
      <c r="F53" s="283" t="e" cm="1">
        <f t="array" aca="1" ref="F53" ca="1">((VLOOKUP(B53,LOOKUP_AMI_TABLE,5,FALSE)/0.8)*INDIRECT("AMI_MAX_PCT_PR_"&amp;CONFIG_FHC_PROG_ID))</f>
        <v>#REF!</v>
      </c>
      <c r="G53" s="283" t="e" cm="1">
        <f t="array" aca="1" ref="G53" ca="1">((VLOOKUP(B53,LOOKUP_AMI_TABLE,7,FALSE)/0.8)*INDIRECT("AMI_MIN_PCT_PR_"&amp;CONFIG_FHC_PROG_ID))+0.01</f>
        <v>#REF!</v>
      </c>
      <c r="H53" s="283" t="e" cm="1">
        <f t="array" aca="1" ref="H53" ca="1">((VLOOKUP(B53,LOOKUP_AMI_TABLE,7,FALSE)/0.8)*INDIRECT("AMI_MAX_PCT_PR_"&amp;CONFIG_FHC_PROG_ID))</f>
        <v>#REF!</v>
      </c>
    </row>
    <row r="54" spans="1:8" s="36" customFormat="1" ht="20.100000000000001" customHeight="1" x14ac:dyDescent="0.25">
      <c r="A54" s="36" t="s">
        <v>2904</v>
      </c>
      <c r="B54" s="36" t="str">
        <f t="shared" si="0"/>
        <v>PR_MANATI</v>
      </c>
      <c r="D54" s="249" t="s">
        <v>2104</v>
      </c>
      <c r="E54" s="283" t="e" cm="1">
        <f t="array" aca="1" ref="E54" ca="1">((VLOOKUP(B54,LOOKUP_AMI_TABLE,5,FALSE)/0.8)*INDIRECT("AMI_MIN_PCT_PR_"&amp;CONFIG_FHC_PROG_ID))+0.01</f>
        <v>#REF!</v>
      </c>
      <c r="F54" s="283" t="e" cm="1">
        <f t="array" aca="1" ref="F54" ca="1">((VLOOKUP(B54,LOOKUP_AMI_TABLE,5,FALSE)/0.8)*INDIRECT("AMI_MAX_PCT_PR_"&amp;CONFIG_FHC_PROG_ID))</f>
        <v>#REF!</v>
      </c>
      <c r="G54" s="283" t="e" cm="1">
        <f t="array" aca="1" ref="G54" ca="1">((VLOOKUP(B54,LOOKUP_AMI_TABLE,7,FALSE)/0.8)*INDIRECT("AMI_MIN_PCT_PR_"&amp;CONFIG_FHC_PROG_ID))+0.01</f>
        <v>#REF!</v>
      </c>
      <c r="H54" s="283" t="e" cm="1">
        <f t="array" aca="1" ref="H54" ca="1">((VLOOKUP(B54,LOOKUP_AMI_TABLE,7,FALSE)/0.8)*INDIRECT("AMI_MAX_PCT_PR_"&amp;CONFIG_FHC_PROG_ID))</f>
        <v>#REF!</v>
      </c>
    </row>
    <row r="55" spans="1:8" s="36" customFormat="1" ht="20.100000000000001" customHeight="1" x14ac:dyDescent="0.25">
      <c r="A55" s="36" t="s">
        <v>2904</v>
      </c>
      <c r="B55" s="36" t="str">
        <f t="shared" si="0"/>
        <v>PR_MARICAO</v>
      </c>
      <c r="D55" s="249" t="s">
        <v>2452</v>
      </c>
      <c r="E55" s="283" t="e" cm="1">
        <f t="array" aca="1" ref="E55" ca="1">((VLOOKUP(B55,LOOKUP_AMI_TABLE,5,FALSE)/0.8)*INDIRECT("AMI_MIN_PCT_PR_"&amp;CONFIG_FHC_PROG_ID))+0.01</f>
        <v>#REF!</v>
      </c>
      <c r="F55" s="283" t="e" cm="1">
        <f t="array" aca="1" ref="F55" ca="1">((VLOOKUP(B55,LOOKUP_AMI_TABLE,5,FALSE)/0.8)*INDIRECT("AMI_MAX_PCT_PR_"&amp;CONFIG_FHC_PROG_ID))</f>
        <v>#REF!</v>
      </c>
      <c r="G55" s="283" t="e" cm="1">
        <f t="array" aca="1" ref="G55" ca="1">((VLOOKUP(B55,LOOKUP_AMI_TABLE,7,FALSE)/0.8)*INDIRECT("AMI_MIN_PCT_PR_"&amp;CONFIG_FHC_PROG_ID))+0.01</f>
        <v>#REF!</v>
      </c>
      <c r="H55" s="283" t="e" cm="1">
        <f t="array" aca="1" ref="H55" ca="1">((VLOOKUP(B55,LOOKUP_AMI_TABLE,7,FALSE)/0.8)*INDIRECT("AMI_MAX_PCT_PR_"&amp;CONFIG_FHC_PROG_ID))</f>
        <v>#REF!</v>
      </c>
    </row>
    <row r="56" spans="1:8" s="36" customFormat="1" ht="20.100000000000001" customHeight="1" x14ac:dyDescent="0.25">
      <c r="A56" s="36" t="s">
        <v>2904</v>
      </c>
      <c r="B56" s="36" t="str">
        <f t="shared" si="0"/>
        <v>PR_MAUNABO</v>
      </c>
      <c r="D56" s="249" t="s">
        <v>2453</v>
      </c>
      <c r="E56" s="283" t="e" cm="1">
        <f t="array" aca="1" ref="E56" ca="1">((VLOOKUP(B56,LOOKUP_AMI_TABLE,5,FALSE)/0.8)*INDIRECT("AMI_MIN_PCT_PR_"&amp;CONFIG_FHC_PROG_ID))+0.01</f>
        <v>#REF!</v>
      </c>
      <c r="F56" s="283" t="e" cm="1">
        <f t="array" aca="1" ref="F56" ca="1">((VLOOKUP(B56,LOOKUP_AMI_TABLE,5,FALSE)/0.8)*INDIRECT("AMI_MAX_PCT_PR_"&amp;CONFIG_FHC_PROG_ID))</f>
        <v>#REF!</v>
      </c>
      <c r="G56" s="283" t="e" cm="1">
        <f t="array" aca="1" ref="G56" ca="1">((VLOOKUP(B56,LOOKUP_AMI_TABLE,7,FALSE)/0.8)*INDIRECT("AMI_MIN_PCT_PR_"&amp;CONFIG_FHC_PROG_ID))+0.01</f>
        <v>#REF!</v>
      </c>
      <c r="H56" s="283" t="e" cm="1">
        <f t="array" aca="1" ref="H56" ca="1">((VLOOKUP(B56,LOOKUP_AMI_TABLE,7,FALSE)/0.8)*INDIRECT("AMI_MAX_PCT_PR_"&amp;CONFIG_FHC_PROG_ID))</f>
        <v>#REF!</v>
      </c>
    </row>
    <row r="57" spans="1:8" s="36" customFormat="1" ht="20.100000000000001" customHeight="1" x14ac:dyDescent="0.25">
      <c r="A57" s="36" t="s">
        <v>2904</v>
      </c>
      <c r="B57" s="36" t="str">
        <f t="shared" si="0"/>
        <v>PR_MAYAGUEZ</v>
      </c>
      <c r="D57" s="249" t="s">
        <v>2454</v>
      </c>
      <c r="E57" s="283" t="e" cm="1">
        <f t="array" aca="1" ref="E57" ca="1">((VLOOKUP(B57,LOOKUP_AMI_TABLE,5,FALSE)/0.8)*INDIRECT("AMI_MIN_PCT_PR_"&amp;CONFIG_FHC_PROG_ID))+0.01</f>
        <v>#REF!</v>
      </c>
      <c r="F57" s="283" t="e" cm="1">
        <f t="array" aca="1" ref="F57" ca="1">((VLOOKUP(B57,LOOKUP_AMI_TABLE,5,FALSE)/0.8)*INDIRECT("AMI_MAX_PCT_PR_"&amp;CONFIG_FHC_PROG_ID))</f>
        <v>#REF!</v>
      </c>
      <c r="G57" s="283" t="e" cm="1">
        <f t="array" aca="1" ref="G57" ca="1">((VLOOKUP(B57,LOOKUP_AMI_TABLE,7,FALSE)/0.8)*INDIRECT("AMI_MIN_PCT_PR_"&amp;CONFIG_FHC_PROG_ID))+0.01</f>
        <v>#REF!</v>
      </c>
      <c r="H57" s="283" t="e" cm="1">
        <f t="array" aca="1" ref="H57" ca="1">((VLOOKUP(B57,LOOKUP_AMI_TABLE,7,FALSE)/0.8)*INDIRECT("AMI_MAX_PCT_PR_"&amp;CONFIG_FHC_PROG_ID))</f>
        <v>#REF!</v>
      </c>
    </row>
    <row r="58" spans="1:8" s="36" customFormat="1" ht="20.100000000000001" customHeight="1" x14ac:dyDescent="0.25">
      <c r="A58" s="36" t="s">
        <v>2904</v>
      </c>
      <c r="B58" s="36" t="str">
        <f t="shared" si="0"/>
        <v>PR_MOCA</v>
      </c>
      <c r="D58" s="249" t="s">
        <v>2455</v>
      </c>
      <c r="E58" s="283" t="e" cm="1">
        <f t="array" aca="1" ref="E58" ca="1">((VLOOKUP(B58,LOOKUP_AMI_TABLE,5,FALSE)/0.8)*INDIRECT("AMI_MIN_PCT_PR_"&amp;CONFIG_FHC_PROG_ID))+0.01</f>
        <v>#REF!</v>
      </c>
      <c r="F58" s="283" t="e" cm="1">
        <f t="array" aca="1" ref="F58" ca="1">((VLOOKUP(B58,LOOKUP_AMI_TABLE,5,FALSE)/0.8)*INDIRECT("AMI_MAX_PCT_PR_"&amp;CONFIG_FHC_PROG_ID))</f>
        <v>#REF!</v>
      </c>
      <c r="G58" s="283" t="e" cm="1">
        <f t="array" aca="1" ref="G58" ca="1">((VLOOKUP(B58,LOOKUP_AMI_TABLE,7,FALSE)/0.8)*INDIRECT("AMI_MIN_PCT_PR_"&amp;CONFIG_FHC_PROG_ID))+0.01</f>
        <v>#REF!</v>
      </c>
      <c r="H58" s="283" t="e" cm="1">
        <f t="array" aca="1" ref="H58" ca="1">((VLOOKUP(B58,LOOKUP_AMI_TABLE,7,FALSE)/0.8)*INDIRECT("AMI_MAX_PCT_PR_"&amp;CONFIG_FHC_PROG_ID))</f>
        <v>#REF!</v>
      </c>
    </row>
    <row r="59" spans="1:8" s="36" customFormat="1" ht="20.100000000000001" customHeight="1" x14ac:dyDescent="0.25">
      <c r="A59" s="36" t="s">
        <v>2904</v>
      </c>
      <c r="B59" s="36" t="str">
        <f t="shared" si="0"/>
        <v>PR_MOROVIS</v>
      </c>
      <c r="D59" s="249" t="s">
        <v>2456</v>
      </c>
      <c r="E59" s="283" t="e" cm="1">
        <f t="array" aca="1" ref="E59" ca="1">((VLOOKUP(B59,LOOKUP_AMI_TABLE,5,FALSE)/0.8)*INDIRECT("AMI_MIN_PCT_PR_"&amp;CONFIG_FHC_PROG_ID))+0.01</f>
        <v>#REF!</v>
      </c>
      <c r="F59" s="283" t="e" cm="1">
        <f t="array" aca="1" ref="F59" ca="1">((VLOOKUP(B59,LOOKUP_AMI_TABLE,5,FALSE)/0.8)*INDIRECT("AMI_MAX_PCT_PR_"&amp;CONFIG_FHC_PROG_ID))</f>
        <v>#REF!</v>
      </c>
      <c r="G59" s="283" t="e" cm="1">
        <f t="array" aca="1" ref="G59" ca="1">((VLOOKUP(B59,LOOKUP_AMI_TABLE,7,FALSE)/0.8)*INDIRECT("AMI_MIN_PCT_PR_"&amp;CONFIG_FHC_PROG_ID))+0.01</f>
        <v>#REF!</v>
      </c>
      <c r="H59" s="283" t="e" cm="1">
        <f t="array" aca="1" ref="H59" ca="1">((VLOOKUP(B59,LOOKUP_AMI_TABLE,7,FALSE)/0.8)*INDIRECT("AMI_MAX_PCT_PR_"&amp;CONFIG_FHC_PROG_ID))</f>
        <v>#REF!</v>
      </c>
    </row>
    <row r="60" spans="1:8" s="36" customFormat="1" ht="20.100000000000001" customHeight="1" x14ac:dyDescent="0.25">
      <c r="A60" s="36" t="s">
        <v>2904</v>
      </c>
      <c r="B60" s="36" t="str">
        <f t="shared" si="0"/>
        <v>PR_NAGUABO</v>
      </c>
      <c r="D60" s="249" t="s">
        <v>2457</v>
      </c>
      <c r="E60" s="283" t="e" cm="1">
        <f t="array" aca="1" ref="E60" ca="1">((VLOOKUP(B60,LOOKUP_AMI_TABLE,5,FALSE)/0.8)*INDIRECT("AMI_MIN_PCT_PR_"&amp;CONFIG_FHC_PROG_ID))+0.01</f>
        <v>#REF!</v>
      </c>
      <c r="F60" s="283" t="e" cm="1">
        <f t="array" aca="1" ref="F60" ca="1">((VLOOKUP(B60,LOOKUP_AMI_TABLE,5,FALSE)/0.8)*INDIRECT("AMI_MAX_PCT_PR_"&amp;CONFIG_FHC_PROG_ID))</f>
        <v>#REF!</v>
      </c>
      <c r="G60" s="283" t="e" cm="1">
        <f t="array" aca="1" ref="G60" ca="1">((VLOOKUP(B60,LOOKUP_AMI_TABLE,7,FALSE)/0.8)*INDIRECT("AMI_MIN_PCT_PR_"&amp;CONFIG_FHC_PROG_ID))+0.01</f>
        <v>#REF!</v>
      </c>
      <c r="H60" s="283" t="e" cm="1">
        <f t="array" aca="1" ref="H60" ca="1">((VLOOKUP(B60,LOOKUP_AMI_TABLE,7,FALSE)/0.8)*INDIRECT("AMI_MAX_PCT_PR_"&amp;CONFIG_FHC_PROG_ID))</f>
        <v>#REF!</v>
      </c>
    </row>
    <row r="61" spans="1:8" s="36" customFormat="1" ht="20.100000000000001" customHeight="1" x14ac:dyDescent="0.25">
      <c r="A61" s="36" t="s">
        <v>2904</v>
      </c>
      <c r="B61" s="36" t="str">
        <f t="shared" si="0"/>
        <v>PR_NARANJITO</v>
      </c>
      <c r="D61" s="249" t="s">
        <v>2458</v>
      </c>
      <c r="E61" s="283" t="e" cm="1">
        <f t="array" aca="1" ref="E61" ca="1">((VLOOKUP(B61,LOOKUP_AMI_TABLE,5,FALSE)/0.8)*INDIRECT("AMI_MIN_PCT_PR_"&amp;CONFIG_FHC_PROG_ID))+0.01</f>
        <v>#REF!</v>
      </c>
      <c r="F61" s="283" t="e" cm="1">
        <f t="array" aca="1" ref="F61" ca="1">((VLOOKUP(B61,LOOKUP_AMI_TABLE,5,FALSE)/0.8)*INDIRECT("AMI_MAX_PCT_PR_"&amp;CONFIG_FHC_PROG_ID))</f>
        <v>#REF!</v>
      </c>
      <c r="G61" s="283" t="e" cm="1">
        <f t="array" aca="1" ref="G61" ca="1">((VLOOKUP(B61,LOOKUP_AMI_TABLE,7,FALSE)/0.8)*INDIRECT("AMI_MIN_PCT_PR_"&amp;CONFIG_FHC_PROG_ID))+0.01</f>
        <v>#REF!</v>
      </c>
      <c r="H61" s="283" t="e" cm="1">
        <f t="array" aca="1" ref="H61" ca="1">((VLOOKUP(B61,LOOKUP_AMI_TABLE,7,FALSE)/0.8)*INDIRECT("AMI_MAX_PCT_PR_"&amp;CONFIG_FHC_PROG_ID))</f>
        <v>#REF!</v>
      </c>
    </row>
    <row r="62" spans="1:8" s="36" customFormat="1" ht="20.100000000000001" customHeight="1" x14ac:dyDescent="0.25">
      <c r="A62" s="36" t="s">
        <v>2904</v>
      </c>
      <c r="B62" s="36" t="str">
        <f t="shared" si="0"/>
        <v>PR_OROCOVIS</v>
      </c>
      <c r="D62" s="249" t="s">
        <v>2459</v>
      </c>
      <c r="E62" s="283" t="e" cm="1">
        <f t="array" aca="1" ref="E62" ca="1">((VLOOKUP(B62,LOOKUP_AMI_TABLE,5,FALSE)/0.8)*INDIRECT("AMI_MIN_PCT_PR_"&amp;CONFIG_FHC_PROG_ID))+0.01</f>
        <v>#REF!</v>
      </c>
      <c r="F62" s="283" t="e" cm="1">
        <f t="array" aca="1" ref="F62" ca="1">((VLOOKUP(B62,LOOKUP_AMI_TABLE,5,FALSE)/0.8)*INDIRECT("AMI_MAX_PCT_PR_"&amp;CONFIG_FHC_PROG_ID))</f>
        <v>#REF!</v>
      </c>
      <c r="G62" s="283" t="e" cm="1">
        <f t="array" aca="1" ref="G62" ca="1">((VLOOKUP(B62,LOOKUP_AMI_TABLE,7,FALSE)/0.8)*INDIRECT("AMI_MIN_PCT_PR_"&amp;CONFIG_FHC_PROG_ID))+0.01</f>
        <v>#REF!</v>
      </c>
      <c r="H62" s="283" t="e" cm="1">
        <f t="array" aca="1" ref="H62" ca="1">((VLOOKUP(B62,LOOKUP_AMI_TABLE,7,FALSE)/0.8)*INDIRECT("AMI_MAX_PCT_PR_"&amp;CONFIG_FHC_PROG_ID))</f>
        <v>#REF!</v>
      </c>
    </row>
    <row r="63" spans="1:8" s="36" customFormat="1" ht="20.100000000000001" customHeight="1" x14ac:dyDescent="0.25">
      <c r="A63" s="36" t="s">
        <v>2904</v>
      </c>
      <c r="B63" s="36" t="str">
        <f t="shared" si="0"/>
        <v>PR_PATILLAS</v>
      </c>
      <c r="D63" s="249" t="s">
        <v>2460</v>
      </c>
      <c r="E63" s="283" t="e" cm="1">
        <f t="array" aca="1" ref="E63" ca="1">((VLOOKUP(B63,LOOKUP_AMI_TABLE,5,FALSE)/0.8)*INDIRECT("AMI_MIN_PCT_PR_"&amp;CONFIG_FHC_PROG_ID))+0.01</f>
        <v>#REF!</v>
      </c>
      <c r="F63" s="283" t="e" cm="1">
        <f t="array" aca="1" ref="F63" ca="1">((VLOOKUP(B63,LOOKUP_AMI_TABLE,5,FALSE)/0.8)*INDIRECT("AMI_MAX_PCT_PR_"&amp;CONFIG_FHC_PROG_ID))</f>
        <v>#REF!</v>
      </c>
      <c r="G63" s="283" t="e" cm="1">
        <f t="array" aca="1" ref="G63" ca="1">((VLOOKUP(B63,LOOKUP_AMI_TABLE,7,FALSE)/0.8)*INDIRECT("AMI_MIN_PCT_PR_"&amp;CONFIG_FHC_PROG_ID))+0.01</f>
        <v>#REF!</v>
      </c>
      <c r="H63" s="283" t="e" cm="1">
        <f t="array" aca="1" ref="H63" ca="1">((VLOOKUP(B63,LOOKUP_AMI_TABLE,7,FALSE)/0.8)*INDIRECT("AMI_MAX_PCT_PR_"&amp;CONFIG_FHC_PROG_ID))</f>
        <v>#REF!</v>
      </c>
    </row>
    <row r="64" spans="1:8" s="36" customFormat="1" ht="20.100000000000001" customHeight="1" x14ac:dyDescent="0.25">
      <c r="A64" s="36" t="s">
        <v>2904</v>
      </c>
      <c r="B64" s="36" t="str">
        <f t="shared" si="0"/>
        <v>PR_PENUELAS</v>
      </c>
      <c r="D64" s="249" t="s">
        <v>2461</v>
      </c>
      <c r="E64" s="283" t="e" cm="1">
        <f t="array" aca="1" ref="E64" ca="1">((VLOOKUP(B64,LOOKUP_AMI_TABLE,5,FALSE)/0.8)*INDIRECT("AMI_MIN_PCT_PR_"&amp;CONFIG_FHC_PROG_ID))+0.01</f>
        <v>#REF!</v>
      </c>
      <c r="F64" s="283" t="e" cm="1">
        <f t="array" aca="1" ref="F64" ca="1">((VLOOKUP(B64,LOOKUP_AMI_TABLE,5,FALSE)/0.8)*INDIRECT("AMI_MAX_PCT_PR_"&amp;CONFIG_FHC_PROG_ID))</f>
        <v>#REF!</v>
      </c>
      <c r="G64" s="283" t="e" cm="1">
        <f t="array" aca="1" ref="G64" ca="1">((VLOOKUP(B64,LOOKUP_AMI_TABLE,7,FALSE)/0.8)*INDIRECT("AMI_MIN_PCT_PR_"&amp;CONFIG_FHC_PROG_ID))+0.01</f>
        <v>#REF!</v>
      </c>
      <c r="H64" s="283" t="e" cm="1">
        <f t="array" aca="1" ref="H64" ca="1">((VLOOKUP(B64,LOOKUP_AMI_TABLE,7,FALSE)/0.8)*INDIRECT("AMI_MAX_PCT_PR_"&amp;CONFIG_FHC_PROG_ID))</f>
        <v>#REF!</v>
      </c>
    </row>
    <row r="65" spans="1:8" s="36" customFormat="1" ht="20.100000000000001" customHeight="1" x14ac:dyDescent="0.25">
      <c r="A65" s="36" t="s">
        <v>2904</v>
      </c>
      <c r="B65" s="36" t="str">
        <f t="shared" si="0"/>
        <v>PR_PONCE</v>
      </c>
      <c r="D65" s="249" t="s">
        <v>2462</v>
      </c>
      <c r="E65" s="283" t="e" cm="1">
        <f t="array" aca="1" ref="E65" ca="1">((VLOOKUP(B65,LOOKUP_AMI_TABLE,5,FALSE)/0.8)*INDIRECT("AMI_MIN_PCT_PR_"&amp;CONFIG_FHC_PROG_ID))+0.01</f>
        <v>#REF!</v>
      </c>
      <c r="F65" s="283" t="e" cm="1">
        <f t="array" aca="1" ref="F65" ca="1">((VLOOKUP(B65,LOOKUP_AMI_TABLE,5,FALSE)/0.8)*INDIRECT("AMI_MAX_PCT_PR_"&amp;CONFIG_FHC_PROG_ID))</f>
        <v>#REF!</v>
      </c>
      <c r="G65" s="283" t="e" cm="1">
        <f t="array" aca="1" ref="G65" ca="1">((VLOOKUP(B65,LOOKUP_AMI_TABLE,7,FALSE)/0.8)*INDIRECT("AMI_MIN_PCT_PR_"&amp;CONFIG_FHC_PROG_ID))+0.01</f>
        <v>#REF!</v>
      </c>
      <c r="H65" s="283" t="e" cm="1">
        <f t="array" aca="1" ref="H65" ca="1">((VLOOKUP(B65,LOOKUP_AMI_TABLE,7,FALSE)/0.8)*INDIRECT("AMI_MAX_PCT_PR_"&amp;CONFIG_FHC_PROG_ID))</f>
        <v>#REF!</v>
      </c>
    </row>
    <row r="66" spans="1:8" s="36" customFormat="1" ht="20.100000000000001" customHeight="1" x14ac:dyDescent="0.25">
      <c r="A66" s="36" t="s">
        <v>2904</v>
      </c>
      <c r="B66" s="36" t="str">
        <f t="shared" si="0"/>
        <v>PR_QUEBRADILLAS</v>
      </c>
      <c r="D66" s="249" t="s">
        <v>2463</v>
      </c>
      <c r="E66" s="283" t="e" cm="1">
        <f t="array" aca="1" ref="E66" ca="1">((VLOOKUP(B66,LOOKUP_AMI_TABLE,5,FALSE)/0.8)*INDIRECT("AMI_MIN_PCT_PR_"&amp;CONFIG_FHC_PROG_ID))+0.01</f>
        <v>#REF!</v>
      </c>
      <c r="F66" s="283" t="e" cm="1">
        <f t="array" aca="1" ref="F66" ca="1">((VLOOKUP(B66,LOOKUP_AMI_TABLE,5,FALSE)/0.8)*INDIRECT("AMI_MAX_PCT_PR_"&amp;CONFIG_FHC_PROG_ID))</f>
        <v>#REF!</v>
      </c>
      <c r="G66" s="283" t="e" cm="1">
        <f t="array" aca="1" ref="G66" ca="1">((VLOOKUP(B66,LOOKUP_AMI_TABLE,7,FALSE)/0.8)*INDIRECT("AMI_MIN_PCT_PR_"&amp;CONFIG_FHC_PROG_ID))+0.01</f>
        <v>#REF!</v>
      </c>
      <c r="H66" s="283" t="e" cm="1">
        <f t="array" aca="1" ref="H66" ca="1">((VLOOKUP(B66,LOOKUP_AMI_TABLE,7,FALSE)/0.8)*INDIRECT("AMI_MAX_PCT_PR_"&amp;CONFIG_FHC_PROG_ID))</f>
        <v>#REF!</v>
      </c>
    </row>
    <row r="67" spans="1:8" s="36" customFormat="1" ht="20.100000000000001" customHeight="1" x14ac:dyDescent="0.25">
      <c r="A67" s="36" t="s">
        <v>2904</v>
      </c>
      <c r="B67" s="36" t="str">
        <f t="shared" si="0"/>
        <v>PR_RINCON</v>
      </c>
      <c r="D67" s="249" t="s">
        <v>2464</v>
      </c>
      <c r="E67" s="283" t="e" cm="1">
        <f t="array" aca="1" ref="E67" ca="1">((VLOOKUP(B67,LOOKUP_AMI_TABLE,5,FALSE)/0.8)*INDIRECT("AMI_MIN_PCT_PR_"&amp;CONFIG_FHC_PROG_ID))+0.01</f>
        <v>#REF!</v>
      </c>
      <c r="F67" s="283" t="e" cm="1">
        <f t="array" aca="1" ref="F67" ca="1">((VLOOKUP(B67,LOOKUP_AMI_TABLE,5,FALSE)/0.8)*INDIRECT("AMI_MAX_PCT_PR_"&amp;CONFIG_FHC_PROG_ID))</f>
        <v>#REF!</v>
      </c>
      <c r="G67" s="283" t="e" cm="1">
        <f t="array" aca="1" ref="G67" ca="1">((VLOOKUP(B67,LOOKUP_AMI_TABLE,7,FALSE)/0.8)*INDIRECT("AMI_MIN_PCT_PR_"&amp;CONFIG_FHC_PROG_ID))+0.01</f>
        <v>#REF!</v>
      </c>
      <c r="H67" s="283" t="e" cm="1">
        <f t="array" aca="1" ref="H67" ca="1">((VLOOKUP(B67,LOOKUP_AMI_TABLE,7,FALSE)/0.8)*INDIRECT("AMI_MAX_PCT_PR_"&amp;CONFIG_FHC_PROG_ID))</f>
        <v>#REF!</v>
      </c>
    </row>
    <row r="68" spans="1:8" s="36" customFormat="1" ht="20.100000000000001" customHeight="1" x14ac:dyDescent="0.25">
      <c r="A68" s="36" t="s">
        <v>2904</v>
      </c>
      <c r="B68" s="36" t="str">
        <f t="shared" si="0"/>
        <v>PR_RIO GRANDE</v>
      </c>
      <c r="D68" s="249" t="s">
        <v>2465</v>
      </c>
      <c r="E68" s="283" t="e" cm="1">
        <f t="array" aca="1" ref="E68" ca="1">((VLOOKUP(B68,LOOKUP_AMI_TABLE,5,FALSE)/0.8)*INDIRECT("AMI_MIN_PCT_PR_"&amp;CONFIG_FHC_PROG_ID))+0.01</f>
        <v>#REF!</v>
      </c>
      <c r="F68" s="283" t="e" cm="1">
        <f t="array" aca="1" ref="F68" ca="1">((VLOOKUP(B68,LOOKUP_AMI_TABLE,5,FALSE)/0.8)*INDIRECT("AMI_MAX_PCT_PR_"&amp;CONFIG_FHC_PROG_ID))</f>
        <v>#REF!</v>
      </c>
      <c r="G68" s="283" t="e" cm="1">
        <f t="array" aca="1" ref="G68" ca="1">((VLOOKUP(B68,LOOKUP_AMI_TABLE,7,FALSE)/0.8)*INDIRECT("AMI_MIN_PCT_PR_"&amp;CONFIG_FHC_PROG_ID))+0.01</f>
        <v>#REF!</v>
      </c>
      <c r="H68" s="283" t="e" cm="1">
        <f t="array" aca="1" ref="H68" ca="1">((VLOOKUP(B68,LOOKUP_AMI_TABLE,7,FALSE)/0.8)*INDIRECT("AMI_MAX_PCT_PR_"&amp;CONFIG_FHC_PROG_ID))</f>
        <v>#REF!</v>
      </c>
    </row>
    <row r="69" spans="1:8" s="36" customFormat="1" ht="20.100000000000001" customHeight="1" x14ac:dyDescent="0.25">
      <c r="A69" s="36" t="s">
        <v>2904</v>
      </c>
      <c r="B69" s="36" t="str">
        <f t="shared" si="0"/>
        <v>PR_SABANA GRANDE</v>
      </c>
      <c r="D69" s="249" t="s">
        <v>2466</v>
      </c>
      <c r="E69" s="283" t="e" cm="1">
        <f t="array" aca="1" ref="E69" ca="1">((VLOOKUP(B69,LOOKUP_AMI_TABLE,5,FALSE)/0.8)*INDIRECT("AMI_MIN_PCT_PR_"&amp;CONFIG_FHC_PROG_ID))+0.01</f>
        <v>#REF!</v>
      </c>
      <c r="F69" s="283" t="e" cm="1">
        <f t="array" aca="1" ref="F69" ca="1">((VLOOKUP(B69,LOOKUP_AMI_TABLE,5,FALSE)/0.8)*INDIRECT("AMI_MAX_PCT_PR_"&amp;CONFIG_FHC_PROG_ID))</f>
        <v>#REF!</v>
      </c>
      <c r="G69" s="283" t="e" cm="1">
        <f t="array" aca="1" ref="G69" ca="1">((VLOOKUP(B69,LOOKUP_AMI_TABLE,7,FALSE)/0.8)*INDIRECT("AMI_MIN_PCT_PR_"&amp;CONFIG_FHC_PROG_ID))+0.01</f>
        <v>#REF!</v>
      </c>
      <c r="H69" s="283" t="e" cm="1">
        <f t="array" aca="1" ref="H69" ca="1">((VLOOKUP(B69,LOOKUP_AMI_TABLE,7,FALSE)/0.8)*INDIRECT("AMI_MAX_PCT_PR_"&amp;CONFIG_FHC_PROG_ID))</f>
        <v>#REF!</v>
      </c>
    </row>
    <row r="70" spans="1:8" s="36" customFormat="1" ht="20.100000000000001" customHeight="1" x14ac:dyDescent="0.25">
      <c r="A70" s="36" t="s">
        <v>2904</v>
      </c>
      <c r="B70" s="36" t="str">
        <f t="shared" si="0"/>
        <v>PR_SALINAS</v>
      </c>
      <c r="D70" s="249" t="s">
        <v>2467</v>
      </c>
      <c r="E70" s="283" t="e" cm="1">
        <f t="array" aca="1" ref="E70" ca="1">((VLOOKUP(B70,LOOKUP_AMI_TABLE,5,FALSE)/0.8)*INDIRECT("AMI_MIN_PCT_PR_"&amp;CONFIG_FHC_PROG_ID))+0.01</f>
        <v>#REF!</v>
      </c>
      <c r="F70" s="283" t="e" cm="1">
        <f t="array" aca="1" ref="F70" ca="1">((VLOOKUP(B70,LOOKUP_AMI_TABLE,5,FALSE)/0.8)*INDIRECT("AMI_MAX_PCT_PR_"&amp;CONFIG_FHC_PROG_ID))</f>
        <v>#REF!</v>
      </c>
      <c r="G70" s="283" t="e" cm="1">
        <f t="array" aca="1" ref="G70" ca="1">((VLOOKUP(B70,LOOKUP_AMI_TABLE,7,FALSE)/0.8)*INDIRECT("AMI_MIN_PCT_PR_"&amp;CONFIG_FHC_PROG_ID))+0.01</f>
        <v>#REF!</v>
      </c>
      <c r="H70" s="283" t="e" cm="1">
        <f t="array" aca="1" ref="H70" ca="1">((VLOOKUP(B70,LOOKUP_AMI_TABLE,7,FALSE)/0.8)*INDIRECT("AMI_MAX_PCT_PR_"&amp;CONFIG_FHC_PROG_ID))</f>
        <v>#REF!</v>
      </c>
    </row>
    <row r="71" spans="1:8" s="36" customFormat="1" ht="20.100000000000001" customHeight="1" x14ac:dyDescent="0.25">
      <c r="A71" s="36" t="s">
        <v>2904</v>
      </c>
      <c r="B71" s="36" t="str">
        <f t="shared" si="0"/>
        <v>PR_SAN GERMAN</v>
      </c>
      <c r="D71" s="249" t="s">
        <v>2468</v>
      </c>
      <c r="E71" s="283" t="e" cm="1">
        <f t="array" aca="1" ref="E71" ca="1">((VLOOKUP(B71,LOOKUP_AMI_TABLE,5,FALSE)/0.8)*INDIRECT("AMI_MIN_PCT_PR_"&amp;CONFIG_FHC_PROG_ID))+0.01</f>
        <v>#REF!</v>
      </c>
      <c r="F71" s="283" t="e" cm="1">
        <f t="array" aca="1" ref="F71" ca="1">((VLOOKUP(B71,LOOKUP_AMI_TABLE,5,FALSE)/0.8)*INDIRECT("AMI_MAX_PCT_PR_"&amp;CONFIG_FHC_PROG_ID))</f>
        <v>#REF!</v>
      </c>
      <c r="G71" s="283" t="e" cm="1">
        <f t="array" aca="1" ref="G71" ca="1">((VLOOKUP(B71,LOOKUP_AMI_TABLE,7,FALSE)/0.8)*INDIRECT("AMI_MIN_PCT_PR_"&amp;CONFIG_FHC_PROG_ID))+0.01</f>
        <v>#REF!</v>
      </c>
      <c r="H71" s="283" t="e" cm="1">
        <f t="array" aca="1" ref="H71" ca="1">((VLOOKUP(B71,LOOKUP_AMI_TABLE,7,FALSE)/0.8)*INDIRECT("AMI_MAX_PCT_PR_"&amp;CONFIG_FHC_PROG_ID))</f>
        <v>#REF!</v>
      </c>
    </row>
    <row r="72" spans="1:8" s="36" customFormat="1" ht="20.100000000000001" customHeight="1" x14ac:dyDescent="0.25">
      <c r="A72" s="36" t="s">
        <v>2904</v>
      </c>
      <c r="B72" s="36" t="str">
        <f t="shared" si="0"/>
        <v>PR_SAN JUAN</v>
      </c>
      <c r="D72" s="249" t="s">
        <v>2469</v>
      </c>
      <c r="E72" s="283" t="e" cm="1">
        <f t="array" aca="1" ref="E72" ca="1">((VLOOKUP(B72,LOOKUP_AMI_TABLE,5,FALSE)/0.8)*INDIRECT("AMI_MIN_PCT_PR_"&amp;CONFIG_FHC_PROG_ID))+0.01</f>
        <v>#REF!</v>
      </c>
      <c r="F72" s="283" t="e" cm="1">
        <f t="array" aca="1" ref="F72" ca="1">((VLOOKUP(B72,LOOKUP_AMI_TABLE,5,FALSE)/0.8)*INDIRECT("AMI_MAX_PCT_PR_"&amp;CONFIG_FHC_PROG_ID))</f>
        <v>#REF!</v>
      </c>
      <c r="G72" s="283" t="e" cm="1">
        <f t="array" aca="1" ref="G72" ca="1">((VLOOKUP(B72,LOOKUP_AMI_TABLE,7,FALSE)/0.8)*INDIRECT("AMI_MIN_PCT_PR_"&amp;CONFIG_FHC_PROG_ID))+0.01</f>
        <v>#REF!</v>
      </c>
      <c r="H72" s="283" t="e" cm="1">
        <f t="array" aca="1" ref="H72" ca="1">((VLOOKUP(B72,LOOKUP_AMI_TABLE,7,FALSE)/0.8)*INDIRECT("AMI_MAX_PCT_PR_"&amp;CONFIG_FHC_PROG_ID))</f>
        <v>#REF!</v>
      </c>
    </row>
    <row r="73" spans="1:8" s="36" customFormat="1" ht="20.100000000000001" customHeight="1" x14ac:dyDescent="0.25">
      <c r="A73" s="36" t="s">
        <v>2904</v>
      </c>
      <c r="B73" s="36" t="str">
        <f t="shared" ref="B73:B85" si="1">"PR_"&amp;UPPER(TRIM(D73))</f>
        <v>PR_SAN LORENZO</v>
      </c>
      <c r="D73" s="249" t="s">
        <v>2470</v>
      </c>
      <c r="E73" s="283" t="e" cm="1">
        <f t="array" aca="1" ref="E73" ca="1">((VLOOKUP(B73,LOOKUP_AMI_TABLE,5,FALSE)/0.8)*INDIRECT("AMI_MIN_PCT_PR_"&amp;CONFIG_FHC_PROG_ID))+0.01</f>
        <v>#REF!</v>
      </c>
      <c r="F73" s="283" t="e" cm="1">
        <f t="array" aca="1" ref="F73" ca="1">((VLOOKUP(B73,LOOKUP_AMI_TABLE,5,FALSE)/0.8)*INDIRECT("AMI_MAX_PCT_PR_"&amp;CONFIG_FHC_PROG_ID))</f>
        <v>#REF!</v>
      </c>
      <c r="G73" s="283" t="e" cm="1">
        <f t="array" aca="1" ref="G73" ca="1">((VLOOKUP(B73,LOOKUP_AMI_TABLE,7,FALSE)/0.8)*INDIRECT("AMI_MIN_PCT_PR_"&amp;CONFIG_FHC_PROG_ID))+0.01</f>
        <v>#REF!</v>
      </c>
      <c r="H73" s="283" t="e" cm="1">
        <f t="array" aca="1" ref="H73" ca="1">((VLOOKUP(B73,LOOKUP_AMI_TABLE,7,FALSE)/0.8)*INDIRECT("AMI_MAX_PCT_PR_"&amp;CONFIG_FHC_PROG_ID))</f>
        <v>#REF!</v>
      </c>
    </row>
    <row r="74" spans="1:8" s="36" customFormat="1" ht="20.100000000000001" customHeight="1" x14ac:dyDescent="0.25">
      <c r="A74" s="36" t="s">
        <v>2904</v>
      </c>
      <c r="B74" s="36" t="str">
        <f t="shared" si="1"/>
        <v>PR_SAN SEBASTIAN</v>
      </c>
      <c r="D74" s="249" t="s">
        <v>2471</v>
      </c>
      <c r="E74" s="283" t="e" cm="1">
        <f t="array" aca="1" ref="E74" ca="1">((VLOOKUP(B74,LOOKUP_AMI_TABLE,5,FALSE)/0.8)*INDIRECT("AMI_MIN_PCT_PR_"&amp;CONFIG_FHC_PROG_ID))+0.01</f>
        <v>#REF!</v>
      </c>
      <c r="F74" s="283" t="e" cm="1">
        <f t="array" aca="1" ref="F74" ca="1">((VLOOKUP(B74,LOOKUP_AMI_TABLE,5,FALSE)/0.8)*INDIRECT("AMI_MAX_PCT_PR_"&amp;CONFIG_FHC_PROG_ID))</f>
        <v>#REF!</v>
      </c>
      <c r="G74" s="283" t="e" cm="1">
        <f t="array" aca="1" ref="G74" ca="1">((VLOOKUP(B74,LOOKUP_AMI_TABLE,7,FALSE)/0.8)*INDIRECT("AMI_MIN_PCT_PR_"&amp;CONFIG_FHC_PROG_ID))+0.01</f>
        <v>#REF!</v>
      </c>
      <c r="H74" s="283" t="e" cm="1">
        <f t="array" aca="1" ref="H74" ca="1">((VLOOKUP(B74,LOOKUP_AMI_TABLE,7,FALSE)/0.8)*INDIRECT("AMI_MAX_PCT_PR_"&amp;CONFIG_FHC_PROG_ID))</f>
        <v>#REF!</v>
      </c>
    </row>
    <row r="75" spans="1:8" s="36" customFormat="1" ht="20.100000000000001" customHeight="1" x14ac:dyDescent="0.25">
      <c r="A75" s="36" t="s">
        <v>2904</v>
      </c>
      <c r="B75" s="36" t="str">
        <f t="shared" si="1"/>
        <v>PR_SANTA ISABEL</v>
      </c>
      <c r="D75" s="249" t="s">
        <v>2472</v>
      </c>
      <c r="E75" s="283" t="e" cm="1">
        <f t="array" aca="1" ref="E75" ca="1">((VLOOKUP(B75,LOOKUP_AMI_TABLE,5,FALSE)/0.8)*INDIRECT("AMI_MIN_PCT_PR_"&amp;CONFIG_FHC_PROG_ID))+0.01</f>
        <v>#REF!</v>
      </c>
      <c r="F75" s="283" t="e" cm="1">
        <f t="array" aca="1" ref="F75" ca="1">((VLOOKUP(B75,LOOKUP_AMI_TABLE,5,FALSE)/0.8)*INDIRECT("AMI_MAX_PCT_PR_"&amp;CONFIG_FHC_PROG_ID))</f>
        <v>#REF!</v>
      </c>
      <c r="G75" s="283" t="e" cm="1">
        <f t="array" aca="1" ref="G75" ca="1">((VLOOKUP(B75,LOOKUP_AMI_TABLE,7,FALSE)/0.8)*INDIRECT("AMI_MIN_PCT_PR_"&amp;CONFIG_FHC_PROG_ID))+0.01</f>
        <v>#REF!</v>
      </c>
      <c r="H75" s="283" t="e" cm="1">
        <f t="array" aca="1" ref="H75" ca="1">((VLOOKUP(B75,LOOKUP_AMI_TABLE,7,FALSE)/0.8)*INDIRECT("AMI_MAX_PCT_PR_"&amp;CONFIG_FHC_PROG_ID))</f>
        <v>#REF!</v>
      </c>
    </row>
    <row r="76" spans="1:8" s="36" customFormat="1" ht="20.100000000000001" customHeight="1" x14ac:dyDescent="0.25">
      <c r="A76" s="36" t="s">
        <v>2904</v>
      </c>
      <c r="B76" s="36" t="str">
        <f t="shared" si="1"/>
        <v>PR_TOA ALTA</v>
      </c>
      <c r="D76" s="249" t="s">
        <v>2473</v>
      </c>
      <c r="E76" s="283" t="e" cm="1">
        <f t="array" aca="1" ref="E76" ca="1">((VLOOKUP(B76,LOOKUP_AMI_TABLE,5,FALSE)/0.8)*INDIRECT("AMI_MIN_PCT_PR_"&amp;CONFIG_FHC_PROG_ID))+0.01</f>
        <v>#REF!</v>
      </c>
      <c r="F76" s="283" t="e" cm="1">
        <f t="array" aca="1" ref="F76" ca="1">((VLOOKUP(B76,LOOKUP_AMI_TABLE,5,FALSE)/0.8)*INDIRECT("AMI_MAX_PCT_PR_"&amp;CONFIG_FHC_PROG_ID))</f>
        <v>#REF!</v>
      </c>
      <c r="G76" s="283" t="e" cm="1">
        <f t="array" aca="1" ref="G76" ca="1">((VLOOKUP(B76,LOOKUP_AMI_TABLE,7,FALSE)/0.8)*INDIRECT("AMI_MIN_PCT_PR_"&amp;CONFIG_FHC_PROG_ID))+0.01</f>
        <v>#REF!</v>
      </c>
      <c r="H76" s="283" t="e" cm="1">
        <f t="array" aca="1" ref="H76" ca="1">((VLOOKUP(B76,LOOKUP_AMI_TABLE,7,FALSE)/0.8)*INDIRECT("AMI_MAX_PCT_PR_"&amp;CONFIG_FHC_PROG_ID))</f>
        <v>#REF!</v>
      </c>
    </row>
    <row r="77" spans="1:8" s="36" customFormat="1" ht="20.100000000000001" customHeight="1" x14ac:dyDescent="0.25">
      <c r="A77" s="36" t="s">
        <v>2904</v>
      </c>
      <c r="B77" s="36" t="str">
        <f t="shared" si="1"/>
        <v>PR_TOA BAJA</v>
      </c>
      <c r="D77" s="249" t="s">
        <v>2474</v>
      </c>
      <c r="E77" s="283" t="e" cm="1">
        <f t="array" aca="1" ref="E77" ca="1">((VLOOKUP(B77,LOOKUP_AMI_TABLE,5,FALSE)/0.8)*INDIRECT("AMI_MIN_PCT_PR_"&amp;CONFIG_FHC_PROG_ID))+0.01</f>
        <v>#REF!</v>
      </c>
      <c r="F77" s="283" t="e" cm="1">
        <f t="array" aca="1" ref="F77" ca="1">((VLOOKUP(B77,LOOKUP_AMI_TABLE,5,FALSE)/0.8)*INDIRECT("AMI_MAX_PCT_PR_"&amp;CONFIG_FHC_PROG_ID))</f>
        <v>#REF!</v>
      </c>
      <c r="G77" s="283" t="e" cm="1">
        <f t="array" aca="1" ref="G77" ca="1">((VLOOKUP(B77,LOOKUP_AMI_TABLE,7,FALSE)/0.8)*INDIRECT("AMI_MIN_PCT_PR_"&amp;CONFIG_FHC_PROG_ID))+0.01</f>
        <v>#REF!</v>
      </c>
      <c r="H77" s="283" t="e" cm="1">
        <f t="array" aca="1" ref="H77" ca="1">((VLOOKUP(B77,LOOKUP_AMI_TABLE,7,FALSE)/0.8)*INDIRECT("AMI_MAX_PCT_PR_"&amp;CONFIG_FHC_PROG_ID))</f>
        <v>#REF!</v>
      </c>
    </row>
    <row r="78" spans="1:8" s="36" customFormat="1" ht="20.100000000000001" customHeight="1" x14ac:dyDescent="0.25">
      <c r="A78" s="36" t="s">
        <v>2904</v>
      </c>
      <c r="B78" s="36" t="str">
        <f t="shared" si="1"/>
        <v>PR_TRUJILLO ALTO</v>
      </c>
      <c r="D78" s="249" t="s">
        <v>2475</v>
      </c>
      <c r="E78" s="283" t="e" cm="1">
        <f t="array" aca="1" ref="E78" ca="1">((VLOOKUP(B78,LOOKUP_AMI_TABLE,5,FALSE)/0.8)*INDIRECT("AMI_MIN_PCT_PR_"&amp;CONFIG_FHC_PROG_ID))+0.01</f>
        <v>#REF!</v>
      </c>
      <c r="F78" s="283" t="e" cm="1">
        <f t="array" aca="1" ref="F78" ca="1">((VLOOKUP(B78,LOOKUP_AMI_TABLE,5,FALSE)/0.8)*INDIRECT("AMI_MAX_PCT_PR_"&amp;CONFIG_FHC_PROG_ID))</f>
        <v>#REF!</v>
      </c>
      <c r="G78" s="283" t="e" cm="1">
        <f t="array" aca="1" ref="G78" ca="1">((VLOOKUP(B78,LOOKUP_AMI_TABLE,7,FALSE)/0.8)*INDIRECT("AMI_MIN_PCT_PR_"&amp;CONFIG_FHC_PROG_ID))+0.01</f>
        <v>#REF!</v>
      </c>
      <c r="H78" s="283" t="e" cm="1">
        <f t="array" aca="1" ref="H78" ca="1">((VLOOKUP(B78,LOOKUP_AMI_TABLE,7,FALSE)/0.8)*INDIRECT("AMI_MAX_PCT_PR_"&amp;CONFIG_FHC_PROG_ID))</f>
        <v>#REF!</v>
      </c>
    </row>
    <row r="79" spans="1:8" s="36" customFormat="1" ht="20.100000000000001" customHeight="1" x14ac:dyDescent="0.25">
      <c r="A79" s="36" t="s">
        <v>2904</v>
      </c>
      <c r="B79" s="36" t="str">
        <f t="shared" si="1"/>
        <v>PR_UTUADO</v>
      </c>
      <c r="D79" s="249" t="s">
        <v>2476</v>
      </c>
      <c r="E79" s="283" t="e" cm="1">
        <f t="array" aca="1" ref="E79" ca="1">((VLOOKUP(B79,LOOKUP_AMI_TABLE,5,FALSE)/0.8)*INDIRECT("AMI_MIN_PCT_PR_"&amp;CONFIG_FHC_PROG_ID))+0.01</f>
        <v>#REF!</v>
      </c>
      <c r="F79" s="283" t="e" cm="1">
        <f t="array" aca="1" ref="F79" ca="1">((VLOOKUP(B79,LOOKUP_AMI_TABLE,5,FALSE)/0.8)*INDIRECT("AMI_MAX_PCT_PR_"&amp;CONFIG_FHC_PROG_ID))</f>
        <v>#REF!</v>
      </c>
      <c r="G79" s="283" t="e" cm="1">
        <f t="array" aca="1" ref="G79" ca="1">((VLOOKUP(B79,LOOKUP_AMI_TABLE,7,FALSE)/0.8)*INDIRECT("AMI_MIN_PCT_PR_"&amp;CONFIG_FHC_PROG_ID))+0.01</f>
        <v>#REF!</v>
      </c>
      <c r="H79" s="283" t="e" cm="1">
        <f t="array" aca="1" ref="H79" ca="1">((VLOOKUP(B79,LOOKUP_AMI_TABLE,7,FALSE)/0.8)*INDIRECT("AMI_MAX_PCT_PR_"&amp;CONFIG_FHC_PROG_ID))</f>
        <v>#REF!</v>
      </c>
    </row>
    <row r="80" spans="1:8" s="36" customFormat="1" ht="20.100000000000001" customHeight="1" x14ac:dyDescent="0.25">
      <c r="A80" s="36" t="s">
        <v>2904</v>
      </c>
      <c r="B80" s="36" t="str">
        <f t="shared" si="1"/>
        <v>PR_VEGA ALTA</v>
      </c>
      <c r="D80" s="249" t="s">
        <v>2477</v>
      </c>
      <c r="E80" s="283" t="e" cm="1">
        <f t="array" aca="1" ref="E80" ca="1">((VLOOKUP(B80,LOOKUP_AMI_TABLE,5,FALSE)/0.8)*INDIRECT("AMI_MIN_PCT_PR_"&amp;CONFIG_FHC_PROG_ID))+0.01</f>
        <v>#REF!</v>
      </c>
      <c r="F80" s="283" t="e" cm="1">
        <f t="array" aca="1" ref="F80" ca="1">((VLOOKUP(B80,LOOKUP_AMI_TABLE,5,FALSE)/0.8)*INDIRECT("AMI_MAX_PCT_PR_"&amp;CONFIG_FHC_PROG_ID))</f>
        <v>#REF!</v>
      </c>
      <c r="G80" s="283" t="e" cm="1">
        <f t="array" aca="1" ref="G80" ca="1">((VLOOKUP(B80,LOOKUP_AMI_TABLE,7,FALSE)/0.8)*INDIRECT("AMI_MIN_PCT_PR_"&amp;CONFIG_FHC_PROG_ID))+0.01</f>
        <v>#REF!</v>
      </c>
      <c r="H80" s="283" t="e" cm="1">
        <f t="array" aca="1" ref="H80" ca="1">((VLOOKUP(B80,LOOKUP_AMI_TABLE,7,FALSE)/0.8)*INDIRECT("AMI_MAX_PCT_PR_"&amp;CONFIG_FHC_PROG_ID))</f>
        <v>#REF!</v>
      </c>
    </row>
    <row r="81" spans="1:8" s="36" customFormat="1" ht="20.100000000000001" customHeight="1" x14ac:dyDescent="0.25">
      <c r="A81" s="36" t="s">
        <v>2904</v>
      </c>
      <c r="B81" s="36" t="str">
        <f t="shared" si="1"/>
        <v>PR_VEGA BAJA</v>
      </c>
      <c r="D81" s="249" t="s">
        <v>2478</v>
      </c>
      <c r="E81" s="283" t="e" cm="1">
        <f t="array" aca="1" ref="E81" ca="1">((VLOOKUP(B81,LOOKUP_AMI_TABLE,5,FALSE)/0.8)*INDIRECT("AMI_MIN_PCT_PR_"&amp;CONFIG_FHC_PROG_ID))+0.01</f>
        <v>#REF!</v>
      </c>
      <c r="F81" s="283" t="e" cm="1">
        <f t="array" aca="1" ref="F81" ca="1">((VLOOKUP(B81,LOOKUP_AMI_TABLE,5,FALSE)/0.8)*INDIRECT("AMI_MAX_PCT_PR_"&amp;CONFIG_FHC_PROG_ID))</f>
        <v>#REF!</v>
      </c>
      <c r="G81" s="283" t="e" cm="1">
        <f t="array" aca="1" ref="G81" ca="1">((VLOOKUP(B81,LOOKUP_AMI_TABLE,7,FALSE)/0.8)*INDIRECT("AMI_MIN_PCT_PR_"&amp;CONFIG_FHC_PROG_ID))+0.01</f>
        <v>#REF!</v>
      </c>
      <c r="H81" s="283" t="e" cm="1">
        <f t="array" aca="1" ref="H81" ca="1">((VLOOKUP(B81,LOOKUP_AMI_TABLE,7,FALSE)/0.8)*INDIRECT("AMI_MAX_PCT_PR_"&amp;CONFIG_FHC_PROG_ID))</f>
        <v>#REF!</v>
      </c>
    </row>
    <row r="82" spans="1:8" s="36" customFormat="1" ht="20.100000000000001" customHeight="1" x14ac:dyDescent="0.25">
      <c r="A82" s="36" t="s">
        <v>2904</v>
      </c>
      <c r="B82" s="36" t="str">
        <f t="shared" si="1"/>
        <v>PR_VIEQUES</v>
      </c>
      <c r="D82" s="249" t="s">
        <v>2479</v>
      </c>
      <c r="E82" s="283" t="e" cm="1">
        <f t="array" aca="1" ref="E82" ca="1">((VLOOKUP(B82,LOOKUP_AMI_TABLE,5,FALSE)/0.8)*INDIRECT("AMI_MIN_PCT_PR_"&amp;CONFIG_FHC_PROG_ID))+0.01</f>
        <v>#REF!</v>
      </c>
      <c r="F82" s="283" t="e" cm="1">
        <f t="array" aca="1" ref="F82" ca="1">((VLOOKUP(B82,LOOKUP_AMI_TABLE,5,FALSE)/0.8)*INDIRECT("AMI_MAX_PCT_PR_"&amp;CONFIG_FHC_PROG_ID))</f>
        <v>#REF!</v>
      </c>
      <c r="G82" s="283" t="e" cm="1">
        <f t="array" aca="1" ref="G82" ca="1">((VLOOKUP(B82,LOOKUP_AMI_TABLE,7,FALSE)/0.8)*INDIRECT("AMI_MIN_PCT_PR_"&amp;CONFIG_FHC_PROG_ID))+0.01</f>
        <v>#REF!</v>
      </c>
      <c r="H82" s="283" t="e" cm="1">
        <f t="array" aca="1" ref="H82" ca="1">((VLOOKUP(B82,LOOKUP_AMI_TABLE,7,FALSE)/0.8)*INDIRECT("AMI_MAX_PCT_PR_"&amp;CONFIG_FHC_PROG_ID))</f>
        <v>#REF!</v>
      </c>
    </row>
    <row r="83" spans="1:8" s="36" customFormat="1" ht="20.100000000000001" customHeight="1" x14ac:dyDescent="0.25">
      <c r="A83" s="36" t="s">
        <v>2904</v>
      </c>
      <c r="B83" s="36" t="str">
        <f t="shared" si="1"/>
        <v>PR_VILLALBA</v>
      </c>
      <c r="D83" s="249" t="s">
        <v>2480</v>
      </c>
      <c r="E83" s="283" t="e" cm="1">
        <f t="array" aca="1" ref="E83" ca="1">((VLOOKUP(B83,LOOKUP_AMI_TABLE,5,FALSE)/0.8)*INDIRECT("AMI_MIN_PCT_PR_"&amp;CONFIG_FHC_PROG_ID))+0.01</f>
        <v>#REF!</v>
      </c>
      <c r="F83" s="283" t="e" cm="1">
        <f t="array" aca="1" ref="F83" ca="1">((VLOOKUP(B83,LOOKUP_AMI_TABLE,5,FALSE)/0.8)*INDIRECT("AMI_MAX_PCT_PR_"&amp;CONFIG_FHC_PROG_ID))</f>
        <v>#REF!</v>
      </c>
      <c r="G83" s="283" t="e" cm="1">
        <f t="array" aca="1" ref="G83" ca="1">((VLOOKUP(B83,LOOKUP_AMI_TABLE,7,FALSE)/0.8)*INDIRECT("AMI_MIN_PCT_PR_"&amp;CONFIG_FHC_PROG_ID))+0.01</f>
        <v>#REF!</v>
      </c>
      <c r="H83" s="283" t="e" cm="1">
        <f t="array" aca="1" ref="H83" ca="1">((VLOOKUP(B83,LOOKUP_AMI_TABLE,7,FALSE)/0.8)*INDIRECT("AMI_MAX_PCT_PR_"&amp;CONFIG_FHC_PROG_ID))</f>
        <v>#REF!</v>
      </c>
    </row>
    <row r="84" spans="1:8" s="36" customFormat="1" ht="20.100000000000001" customHeight="1" x14ac:dyDescent="0.25">
      <c r="A84" s="36" t="s">
        <v>2904</v>
      </c>
      <c r="B84" s="36" t="str">
        <f t="shared" si="1"/>
        <v>PR_YABUCOA</v>
      </c>
      <c r="D84" s="249" t="s">
        <v>2481</v>
      </c>
      <c r="E84" s="283" t="e" cm="1">
        <f t="array" aca="1" ref="E84" ca="1">((VLOOKUP(B84,LOOKUP_AMI_TABLE,5,FALSE)/0.8)*INDIRECT("AMI_MIN_PCT_PR_"&amp;CONFIG_FHC_PROG_ID))+0.01</f>
        <v>#REF!</v>
      </c>
      <c r="F84" s="283" t="e" cm="1">
        <f t="array" aca="1" ref="F84" ca="1">((VLOOKUP(B84,LOOKUP_AMI_TABLE,5,FALSE)/0.8)*INDIRECT("AMI_MAX_PCT_PR_"&amp;CONFIG_FHC_PROG_ID))</f>
        <v>#REF!</v>
      </c>
      <c r="G84" s="283" t="e" cm="1">
        <f t="array" aca="1" ref="G84" ca="1">((VLOOKUP(B84,LOOKUP_AMI_TABLE,7,FALSE)/0.8)*INDIRECT("AMI_MIN_PCT_PR_"&amp;CONFIG_FHC_PROG_ID))+0.01</f>
        <v>#REF!</v>
      </c>
      <c r="H84" s="283" t="e" cm="1">
        <f t="array" aca="1" ref="H84" ca="1">((VLOOKUP(B84,LOOKUP_AMI_TABLE,7,FALSE)/0.8)*INDIRECT("AMI_MAX_PCT_PR_"&amp;CONFIG_FHC_PROG_ID))</f>
        <v>#REF!</v>
      </c>
    </row>
    <row r="85" spans="1:8" s="36" customFormat="1" ht="20.100000000000001" customHeight="1" x14ac:dyDescent="0.25">
      <c r="A85" s="36" t="s">
        <v>2904</v>
      </c>
      <c r="B85" s="36" t="str">
        <f t="shared" si="1"/>
        <v>PR_YAUCO</v>
      </c>
      <c r="D85" s="249" t="s">
        <v>2482</v>
      </c>
      <c r="E85" s="283" t="e" cm="1">
        <f t="array" aca="1" ref="E85" ca="1">((VLOOKUP(B85,LOOKUP_AMI_TABLE,5,FALSE)/0.8)*INDIRECT("AMI_MIN_PCT_PR_"&amp;CONFIG_FHC_PROG_ID))+0.01</f>
        <v>#REF!</v>
      </c>
      <c r="F85" s="283" t="e" cm="1">
        <f t="array" aca="1" ref="F85" ca="1">((VLOOKUP(B85,LOOKUP_AMI_TABLE,5,FALSE)/0.8)*INDIRECT("AMI_MAX_PCT_PR_"&amp;CONFIG_FHC_PROG_ID))</f>
        <v>#REF!</v>
      </c>
      <c r="G85" s="283" t="e" cm="1">
        <f t="array" aca="1" ref="G85" ca="1">((VLOOKUP(B85,LOOKUP_AMI_TABLE,7,FALSE)/0.8)*INDIRECT("AMI_MIN_PCT_PR_"&amp;CONFIG_FHC_PROG_ID))+0.01</f>
        <v>#REF!</v>
      </c>
      <c r="H85" s="283" t="e" cm="1">
        <f t="array" aca="1" ref="H85" ca="1">((VLOOKUP(B85,LOOKUP_AMI_TABLE,7,FALSE)/0.8)*INDIRECT("AMI_MAX_PCT_PR_"&amp;CONFIG_FHC_PROG_ID))</f>
        <v>#REF!</v>
      </c>
    </row>
    <row r="86" spans="1:8" ht="15" customHeight="1" x14ac:dyDescent="0.25"/>
  </sheetData>
  <sheetProtection algorithmName="SHA-512" hashValue="2wMFrsnxSzqvWeD38qmN0oDv/O3LNmvemV8f0ilFyIxYoE0Vvpk6zMlKXDNJR11aaZTk75M6iw2IhO18uPraEA==" saltValue="0WQFXaKathI2g6sP85bAuA==" spinCount="100000" sheet="1" objects="1" scenarios="1"/>
  <mergeCells count="3">
    <mergeCell ref="F2:H2"/>
    <mergeCell ref="E6:F6"/>
    <mergeCell ref="G6:H6"/>
  </mergeCells>
  <pageMargins left="0.7" right="0.7" top="0.75" bottom="0.75" header="0.3" footer="0.3"/>
  <pageSetup scale="78" fitToWidth="0" fitToHeight="2" orientation="portrait" horizontalDpi="0" verticalDpi="0" r:id="rId1"/>
  <headerFooter>
    <oddFooter>Page &amp;P of &amp;N</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autoPageBreaks="0" fitToPage="1"/>
  </sheetPr>
  <dimension ref="A1:Y170"/>
  <sheetViews>
    <sheetView showGridLines="0" showRowColHeaders="0" zoomScaleNormal="100" workbookViewId="0">
      <pane ySplit="4" topLeftCell="A5" activePane="bottomLeft" state="frozen"/>
      <selection pane="bottomLeft" activeCell="H5" sqref="H5"/>
    </sheetView>
  </sheetViews>
  <sheetFormatPr defaultColWidth="0" defaultRowHeight="15" zeroHeight="1" x14ac:dyDescent="0.25"/>
  <cols>
    <col min="1" max="1" width="27.5703125" style="67" hidden="1" customWidth="1"/>
    <col min="2" max="7" width="15.7109375" style="67" hidden="1" customWidth="1"/>
    <col min="8" max="8" width="2.42578125" customWidth="1"/>
    <col min="9" max="9" width="10.7109375" customWidth="1"/>
    <col min="10" max="10" width="2.7109375" style="44" customWidth="1"/>
    <col min="11" max="11" width="10.7109375" customWidth="1"/>
    <col min="12" max="12" width="2.7109375" style="44" customWidth="1"/>
    <col min="13" max="13" width="10.7109375" customWidth="1"/>
    <col min="14" max="14" width="2.7109375" style="44" customWidth="1"/>
    <col min="15" max="15" width="10.7109375" customWidth="1"/>
    <col min="16" max="16" width="2.7109375" style="44" customWidth="1"/>
    <col min="17" max="17" width="10.7109375" customWidth="1"/>
    <col min="18" max="18" width="2.7109375" style="44" customWidth="1"/>
    <col min="19" max="19" width="10.7109375" customWidth="1"/>
    <col min="20" max="20" width="2.7109375" style="44" customWidth="1"/>
    <col min="21" max="21" width="10.7109375" customWidth="1"/>
    <col min="22" max="22" width="2.7109375" style="44" customWidth="1"/>
    <col min="23" max="23" width="10.7109375" customWidth="1"/>
    <col min="24" max="24" width="2.7109375" style="44" customWidth="1"/>
    <col min="25" max="25" width="2.42578125" customWidth="1"/>
    <col min="26" max="16384" width="9.140625" hidden="1"/>
  </cols>
  <sheetData>
    <row r="1" spans="1:25" ht="40.5" customHeight="1" thickBot="1" x14ac:dyDescent="0.3">
      <c r="A1" s="43" t="s">
        <v>179</v>
      </c>
      <c r="B1" s="43" t="s">
        <v>178</v>
      </c>
      <c r="C1" s="43" t="s">
        <v>175</v>
      </c>
      <c r="D1" s="43" t="s">
        <v>176</v>
      </c>
      <c r="E1" s="43" t="s">
        <v>173</v>
      </c>
      <c r="F1" s="43" t="s">
        <v>174</v>
      </c>
      <c r="G1" s="84" t="s">
        <v>177</v>
      </c>
      <c r="H1" s="82"/>
      <c r="I1" s="82"/>
      <c r="J1" s="83"/>
      <c r="K1" s="82"/>
      <c r="L1" s="83"/>
      <c r="M1" s="82"/>
      <c r="N1" s="83"/>
      <c r="O1" s="82"/>
      <c r="P1" s="83"/>
      <c r="Q1" s="82"/>
      <c r="R1" s="83"/>
      <c r="S1" s="82"/>
      <c r="T1" s="83"/>
      <c r="U1" s="82"/>
      <c r="V1" s="83"/>
      <c r="W1" s="82"/>
      <c r="X1" s="83"/>
      <c r="Y1" s="82"/>
    </row>
    <row r="2" spans="1:25" ht="3" customHeight="1" x14ac:dyDescent="0.25">
      <c r="A2" s="45"/>
      <c r="B2" s="45"/>
      <c r="C2" s="45"/>
      <c r="D2" s="45"/>
      <c r="E2" s="45"/>
      <c r="F2" s="45"/>
      <c r="G2" s="45"/>
      <c r="H2" s="46"/>
      <c r="I2" s="75"/>
      <c r="J2" s="75"/>
      <c r="K2" s="75"/>
      <c r="L2" s="75"/>
      <c r="M2" s="75"/>
      <c r="N2" s="75"/>
      <c r="O2" s="75"/>
      <c r="P2" s="76"/>
      <c r="Q2" s="76"/>
      <c r="R2" s="47"/>
      <c r="S2" s="48"/>
      <c r="T2" s="47"/>
      <c r="U2" s="47"/>
      <c r="V2" s="47"/>
      <c r="W2" s="47"/>
      <c r="X2" s="47"/>
      <c r="Y2" s="47"/>
    </row>
    <row r="3" spans="1:25" ht="15" customHeight="1" x14ac:dyDescent="0.25">
      <c r="A3" s="45"/>
      <c r="B3" s="45"/>
      <c r="C3" s="45"/>
      <c r="D3" s="45"/>
      <c r="E3" s="45"/>
      <c r="F3" s="45"/>
      <c r="G3" s="45"/>
      <c r="H3" s="49"/>
      <c r="I3" s="75" t="str">
        <f ca="1">(LEFT($B$8,40)&amp;IF(LEN($B$8)&gt;40,"…",""))</f>
        <v>Primary Borrower Not Yet Specified</v>
      </c>
      <c r="J3" s="75"/>
      <c r="K3" s="75"/>
      <c r="L3" s="75"/>
      <c r="M3" s="75"/>
      <c r="N3" s="75"/>
      <c r="O3" s="75"/>
      <c r="P3" s="76"/>
      <c r="Q3" s="76"/>
      <c r="R3" s="76" t="s">
        <v>2140</v>
      </c>
      <c r="S3" s="133" t="str">
        <f>IF('$DB.DATA'!G11="RES",VLOOKUP("APP_PROGRESS_PCT_COMPLETE",DB_TBL_DATA_FIELDS[[FIELD_ID]:[FIELD_VALUE_CLEAN]],10,FALSE),"N/A")</f>
        <v>N/A</v>
      </c>
      <c r="T3" s="117" t="str">
        <f ca="1">IF(DATA_APP_PROGRESS_ERROR_COUNT&gt;0,0,IF(DATA_EFORM_COMPLETE_FLAG,2,""))</f>
        <v/>
      </c>
      <c r="U3" s="49"/>
      <c r="V3" s="50"/>
      <c r="W3" s="49"/>
      <c r="X3" s="50"/>
      <c r="Y3" s="49"/>
    </row>
    <row r="4" spans="1:25" ht="3" customHeight="1" x14ac:dyDescent="0.25">
      <c r="A4" s="45"/>
      <c r="B4" s="45"/>
      <c r="C4" s="45"/>
      <c r="D4" s="45"/>
      <c r="E4" s="45"/>
      <c r="F4" s="45"/>
      <c r="G4" s="45"/>
      <c r="H4" s="34"/>
      <c r="I4" s="85"/>
      <c r="J4" s="85"/>
      <c r="K4" s="85"/>
      <c r="L4" s="85"/>
      <c r="M4" s="85"/>
      <c r="N4" s="85"/>
      <c r="O4" s="85"/>
      <c r="P4" s="86"/>
      <c r="Q4" s="86"/>
      <c r="R4" s="87"/>
      <c r="S4" s="34"/>
      <c r="T4" s="87"/>
      <c r="U4" s="34"/>
      <c r="V4" s="87"/>
      <c r="W4" s="34"/>
      <c r="X4" s="87"/>
      <c r="Y4" s="34"/>
    </row>
    <row r="5" spans="1:25" ht="3.95" customHeight="1" x14ac:dyDescent="0.25">
      <c r="A5" s="45"/>
      <c r="B5" s="45"/>
      <c r="C5" s="45"/>
      <c r="D5" s="45"/>
      <c r="E5" s="45"/>
      <c r="F5" s="45"/>
      <c r="G5" s="45"/>
      <c r="H5" s="39"/>
      <c r="I5" s="79"/>
      <c r="J5" s="79"/>
      <c r="K5" s="79"/>
      <c r="L5" s="79"/>
      <c r="M5" s="79"/>
      <c r="N5" s="79"/>
      <c r="O5" s="79"/>
      <c r="P5" s="80"/>
      <c r="Q5" s="80"/>
    </row>
    <row r="6" spans="1:25" ht="18" customHeight="1" x14ac:dyDescent="0.25">
      <c r="A6" s="51" t="s">
        <v>32</v>
      </c>
      <c r="B6" s="94" t="str">
        <f>LOOKUP_PROGRAM_NAME_HDP&amp;" - "&amp;CONFIG_ENROLL_PERD_DESC</f>
        <v>Homebuyer Dream Program - 2026 Round</v>
      </c>
      <c r="C6" s="51"/>
      <c r="D6" s="51"/>
      <c r="E6" s="51"/>
      <c r="F6" s="51"/>
      <c r="G6" s="51"/>
      <c r="H6" s="59" t="str">
        <f ca="1">B11</f>
        <v/>
      </c>
      <c r="I6" s="381" t="str">
        <f ca="1">B12</f>
        <v/>
      </c>
      <c r="J6" s="381"/>
      <c r="K6" s="381"/>
      <c r="L6" s="381"/>
      <c r="M6" s="381"/>
      <c r="N6" s="381"/>
      <c r="O6" s="381"/>
      <c r="P6" s="381"/>
      <c r="Q6" s="381"/>
      <c r="R6" s="381"/>
      <c r="S6" s="381"/>
      <c r="T6" s="381"/>
      <c r="U6" s="381"/>
      <c r="V6" s="381"/>
      <c r="W6" s="381"/>
      <c r="X6" s="381"/>
      <c r="Y6" s="381"/>
    </row>
    <row r="7" spans="1:25" ht="3.95" customHeight="1" x14ac:dyDescent="0.25">
      <c r="A7" s="51" t="s">
        <v>2205</v>
      </c>
      <c r="B7" s="94" t="str">
        <f>VLOOKUP(A7,DB_TBL_CONFIG_APP[#All],4,FALSE)</f>
        <v>New Household Reservation Request</v>
      </c>
      <c r="C7" s="51"/>
      <c r="D7" s="51"/>
      <c r="E7" s="51"/>
      <c r="F7" s="51"/>
      <c r="G7" s="51"/>
      <c r="H7" s="59"/>
      <c r="I7" s="59"/>
      <c r="J7" s="59"/>
      <c r="K7" s="59"/>
      <c r="L7" s="59"/>
      <c r="M7" s="59"/>
      <c r="N7" s="59"/>
      <c r="O7" s="59"/>
      <c r="P7" s="59"/>
      <c r="Q7" s="59"/>
      <c r="R7" s="59"/>
      <c r="S7" s="59"/>
      <c r="T7" s="59"/>
      <c r="U7" s="59"/>
      <c r="V7" s="59"/>
      <c r="W7" s="59"/>
      <c r="X7" s="59"/>
      <c r="Y7" s="59"/>
    </row>
    <row r="8" spans="1:25" s="36" customFormat="1" ht="21.95" customHeight="1" thickBot="1" x14ac:dyDescent="0.25">
      <c r="A8" s="51" t="s">
        <v>2351</v>
      </c>
      <c r="B8" s="94" t="str">
        <f ca="1">IF(DATA_PRIM_BORW_FULL_NAME="","Primary Borrower Not Yet Specified",DATA_PRIM_BORW_FULL_NAME)</f>
        <v>Primary Borrower Not Yet Specified</v>
      </c>
      <c r="C8" s="54"/>
      <c r="D8" s="54"/>
      <c r="E8" s="51"/>
      <c r="F8" s="51"/>
      <c r="G8" s="51"/>
      <c r="H8" s="59"/>
      <c r="I8" s="114" t="s">
        <v>2354</v>
      </c>
      <c r="J8" s="115"/>
      <c r="K8" s="115"/>
      <c r="L8" s="115"/>
      <c r="M8" s="115"/>
      <c r="N8" s="115"/>
      <c r="O8" s="115"/>
      <c r="P8" s="115"/>
      <c r="Q8" s="115"/>
      <c r="R8" s="115"/>
      <c r="S8" s="115"/>
      <c r="T8" s="115"/>
      <c r="U8" s="115"/>
      <c r="V8" s="115"/>
      <c r="W8" s="115"/>
      <c r="X8" s="115"/>
      <c r="Y8" s="59"/>
    </row>
    <row r="9" spans="1:25" s="36" customFormat="1" ht="99.75" customHeight="1" x14ac:dyDescent="0.25">
      <c r="A9" s="54" t="s">
        <v>2154</v>
      </c>
      <c r="B9" s="65">
        <f ca="1">SUM(B28,B62,B85,B109,B133)</f>
        <v>0</v>
      </c>
      <c r="C9" s="54"/>
      <c r="D9" s="54"/>
      <c r="E9" s="54"/>
      <c r="F9" s="54"/>
      <c r="G9" s="54"/>
      <c r="H9" s="59"/>
      <c r="I9" s="387" t="s">
        <v>9341</v>
      </c>
      <c r="J9" s="387"/>
      <c r="K9" s="387"/>
      <c r="L9" s="387"/>
      <c r="M9" s="387"/>
      <c r="N9" s="387"/>
      <c r="O9" s="387"/>
      <c r="P9" s="387"/>
      <c r="Q9" s="387"/>
      <c r="R9" s="387"/>
      <c r="S9" s="387"/>
      <c r="T9" s="387"/>
      <c r="U9" s="387"/>
      <c r="V9" s="387"/>
      <c r="W9" s="387"/>
      <c r="X9" s="387"/>
      <c r="Y9" s="59"/>
    </row>
    <row r="10" spans="1:25" s="36" customFormat="1" ht="9.9499999999999993" customHeight="1" x14ac:dyDescent="0.25">
      <c r="A10" s="54" t="s">
        <v>2155</v>
      </c>
      <c r="B10" s="65" t="b">
        <f ca="1">B9&gt;0</f>
        <v>0</v>
      </c>
      <c r="C10" s="54"/>
      <c r="D10" s="54"/>
      <c r="E10" s="54"/>
      <c r="F10" s="54"/>
      <c r="G10" s="54"/>
      <c r="H10" s="59"/>
      <c r="I10" s="59"/>
      <c r="J10" s="59"/>
      <c r="K10" s="59"/>
      <c r="L10" s="59"/>
      <c r="M10" s="59"/>
      <c r="N10" s="59"/>
      <c r="O10" s="59"/>
      <c r="P10" s="59"/>
      <c r="Q10" s="59"/>
      <c r="R10" s="59"/>
      <c r="S10" s="59"/>
      <c r="T10" s="59"/>
      <c r="U10" s="59"/>
      <c r="V10" s="59"/>
      <c r="W10" s="59"/>
      <c r="X10" s="59"/>
      <c r="Y10" s="59"/>
    </row>
    <row r="11" spans="1:25" s="36" customFormat="1" ht="21.95" customHeight="1" thickBot="1" x14ac:dyDescent="0.3">
      <c r="A11" s="54" t="s">
        <v>2156</v>
      </c>
      <c r="B11" s="65" t="str">
        <f ca="1">IF(B10,1,"")</f>
        <v/>
      </c>
      <c r="C11" s="54"/>
      <c r="D11" s="54"/>
      <c r="E11" s="54"/>
      <c r="F11" s="54"/>
      <c r="G11" s="54"/>
      <c r="H11" s="59"/>
      <c r="I11" s="114" t="s">
        <v>2879</v>
      </c>
      <c r="J11" s="115"/>
      <c r="K11" s="115"/>
      <c r="L11" s="115"/>
      <c r="M11" s="115"/>
      <c r="N11" s="115"/>
      <c r="O11" s="115"/>
      <c r="P11" s="115"/>
      <c r="Q11" s="115"/>
      <c r="R11" s="115"/>
      <c r="S11" s="115"/>
      <c r="T11" s="115"/>
      <c r="U11" s="115"/>
      <c r="V11" s="115"/>
      <c r="W11" s="115"/>
      <c r="X11" s="115"/>
      <c r="Y11" s="59"/>
    </row>
    <row r="12" spans="1:25" s="36" customFormat="1" ht="6.75" customHeight="1" x14ac:dyDescent="0.2">
      <c r="A12" s="54" t="s">
        <v>2157</v>
      </c>
      <c r="B12" s="94" t="str">
        <f ca="1">IF(B10,B9&amp;" "&amp;'$DB.CONFIG'!$M$4,"")</f>
        <v/>
      </c>
      <c r="C12" s="54"/>
      <c r="D12" s="54"/>
      <c r="E12" s="54"/>
      <c r="F12" s="54"/>
      <c r="G12" s="54"/>
      <c r="H12" s="59"/>
      <c r="I12" s="60"/>
      <c r="J12" s="59"/>
      <c r="K12" s="59"/>
      <c r="L12" s="59"/>
      <c r="M12" s="59"/>
      <c r="N12" s="59"/>
      <c r="O12" s="59"/>
      <c r="P12" s="59"/>
      <c r="Q12" s="59"/>
      <c r="R12" s="59"/>
      <c r="S12" s="59"/>
      <c r="T12" s="59"/>
      <c r="U12" s="59"/>
      <c r="V12" s="59"/>
      <c r="W12" s="59"/>
      <c r="X12" s="59"/>
      <c r="Y12" s="59"/>
    </row>
    <row r="13" spans="1:25" s="36" customFormat="1" ht="21.95" customHeight="1" x14ac:dyDescent="0.25">
      <c r="A13" s="54"/>
      <c r="B13" s="54"/>
      <c r="C13" s="54"/>
      <c r="D13" s="54"/>
      <c r="E13" s="54"/>
      <c r="F13" s="54"/>
      <c r="G13" s="54"/>
      <c r="H13"/>
      <c r="I13" s="53" t="s">
        <v>25</v>
      </c>
      <c r="J13" s="78">
        <f>1</f>
        <v>1</v>
      </c>
      <c r="K13" s="74"/>
      <c r="L13" s="74"/>
      <c r="M13" s="53" t="s">
        <v>2186</v>
      </c>
      <c r="N13" s="78">
        <f>2</f>
        <v>2</v>
      </c>
      <c r="Q13" s="53" t="s">
        <v>2187</v>
      </c>
      <c r="R13" s="78">
        <f>0</f>
        <v>0</v>
      </c>
      <c r="U13" s="384" t="s">
        <v>2188</v>
      </c>
      <c r="V13" s="385"/>
      <c r="W13" s="385"/>
      <c r="X13" s="386"/>
      <c r="Y13"/>
    </row>
    <row r="14" spans="1:25" s="36" customFormat="1" ht="21.95" customHeight="1" x14ac:dyDescent="0.25">
      <c r="A14" s="54"/>
      <c r="B14" s="54"/>
      <c r="C14" s="54"/>
      <c r="D14" s="54"/>
      <c r="E14" s="54"/>
      <c r="F14" s="54"/>
      <c r="G14" s="54"/>
      <c r="H14"/>
      <c r="I14"/>
      <c r="J14" s="44"/>
      <c r="K14"/>
      <c r="L14" s="44"/>
      <c r="M14"/>
      <c r="N14" s="44"/>
      <c r="O14"/>
      <c r="P14" s="44"/>
      <c r="Q14"/>
      <c r="R14" s="44"/>
      <c r="S14"/>
      <c r="T14" s="44"/>
      <c r="U14"/>
      <c r="V14" s="44"/>
      <c r="W14"/>
      <c r="X14" s="44"/>
      <c r="Y14"/>
    </row>
    <row r="15" spans="1:25" s="36" customFormat="1" ht="21.95" customHeight="1" thickBot="1" x14ac:dyDescent="0.3">
      <c r="A15" s="54"/>
      <c r="B15" s="54"/>
      <c r="C15" s="54"/>
      <c r="D15" s="54"/>
      <c r="E15" s="54"/>
      <c r="F15" s="54"/>
      <c r="G15" s="54"/>
      <c r="I15" s="55" t="s">
        <v>186</v>
      </c>
      <c r="J15" s="55"/>
      <c r="K15" s="55"/>
      <c r="L15" s="55"/>
      <c r="M15" s="55"/>
      <c r="N15" s="55"/>
      <c r="O15" s="55"/>
      <c r="P15" s="55"/>
      <c r="Q15" s="55"/>
      <c r="R15" s="55"/>
      <c r="S15" s="55"/>
      <c r="T15" s="55"/>
      <c r="U15" s="55"/>
      <c r="V15" s="55"/>
      <c r="W15" s="55"/>
      <c r="X15" s="56"/>
    </row>
    <row r="16" spans="1:25" s="36" customFormat="1" ht="21.95" customHeight="1" x14ac:dyDescent="0.25">
      <c r="A16" s="54"/>
      <c r="B16" s="54"/>
      <c r="C16" s="54"/>
      <c r="D16" s="54"/>
      <c r="E16" s="54"/>
      <c r="F16" s="54"/>
      <c r="G16" s="54"/>
      <c r="H16" s="57"/>
      <c r="I16" s="37"/>
      <c r="J16" s="37"/>
      <c r="K16" s="37"/>
      <c r="L16" s="37"/>
      <c r="M16" s="37"/>
      <c r="N16" s="37"/>
      <c r="O16" s="58"/>
      <c r="P16" s="58"/>
      <c r="Q16" s="37"/>
      <c r="R16" s="37"/>
      <c r="S16" s="37"/>
      <c r="T16" s="37"/>
      <c r="U16" s="37"/>
      <c r="V16" s="37"/>
      <c r="W16" s="37"/>
      <c r="X16" s="37"/>
    </row>
    <row r="17" spans="1:25" s="36" customFormat="1" ht="21.95" customHeight="1" x14ac:dyDescent="0.25">
      <c r="A17" s="54"/>
      <c r="B17" s="54"/>
      <c r="C17" s="54"/>
      <c r="D17" s="54"/>
      <c r="E17" s="54"/>
      <c r="F17" s="54"/>
      <c r="G17" s="54"/>
      <c r="I17" s="382" t="str">
        <f>"1     "&amp;VLOOKUP("SECTION_1_TOC_LABEL",A:B,2,FALSE)</f>
        <v>1     FHLBNY Member</v>
      </c>
      <c r="J17" s="382"/>
      <c r="K17" s="382"/>
      <c r="L17" s="382"/>
      <c r="M17" s="382"/>
      <c r="N17" s="59" t="str">
        <f>IF($B$29,1,"")</f>
        <v/>
      </c>
      <c r="O17" s="73" t="str">
        <f ca="1">$B$25</f>
        <v>Not Started</v>
      </c>
      <c r="P17" s="59" t="str">
        <f ca="1">B26</f>
        <v/>
      </c>
      <c r="Q17" s="383" t="str">
        <f>"4     "&amp;VLOOKUP("SECTION_4_TOC_LABEL",A:B,2,FALSE)</f>
        <v>4     Purchase Property</v>
      </c>
      <c r="R17" s="383"/>
      <c r="S17" s="383"/>
      <c r="T17" s="383"/>
      <c r="U17" s="383"/>
      <c r="V17" s="59" t="str">
        <f ca="1">IF($B$110,1,"")</f>
        <v/>
      </c>
      <c r="W17" s="73" t="str">
        <f ca="1">$B$105</f>
        <v>Not Started</v>
      </c>
      <c r="X17" s="59" t="str">
        <f ca="1">$B106</f>
        <v/>
      </c>
    </row>
    <row r="18" spans="1:25" s="36" customFormat="1" ht="21.95" customHeight="1" x14ac:dyDescent="0.25">
      <c r="A18" s="91" t="s">
        <v>118</v>
      </c>
      <c r="B18" s="93" t="s">
        <v>2832</v>
      </c>
      <c r="C18" s="92"/>
      <c r="D18" s="92"/>
      <c r="E18" s="92"/>
      <c r="F18" s="92"/>
      <c r="G18" s="92"/>
      <c r="I18" s="382" t="str">
        <f>"2     "&amp;VLOOKUP("SECTION_2_TOC_LABEL",A:B,2,FALSE)</f>
        <v>2     Household Information</v>
      </c>
      <c r="J18" s="382"/>
      <c r="K18" s="382"/>
      <c r="L18" s="382"/>
      <c r="M18" s="382"/>
      <c r="N18" s="59" t="str">
        <f ca="1">IF($B$63,1,"")</f>
        <v/>
      </c>
      <c r="O18" s="73" t="str">
        <f ca="1">$B$58</f>
        <v>Not Started</v>
      </c>
      <c r="P18" s="59" t="str">
        <f ca="1">B59</f>
        <v/>
      </c>
      <c r="Q18" s="383" t="str">
        <f>"5    "&amp;VLOOKUP("SECTION_5_TOC_LABEL",A:B,2,FALSE)</f>
        <v>5    Household Qualification</v>
      </c>
      <c r="R18" s="383"/>
      <c r="S18" s="383"/>
      <c r="T18" s="383"/>
      <c r="U18" s="383"/>
      <c r="V18" s="59" t="str">
        <f ca="1">IF($B$134,1,"")</f>
        <v/>
      </c>
      <c r="W18" s="73" t="str">
        <f ca="1">$B$129</f>
        <v>Not Started</v>
      </c>
      <c r="X18" s="59" t="str">
        <f ca="1">$B130</f>
        <v/>
      </c>
    </row>
    <row r="19" spans="1:25" s="36" customFormat="1" ht="21.95" customHeight="1" x14ac:dyDescent="0.25">
      <c r="A19" s="61" t="s">
        <v>2221</v>
      </c>
      <c r="B19" s="95" t="str">
        <f>IF(I24="","",I24)</f>
        <v/>
      </c>
      <c r="C19" s="54">
        <f ca="1">VLOOKUP(A19,DB_TBL_DATA_FIELDS[[FIELD_ID]:[PCT_CALC_FIELD_STATUS_CODE]],22,FALSE)</f>
        <v>1</v>
      </c>
      <c r="D19" s="54" t="str">
        <f>IF(VLOOKUP(A19,DB_TBL_DATA_FIELDS[[FIELD_ID]:[ERROR_MESSAGE]],23,FALSE)&lt;&gt;0,VLOOKUP(A19,DB_TBL_DATA_FIELDS[[FIELD_ID]:[ERROR_MESSAGE]],23,FALSE),"")</f>
        <v/>
      </c>
      <c r="E19" s="54">
        <f>VLOOKUP(A19,DB_TBL_DATA_FIELDS[[#All],[FIELD_ID]:[RANGE_VALIDATION_MAX]],18,FALSE)</f>
        <v>0</v>
      </c>
      <c r="F19" s="54">
        <f>VLOOKUP(A19,DB_TBL_DATA_FIELDS[[#All],[FIELD_ID]:[RANGE_VALIDATION_MAX]],19,FALSE)</f>
        <v>100</v>
      </c>
      <c r="G19" s="54">
        <f ca="1">IF(C19&lt;0,"",C19)</f>
        <v>1</v>
      </c>
      <c r="I19" s="382" t="str">
        <f>"3     "&amp;VLOOKUP("SECTION_3_TOC_LABEL",A:B,2,FALSE)</f>
        <v>3     Grant Summary</v>
      </c>
      <c r="J19" s="382"/>
      <c r="K19" s="382"/>
      <c r="L19" s="382"/>
      <c r="M19" s="382"/>
      <c r="N19" s="59" t="str">
        <f ca="1">IF($B$86,1,"")</f>
        <v/>
      </c>
      <c r="O19" s="73" t="str">
        <f ca="1">$B$81</f>
        <v>Not Started</v>
      </c>
      <c r="P19" s="59" t="str">
        <f ca="1">B82</f>
        <v/>
      </c>
      <c r="Q19" s="383" t="str">
        <f>"6    "&amp;VLOOKUP("SECTION_6_TOC_LABEL",A:B,2,FALSE)</f>
        <v>6    Member Certification</v>
      </c>
      <c r="R19" s="383"/>
      <c r="S19" s="383"/>
      <c r="T19" s="383"/>
      <c r="U19" s="383"/>
      <c r="V19" s="59" t="str">
        <f>IF($B$150,1,"")</f>
        <v/>
      </c>
      <c r="W19" s="73" t="str">
        <f ca="1">$B$146</f>
        <v>Not Started</v>
      </c>
      <c r="X19" s="59" t="str">
        <f ca="1">$B147</f>
        <v/>
      </c>
    </row>
    <row r="20" spans="1:25" s="36" customFormat="1" ht="21.95" customHeight="1" x14ac:dyDescent="0.25">
      <c r="A20" s="61" t="s">
        <v>117</v>
      </c>
      <c r="B20" s="65" t="str">
        <f>"C"&amp;MATCH(LEFT(A20,LEN(A20)-LEN("_RANGE")),A:A,0)+1&amp;":C"&amp;(ROW()-1)</f>
        <v>C19:C19</v>
      </c>
      <c r="C20" s="54"/>
      <c r="D20" s="54"/>
      <c r="E20" s="54"/>
      <c r="F20" s="54"/>
      <c r="G20" s="54"/>
      <c r="J20" s="44"/>
      <c r="L20" s="44"/>
      <c r="N20" s="44"/>
      <c r="P20" s="44"/>
      <c r="R20" s="44"/>
      <c r="T20" s="44"/>
      <c r="V20" s="44"/>
      <c r="X20" s="44"/>
    </row>
    <row r="21" spans="1:25" s="36" customFormat="1" ht="21.95" customHeight="1" thickBot="1" x14ac:dyDescent="0.3">
      <c r="A21" s="61" t="s">
        <v>111</v>
      </c>
      <c r="B21" s="65">
        <f ca="1">COUNTIF(INDIRECT($B20),2)</f>
        <v>0</v>
      </c>
      <c r="C21" s="54"/>
      <c r="D21" s="54"/>
      <c r="E21" s="54"/>
      <c r="F21" s="54"/>
      <c r="G21" s="54"/>
      <c r="H21" s="37"/>
      <c r="I21" s="55" t="str">
        <f>B18</f>
        <v>Federal Home Loan Bank of New York Member</v>
      </c>
      <c r="J21" s="55"/>
      <c r="K21" s="55"/>
      <c r="L21" s="55"/>
      <c r="M21" s="55"/>
      <c r="N21" s="55"/>
      <c r="O21" s="55"/>
      <c r="P21" s="55"/>
      <c r="Q21" s="55"/>
      <c r="R21" s="55"/>
      <c r="S21" s="55"/>
      <c r="T21" s="55"/>
      <c r="U21" s="55"/>
      <c r="V21" s="55"/>
      <c r="W21" s="55"/>
      <c r="X21" s="56" t="str">
        <f ca="1">"Status: "&amp;$B$25</f>
        <v>Status: Not Started</v>
      </c>
      <c r="Y21" s="37"/>
    </row>
    <row r="22" spans="1:25" s="36" customFormat="1" ht="21.95" customHeight="1" x14ac:dyDescent="0.25">
      <c r="A22" s="61" t="s">
        <v>112</v>
      </c>
      <c r="B22" s="65">
        <f ca="1">COUNTIF(INDIRECT($B20),0)+COUNTIF(INDIRECT($B20),1)+COUNTIF(INDIRECT($B20),2)</f>
        <v>1</v>
      </c>
      <c r="C22" s="54"/>
      <c r="D22" s="54"/>
      <c r="E22" s="54"/>
      <c r="F22" s="54"/>
      <c r="G22" s="54"/>
      <c r="H22" s="37"/>
      <c r="I22" s="37"/>
      <c r="J22" s="37"/>
      <c r="K22" s="37"/>
      <c r="L22" s="37"/>
      <c r="M22" s="37"/>
      <c r="N22" s="37"/>
      <c r="O22" s="37"/>
      <c r="P22" s="37"/>
      <c r="Q22" s="37"/>
      <c r="R22" s="37"/>
      <c r="S22" s="37"/>
      <c r="T22" s="37"/>
      <c r="U22" s="37"/>
      <c r="V22" s="37"/>
      <c r="W22" s="37"/>
      <c r="X22" s="37"/>
      <c r="Y22" s="37"/>
    </row>
    <row r="23" spans="1:25" s="36" customFormat="1" ht="21.95" customHeight="1" x14ac:dyDescent="0.25">
      <c r="A23" s="61" t="s">
        <v>113</v>
      </c>
      <c r="B23" s="65">
        <f ca="1">COUNTIF(INDIRECT($B20),0)</f>
        <v>0</v>
      </c>
      <c r="C23" s="54"/>
      <c r="D23" s="54"/>
      <c r="E23" s="54"/>
      <c r="F23" s="54"/>
      <c r="G23" s="54"/>
      <c r="I23" s="36" t="s">
        <v>129</v>
      </c>
      <c r="J23" s="44"/>
      <c r="L23" s="44"/>
      <c r="N23" s="44"/>
      <c r="P23" s="44"/>
      <c r="R23" s="44"/>
      <c r="T23" s="44"/>
    </row>
    <row r="24" spans="1:25" s="36" customFormat="1" ht="21.95" customHeight="1" x14ac:dyDescent="0.25">
      <c r="A24" s="61" t="s">
        <v>114</v>
      </c>
      <c r="B24" s="97">
        <f ca="1">IFERROR(B21/B22,1.01)</f>
        <v>0</v>
      </c>
      <c r="C24" s="54"/>
      <c r="D24" s="54"/>
      <c r="E24" s="54"/>
      <c r="F24" s="54"/>
      <c r="G24" s="54"/>
      <c r="I24" s="316"/>
      <c r="J24" s="317"/>
      <c r="K24" s="317"/>
      <c r="L24" s="317"/>
      <c r="M24" s="317"/>
      <c r="N24" s="317"/>
      <c r="O24" s="317"/>
      <c r="P24" s="317"/>
      <c r="Q24" s="317"/>
      <c r="R24" s="317"/>
      <c r="S24" s="317"/>
      <c r="T24" s="317"/>
      <c r="U24" s="317"/>
      <c r="V24" s="317"/>
      <c r="W24" s="318"/>
      <c r="X24" s="52">
        <f ca="1">$G19</f>
        <v>1</v>
      </c>
    </row>
    <row r="25" spans="1:25" s="36" customFormat="1" ht="21.95" customHeight="1" x14ac:dyDescent="0.25">
      <c r="A25" s="61" t="s">
        <v>115</v>
      </c>
      <c r="B25" s="65" t="str">
        <f ca="1">IF(B23&gt;0,"Data Error(s)",IF(B24=0,"Not Started",IF(B24&lt;1,ROUNDUP(B24*100,0)&amp;"% Done",IF(B24&gt;1,"Optional","Complete"))))</f>
        <v>Not Started</v>
      </c>
      <c r="C25" s="54"/>
      <c r="D25" s="54"/>
      <c r="E25" s="54"/>
      <c r="F25" s="54"/>
      <c r="G25" s="54"/>
      <c r="I25" s="154"/>
      <c r="J25" s="154"/>
      <c r="K25" s="154"/>
      <c r="L25" s="154"/>
      <c r="M25" s="154"/>
      <c r="N25" s="154"/>
      <c r="O25" s="154"/>
      <c r="P25" s="154"/>
      <c r="Q25" s="154"/>
      <c r="R25" s="154"/>
      <c r="S25" s="154"/>
      <c r="T25" s="154"/>
      <c r="U25" s="154"/>
      <c r="V25" s="154"/>
      <c r="W25" s="154"/>
      <c r="X25" s="52"/>
    </row>
    <row r="26" spans="1:25" s="36" customFormat="1" ht="21.95" customHeight="1" thickBot="1" x14ac:dyDescent="0.3">
      <c r="A26" s="61" t="s">
        <v>116</v>
      </c>
      <c r="B26" s="65" t="str">
        <f ca="1">IF(B23&gt;0,0,IF(B24&lt;1,"",2))</f>
        <v/>
      </c>
      <c r="C26" s="54"/>
      <c r="D26" s="54"/>
      <c r="E26" s="54"/>
      <c r="F26" s="54"/>
      <c r="G26" s="54"/>
      <c r="I26" s="55" t="str">
        <f>B30</f>
        <v>Household Information</v>
      </c>
      <c r="J26" s="55"/>
      <c r="K26" s="55"/>
      <c r="L26" s="55"/>
      <c r="M26" s="55"/>
      <c r="N26" s="55"/>
      <c r="O26" s="55"/>
      <c r="P26" s="55"/>
      <c r="Q26" s="55"/>
      <c r="R26" s="55"/>
      <c r="S26" s="55"/>
      <c r="T26" s="55"/>
      <c r="U26" s="55"/>
      <c r="V26" s="55"/>
      <c r="W26" s="55"/>
      <c r="X26" s="56" t="str">
        <f ca="1">"Status: "&amp;$B$58</f>
        <v>Status: Not Started</v>
      </c>
    </row>
    <row r="27" spans="1:25" s="36" customFormat="1" ht="21.95" customHeight="1" x14ac:dyDescent="0.25">
      <c r="A27" s="61" t="s">
        <v>119</v>
      </c>
      <c r="B27" s="96" t="s">
        <v>2833</v>
      </c>
      <c r="C27" s="54"/>
      <c r="D27" s="54"/>
      <c r="E27" s="54"/>
      <c r="F27" s="54"/>
      <c r="G27" s="54"/>
      <c r="J27" s="44"/>
      <c r="L27" s="44"/>
      <c r="N27" s="44"/>
      <c r="P27" s="44"/>
      <c r="R27" s="44"/>
      <c r="T27" s="44"/>
      <c r="V27" s="44"/>
      <c r="X27" s="44"/>
    </row>
    <row r="28" spans="1:25" s="36" customFormat="1" ht="21.95" customHeight="1" x14ac:dyDescent="0.25">
      <c r="A28" s="77" t="s">
        <v>2144</v>
      </c>
      <c r="B28" s="65">
        <v>0</v>
      </c>
      <c r="C28" s="54"/>
      <c r="D28" s="54"/>
      <c r="E28" s="54"/>
      <c r="F28" s="54"/>
      <c r="G28" s="54"/>
      <c r="J28" s="44"/>
      <c r="L28" s="44"/>
      <c r="N28" s="44"/>
      <c r="P28" s="44"/>
      <c r="R28" s="44"/>
      <c r="T28" s="44"/>
      <c r="V28" s="44"/>
      <c r="W28" s="217" t="str">
        <f ca="1">$B$61</f>
        <v/>
      </c>
      <c r="X28" s="52" t="str">
        <f ca="1">IF(C61=1,1,"")</f>
        <v/>
      </c>
    </row>
    <row r="29" spans="1:25" s="36" customFormat="1" ht="21.95" customHeight="1" x14ac:dyDescent="0.25">
      <c r="A29" s="77" t="s">
        <v>2145</v>
      </c>
      <c r="B29" s="65" t="b">
        <f>(B28&gt;0)</f>
        <v>0</v>
      </c>
      <c r="C29" s="54"/>
      <c r="D29" s="54"/>
      <c r="E29" s="54"/>
      <c r="F29" s="54"/>
      <c r="G29" s="54"/>
      <c r="I29" s="63" t="s">
        <v>2362</v>
      </c>
      <c r="J29" s="44"/>
      <c r="K29"/>
      <c r="L29" s="62"/>
      <c r="M29" s="62"/>
      <c r="N29" s="62"/>
      <c r="O29"/>
      <c r="P29" s="44"/>
      <c r="W29" s="40"/>
      <c r="X29" s="52">
        <f ca="1">G33</f>
        <v>1</v>
      </c>
    </row>
    <row r="30" spans="1:25" s="36" customFormat="1" ht="21.95" customHeight="1" x14ac:dyDescent="0.25">
      <c r="A30" s="91" t="s">
        <v>120</v>
      </c>
      <c r="B30" s="93" t="s">
        <v>2355</v>
      </c>
      <c r="C30" s="92"/>
      <c r="D30" s="92"/>
      <c r="E30" s="92"/>
      <c r="F30" s="92"/>
      <c r="G30" s="92"/>
      <c r="J30" s="44"/>
      <c r="L30" s="44"/>
      <c r="N30" s="44"/>
      <c r="P30" s="44"/>
      <c r="R30" s="44"/>
      <c r="T30" s="44"/>
      <c r="V30" s="44"/>
      <c r="X30" s="44"/>
    </row>
    <row r="31" spans="1:25" s="36" customFormat="1" ht="21.95" customHeight="1" thickBot="1" x14ac:dyDescent="0.3">
      <c r="A31" s="244" t="s">
        <v>2344</v>
      </c>
      <c r="B31" s="245" t="str">
        <f>""</f>
        <v/>
      </c>
      <c r="C31" s="245" t="str">
        <f>VLOOKUP(A31,DB_TBL_DATA_FIELDS[[FIELD_ID]:[PCT_CALC_FIELD_STATUS_CODE]],22,FALSE)</f>
        <v/>
      </c>
      <c r="D31" s="245" t="str">
        <f>IF(VLOOKUP(A31,DB_TBL_DATA_FIELDS[[FIELD_ID]:[ERROR_MESSAGE]],23,FALSE)&lt;&gt;0,VLOOKUP(A31,DB_TBL_DATA_FIELDS[[FIELD_ID]:[ERROR_MESSAGE]],23,FALSE),"")</f>
        <v/>
      </c>
      <c r="E31" s="245">
        <f>VLOOKUP(A31,DB_TBL_DATA_FIELDS[[#All],[FIELD_ID]:[RANGE_VALIDATION_MAX]],18,FALSE)</f>
        <v>0</v>
      </c>
      <c r="F31" s="245">
        <f>VLOOKUP(A31,DB_TBL_DATA_FIELDS[[#All],[FIELD_ID]:[RANGE_VALIDATION_MAX]],19,FALSE)</f>
        <v>0</v>
      </c>
      <c r="G31" s="245" t="str">
        <f t="shared" ref="G31" si="0">IF(C31&lt;0,"",C31)</f>
        <v/>
      </c>
      <c r="I31" s="64" t="s">
        <v>2363</v>
      </c>
      <c r="J31" s="64"/>
      <c r="K31" s="64"/>
      <c r="L31" s="64"/>
      <c r="M31" s="64"/>
      <c r="N31" s="64"/>
      <c r="O31" s="64"/>
      <c r="P31" s="64"/>
      <c r="Q31" s="64"/>
      <c r="R31" s="64"/>
      <c r="S31" s="64"/>
      <c r="T31" s="64"/>
      <c r="U31" s="64"/>
      <c r="V31" s="64"/>
      <c r="W31" s="64"/>
      <c r="X31" s="64"/>
    </row>
    <row r="32" spans="1:25" s="36" customFormat="1" ht="21.95" customHeight="1" thickTop="1" x14ac:dyDescent="0.25">
      <c r="A32" s="244" t="s">
        <v>2346</v>
      </c>
      <c r="B32" s="245" t="str">
        <f>""</f>
        <v/>
      </c>
      <c r="C32" s="245" t="str">
        <f>VLOOKUP(A32,DB_TBL_DATA_FIELDS[[FIELD_ID]:[PCT_CALC_FIELD_STATUS_CODE]],22,FALSE)</f>
        <v/>
      </c>
      <c r="D32" s="245" t="str">
        <f>IF(VLOOKUP(A32,DB_TBL_DATA_FIELDS[[FIELD_ID]:[ERROR_MESSAGE]],23,FALSE)&lt;&gt;0,VLOOKUP(A32,DB_TBL_DATA_FIELDS[[FIELD_ID]:[ERROR_MESSAGE]],23,FALSE),"")</f>
        <v/>
      </c>
      <c r="E32" s="245" t="str">
        <f>VLOOKUP(A32,DB_TBL_DATA_FIELDS[[#All],[FIELD_ID]:[RANGE_VALIDATION_MAX]],18,FALSE)</f>
        <v/>
      </c>
      <c r="F32" s="245">
        <f>VLOOKUP(A32,DB_TBL_DATA_FIELDS[[#All],[FIELD_ID]:[RANGE_VALIDATION_MAX]],19,FALSE)</f>
        <v>99999</v>
      </c>
      <c r="G32" s="245" t="str">
        <f t="shared" ref="G32:G37" si="1">IF(C32&lt;0,"",C32)</f>
        <v/>
      </c>
      <c r="J32" s="44"/>
      <c r="L32" s="44"/>
      <c r="N32" s="44"/>
      <c r="P32" s="44"/>
      <c r="R32" s="44"/>
      <c r="T32" s="44"/>
      <c r="V32" s="44"/>
      <c r="X32" s="44"/>
    </row>
    <row r="33" spans="1:25" s="36" customFormat="1" ht="21.95" customHeight="1" x14ac:dyDescent="0.25">
      <c r="A33" s="61" t="s">
        <v>2236</v>
      </c>
      <c r="B33" s="95" t="str">
        <f>IF(W29="","",IF(UPPER(W29)="YES",TRUE,FALSE))</f>
        <v/>
      </c>
      <c r="C33" s="54">
        <f ca="1">VLOOKUP(A33,DB_TBL_DATA_FIELDS[[FIELD_ID]:[PCT_CALC_FIELD_STATUS_CODE]],22,FALSE)</f>
        <v>1</v>
      </c>
      <c r="D33" s="54" t="str">
        <f>IF(VLOOKUP(A33,DB_TBL_DATA_FIELDS[[FIELD_ID]:[ERROR_MESSAGE]],23,FALSE)&lt;&gt;0,VLOOKUP(A33,DB_TBL_DATA_FIELDS[[FIELD_ID]:[ERROR_MESSAGE]],23,FALSE),"")</f>
        <v/>
      </c>
      <c r="E33" s="54">
        <f>VLOOKUP(A33,DB_TBL_DATA_FIELDS[[#All],[FIELD_ID]:[RANGE_VALIDATION_MAX]],18,FALSE)</f>
        <v>0</v>
      </c>
      <c r="F33" s="54">
        <f>VLOOKUP(A33,DB_TBL_DATA_FIELDS[[#All],[FIELD_ID]:[RANGE_VALIDATION_MAX]],19,FALSE)</f>
        <v>0</v>
      </c>
      <c r="G33" s="54">
        <f t="shared" ca="1" si="1"/>
        <v>1</v>
      </c>
      <c r="I33" s="341" t="s">
        <v>2366</v>
      </c>
      <c r="J33" s="342"/>
      <c r="K33" s="343" t="s">
        <v>2367</v>
      </c>
      <c r="L33" s="343"/>
      <c r="M33" s="343" t="s">
        <v>2360</v>
      </c>
      <c r="N33" s="343"/>
      <c r="O33" s="343"/>
      <c r="P33" s="343"/>
      <c r="Q33" s="344" t="s">
        <v>2361</v>
      </c>
      <c r="R33" s="345"/>
      <c r="S33" s="345"/>
      <c r="T33" s="345"/>
      <c r="U33" s="345"/>
      <c r="V33" s="346"/>
      <c r="W33" s="341" t="s">
        <v>2372</v>
      </c>
      <c r="X33" s="342"/>
      <c r="Y33"/>
    </row>
    <row r="34" spans="1:25" s="36" customFormat="1" ht="21.95" customHeight="1" x14ac:dyDescent="0.25">
      <c r="A34" s="61" t="s">
        <v>2237</v>
      </c>
      <c r="B34" s="95" t="str">
        <f>IF(K34&lt;&gt;"",K34,"")</f>
        <v/>
      </c>
      <c r="C34" s="54">
        <f ca="1">VLOOKUP(A34,DB_TBL_DATA_FIELDS[[FIELD_ID]:[PCT_CALC_FIELD_STATUS_CODE]],22,FALSE)</f>
        <v>-1</v>
      </c>
      <c r="D34" s="54" t="str">
        <f>IF(VLOOKUP(A34,DB_TBL_DATA_FIELDS[[FIELD_ID]:[ERROR_MESSAGE]],23,FALSE)&lt;&gt;0,VLOOKUP(A34,DB_TBL_DATA_FIELDS[[FIELD_ID]:[ERROR_MESSAGE]],23,FALSE),"")</f>
        <v/>
      </c>
      <c r="E34" s="54">
        <f>VLOOKUP(A34,DB_TBL_DATA_FIELDS[[#All],[FIELD_ID]:[RANGE_VALIDATION_MAX]],18,FALSE)</f>
        <v>0</v>
      </c>
      <c r="F34" s="54">
        <f>VLOOKUP(A34,DB_TBL_DATA_FIELDS[[#All],[FIELD_ID]:[RANGE_VALIDATION_MAX]],19,FALSE)</f>
        <v>10</v>
      </c>
      <c r="G34" s="54" t="str">
        <f t="shared" ca="1" si="1"/>
        <v/>
      </c>
      <c r="I34" s="379" t="s">
        <v>2364</v>
      </c>
      <c r="J34" s="380"/>
      <c r="K34" s="113"/>
      <c r="L34" s="66" t="str">
        <f ca="1">G34</f>
        <v/>
      </c>
      <c r="M34" s="316"/>
      <c r="N34" s="317"/>
      <c r="O34" s="317"/>
      <c r="P34" s="66">
        <f ca="1">G35</f>
        <v>1</v>
      </c>
      <c r="Q34" s="347"/>
      <c r="R34" s="348"/>
      <c r="S34" s="348"/>
      <c r="T34" s="348"/>
      <c r="U34" s="348"/>
      <c r="V34" s="66">
        <f ca="1">G36</f>
        <v>1</v>
      </c>
      <c r="W34" s="112"/>
      <c r="X34" s="66">
        <f ca="1">G37</f>
        <v>1</v>
      </c>
      <c r="Y34"/>
    </row>
    <row r="35" spans="1:25" s="36" customFormat="1" ht="21.95" customHeight="1" x14ac:dyDescent="0.25">
      <c r="A35" s="61" t="s">
        <v>2238</v>
      </c>
      <c r="B35" s="95" t="str">
        <f>IF(M34&lt;&gt;"",M34,"")</f>
        <v/>
      </c>
      <c r="C35" s="54">
        <f ca="1">VLOOKUP(A35,DB_TBL_DATA_FIELDS[[FIELD_ID]:[PCT_CALC_FIELD_STATUS_CODE]],22,FALSE)</f>
        <v>1</v>
      </c>
      <c r="D35" s="54" t="str">
        <f>IF(VLOOKUP(A35,DB_TBL_DATA_FIELDS[[FIELD_ID]:[ERROR_MESSAGE]],23,FALSE)&lt;&gt;0,VLOOKUP(A35,DB_TBL_DATA_FIELDS[[FIELD_ID]:[ERROR_MESSAGE]],23,FALSE),"")</f>
        <v/>
      </c>
      <c r="E35" s="54">
        <f>VLOOKUP(A35,DB_TBL_DATA_FIELDS[[#All],[FIELD_ID]:[RANGE_VALIDATION_MAX]],18,FALSE)</f>
        <v>0</v>
      </c>
      <c r="F35" s="54">
        <f>VLOOKUP(A35,DB_TBL_DATA_FIELDS[[#All],[FIELD_ID]:[RANGE_VALIDATION_MAX]],19,FALSE)</f>
        <v>30</v>
      </c>
      <c r="G35" s="54">
        <f t="shared" ca="1" si="1"/>
        <v>1</v>
      </c>
      <c r="I35" s="379" t="s">
        <v>2359</v>
      </c>
      <c r="J35" s="380"/>
      <c r="K35" s="113"/>
      <c r="L35" s="66" t="str">
        <f ca="1">G38</f>
        <v/>
      </c>
      <c r="M35" s="316"/>
      <c r="N35" s="317"/>
      <c r="O35" s="317"/>
      <c r="P35" s="66" t="str">
        <f ca="1">G39</f>
        <v/>
      </c>
      <c r="Q35" s="347"/>
      <c r="R35" s="348"/>
      <c r="S35" s="348"/>
      <c r="T35" s="348"/>
      <c r="U35" s="348"/>
      <c r="V35" s="66" t="str">
        <f ca="1">G40</f>
        <v/>
      </c>
      <c r="W35" s="118"/>
      <c r="X35" s="66" t="str">
        <f ca="1">G41</f>
        <v/>
      </c>
      <c r="Y35"/>
    </row>
    <row r="36" spans="1:25" s="36" customFormat="1" ht="21.95" customHeight="1" x14ac:dyDescent="0.25">
      <c r="A36" s="61" t="s">
        <v>2239</v>
      </c>
      <c r="B36" s="95" t="str">
        <f>IF(Q34&lt;&gt;"",Q34,"")</f>
        <v/>
      </c>
      <c r="C36" s="54">
        <f ca="1">VLOOKUP(A36,DB_TBL_DATA_FIELDS[[FIELD_ID]:[PCT_CALC_FIELD_STATUS_CODE]],22,FALSE)</f>
        <v>1</v>
      </c>
      <c r="D36" s="54" t="str">
        <f>IF(VLOOKUP(A36,DB_TBL_DATA_FIELDS[[FIELD_ID]:[ERROR_MESSAGE]],23,FALSE)&lt;&gt;0,VLOOKUP(A36,DB_TBL_DATA_FIELDS[[FIELD_ID]:[ERROR_MESSAGE]],23,FALSE),"")</f>
        <v/>
      </c>
      <c r="E36" s="54">
        <f>VLOOKUP(A36,DB_TBL_DATA_FIELDS[[#All],[FIELD_ID]:[RANGE_VALIDATION_MAX]],18,FALSE)</f>
        <v>0</v>
      </c>
      <c r="F36" s="54">
        <f>VLOOKUP(A36,DB_TBL_DATA_FIELDS[[#All],[FIELD_ID]:[RANGE_VALIDATION_MAX]],19,FALSE)</f>
        <v>30</v>
      </c>
      <c r="G36" s="54">
        <f t="shared" ca="1" si="1"/>
        <v>1</v>
      </c>
      <c r="I36" s="379" t="s">
        <v>2365</v>
      </c>
      <c r="J36" s="380"/>
      <c r="K36" s="113"/>
      <c r="L36" s="66" t="str">
        <f ca="1">G42</f>
        <v/>
      </c>
      <c r="M36" s="316"/>
      <c r="N36" s="317"/>
      <c r="O36" s="317"/>
      <c r="P36" s="66" t="str">
        <f ca="1">G43</f>
        <v/>
      </c>
      <c r="Q36" s="377"/>
      <c r="R36" s="378"/>
      <c r="S36" s="378"/>
      <c r="T36" s="378"/>
      <c r="U36" s="378"/>
      <c r="V36" s="66" t="str">
        <f ca="1">G44</f>
        <v/>
      </c>
      <c r="W36" s="118"/>
      <c r="X36" s="66" t="str">
        <f ca="1">G45</f>
        <v/>
      </c>
      <c r="Y36"/>
    </row>
    <row r="37" spans="1:25" s="36" customFormat="1" ht="21.95" customHeight="1" x14ac:dyDescent="0.25">
      <c r="A37" s="61" t="s">
        <v>2240</v>
      </c>
      <c r="B37" s="95" t="str">
        <f>IF(W34&lt;&gt;"",W34,"")</f>
        <v/>
      </c>
      <c r="C37" s="54">
        <f ca="1">VLOOKUP(A37,DB_TBL_DATA_FIELDS[[FIELD_ID]:[PCT_CALC_FIELD_STATUS_CODE]],22,FALSE)</f>
        <v>1</v>
      </c>
      <c r="D37" s="54" t="str">
        <f>IF(VLOOKUP(A37,DB_TBL_DATA_FIELDS[[FIELD_ID]:[ERROR_MESSAGE]],23,FALSE)&lt;&gt;0,VLOOKUP(A37,DB_TBL_DATA_FIELDS[[FIELD_ID]:[ERROR_MESSAGE]],23,FALSE),"")</f>
        <v/>
      </c>
      <c r="E37" s="54">
        <f>VLOOKUP(A37,DB_TBL_DATA_FIELDS[[#All],[FIELD_ID]:[RANGE_VALIDATION_MAX]],18,FALSE)</f>
        <v>0</v>
      </c>
      <c r="F37" s="54">
        <f>VLOOKUP(A37,DB_TBL_DATA_FIELDS[[#All],[FIELD_ID]:[RANGE_VALIDATION_MAX]],19,FALSE)</f>
        <v>25</v>
      </c>
      <c r="G37" s="54">
        <f t="shared" ca="1" si="1"/>
        <v>1</v>
      </c>
      <c r="J37" s="44"/>
      <c r="L37" s="44"/>
      <c r="N37" s="44"/>
      <c r="P37" s="44"/>
      <c r="R37" s="44"/>
      <c r="T37" s="44"/>
      <c r="V37" s="44"/>
      <c r="X37" s="44"/>
    </row>
    <row r="38" spans="1:25" ht="21.95" customHeight="1" thickBot="1" x14ac:dyDescent="0.3">
      <c r="A38" s="61" t="s">
        <v>2242</v>
      </c>
      <c r="B38" s="95" t="str">
        <f>IF(K35&lt;&gt;"",K35,"")</f>
        <v/>
      </c>
      <c r="C38" s="54">
        <f ca="1">VLOOKUP(A38,DB_TBL_DATA_FIELDS[[FIELD_ID]:[PCT_CALC_FIELD_STATUS_CODE]],22,FALSE)</f>
        <v>-1</v>
      </c>
      <c r="D38" s="54" t="str">
        <f>IF(VLOOKUP(A38,DB_TBL_DATA_FIELDS[[FIELD_ID]:[ERROR_MESSAGE]],23,FALSE)&lt;&gt;0,VLOOKUP(A38,DB_TBL_DATA_FIELDS[[FIELD_ID]:[ERROR_MESSAGE]],23,FALSE),"")</f>
        <v/>
      </c>
      <c r="E38" s="54">
        <f>VLOOKUP(A38,DB_TBL_DATA_FIELDS[[#All],[FIELD_ID]:[RANGE_VALIDATION_MAX]],18,FALSE)</f>
        <v>0</v>
      </c>
      <c r="F38" s="54">
        <f>VLOOKUP(A38,DB_TBL_DATA_FIELDS[[#All],[FIELD_ID]:[RANGE_VALIDATION_MAX]],19,FALSE)</f>
        <v>10</v>
      </c>
      <c r="G38" s="54" t="str">
        <f t="shared" ref="G38:G52" ca="1" si="2">IF(C38&lt;0,"",C38)</f>
        <v/>
      </c>
      <c r="H38" s="36"/>
      <c r="I38" s="64" t="s">
        <v>2379</v>
      </c>
      <c r="J38" s="64"/>
      <c r="K38" s="64"/>
      <c r="L38" s="64"/>
      <c r="M38" s="64"/>
      <c r="N38" s="64"/>
      <c r="O38" s="64"/>
      <c r="P38" s="64"/>
      <c r="Q38" s="64"/>
      <c r="R38" s="64"/>
      <c r="S38" s="64"/>
      <c r="T38" s="64"/>
      <c r="U38" s="64"/>
      <c r="V38" s="64"/>
      <c r="W38" s="64"/>
      <c r="X38" s="64"/>
      <c r="Y38" s="36"/>
    </row>
    <row r="39" spans="1:25" ht="21.95" customHeight="1" thickTop="1" x14ac:dyDescent="0.25">
      <c r="A39" s="61" t="s">
        <v>2243</v>
      </c>
      <c r="B39" s="95" t="str">
        <f>IF(M35&lt;&gt;"",M35,"")</f>
        <v/>
      </c>
      <c r="C39" s="54">
        <f ca="1">VLOOKUP(A39,DB_TBL_DATA_FIELDS[[FIELD_ID]:[PCT_CALC_FIELD_STATUS_CODE]],22,FALSE)</f>
        <v>-1</v>
      </c>
      <c r="D39" s="54" t="str">
        <f>IF(VLOOKUP(A39,DB_TBL_DATA_FIELDS[[FIELD_ID]:[ERROR_MESSAGE]],23,FALSE)&lt;&gt;0,VLOOKUP(A39,DB_TBL_DATA_FIELDS[[FIELD_ID]:[ERROR_MESSAGE]],23,FALSE),"")</f>
        <v/>
      </c>
      <c r="E39" s="54">
        <f>VLOOKUP(A39,DB_TBL_DATA_FIELDS[[#All],[FIELD_ID]:[RANGE_VALIDATION_MAX]],18,FALSE)</f>
        <v>0</v>
      </c>
      <c r="F39" s="54">
        <f>VLOOKUP(A39,DB_TBL_DATA_FIELDS[[#All],[FIELD_ID]:[RANGE_VALIDATION_MAX]],19,FALSE)</f>
        <v>30</v>
      </c>
      <c r="G39" s="54" t="str">
        <f t="shared" ca="1" si="2"/>
        <v/>
      </c>
      <c r="H39" s="36"/>
      <c r="I39" s="36"/>
      <c r="K39" s="36"/>
      <c r="M39" s="36"/>
      <c r="O39" s="36"/>
      <c r="Q39" s="36"/>
      <c r="S39" s="36"/>
      <c r="U39" s="36"/>
      <c r="W39" s="36"/>
      <c r="Y39" s="36"/>
    </row>
    <row r="40" spans="1:25" ht="21.95" customHeight="1" x14ac:dyDescent="0.25">
      <c r="A40" s="61" t="s">
        <v>2244</v>
      </c>
      <c r="B40" s="95" t="str">
        <f>IF(Q35&lt;&gt;"",Q35,"")</f>
        <v/>
      </c>
      <c r="C40" s="54">
        <f ca="1">VLOOKUP(A40,DB_TBL_DATA_FIELDS[[FIELD_ID]:[PCT_CALC_FIELD_STATUS_CODE]],22,FALSE)</f>
        <v>-1</v>
      </c>
      <c r="D40" s="54" t="str">
        <f>IF(VLOOKUP(A40,DB_TBL_DATA_FIELDS[[FIELD_ID]:[ERROR_MESSAGE]],23,FALSE)&lt;&gt;0,VLOOKUP(A40,DB_TBL_DATA_FIELDS[[FIELD_ID]:[ERROR_MESSAGE]],23,FALSE),"")</f>
        <v/>
      </c>
      <c r="E40" s="54">
        <f>VLOOKUP(A40,DB_TBL_DATA_FIELDS[[#All],[FIELD_ID]:[RANGE_VALIDATION_MAX]],18,FALSE)</f>
        <v>0</v>
      </c>
      <c r="F40" s="54">
        <f>VLOOKUP(A40,DB_TBL_DATA_FIELDS[[#All],[FIELD_ID]:[RANGE_VALIDATION_MAX]],19,FALSE)</f>
        <v>30</v>
      </c>
      <c r="G40" s="54" t="str">
        <f t="shared" ca="1" si="2"/>
        <v/>
      </c>
      <c r="H40" s="36"/>
      <c r="I40" s="36" t="s">
        <v>2380</v>
      </c>
      <c r="K40" s="36"/>
      <c r="M40" s="36"/>
      <c r="Q40" s="36" t="s">
        <v>50</v>
      </c>
      <c r="S40" s="36"/>
      <c r="U40" s="36" t="s">
        <v>51</v>
      </c>
      <c r="W40" s="36" t="s">
        <v>52</v>
      </c>
      <c r="Y40" s="36"/>
    </row>
    <row r="41" spans="1:25" ht="21.95" customHeight="1" x14ac:dyDescent="0.25">
      <c r="A41" s="61" t="s">
        <v>2247</v>
      </c>
      <c r="B41" s="95" t="str">
        <f>IF(W35&lt;&gt;"",W35,"")</f>
        <v/>
      </c>
      <c r="C41" s="54">
        <f ca="1">VLOOKUP(A41,DB_TBL_DATA_FIELDS[[FIELD_ID]:[PCT_CALC_FIELD_STATUS_CODE]],22,FALSE)</f>
        <v>-1</v>
      </c>
      <c r="D41" s="54" t="str">
        <f>IF(VLOOKUP(A41,DB_TBL_DATA_FIELDS[[FIELD_ID]:[ERROR_MESSAGE]],23,FALSE)&lt;&gt;0,VLOOKUP(A41,DB_TBL_DATA_FIELDS[[FIELD_ID]:[ERROR_MESSAGE]],23,FALSE),"")</f>
        <v/>
      </c>
      <c r="E41" s="54">
        <f>VLOOKUP(A41,DB_TBL_DATA_FIELDS[[#All],[FIELD_ID]:[RANGE_VALIDATION_MAX]],18,FALSE)</f>
        <v>0</v>
      </c>
      <c r="F41" s="54">
        <f>VLOOKUP(A41,DB_TBL_DATA_FIELDS[[#All],[FIELD_ID]:[RANGE_VALIDATION_MAX]],19,FALSE)</f>
        <v>25</v>
      </c>
      <c r="G41" s="54" t="str">
        <f t="shared" ca="1" si="2"/>
        <v/>
      </c>
      <c r="H41" s="36"/>
      <c r="I41" s="354"/>
      <c r="J41" s="354"/>
      <c r="K41" s="354"/>
      <c r="L41" s="354"/>
      <c r="M41" s="354"/>
      <c r="N41" s="354"/>
      <c r="O41" s="354"/>
      <c r="P41" s="52">
        <f ca="1">G46</f>
        <v>1</v>
      </c>
      <c r="Q41" s="316"/>
      <c r="R41" s="317"/>
      <c r="S41" s="318"/>
      <c r="T41" s="52">
        <f ca="1">G47</f>
        <v>1</v>
      </c>
      <c r="U41" s="40"/>
      <c r="V41" s="52">
        <f ca="1">G48</f>
        <v>1</v>
      </c>
      <c r="W41" s="120"/>
      <c r="X41" s="52">
        <f ca="1">G49</f>
        <v>1</v>
      </c>
      <c r="Y41" s="36"/>
    </row>
    <row r="42" spans="1:25" ht="21.95" customHeight="1" x14ac:dyDescent="0.25">
      <c r="A42" s="61" t="s">
        <v>2245</v>
      </c>
      <c r="B42" s="95" t="str">
        <f>IF(K36&lt;&gt;"",K36,"")</f>
        <v/>
      </c>
      <c r="C42" s="54">
        <f ca="1">VLOOKUP(A42,DB_TBL_DATA_FIELDS[[FIELD_ID]:[PCT_CALC_FIELD_STATUS_CODE]],22,FALSE)</f>
        <v>-1</v>
      </c>
      <c r="D42" s="54" t="str">
        <f>IF(VLOOKUP(A42,DB_TBL_DATA_FIELDS[[FIELD_ID]:[ERROR_MESSAGE]],23,FALSE)&lt;&gt;0,VLOOKUP(A42,DB_TBL_DATA_FIELDS[[FIELD_ID]:[ERROR_MESSAGE]],23,FALSE),"")</f>
        <v/>
      </c>
      <c r="E42" s="54">
        <f>VLOOKUP(A42,DB_TBL_DATA_FIELDS[[#All],[FIELD_ID]:[RANGE_VALIDATION_MAX]],18,FALSE)</f>
        <v>0</v>
      </c>
      <c r="F42" s="54">
        <f>VLOOKUP(A42,DB_TBL_DATA_FIELDS[[#All],[FIELD_ID]:[RANGE_VALIDATION_MAX]],19,FALSE)</f>
        <v>10</v>
      </c>
      <c r="G42" s="54" t="str">
        <f t="shared" ca="1" si="2"/>
        <v/>
      </c>
      <c r="H42" s="36"/>
      <c r="I42" s="36" t="s">
        <v>2876</v>
      </c>
      <c r="K42" s="36"/>
      <c r="M42" s="36"/>
      <c r="O42" s="36"/>
      <c r="Q42" s="36" t="s">
        <v>9079</v>
      </c>
      <c r="S42" s="36"/>
      <c r="U42" s="36" t="s">
        <v>2185</v>
      </c>
      <c r="W42" s="36"/>
      <c r="Y42" s="36"/>
    </row>
    <row r="43" spans="1:25" ht="21.95" customHeight="1" x14ac:dyDescent="0.25">
      <c r="A43" s="61" t="s">
        <v>2246</v>
      </c>
      <c r="B43" s="95" t="str">
        <f>IF(M36&lt;&gt;"",M36,"")</f>
        <v/>
      </c>
      <c r="C43" s="54">
        <f ca="1">VLOOKUP(A43,DB_TBL_DATA_FIELDS[[FIELD_ID]:[PCT_CALC_FIELD_STATUS_CODE]],22,FALSE)</f>
        <v>-1</v>
      </c>
      <c r="D43" s="54" t="str">
        <f>IF(VLOOKUP(A43,DB_TBL_DATA_FIELDS[[FIELD_ID]:[ERROR_MESSAGE]],23,FALSE)&lt;&gt;0,VLOOKUP(A43,DB_TBL_DATA_FIELDS[[FIELD_ID]:[ERROR_MESSAGE]],23,FALSE),"")</f>
        <v/>
      </c>
      <c r="E43" s="54">
        <f>VLOOKUP(A43,DB_TBL_DATA_FIELDS[[#All],[FIELD_ID]:[RANGE_VALIDATION_MAX]],18,FALSE)</f>
        <v>0</v>
      </c>
      <c r="F43" s="54">
        <f>VLOOKUP(A43,DB_TBL_DATA_FIELDS[[#All],[FIELD_ID]:[RANGE_VALIDATION_MAX]],19,FALSE)</f>
        <v>30</v>
      </c>
      <c r="G43" s="54" t="str">
        <f t="shared" ca="1" si="2"/>
        <v/>
      </c>
      <c r="H43" s="36"/>
      <c r="I43" s="324"/>
      <c r="J43" s="324"/>
      <c r="K43" s="324"/>
      <c r="L43" s="324"/>
      <c r="M43" s="324"/>
      <c r="N43" s="324"/>
      <c r="O43" s="324"/>
      <c r="P43" s="52">
        <f ca="1">G50</f>
        <v>1</v>
      </c>
      <c r="Q43" s="351"/>
      <c r="R43" s="352"/>
      <c r="S43" s="353"/>
      <c r="T43" s="52" t="str">
        <f ca="1">G51</f>
        <v/>
      </c>
      <c r="U43" s="41"/>
      <c r="V43" s="119" t="s">
        <v>106</v>
      </c>
      <c r="W43" s="42"/>
      <c r="X43" s="52">
        <f ca="1">G52</f>
        <v>1</v>
      </c>
      <c r="Y43" s="36"/>
    </row>
    <row r="44" spans="1:25" ht="21.95" customHeight="1" x14ac:dyDescent="0.25">
      <c r="A44" s="61" t="s">
        <v>2251</v>
      </c>
      <c r="B44" s="95" t="str">
        <f>IF(Q36&lt;&gt;"",Q36,"")</f>
        <v/>
      </c>
      <c r="C44" s="54">
        <f ca="1">VLOOKUP(A44,DB_TBL_DATA_FIELDS[[FIELD_ID]:[PCT_CALC_FIELD_STATUS_CODE]],22,FALSE)</f>
        <v>-1</v>
      </c>
      <c r="D44" s="54" t="str">
        <f>IF(VLOOKUP(A44,DB_TBL_DATA_FIELDS[[FIELD_ID]:[ERROR_MESSAGE]],23,FALSE)&lt;&gt;0,VLOOKUP(A44,DB_TBL_DATA_FIELDS[[FIELD_ID]:[ERROR_MESSAGE]],23,FALSE),"")</f>
        <v/>
      </c>
      <c r="E44" s="54">
        <f>VLOOKUP(A44,DB_TBL_DATA_FIELDS[[#All],[FIELD_ID]:[RANGE_VALIDATION_MAX]],18,FALSE)</f>
        <v>0</v>
      </c>
      <c r="F44" s="54">
        <f>VLOOKUP(A44,DB_TBL_DATA_FIELDS[[#All],[FIELD_ID]:[RANGE_VALIDATION_MAX]],19,FALSE)</f>
        <v>30</v>
      </c>
      <c r="G44" s="54" t="str">
        <f t="shared" ca="1" si="2"/>
        <v/>
      </c>
      <c r="H44" s="36"/>
      <c r="I44" s="36"/>
      <c r="K44" s="36"/>
      <c r="M44" s="36"/>
      <c r="W44" s="36"/>
      <c r="Y44" s="36"/>
    </row>
    <row r="45" spans="1:25" ht="21.95" customHeight="1" thickBot="1" x14ac:dyDescent="0.3">
      <c r="A45" s="61" t="s">
        <v>2249</v>
      </c>
      <c r="B45" s="95" t="str">
        <f>IF(W36&lt;&gt;"",W36,"")</f>
        <v/>
      </c>
      <c r="C45" s="54">
        <f ca="1">VLOOKUP(A45,DB_TBL_DATA_FIELDS[[FIELD_ID]:[PCT_CALC_FIELD_STATUS_CODE]],22,FALSE)</f>
        <v>-1</v>
      </c>
      <c r="D45" s="54" t="str">
        <f>IF(VLOOKUP(A45,DB_TBL_DATA_FIELDS[[FIELD_ID]:[ERROR_MESSAGE]],23,FALSE)&lt;&gt;0,VLOOKUP(A45,DB_TBL_DATA_FIELDS[[FIELD_ID]:[ERROR_MESSAGE]],23,FALSE),"")</f>
        <v/>
      </c>
      <c r="E45" s="54">
        <f>VLOOKUP(A45,DB_TBL_DATA_FIELDS[[#All],[FIELD_ID]:[RANGE_VALIDATION_MAX]],18,FALSE)</f>
        <v>0</v>
      </c>
      <c r="F45" s="54">
        <f>VLOOKUP(A45,DB_TBL_DATA_FIELDS[[#All],[FIELD_ID]:[RANGE_VALIDATION_MAX]],19,FALSE)</f>
        <v>25</v>
      </c>
      <c r="G45" s="54" t="str">
        <f t="shared" ca="1" si="2"/>
        <v/>
      </c>
      <c r="I45" s="55" t="str">
        <f>B64</f>
        <v>Grant Summary</v>
      </c>
      <c r="J45" s="55"/>
      <c r="K45" s="55"/>
      <c r="L45" s="55"/>
      <c r="M45" s="55"/>
      <c r="N45" s="55"/>
      <c r="O45" s="55"/>
      <c r="P45" s="55"/>
      <c r="Q45" s="55"/>
      <c r="R45" s="55"/>
      <c r="S45" s="55"/>
      <c r="T45" s="55"/>
      <c r="U45" s="55"/>
      <c r="V45" s="55"/>
      <c r="W45" s="55"/>
      <c r="X45" s="56" t="str">
        <f ca="1">"Status: "&amp;$B$81</f>
        <v>Status: Not Started</v>
      </c>
      <c r="Y45" s="36"/>
    </row>
    <row r="46" spans="1:25" ht="21.95" customHeight="1" x14ac:dyDescent="0.25">
      <c r="A46" s="61" t="s">
        <v>2252</v>
      </c>
      <c r="B46" s="95" t="str">
        <f>IF(I41&lt;&gt;"",I41,"")</f>
        <v/>
      </c>
      <c r="C46" s="54">
        <f ca="1">VLOOKUP(A46,DB_TBL_DATA_FIELDS[[FIELD_ID]:[PCT_CALC_FIELD_STATUS_CODE]],22,FALSE)</f>
        <v>1</v>
      </c>
      <c r="D46" s="54" t="str">
        <f>IF(VLOOKUP(A46,DB_TBL_DATA_FIELDS[[FIELD_ID]:[ERROR_MESSAGE]],23,FALSE)&lt;&gt;0,VLOOKUP(A46,DB_TBL_DATA_FIELDS[[FIELD_ID]:[ERROR_MESSAGE]],23,FALSE),"")</f>
        <v/>
      </c>
      <c r="E46" s="54">
        <f>VLOOKUP(A46,DB_TBL_DATA_FIELDS[[#All],[FIELD_ID]:[RANGE_VALIDATION_MAX]],18,FALSE)</f>
        <v>0</v>
      </c>
      <c r="F46" s="54">
        <f>VLOOKUP(A46,DB_TBL_DATA_FIELDS[[#All],[FIELD_ID]:[RANGE_VALIDATION_MAX]],19,FALSE)</f>
        <v>75</v>
      </c>
      <c r="G46" s="54">
        <f t="shared" ca="1" si="2"/>
        <v>1</v>
      </c>
      <c r="I46" s="122"/>
      <c r="J46" s="122"/>
      <c r="K46" s="122"/>
      <c r="L46" s="122"/>
      <c r="M46" s="122"/>
      <c r="N46" s="122"/>
      <c r="O46" s="122"/>
      <c r="P46" s="122"/>
      <c r="Q46" s="122"/>
      <c r="R46" s="122"/>
      <c r="S46" s="122"/>
      <c r="T46" s="122"/>
      <c r="U46" s="122"/>
      <c r="V46" s="122"/>
      <c r="W46" s="122"/>
      <c r="X46" s="123"/>
      <c r="Y46" s="36"/>
    </row>
    <row r="47" spans="1:25" ht="21.95" customHeight="1" x14ac:dyDescent="0.25">
      <c r="A47" s="61" t="s">
        <v>2253</v>
      </c>
      <c r="B47" s="95" t="str">
        <f>IF(Q41&lt;&gt;"",Q41,"")</f>
        <v/>
      </c>
      <c r="C47" s="54">
        <f ca="1">VLOOKUP(A47,DB_TBL_DATA_FIELDS[[FIELD_ID]:[PCT_CALC_FIELD_STATUS_CODE]],22,FALSE)</f>
        <v>1</v>
      </c>
      <c r="D47" s="54" t="str">
        <f>IF(VLOOKUP(A47,DB_TBL_DATA_FIELDS[[FIELD_ID]:[ERROR_MESSAGE]],23,FALSE)&lt;&gt;0,VLOOKUP(A47,DB_TBL_DATA_FIELDS[[FIELD_ID]:[ERROR_MESSAGE]],23,FALSE),"")</f>
        <v/>
      </c>
      <c r="E47" s="54">
        <f>VLOOKUP(A47,DB_TBL_DATA_FIELDS[[#All],[FIELD_ID]:[RANGE_VALIDATION_MAX]],18,FALSE)</f>
        <v>0</v>
      </c>
      <c r="F47" s="54">
        <f>VLOOKUP(A47,DB_TBL_DATA_FIELDS[[#All],[FIELD_ID]:[RANGE_VALIDATION_MAX]],19,FALSE)</f>
        <v>30</v>
      </c>
      <c r="G47" s="54">
        <f t="shared" ca="1" si="2"/>
        <v>1</v>
      </c>
      <c r="I47" s="122"/>
      <c r="J47" s="122"/>
      <c r="K47" s="122"/>
      <c r="L47" s="122"/>
      <c r="M47" s="122"/>
      <c r="N47" s="122"/>
      <c r="O47" s="122"/>
      <c r="P47" s="122"/>
      <c r="Q47" s="122"/>
      <c r="R47" s="122"/>
      <c r="S47" s="122"/>
      <c r="T47" s="122"/>
      <c r="U47" s="122"/>
      <c r="V47" s="122"/>
      <c r="W47" s="122"/>
      <c r="X47" s="123"/>
      <c r="Y47" s="36"/>
    </row>
    <row r="48" spans="1:25" ht="21.95" customHeight="1" x14ac:dyDescent="0.25">
      <c r="A48" s="61" t="s">
        <v>2254</v>
      </c>
      <c r="B48" s="95" t="str">
        <f>IF(U41&lt;&gt;"",U41,"")</f>
        <v/>
      </c>
      <c r="C48" s="54">
        <f ca="1">VLOOKUP(A48,DB_TBL_DATA_FIELDS[[FIELD_ID]:[PCT_CALC_FIELD_STATUS_CODE]],22,FALSE)</f>
        <v>1</v>
      </c>
      <c r="D48" s="54" t="str">
        <f>IF(VLOOKUP(A48,DB_TBL_DATA_FIELDS[[FIELD_ID]:[ERROR_MESSAGE]],23,FALSE)&lt;&gt;0,VLOOKUP(A48,DB_TBL_DATA_FIELDS[[FIELD_ID]:[ERROR_MESSAGE]],23,FALSE),"")</f>
        <v/>
      </c>
      <c r="E48" s="54">
        <f>VLOOKUP(A48,DB_TBL_DATA_FIELDS[[#All],[FIELD_ID]:[RANGE_VALIDATION_MAX]],18,FALSE)</f>
        <v>0</v>
      </c>
      <c r="F48" s="54">
        <f>VLOOKUP(A48,DB_TBL_DATA_FIELDS[[#All],[FIELD_ID]:[RANGE_VALIDATION_MAX]],19,FALSE)</f>
        <v>2</v>
      </c>
      <c r="G48" s="54">
        <f t="shared" ca="1" si="2"/>
        <v>1</v>
      </c>
      <c r="I48" s="36" t="str">
        <f>"Requested Grant Amount (must not exceed "&amp;TEXT(CONFIG_GRANT_AMT_MAX,"$#,###")&amp;")"</f>
        <v>Requested Grant Amount (must not exceed )</v>
      </c>
      <c r="L48" s="121"/>
      <c r="U48" s="325"/>
      <c r="V48" s="325"/>
      <c r="W48" s="325"/>
      <c r="X48" s="52">
        <f ca="1">G65</f>
        <v>1</v>
      </c>
    </row>
    <row r="49" spans="1:25" ht="21.95" customHeight="1" x14ac:dyDescent="0.25">
      <c r="A49" s="61" t="s">
        <v>2255</v>
      </c>
      <c r="B49" s="95" t="str">
        <f>IF(W41&lt;&gt;"",TEXT(W41,"00000"),"")</f>
        <v/>
      </c>
      <c r="C49" s="54">
        <f ca="1">VLOOKUP(A49,DB_TBL_DATA_FIELDS[[FIELD_ID]:[PCT_CALC_FIELD_STATUS_CODE]],22,FALSE)</f>
        <v>1</v>
      </c>
      <c r="D49" s="54" t="str">
        <f>IF(VLOOKUP(A49,DB_TBL_DATA_FIELDS[[FIELD_ID]:[ERROR_MESSAGE]],23,FALSE)&lt;&gt;0,VLOOKUP(A49,DB_TBL_DATA_FIELDS[[FIELD_ID]:[ERROR_MESSAGE]],23,FALSE),"")</f>
        <v/>
      </c>
      <c r="E49" s="54">
        <f>VLOOKUP(A49,DB_TBL_DATA_FIELDS[[#All],[FIELD_ID]:[RANGE_VALIDATION_MAX]],18,FALSE)</f>
        <v>5</v>
      </c>
      <c r="F49" s="54">
        <f>VLOOKUP(A49,DB_TBL_DATA_FIELDS[[#All],[FIELD_ID]:[RANGE_VALIDATION_MAX]],19,FALSE)</f>
        <v>10</v>
      </c>
      <c r="G49" s="54">
        <f t="shared" ca="1" si="2"/>
        <v>1</v>
      </c>
      <c r="I49" s="124"/>
      <c r="J49" s="124"/>
      <c r="K49" s="124"/>
      <c r="L49" s="124"/>
      <c r="M49" s="124"/>
      <c r="N49" s="124"/>
      <c r="O49" s="124"/>
      <c r="P49" s="124"/>
      <c r="Q49" s="350" t="str">
        <f ca="1">D67</f>
        <v/>
      </c>
      <c r="R49" s="350"/>
      <c r="S49" s="350"/>
      <c r="T49" s="350"/>
      <c r="U49" s="350"/>
      <c r="V49" s="350"/>
      <c r="W49" s="350"/>
      <c r="X49" s="124"/>
      <c r="Y49" s="36"/>
    </row>
    <row r="50" spans="1:25" ht="21.95" customHeight="1" x14ac:dyDescent="0.25">
      <c r="A50" s="61" t="s">
        <v>2256</v>
      </c>
      <c r="B50" s="95" t="str">
        <f>IF(I43&lt;&gt;"",I43,"")</f>
        <v/>
      </c>
      <c r="C50" s="54">
        <f ca="1">VLOOKUP(A50,DB_TBL_DATA_FIELDS[[FIELD_ID]:[PCT_CALC_FIELD_STATUS_CODE]],22,FALSE)</f>
        <v>1</v>
      </c>
      <c r="D50" s="54" t="str">
        <f>IF(VLOOKUP(A50,DB_TBL_DATA_FIELDS[[FIELD_ID]:[ERROR_MESSAGE]],23,FALSE)&lt;&gt;0,VLOOKUP(A50,DB_TBL_DATA_FIELDS[[FIELD_ID]:[ERROR_MESSAGE]],23,FALSE),"")</f>
        <v/>
      </c>
      <c r="E50" s="54">
        <f>VLOOKUP(A50,DB_TBL_DATA_FIELDS[[#All],[FIELD_ID]:[RANGE_VALIDATION_MAX]],18,FALSE)</f>
        <v>0</v>
      </c>
      <c r="F50" s="54">
        <f>VLOOKUP(A50,DB_TBL_DATA_FIELDS[[#All],[FIELD_ID]:[RANGE_VALIDATION_MAX]],19,FALSE)</f>
        <v>50</v>
      </c>
      <c r="G50" s="54">
        <f t="shared" ca="1" si="2"/>
        <v>1</v>
      </c>
      <c r="I50" s="36" t="s">
        <v>9002</v>
      </c>
      <c r="J50"/>
      <c r="L50"/>
      <c r="N50"/>
      <c r="P50"/>
      <c r="W50" s="40"/>
      <c r="X50" s="52">
        <f ca="1">G68</f>
        <v>1</v>
      </c>
      <c r="Y50" s="36"/>
    </row>
    <row r="51" spans="1:25" ht="21.95" customHeight="1" x14ac:dyDescent="0.25">
      <c r="A51" s="61" t="s">
        <v>2257</v>
      </c>
      <c r="B51" s="95" t="str">
        <f>IF(Q43&lt;&gt;"",TEXT(Q43,"00000"),"")</f>
        <v/>
      </c>
      <c r="C51" s="54">
        <f ca="1">VLOOKUP(A51,DB_TBL_DATA_FIELDS[[FIELD_ID]:[PCT_CALC_FIELD_STATUS_CODE]],22,FALSE)</f>
        <v>-1</v>
      </c>
      <c r="D51" s="54" t="str">
        <f>IF(VLOOKUP(A51,DB_TBL_DATA_FIELDS[[FIELD_ID]:[ERROR_MESSAGE]],23,FALSE)&lt;&gt;0,VLOOKUP(A51,DB_TBL_DATA_FIELDS[[FIELD_ID]:[ERROR_MESSAGE]],23,FALSE),"")</f>
        <v/>
      </c>
      <c r="E51" s="54">
        <f>VLOOKUP(A51,DB_TBL_DATA_FIELDS[[#All],[FIELD_ID]:[RANGE_VALIDATION_MAX]],18,FALSE)</f>
        <v>1</v>
      </c>
      <c r="F51" s="54">
        <f>VLOOKUP(A51,DB_TBL_DATA_FIELDS[[#All],[FIELD_ID]:[RANGE_VALIDATION_MAX]],19,FALSE)</f>
        <v>99999</v>
      </c>
      <c r="G51" s="54" t="str">
        <f t="shared" ca="1" si="2"/>
        <v/>
      </c>
      <c r="I51" s="358" t="s">
        <v>9069</v>
      </c>
      <c r="J51" s="358"/>
      <c r="K51" s="358"/>
      <c r="L51" s="358"/>
      <c r="M51" s="358"/>
      <c r="N51" s="358"/>
      <c r="O51" s="358"/>
      <c r="P51" s="358"/>
      <c r="Q51" s="358"/>
      <c r="R51" s="358"/>
      <c r="S51" s="358"/>
      <c r="T51" s="358"/>
      <c r="U51" s="358"/>
      <c r="V51" s="358"/>
      <c r="W51" s="358"/>
      <c r="Y51" s="36"/>
    </row>
    <row r="52" spans="1:25" ht="21.95" customHeight="1" x14ac:dyDescent="0.25">
      <c r="A52" s="61" t="s">
        <v>2258</v>
      </c>
      <c r="B52" s="95" t="str">
        <f>IF(AND(U43=0,W43=0),"",IF(U43&lt;&gt;0,TEXT(U43,"0000"),"")&amp;IF(W43&lt;&gt;"","."&amp;TEXT(W43,"00"),""))</f>
        <v/>
      </c>
      <c r="C52" s="54">
        <f ca="1">VLOOKUP(A52,DB_TBL_DATA_FIELDS[[FIELD_ID]:[PCT_CALC_FIELD_STATUS_CODE]],22,FALSE)</f>
        <v>1</v>
      </c>
      <c r="D52" s="54" t="str">
        <f>IF(VLOOKUP(A52,DB_TBL_DATA_FIELDS[[FIELD_ID]:[ERROR_MESSAGE]],23,FALSE)&lt;&gt;0,VLOOKUP(A52,DB_TBL_DATA_FIELDS[[FIELD_ID]:[ERROR_MESSAGE]],23,FALSE),"")</f>
        <v/>
      </c>
      <c r="E52" s="54">
        <f>VLOOKUP(A52,DB_TBL_DATA_FIELDS[[#All],[FIELD_ID]:[RANGE_VALIDATION_MAX]],18,FALSE)</f>
        <v>7</v>
      </c>
      <c r="F52" s="54">
        <f>VLOOKUP(A52,DB_TBL_DATA_FIELDS[[#All],[FIELD_ID]:[RANGE_VALIDATION_MAX]],19,FALSE)</f>
        <v>7</v>
      </c>
      <c r="G52" s="54">
        <f t="shared" ca="1" si="2"/>
        <v>1</v>
      </c>
      <c r="I52" s="358"/>
      <c r="J52" s="358"/>
      <c r="K52" s="358"/>
      <c r="L52" s="358"/>
      <c r="M52" s="358"/>
      <c r="N52" s="358"/>
      <c r="O52" s="358"/>
      <c r="P52" s="358"/>
      <c r="Q52" s="358"/>
      <c r="R52" s="358"/>
      <c r="S52" s="358"/>
      <c r="T52" s="358"/>
      <c r="U52" s="358"/>
      <c r="V52" s="358"/>
      <c r="W52" s="358"/>
      <c r="Y52" s="36"/>
    </row>
    <row r="53" spans="1:25" ht="21.95" customHeight="1" x14ac:dyDescent="0.25">
      <c r="A53" s="61" t="s">
        <v>121</v>
      </c>
      <c r="B53" s="65" t="str">
        <f>"C"&amp;MATCH(LEFT(A53,LEN(A53)-LEN("_RANGE")),A:A,0)+1&amp;":C"&amp;(ROW()-1)</f>
        <v>C31:C52</v>
      </c>
      <c r="C53" s="54"/>
      <c r="D53" s="54"/>
      <c r="E53" s="54"/>
      <c r="F53" s="54"/>
      <c r="G53" s="54"/>
      <c r="I53" s="358"/>
      <c r="J53" s="358"/>
      <c r="K53" s="358"/>
      <c r="L53" s="358"/>
      <c r="M53" s="358"/>
      <c r="N53" s="358"/>
      <c r="O53" s="358"/>
      <c r="P53" s="358"/>
      <c r="Q53" s="358"/>
      <c r="R53" s="358"/>
      <c r="S53" s="358"/>
      <c r="T53" s="358"/>
      <c r="U53" s="358"/>
      <c r="V53" s="358"/>
      <c r="W53" s="358"/>
      <c r="Y53" s="36"/>
    </row>
    <row r="54" spans="1:25" ht="21.95" customHeight="1" x14ac:dyDescent="0.25">
      <c r="A54" s="61" t="s">
        <v>122</v>
      </c>
      <c r="B54" s="65">
        <f ca="1">COUNTIF(INDIRECT($B$53),2)</f>
        <v>0</v>
      </c>
      <c r="C54" s="54"/>
      <c r="D54" s="54"/>
      <c r="E54" s="54"/>
      <c r="F54" s="54"/>
      <c r="G54" s="54"/>
      <c r="J54"/>
      <c r="L54"/>
      <c r="N54"/>
      <c r="P54"/>
      <c r="W54" s="217" t="str">
        <f ca="1">$B$84</f>
        <v/>
      </c>
      <c r="X54" s="52" t="str">
        <f ca="1">IF(C84=1,1,"")</f>
        <v/>
      </c>
      <c r="Y54" s="36"/>
    </row>
    <row r="55" spans="1:25" ht="21.95" customHeight="1" x14ac:dyDescent="0.25">
      <c r="A55" s="61" t="s">
        <v>123</v>
      </c>
      <c r="B55" s="65">
        <f ca="1">COUNTIF(INDIRECT($B$53),0)+COUNTIF(INDIRECT($B$53),1)+COUNTIF(INDIRECT($B$53),2)</f>
        <v>10</v>
      </c>
      <c r="C55" s="54"/>
      <c r="D55" s="54"/>
      <c r="E55" s="54"/>
      <c r="F55" s="54"/>
      <c r="G55" s="54"/>
      <c r="I55" s="343" t="s">
        <v>9003</v>
      </c>
      <c r="J55" s="343"/>
      <c r="K55" s="343"/>
      <c r="L55" s="343"/>
      <c r="M55" s="343"/>
      <c r="N55" s="343"/>
      <c r="O55" s="343"/>
      <c r="P55" s="343"/>
      <c r="Q55" s="361" t="s">
        <v>9004</v>
      </c>
      <c r="R55" s="362"/>
      <c r="S55" s="362"/>
      <c r="T55" s="363"/>
      <c r="U55" s="364" t="s">
        <v>2568</v>
      </c>
      <c r="V55" s="364"/>
      <c r="W55" s="364"/>
      <c r="X55" s="364"/>
      <c r="Y55" s="36"/>
    </row>
    <row r="56" spans="1:25" ht="21.95" customHeight="1" x14ac:dyDescent="0.25">
      <c r="A56" s="61" t="s">
        <v>124</v>
      </c>
      <c r="B56" s="65">
        <f ca="1">COUNTIF(INDIRECT($B$53),0)</f>
        <v>0</v>
      </c>
      <c r="C56" s="54"/>
      <c r="D56" s="54"/>
      <c r="E56" s="54"/>
      <c r="F56" s="54"/>
      <c r="G56" s="54"/>
      <c r="I56" s="365" t="s">
        <v>8966</v>
      </c>
      <c r="J56" s="365"/>
      <c r="K56" s="365"/>
      <c r="L56" s="365"/>
      <c r="M56" s="365"/>
      <c r="N56" s="365"/>
      <c r="O56" s="365"/>
      <c r="P56" s="366"/>
      <c r="Q56" s="319"/>
      <c r="R56" s="320"/>
      <c r="S56" s="320"/>
      <c r="T56" s="287" t="str">
        <f ca="1">G69</f>
        <v/>
      </c>
      <c r="U56" s="332"/>
      <c r="V56" s="333"/>
      <c r="W56" s="333"/>
      <c r="X56" s="287" t="str">
        <f ca="1">G70</f>
        <v/>
      </c>
      <c r="Y56" s="36"/>
    </row>
    <row r="57" spans="1:25" ht="21.95" customHeight="1" x14ac:dyDescent="0.25">
      <c r="A57" s="61" t="s">
        <v>125</v>
      </c>
      <c r="B57" s="97">
        <f ca="1">IFERROR(B54/B55,1.01)</f>
        <v>0</v>
      </c>
      <c r="C57" s="54"/>
      <c r="D57" s="54"/>
      <c r="E57" s="54"/>
      <c r="F57" s="54"/>
      <c r="G57" s="54"/>
      <c r="I57" s="365" t="s">
        <v>9005</v>
      </c>
      <c r="J57" s="365"/>
      <c r="K57" s="365"/>
      <c r="L57" s="365"/>
      <c r="M57" s="365"/>
      <c r="N57" s="365"/>
      <c r="O57" s="365"/>
      <c r="P57" s="365"/>
      <c r="Q57" s="319"/>
      <c r="R57" s="320"/>
      <c r="S57" s="320"/>
      <c r="T57" s="287" t="str">
        <f ca="1">G71</f>
        <v/>
      </c>
      <c r="U57" s="332"/>
      <c r="V57" s="333"/>
      <c r="W57" s="333"/>
      <c r="X57" s="287" t="str">
        <f ca="1">G72</f>
        <v/>
      </c>
      <c r="Y57" s="36"/>
    </row>
    <row r="58" spans="1:25" ht="21.95" customHeight="1" x14ac:dyDescent="0.25">
      <c r="A58" s="61" t="s">
        <v>126</v>
      </c>
      <c r="B58" s="65" t="str">
        <f ca="1">IF(B56&gt;0,"Data Error(s)",IF(B57=0,"Not Started",IF(B57&lt;1,ROUNDUP(B57*100,0)&amp;"% Done",IF(B57&gt;1,"Optional","Complete"))))</f>
        <v>Not Started</v>
      </c>
      <c r="C58" s="54"/>
      <c r="D58" s="54"/>
      <c r="E58" s="54"/>
      <c r="F58" s="54"/>
      <c r="G58" s="54"/>
      <c r="I58" s="334" t="s">
        <v>9007</v>
      </c>
      <c r="J58" s="335"/>
      <c r="K58" s="335"/>
      <c r="L58" s="335"/>
      <c r="M58" s="335"/>
      <c r="N58" s="335"/>
      <c r="O58" s="335"/>
      <c r="P58" s="335"/>
      <c r="Q58" s="336"/>
      <c r="R58" s="336"/>
      <c r="S58" s="336"/>
      <c r="T58" s="337"/>
      <c r="U58" s="359">
        <f ca="1">B73</f>
        <v>0</v>
      </c>
      <c r="V58" s="360"/>
      <c r="W58" s="360"/>
      <c r="X58" s="288"/>
      <c r="Y58" s="36"/>
    </row>
    <row r="59" spans="1:25" ht="21.95" customHeight="1" x14ac:dyDescent="0.25">
      <c r="A59" s="61" t="s">
        <v>127</v>
      </c>
      <c r="B59" s="65" t="str">
        <f ca="1">IF(B56&gt;0,0,IF(B57&lt;1,"",2))</f>
        <v/>
      </c>
      <c r="C59" s="54"/>
      <c r="D59" s="54"/>
      <c r="E59" s="54"/>
      <c r="F59" s="54"/>
      <c r="G59" s="54"/>
      <c r="I59" s="334" t="s">
        <v>9006</v>
      </c>
      <c r="J59" s="335"/>
      <c r="K59" s="335"/>
      <c r="L59" s="335"/>
      <c r="M59" s="335"/>
      <c r="N59" s="335"/>
      <c r="O59" s="335"/>
      <c r="P59" s="335"/>
      <c r="Q59" s="335"/>
      <c r="R59" s="335"/>
      <c r="S59" s="335"/>
      <c r="T59" s="374"/>
      <c r="U59" s="375">
        <f ca="1">B74</f>
        <v>0</v>
      </c>
      <c r="V59" s="376"/>
      <c r="W59" s="376"/>
      <c r="X59" s="289" t="str">
        <f ca="1">G74</f>
        <v/>
      </c>
      <c r="Y59" s="36"/>
    </row>
    <row r="60" spans="1:25" ht="21.95" customHeight="1" x14ac:dyDescent="0.25">
      <c r="A60" s="61" t="s">
        <v>128</v>
      </c>
      <c r="B60" s="96" t="s">
        <v>2355</v>
      </c>
      <c r="C60" s="54"/>
      <c r="D60" s="54"/>
      <c r="E60" s="54"/>
      <c r="F60" s="54"/>
      <c r="G60" s="54"/>
      <c r="I60" s="331" t="str">
        <f ca="1">D74</f>
        <v/>
      </c>
      <c r="J60" s="331"/>
      <c r="K60" s="331"/>
      <c r="L60" s="331"/>
      <c r="M60" s="331"/>
      <c r="N60" s="331"/>
      <c r="O60" s="331"/>
      <c r="P60" s="331"/>
      <c r="Q60" s="331"/>
      <c r="R60" s="331"/>
      <c r="S60" s="331"/>
      <c r="T60" s="331"/>
      <c r="U60" s="331"/>
      <c r="V60" s="331"/>
      <c r="W60" s="331"/>
      <c r="X60" s="331"/>
      <c r="Y60" s="36"/>
    </row>
    <row r="61" spans="1:25" ht="21.95" customHeight="1" x14ac:dyDescent="0.25">
      <c r="A61" s="77" t="s">
        <v>2810</v>
      </c>
      <c r="B61" s="65" t="str">
        <f ca="1">IF(DATA_FIRST_TIME_HOMEBUYER_FLAG=FALSE,'$DB.CONFIG'!M3,"")</f>
        <v/>
      </c>
      <c r="C61" s="54">
        <f ca="1">IF(B61="",0,1)</f>
        <v>0</v>
      </c>
      <c r="D61" s="54"/>
      <c r="E61" s="54"/>
      <c r="F61" s="54"/>
      <c r="G61" s="54"/>
      <c r="J61"/>
      <c r="L61"/>
      <c r="N61"/>
      <c r="P61"/>
      <c r="Y61" s="36"/>
    </row>
    <row r="62" spans="1:25" ht="21.95" customHeight="1" x14ac:dyDescent="0.25">
      <c r="A62" s="77" t="s">
        <v>2152</v>
      </c>
      <c r="B62" s="65">
        <f ca="1">COUNTIF(C61,1)</f>
        <v>0</v>
      </c>
      <c r="C62" s="54"/>
      <c r="D62" s="54"/>
      <c r="E62" s="54"/>
      <c r="F62" s="54"/>
      <c r="G62" s="54"/>
      <c r="I62" s="367" t="s">
        <v>2381</v>
      </c>
      <c r="J62" s="367"/>
      <c r="K62" s="367"/>
      <c r="L62" s="367"/>
      <c r="M62" s="367"/>
      <c r="N62" s="367"/>
      <c r="O62" s="367"/>
      <c r="P62" s="367"/>
      <c r="Q62" s="367"/>
      <c r="R62" s="367"/>
      <c r="S62" s="367"/>
      <c r="T62" s="125"/>
      <c r="U62" s="125"/>
      <c r="V62" s="36"/>
      <c r="W62" s="40"/>
      <c r="X62" s="52" t="str">
        <f ca="1">G75</f>
        <v/>
      </c>
      <c r="Y62" s="36"/>
    </row>
    <row r="63" spans="1:25" ht="21.95" customHeight="1" x14ac:dyDescent="0.25">
      <c r="A63" s="77" t="s">
        <v>2153</v>
      </c>
      <c r="B63" s="65" t="b">
        <f ca="1">(B62&gt;0)</f>
        <v>0</v>
      </c>
      <c r="C63" s="54"/>
      <c r="D63" s="54"/>
      <c r="E63" s="54"/>
      <c r="F63" s="54"/>
      <c r="G63" s="54"/>
      <c r="I63" s="367"/>
      <c r="J63" s="367"/>
      <c r="K63" s="367"/>
      <c r="L63" s="367"/>
      <c r="M63" s="367"/>
      <c r="N63" s="367"/>
      <c r="O63" s="367"/>
      <c r="P63" s="367"/>
      <c r="Q63" s="367"/>
      <c r="R63" s="367"/>
      <c r="S63" s="367"/>
      <c r="T63" s="125"/>
      <c r="U63" s="125"/>
      <c r="V63"/>
      <c r="X63"/>
      <c r="Y63" s="36"/>
    </row>
    <row r="64" spans="1:25" ht="21.95" customHeight="1" x14ac:dyDescent="0.25">
      <c r="A64" s="91" t="s">
        <v>141</v>
      </c>
      <c r="B64" s="93" t="s">
        <v>2356</v>
      </c>
      <c r="C64" s="92"/>
      <c r="D64" s="92"/>
      <c r="E64" s="92"/>
      <c r="F64" s="92"/>
      <c r="G64" s="92"/>
      <c r="J64"/>
      <c r="L64"/>
      <c r="N64"/>
      <c r="P64"/>
      <c r="R64"/>
      <c r="T64"/>
      <c r="V64"/>
      <c r="X64"/>
      <c r="Y64" s="36"/>
    </row>
    <row r="65" spans="1:24" ht="21.95" customHeight="1" thickBot="1" x14ac:dyDescent="0.3">
      <c r="A65" s="61" t="s">
        <v>2283</v>
      </c>
      <c r="B65" s="95" t="str">
        <f>IF(U48&lt;&gt;"",U48,"")</f>
        <v/>
      </c>
      <c r="C65" s="54">
        <f ca="1">VLOOKUP(A65,DB_TBL_DATA_FIELDS[[FIELD_ID]:[PCT_CALC_FIELD_STATUS_CODE]],22,FALSE)</f>
        <v>1</v>
      </c>
      <c r="D65" s="54" t="str">
        <f>IF(VLOOKUP(A65,DB_TBL_DATA_FIELDS[[FIELD_ID]:[ERROR_MESSAGE]],23,FALSE)&lt;&gt;0,VLOOKUP(A65,DB_TBL_DATA_FIELDS[[FIELD_ID]:[ERROR_MESSAGE]],23,FALSE),"")</f>
        <v/>
      </c>
      <c r="E65" s="54">
        <f>VLOOKUP(A65,DB_TBL_DATA_FIELDS[[#All],[FIELD_ID]:[RANGE_VALIDATION_MAX]],18,FALSE)</f>
        <v>1</v>
      </c>
      <c r="F65" s="54" t="str">
        <f>VLOOKUP(A65,DB_TBL_DATA_FIELDS[[#All],[FIELD_ID]:[RANGE_VALIDATION_MAX]],19,FALSE)</f>
        <v/>
      </c>
      <c r="G65" s="54">
        <f t="shared" ref="G65" ca="1" si="3">IF(C65&lt;0,"",C65)</f>
        <v>1</v>
      </c>
      <c r="I65" s="55" t="str">
        <f>B87</f>
        <v>Purchase Property</v>
      </c>
      <c r="J65" s="55"/>
      <c r="K65" s="55"/>
      <c r="L65" s="55"/>
      <c r="M65" s="55"/>
      <c r="N65" s="55"/>
      <c r="O65" s="55"/>
      <c r="P65" s="55"/>
      <c r="Q65" s="55"/>
      <c r="R65" s="55"/>
      <c r="S65" s="55"/>
      <c r="T65" s="55"/>
      <c r="U65" s="55"/>
      <c r="V65" s="55"/>
      <c r="W65" s="55"/>
      <c r="X65" s="56" t="str">
        <f ca="1">"Status: "&amp;$B$105</f>
        <v>Status: Not Started</v>
      </c>
    </row>
    <row r="66" spans="1:24" ht="21.95" customHeight="1" x14ac:dyDescent="0.25">
      <c r="A66" s="244" t="s">
        <v>2284</v>
      </c>
      <c r="B66" s="245" t="str">
        <f>""</f>
        <v/>
      </c>
      <c r="C66" s="245" t="str">
        <f>VLOOKUP(A66,DB_TBL_DATA_FIELDS[[FIELD_ID]:[PCT_CALC_FIELD_STATUS_CODE]],22,FALSE)</f>
        <v/>
      </c>
      <c r="D66" s="245" t="str">
        <f>IF(VLOOKUP(A66,DB_TBL_DATA_FIELDS[[FIELD_ID]:[ERROR_MESSAGE]],23,FALSE)&lt;&gt;0,VLOOKUP(A66,DB_TBL_DATA_FIELDS[[FIELD_ID]:[ERROR_MESSAGE]],23,FALSE),"")</f>
        <v/>
      </c>
      <c r="E66" s="245">
        <f>VLOOKUP(A66,DB_TBL_DATA_FIELDS[[#All],[FIELD_ID]:[RANGE_VALIDATION_MAX]],18,FALSE)</f>
        <v>0</v>
      </c>
      <c r="F66" s="245" t="str">
        <f>VLOOKUP(A66,DB_TBL_DATA_FIELDS[[#All],[FIELD_ID]:[RANGE_VALIDATION_MAX]],19,FALSE)</f>
        <v/>
      </c>
      <c r="G66" s="245" t="str">
        <f t="shared" ref="G66:G75" si="4">IF(C66&lt;0,"",C66)</f>
        <v/>
      </c>
    </row>
    <row r="67" spans="1:24" ht="21.95" customHeight="1" x14ac:dyDescent="0.25">
      <c r="A67" s="61" t="s">
        <v>2285</v>
      </c>
      <c r="B67" s="65">
        <f ca="1">VLOOKUP(A67,DB_TBL_DATA_FIELDS[[#All],[FIELD_ID]:[FIELD_VALUE_RAW]],5,FALSE)</f>
        <v>0</v>
      </c>
      <c r="C67" s="54" t="str">
        <f ca="1">VLOOKUP(A67,DB_TBL_DATA_FIELDS[[FIELD_ID]:[PCT_CALC_FIELD_STATUS_CODE]],22,FALSE)</f>
        <v/>
      </c>
      <c r="D67" s="54" t="str">
        <f ca="1">IF(VLOOKUP(A67,DB_TBL_DATA_FIELDS[[FIELD_ID]:[ERROR_MESSAGE]],23,FALSE)&lt;&gt;0,VLOOKUP(A67,DB_TBL_DATA_FIELDS[[FIELD_ID]:[ERROR_MESSAGE]],23,FALSE),"")</f>
        <v/>
      </c>
      <c r="E67" s="54">
        <f>VLOOKUP(A67,DB_TBL_DATA_FIELDS[[#All],[FIELD_ID]:[RANGE_VALIDATION_MAX]],18,FALSE)</f>
        <v>0</v>
      </c>
      <c r="F67" s="54" t="str">
        <f>VLOOKUP(A67,DB_TBL_DATA_FIELDS[[#All],[FIELD_ID]:[RANGE_VALIDATION_MAX]],19,FALSE)</f>
        <v/>
      </c>
      <c r="G67" s="54" t="str">
        <f t="shared" ca="1" si="4"/>
        <v/>
      </c>
      <c r="W67" s="217" t="str">
        <f ca="1">$B$108</f>
        <v/>
      </c>
      <c r="X67" s="52" t="str">
        <f ca="1">IF(C108=1,1,"")</f>
        <v/>
      </c>
    </row>
    <row r="68" spans="1:24" ht="21.95" customHeight="1" x14ac:dyDescent="0.25">
      <c r="A68" s="61" t="s">
        <v>9009</v>
      </c>
      <c r="B68" s="95" t="str">
        <f>IF(W50="","",IF(UPPER(W50)="YES",TRUE,FALSE))</f>
        <v/>
      </c>
      <c r="C68" s="54">
        <f ca="1">VLOOKUP(A68,DB_TBL_DATA_FIELDS[[FIELD_ID]:[PCT_CALC_FIELD_STATUS_CODE]],22,FALSE)</f>
        <v>1</v>
      </c>
      <c r="D68" s="54" t="str">
        <f>IF(VLOOKUP(A68,DB_TBL_DATA_FIELDS[[FIELD_ID]:[ERROR_MESSAGE]],23,FALSE)&lt;&gt;0,VLOOKUP(A68,DB_TBL_DATA_FIELDS[[FIELD_ID]:[ERROR_MESSAGE]],23,FALSE),"")</f>
        <v/>
      </c>
      <c r="E68" s="54">
        <f>VLOOKUP(A68,DB_TBL_DATA_FIELDS[[#All],[FIELD_ID]:[RANGE_VALIDATION_MAX]],18,FALSE)</f>
        <v>0</v>
      </c>
      <c r="F68" s="54">
        <f>VLOOKUP(A68,DB_TBL_DATA_FIELDS[[#All],[FIELD_ID]:[RANGE_VALIDATION_MAX]],19,FALSE)</f>
        <v>0</v>
      </c>
      <c r="G68" s="54">
        <f t="shared" ref="G68:G74" ca="1" si="5">IF(C68&lt;0,"",C68)</f>
        <v>1</v>
      </c>
      <c r="I68" s="36" t="s">
        <v>2382</v>
      </c>
      <c r="K68" s="36"/>
      <c r="M68" s="36"/>
      <c r="Q68" s="36" t="s">
        <v>50</v>
      </c>
      <c r="S68" s="36"/>
      <c r="U68" s="36" t="s">
        <v>51</v>
      </c>
      <c r="W68" s="36" t="s">
        <v>52</v>
      </c>
    </row>
    <row r="69" spans="1:24" ht="21.95" customHeight="1" x14ac:dyDescent="0.25">
      <c r="A69" s="61" t="s">
        <v>9013</v>
      </c>
      <c r="B69" s="95" t="str">
        <f>IF(Q56="","",IF(UPPER(Q56)="YES",TRUE,FALSE))</f>
        <v/>
      </c>
      <c r="C69" s="54">
        <f ca="1">VLOOKUP(A69,DB_TBL_DATA_FIELDS[[FIELD_ID]:[PCT_CALC_FIELD_STATUS_CODE]],22,FALSE)</f>
        <v>-1</v>
      </c>
      <c r="D69" s="54" t="str">
        <f>IF(VLOOKUP(A69,DB_TBL_DATA_FIELDS[[FIELD_ID]:[ERROR_MESSAGE]],23,FALSE)&lt;&gt;0,VLOOKUP(A69,DB_TBL_DATA_FIELDS[[FIELD_ID]:[ERROR_MESSAGE]],23,FALSE),"")</f>
        <v/>
      </c>
      <c r="E69" s="54">
        <f>VLOOKUP(A69,DB_TBL_DATA_FIELDS[[#All],[FIELD_ID]:[RANGE_VALIDATION_MAX]],18,FALSE)</f>
        <v>0</v>
      </c>
      <c r="F69" s="54">
        <f>VLOOKUP(A69,DB_TBL_DATA_FIELDS[[#All],[FIELD_ID]:[RANGE_VALIDATION_MAX]],19,FALSE)</f>
        <v>0</v>
      </c>
      <c r="G69" s="54" t="str">
        <f t="shared" ca="1" si="5"/>
        <v/>
      </c>
      <c r="I69" s="354"/>
      <c r="J69" s="354"/>
      <c r="K69" s="354"/>
      <c r="L69" s="354"/>
      <c r="M69" s="354"/>
      <c r="N69" s="354"/>
      <c r="O69" s="354"/>
      <c r="P69" s="52" t="str">
        <f ca="1">G88</f>
        <v/>
      </c>
      <c r="Q69" s="316"/>
      <c r="R69" s="317"/>
      <c r="S69" s="318"/>
      <c r="T69" s="52" t="str">
        <f ca="1">G89</f>
        <v/>
      </c>
      <c r="U69" s="40"/>
      <c r="V69" s="52" t="str">
        <f ca="1">G90</f>
        <v/>
      </c>
      <c r="W69" s="120"/>
      <c r="X69" s="52" t="str">
        <f ca="1">G91</f>
        <v/>
      </c>
    </row>
    <row r="70" spans="1:24" ht="21.95" customHeight="1" x14ac:dyDescent="0.25">
      <c r="A70" s="61" t="s">
        <v>9014</v>
      </c>
      <c r="B70" s="95" t="str">
        <f>IF(U56&lt;&gt;"",U56,"")</f>
        <v/>
      </c>
      <c r="C70" s="54">
        <f ca="1">VLOOKUP(A70,DB_TBL_DATA_FIELDS[[FIELD_ID]:[PCT_CALC_FIELD_STATUS_CODE]],22,FALSE)</f>
        <v>-1</v>
      </c>
      <c r="D70" s="54" t="str">
        <f>IF(VLOOKUP(A70,DB_TBL_DATA_FIELDS[[FIELD_ID]:[ERROR_MESSAGE]],23,FALSE)&lt;&gt;0,VLOOKUP(A70,DB_TBL_DATA_FIELDS[[FIELD_ID]:[ERROR_MESSAGE]],23,FALSE),"")</f>
        <v/>
      </c>
      <c r="E70" s="54">
        <f>VLOOKUP(A70,DB_TBL_DATA_FIELDS[[#All],[FIELD_ID]:[RANGE_VALIDATION_MAX]],18,FALSE)</f>
        <v>1</v>
      </c>
      <c r="F70" s="54">
        <f>VLOOKUP(A70,DB_TBL_DATA_FIELDS[[#All],[FIELD_ID]:[RANGE_VALIDATION_MAX]],19,FALSE)</f>
        <v>999999999</v>
      </c>
      <c r="G70" s="54" t="str">
        <f t="shared" ca="1" si="5"/>
        <v/>
      </c>
      <c r="I70" s="36" t="s">
        <v>2876</v>
      </c>
      <c r="K70" s="36"/>
      <c r="M70" s="36" t="s">
        <v>2897</v>
      </c>
      <c r="O70" s="36"/>
      <c r="Q70" s="36" t="s">
        <v>9079</v>
      </c>
      <c r="S70" s="36"/>
      <c r="U70" s="36" t="s">
        <v>2185</v>
      </c>
      <c r="W70" s="36"/>
    </row>
    <row r="71" spans="1:24" ht="21.95" customHeight="1" x14ac:dyDescent="0.25">
      <c r="A71" s="61" t="s">
        <v>9015</v>
      </c>
      <c r="B71" s="95" t="str">
        <f>IF(Q57="","",IF(UPPER(Q57)="YES",TRUE,FALSE))</f>
        <v/>
      </c>
      <c r="C71" s="54">
        <f ca="1">VLOOKUP(A71,DB_TBL_DATA_FIELDS[[FIELD_ID]:[PCT_CALC_FIELD_STATUS_CODE]],22,FALSE)</f>
        <v>-1</v>
      </c>
      <c r="D71" s="54" t="str">
        <f>IF(VLOOKUP(A71,DB_TBL_DATA_FIELDS[[FIELD_ID]:[ERROR_MESSAGE]],23,FALSE)&lt;&gt;0,VLOOKUP(A71,DB_TBL_DATA_FIELDS[[FIELD_ID]:[ERROR_MESSAGE]],23,FALSE),"")</f>
        <v/>
      </c>
      <c r="E71" s="54">
        <f>VLOOKUP(A71,DB_TBL_DATA_FIELDS[[#All],[FIELD_ID]:[RANGE_VALIDATION_MAX]],18,FALSE)</f>
        <v>0</v>
      </c>
      <c r="F71" s="54">
        <f>VLOOKUP(A71,DB_TBL_DATA_FIELDS[[#All],[FIELD_ID]:[RANGE_VALIDATION_MAX]],19,FALSE)</f>
        <v>0</v>
      </c>
      <c r="G71" s="54" t="str">
        <f t="shared" ca="1" si="5"/>
        <v/>
      </c>
      <c r="I71" s="316"/>
      <c r="J71" s="317"/>
      <c r="K71" s="318"/>
      <c r="L71" s="52">
        <f ca="1">G92</f>
        <v>1</v>
      </c>
      <c r="M71" s="355"/>
      <c r="N71" s="356"/>
      <c r="O71" s="357"/>
      <c r="P71" s="52">
        <f ca="1">G93</f>
        <v>1</v>
      </c>
      <c r="Q71" s="351"/>
      <c r="R71" s="352"/>
      <c r="S71" s="353"/>
      <c r="T71" s="52" t="str">
        <f ca="1">G94</f>
        <v/>
      </c>
      <c r="U71" s="41"/>
      <c r="V71" s="119" t="s">
        <v>106</v>
      </c>
      <c r="W71" s="42"/>
      <c r="X71" s="52">
        <f ca="1">G95</f>
        <v>1</v>
      </c>
    </row>
    <row r="72" spans="1:24" ht="21.95" customHeight="1" x14ac:dyDescent="0.25">
      <c r="A72" s="61" t="s">
        <v>9016</v>
      </c>
      <c r="B72" s="95" t="str">
        <f>IF(U57&lt;&gt;"",U57,"")</f>
        <v/>
      </c>
      <c r="C72" s="54">
        <f ca="1">VLOOKUP(A72,DB_TBL_DATA_FIELDS[[FIELD_ID]:[PCT_CALC_FIELD_STATUS_CODE]],22,FALSE)</f>
        <v>-1</v>
      </c>
      <c r="D72" s="54" t="str">
        <f>IF(VLOOKUP(A72,DB_TBL_DATA_FIELDS[[FIELD_ID]:[ERROR_MESSAGE]],23,FALSE)&lt;&gt;0,VLOOKUP(A72,DB_TBL_DATA_FIELDS[[FIELD_ID]:[ERROR_MESSAGE]],23,FALSE),"")</f>
        <v/>
      </c>
      <c r="E72" s="54">
        <f>VLOOKUP(A72,DB_TBL_DATA_FIELDS[[#All],[FIELD_ID]:[RANGE_VALIDATION_MAX]],18,FALSE)</f>
        <v>1</v>
      </c>
      <c r="F72" s="54">
        <f>VLOOKUP(A72,DB_TBL_DATA_FIELDS[[#All],[FIELD_ID]:[RANGE_VALIDATION_MAX]],19,FALSE)</f>
        <v>999999999</v>
      </c>
      <c r="G72" s="54" t="str">
        <f t="shared" ca="1" si="5"/>
        <v/>
      </c>
      <c r="I72" s="36"/>
      <c r="J72" s="36"/>
      <c r="K72" s="36"/>
      <c r="L72" s="36"/>
      <c r="M72" s="36"/>
      <c r="N72" s="36"/>
      <c r="O72" s="36"/>
      <c r="P72" s="36"/>
      <c r="Q72" s="293"/>
      <c r="R72" s="36"/>
      <c r="S72" s="36"/>
      <c r="T72" s="36"/>
      <c r="U72" s="36"/>
      <c r="V72" s="36"/>
      <c r="W72" s="36"/>
      <c r="X72" s="36"/>
    </row>
    <row r="73" spans="1:24" ht="21.95" customHeight="1" x14ac:dyDescent="0.25">
      <c r="A73" s="61" t="s">
        <v>9017</v>
      </c>
      <c r="B73" s="65">
        <f ca="1">VLOOKUP(A73,DB_TBL_DATA_FIELDS[[#All],[FIELD_ID]:[FIELD_VALUE_RAW]],5,FALSE)</f>
        <v>0</v>
      </c>
      <c r="C73" s="54" t="str">
        <f ca="1">VLOOKUP(A73,DB_TBL_DATA_FIELDS[[FIELD_ID]:[PCT_CALC_FIELD_STATUS_CODE]],22,FALSE)</f>
        <v/>
      </c>
      <c r="D73" s="54" t="str">
        <f>IF(VLOOKUP(A73,DB_TBL_DATA_FIELDS[[FIELD_ID]:[ERROR_MESSAGE]],23,FALSE)&lt;&gt;0,VLOOKUP(A73,DB_TBL_DATA_FIELDS[[FIELD_ID]:[ERROR_MESSAGE]],23,FALSE),"")</f>
        <v/>
      </c>
      <c r="E73" s="54">
        <f>VLOOKUP(A73,DB_TBL_DATA_FIELDS[[#All],[FIELD_ID]:[RANGE_VALIDATION_MAX]],18,FALSE)</f>
        <v>0</v>
      </c>
      <c r="F73" s="54">
        <f>VLOOKUP(A73,DB_TBL_DATA_FIELDS[[#All],[FIELD_ID]:[RANGE_VALIDATION_MAX]],19,FALSE)</f>
        <v>999999999</v>
      </c>
      <c r="G73" s="54" t="str">
        <f t="shared" ca="1" si="5"/>
        <v/>
      </c>
      <c r="I73" s="36" t="s">
        <v>188</v>
      </c>
      <c r="J73" s="36"/>
      <c r="K73" s="36"/>
      <c r="L73" s="36"/>
      <c r="M73" s="36" t="s">
        <v>2384</v>
      </c>
      <c r="N73" s="36"/>
      <c r="O73" s="36"/>
      <c r="P73" s="36"/>
      <c r="Q73" s="36" t="s">
        <v>2385</v>
      </c>
      <c r="R73" s="36"/>
      <c r="S73" s="36"/>
      <c r="T73" s="36"/>
      <c r="U73" s="36" t="s">
        <v>2383</v>
      </c>
      <c r="V73" s="36"/>
      <c r="W73" s="36"/>
      <c r="X73" s="36"/>
    </row>
    <row r="74" spans="1:24" ht="21.95" customHeight="1" x14ac:dyDescent="0.25">
      <c r="A74" s="61" t="s">
        <v>9034</v>
      </c>
      <c r="B74" s="65">
        <f ca="1">VLOOKUP(A74,DB_TBL_DATA_FIELDS[[#All],[FIELD_ID]:[FIELD_VALUE_RAW]],5,FALSE)</f>
        <v>0</v>
      </c>
      <c r="C74" s="54" t="str">
        <f ca="1">VLOOKUP(A74,DB_TBL_DATA_FIELDS[[FIELD_ID]:[PCT_CALC_FIELD_STATUS_CODE]],22,FALSE)</f>
        <v/>
      </c>
      <c r="D74" s="54" t="str">
        <f ca="1">IF(VLOOKUP(A74,DB_TBL_DATA_FIELDS[[FIELD_ID]:[ERROR_MESSAGE]],23,FALSE)&lt;&gt;0,VLOOKUP(A74,DB_TBL_DATA_FIELDS[[FIELD_ID]:[ERROR_MESSAGE]],23,FALSE),"")</f>
        <v/>
      </c>
      <c r="E74" s="54">
        <f>VLOOKUP(A74,DB_TBL_DATA_FIELDS[[#All],[FIELD_ID]:[RANGE_VALIDATION_MAX]],18,FALSE)</f>
        <v>0</v>
      </c>
      <c r="F74" s="54">
        <f>VLOOKUP(A74,DB_TBL_DATA_FIELDS[[#All],[FIELD_ID]:[RANGE_VALIDATION_MAX]],19,FALSE)</f>
        <v>0</v>
      </c>
      <c r="G74" s="54" t="str">
        <f t="shared" ca="1" si="5"/>
        <v/>
      </c>
      <c r="I74" s="325"/>
      <c r="J74" s="325"/>
      <c r="K74" s="325"/>
      <c r="L74" s="52">
        <f ca="1">G97</f>
        <v>1</v>
      </c>
      <c r="M74" s="349"/>
      <c r="N74" s="349"/>
      <c r="O74" s="349"/>
      <c r="P74" s="52">
        <f ca="1">G98</f>
        <v>1</v>
      </c>
      <c r="Q74" s="319"/>
      <c r="R74" s="320"/>
      <c r="S74" s="321"/>
      <c r="T74" s="52">
        <f ca="1">G96</f>
        <v>1</v>
      </c>
      <c r="U74" s="319"/>
      <c r="V74" s="320"/>
      <c r="W74" s="321"/>
      <c r="X74" s="52">
        <f ca="1">G99</f>
        <v>1</v>
      </c>
    </row>
    <row r="75" spans="1:24" ht="21.95" customHeight="1" x14ac:dyDescent="0.25">
      <c r="A75" s="61" t="s">
        <v>2348</v>
      </c>
      <c r="B75" s="95" t="str">
        <f>IF(W62="","",IF(UPPER(W62)="YES",TRUE,FALSE))</f>
        <v/>
      </c>
      <c r="C75" s="54">
        <f ca="1">VLOOKUP(A75,DB_TBL_DATA_FIELDS[[FIELD_ID]:[PCT_CALC_FIELD_STATUS_CODE]],22,FALSE)</f>
        <v>-1</v>
      </c>
      <c r="D75" s="54" t="str">
        <f>IF(VLOOKUP(A75,DB_TBL_DATA_FIELDS[[FIELD_ID]:[ERROR_MESSAGE]],23,FALSE)&lt;&gt;0,VLOOKUP(A75,DB_TBL_DATA_FIELDS[[FIELD_ID]:[ERROR_MESSAGE]],23,FALSE),"")</f>
        <v/>
      </c>
      <c r="E75" s="54">
        <f>VLOOKUP(A75,DB_TBL_DATA_FIELDS[[#All],[FIELD_ID]:[RANGE_VALIDATION_MAX]],18,FALSE)</f>
        <v>0</v>
      </c>
      <c r="F75" s="54">
        <f>VLOOKUP(A75,DB_TBL_DATA_FIELDS[[#All],[FIELD_ID]:[RANGE_VALIDATION_MAX]],19,FALSE)</f>
        <v>0</v>
      </c>
      <c r="G75" s="54" t="str">
        <f t="shared" ca="1" si="4"/>
        <v/>
      </c>
      <c r="I75" s="36"/>
      <c r="J75" s="36"/>
      <c r="K75" s="36"/>
      <c r="L75" s="36"/>
      <c r="M75" s="36"/>
      <c r="N75" s="36"/>
      <c r="O75" s="36"/>
      <c r="P75" s="36"/>
      <c r="Q75" s="36"/>
      <c r="R75" s="36"/>
      <c r="S75" s="36"/>
      <c r="T75" s="36"/>
      <c r="U75" s="36"/>
      <c r="V75" s="36"/>
      <c r="W75" s="36"/>
      <c r="X75" s="36"/>
    </row>
    <row r="76" spans="1:24" ht="21.95" customHeight="1" thickBot="1" x14ac:dyDescent="0.3">
      <c r="A76" s="61" t="s">
        <v>142</v>
      </c>
      <c r="B76" s="65" t="str">
        <f>"C"&amp;MATCH(LEFT(A76,LEN(A76)-LEN("_RANGE")),A:A,0)+1&amp;":C"&amp;(ROW()-1)</f>
        <v>C65:C75</v>
      </c>
      <c r="C76" s="54"/>
      <c r="D76" s="54"/>
      <c r="E76" s="54"/>
      <c r="F76" s="54"/>
      <c r="G76" s="54"/>
      <c r="I76" s="55" t="str">
        <f>B111</f>
        <v>Household Qualification</v>
      </c>
      <c r="J76" s="55"/>
      <c r="K76" s="55"/>
      <c r="L76" s="55"/>
      <c r="M76" s="55"/>
      <c r="N76" s="55"/>
      <c r="O76" s="55"/>
      <c r="P76" s="55"/>
      <c r="Q76" s="55"/>
      <c r="R76" s="55"/>
      <c r="S76" s="55"/>
      <c r="T76" s="55"/>
      <c r="U76" s="55"/>
      <c r="V76" s="55"/>
      <c r="W76" s="55"/>
      <c r="X76" s="56" t="str">
        <f ca="1">"Status: "&amp;$B$129</f>
        <v>Status: Not Started</v>
      </c>
    </row>
    <row r="77" spans="1:24" ht="21.95" customHeight="1" x14ac:dyDescent="0.25">
      <c r="A77" s="61" t="s">
        <v>143</v>
      </c>
      <c r="B77" s="65">
        <f ca="1">COUNTIF(INDIRECT($B76),2)</f>
        <v>0</v>
      </c>
      <c r="C77" s="54"/>
      <c r="D77" s="54"/>
      <c r="E77" s="54"/>
      <c r="F77" s="54"/>
      <c r="G77" s="54"/>
    </row>
    <row r="78" spans="1:24" ht="21.95" customHeight="1" thickBot="1" x14ac:dyDescent="0.3">
      <c r="A78" s="61" t="s">
        <v>144</v>
      </c>
      <c r="B78" s="65">
        <f ca="1">COUNTIF(INDIRECT($B76),0)+COUNTIF(INDIRECT($B76),1)+COUNTIF(INDIRECT($B76),2)</f>
        <v>2</v>
      </c>
      <c r="C78" s="54"/>
      <c r="D78" s="54"/>
      <c r="E78" s="54"/>
      <c r="F78" s="54"/>
      <c r="G78" s="54"/>
      <c r="I78" s="64" t="s">
        <v>2582</v>
      </c>
      <c r="J78" s="129"/>
      <c r="K78" s="130"/>
      <c r="L78" s="129"/>
      <c r="M78" s="130"/>
      <c r="N78" s="129"/>
      <c r="O78" s="130"/>
      <c r="P78" s="129"/>
      <c r="Q78" s="130"/>
      <c r="R78" s="129"/>
      <c r="S78" s="130"/>
      <c r="T78" s="129"/>
      <c r="U78" s="130"/>
      <c r="V78" s="129"/>
      <c r="W78" s="130"/>
      <c r="X78" s="129"/>
    </row>
    <row r="79" spans="1:24" ht="21.95" customHeight="1" thickTop="1" x14ac:dyDescent="0.25">
      <c r="A79" s="61" t="s">
        <v>145</v>
      </c>
      <c r="B79" s="65">
        <f ca="1">COUNTIF(INDIRECT($B76),0)</f>
        <v>0</v>
      </c>
      <c r="C79" s="54"/>
      <c r="D79" s="54"/>
      <c r="E79" s="54"/>
      <c r="F79" s="54"/>
      <c r="G79" s="54"/>
    </row>
    <row r="80" spans="1:24" ht="21.95" customHeight="1" x14ac:dyDescent="0.25">
      <c r="A80" s="61" t="s">
        <v>146</v>
      </c>
      <c r="B80" s="97">
        <f ca="1">IFERROR(B77/B78,1.01)</f>
        <v>0</v>
      </c>
      <c r="C80" s="54"/>
      <c r="D80" s="54"/>
      <c r="E80" s="54"/>
      <c r="F80" s="54"/>
      <c r="G80" s="54"/>
      <c r="I80" s="36" t="s">
        <v>2727</v>
      </c>
      <c r="L80" s="121"/>
      <c r="S80" s="155"/>
      <c r="U80" s="36" t="s">
        <v>2583</v>
      </c>
    </row>
    <row r="81" spans="1:24" ht="21.95" customHeight="1" x14ac:dyDescent="0.25">
      <c r="A81" s="61" t="s">
        <v>147</v>
      </c>
      <c r="B81" s="65" t="str">
        <f ca="1">IF(B79&gt;0,"Data Error(s)",IF(B80=0,"Not Started",IF(B80&lt;1,ROUNDUP(B80*100,0)&amp;"% Done",IF(B80&gt;1,"Optional","Complete"))))</f>
        <v>Not Started</v>
      </c>
      <c r="C81" s="54"/>
      <c r="D81" s="54"/>
      <c r="E81" s="54"/>
      <c r="F81" s="54"/>
      <c r="G81" s="54"/>
      <c r="I81" s="316"/>
      <c r="J81" s="317"/>
      <c r="K81" s="317"/>
      <c r="L81" s="317"/>
      <c r="M81" s="317"/>
      <c r="N81" s="317"/>
      <c r="O81" s="317"/>
      <c r="P81" s="317"/>
      <c r="Q81" s="317"/>
      <c r="R81" s="317"/>
      <c r="S81" s="318"/>
      <c r="T81" s="52">
        <f ca="1">G120</f>
        <v>1</v>
      </c>
      <c r="U81" s="338"/>
      <c r="V81" s="339"/>
      <c r="W81" s="340"/>
      <c r="X81" s="52">
        <f ca="1">G123</f>
        <v>1</v>
      </c>
    </row>
    <row r="82" spans="1:24" ht="21.95" customHeight="1" x14ac:dyDescent="0.25">
      <c r="A82" s="61" t="s">
        <v>148</v>
      </c>
      <c r="B82" s="65" t="str">
        <f ca="1">IF(B79&gt;0,0,IF(B80&lt;1,"",2))</f>
        <v/>
      </c>
      <c r="C82" s="54"/>
      <c r="D82" s="54"/>
      <c r="E82" s="54"/>
      <c r="F82" s="54"/>
      <c r="G82" s="54"/>
      <c r="I82" s="36" t="s">
        <v>2726</v>
      </c>
      <c r="R82" s="162"/>
      <c r="S82" s="162"/>
      <c r="T82" s="162"/>
      <c r="U82" s="322" t="str">
        <f ca="1">D123</f>
        <v/>
      </c>
      <c r="V82" s="322"/>
      <c r="W82" s="322"/>
      <c r="X82"/>
    </row>
    <row r="83" spans="1:24" ht="21.95" customHeight="1" x14ac:dyDescent="0.25">
      <c r="A83" s="61" t="s">
        <v>149</v>
      </c>
      <c r="B83" s="96" t="s">
        <v>2356</v>
      </c>
      <c r="C83" s="54"/>
      <c r="D83" s="54"/>
      <c r="E83" s="54"/>
      <c r="F83" s="54"/>
      <c r="G83" s="54"/>
      <c r="I83" s="316"/>
      <c r="J83" s="317"/>
      <c r="K83" s="317"/>
      <c r="L83" s="317"/>
      <c r="M83" s="317"/>
      <c r="N83" s="317"/>
      <c r="O83" s="317"/>
      <c r="P83" s="317"/>
      <c r="Q83" s="317"/>
      <c r="R83" s="317"/>
      <c r="S83" s="318"/>
      <c r="T83" s="52" t="str">
        <f ca="1">G121</f>
        <v/>
      </c>
      <c r="U83" s="323"/>
      <c r="V83" s="323"/>
      <c r="W83" s="323"/>
    </row>
    <row r="84" spans="1:24" ht="21.95" customHeight="1" x14ac:dyDescent="0.25">
      <c r="A84" s="77" t="s">
        <v>9344</v>
      </c>
      <c r="B84" s="223" t="str">
        <f ca="1">IF(AND(DATA_HSEHLD_OTHER_GRANT_FHLBNY_FLAG=TRUE,DATA_HSEHLD_OTHER_GRANT_AHP_FLAG=TRUE),'$DB.CONFIG'!$M$3,"")</f>
        <v/>
      </c>
      <c r="C84" s="54">
        <f ca="1">IF(B84="",0,1)</f>
        <v>0</v>
      </c>
      <c r="D84" s="54"/>
      <c r="E84" s="54"/>
      <c r="F84" s="54"/>
      <c r="G84" s="54"/>
    </row>
    <row r="85" spans="1:24" ht="21.95" customHeight="1" thickBot="1" x14ac:dyDescent="0.3">
      <c r="A85" s="77" t="s">
        <v>2150</v>
      </c>
      <c r="B85" s="65">
        <f ca="1">COUNTIF(C84,1)</f>
        <v>0</v>
      </c>
      <c r="C85" s="54"/>
      <c r="D85" s="54"/>
      <c r="E85" s="54"/>
      <c r="F85" s="54"/>
      <c r="G85" s="54"/>
      <c r="I85" s="64" t="s">
        <v>2387</v>
      </c>
      <c r="J85" s="129"/>
      <c r="K85" s="130"/>
      <c r="L85" s="131"/>
      <c r="M85" s="130"/>
      <c r="N85" s="129"/>
      <c r="O85" s="130"/>
      <c r="P85" s="129"/>
      <c r="Q85" s="130"/>
      <c r="R85" s="129"/>
      <c r="S85" s="130"/>
      <c r="T85" s="130"/>
      <c r="U85" s="130"/>
      <c r="V85" s="130"/>
      <c r="W85" s="157" t="str">
        <f ca="1">$B$132</f>
        <v/>
      </c>
      <c r="X85" s="132" t="str">
        <f ca="1">IF(C132=1,1,"")</f>
        <v/>
      </c>
    </row>
    <row r="86" spans="1:24" ht="21.95" customHeight="1" thickTop="1" x14ac:dyDescent="0.25">
      <c r="A86" s="77" t="s">
        <v>2151</v>
      </c>
      <c r="B86" s="65" t="b">
        <f ca="1">(B85&gt;0)</f>
        <v>0</v>
      </c>
      <c r="C86" s="54"/>
      <c r="D86" s="54"/>
      <c r="E86" s="54"/>
      <c r="F86" s="54"/>
      <c r="G86" s="54"/>
      <c r="I86" s="329" t="s">
        <v>2880</v>
      </c>
      <c r="J86" s="329"/>
      <c r="K86" s="329"/>
      <c r="L86" s="329"/>
      <c r="M86" s="329"/>
      <c r="N86" s="329"/>
      <c r="O86" s="329"/>
      <c r="P86" s="329"/>
      <c r="Q86" s="329"/>
      <c r="R86" s="329"/>
      <c r="S86" s="329"/>
      <c r="T86" s="329"/>
      <c r="U86" s="329"/>
      <c r="V86" s="329"/>
      <c r="W86" s="329"/>
      <c r="X86" s="329"/>
    </row>
    <row r="87" spans="1:24" ht="21.95" customHeight="1" x14ac:dyDescent="0.25">
      <c r="A87" s="91" t="s">
        <v>152</v>
      </c>
      <c r="B87" s="93" t="s">
        <v>2357</v>
      </c>
      <c r="C87" s="92"/>
      <c r="D87" s="92"/>
      <c r="E87" s="92"/>
      <c r="F87" s="92"/>
      <c r="G87" s="92"/>
      <c r="I87" s="329"/>
      <c r="J87" s="329"/>
      <c r="K87" s="329"/>
      <c r="L87" s="329"/>
      <c r="M87" s="329"/>
      <c r="N87" s="329"/>
      <c r="O87" s="329"/>
      <c r="P87" s="329"/>
      <c r="Q87" s="329"/>
      <c r="R87" s="329"/>
      <c r="S87" s="329"/>
      <c r="T87" s="329"/>
      <c r="U87" s="329"/>
      <c r="V87" s="329"/>
      <c r="W87" s="329"/>
      <c r="X87" s="329"/>
    </row>
    <row r="88" spans="1:24" ht="21.95" customHeight="1" x14ac:dyDescent="0.25">
      <c r="A88" s="61" t="s">
        <v>2293</v>
      </c>
      <c r="B88" s="95" t="str">
        <f>IF(I69&lt;&gt;"",I69,"")</f>
        <v/>
      </c>
      <c r="C88" s="54">
        <f ca="1">VLOOKUP(A88,DB_TBL_DATA_FIELDS[[FIELD_ID]:[PCT_CALC_FIELD_STATUS_CODE]],22,FALSE)</f>
        <v>-1</v>
      </c>
      <c r="D88" s="54" t="str">
        <f>IF(VLOOKUP(A88,DB_TBL_DATA_FIELDS[[FIELD_ID]:[ERROR_MESSAGE]],23,FALSE)&lt;&gt;0,VLOOKUP(A88,DB_TBL_DATA_FIELDS[[FIELD_ID]:[ERROR_MESSAGE]],23,FALSE),"")</f>
        <v/>
      </c>
      <c r="E88" s="54">
        <f>VLOOKUP(A88,DB_TBL_DATA_FIELDS[[#All],[FIELD_ID]:[RANGE_VALIDATION_MAX]],18,FALSE)</f>
        <v>0</v>
      </c>
      <c r="F88" s="54">
        <f>VLOOKUP(A88,DB_TBL_DATA_FIELDS[[#All],[FIELD_ID]:[RANGE_VALIDATION_MAX]],19,FALSE)</f>
        <v>75</v>
      </c>
      <c r="G88" s="54" t="str">
        <f t="shared" ref="G88" ca="1" si="6">IF(C88&lt;0,"",C88)</f>
        <v/>
      </c>
      <c r="J88"/>
      <c r="L88"/>
      <c r="N88"/>
      <c r="P88"/>
      <c r="R88"/>
      <c r="T88"/>
      <c r="V88"/>
      <c r="X88"/>
    </row>
    <row r="89" spans="1:24" ht="21.95" customHeight="1" x14ac:dyDescent="0.25">
      <c r="A89" s="61" t="s">
        <v>2294</v>
      </c>
      <c r="B89" s="95" t="str">
        <f>IF(Q69&lt;&gt;"",Q69,"")</f>
        <v/>
      </c>
      <c r="C89" s="54">
        <f ca="1">VLOOKUP(A89,DB_TBL_DATA_FIELDS[[FIELD_ID]:[PCT_CALC_FIELD_STATUS_CODE]],22,FALSE)</f>
        <v>-1</v>
      </c>
      <c r="D89" s="54" t="str">
        <f>IF(VLOOKUP(A89,DB_TBL_DATA_FIELDS[[FIELD_ID]:[ERROR_MESSAGE]],23,FALSE)&lt;&gt;0,VLOOKUP(A89,DB_TBL_DATA_FIELDS[[FIELD_ID]:[ERROR_MESSAGE]],23,FALSE),"")</f>
        <v/>
      </c>
      <c r="E89" s="54">
        <f>VLOOKUP(A89,DB_TBL_DATA_FIELDS[[#All],[FIELD_ID]:[RANGE_VALIDATION_MAX]],18,FALSE)</f>
        <v>0</v>
      </c>
      <c r="F89" s="54">
        <f>VLOOKUP(A89,DB_TBL_DATA_FIELDS[[#All],[FIELD_ID]:[RANGE_VALIDATION_MAX]],19,FALSE)</f>
        <v>30</v>
      </c>
      <c r="G89" s="54" t="str">
        <f t="shared" ref="G89:G99" ca="1" si="7">IF(C89&lt;0,"",C89)</f>
        <v/>
      </c>
      <c r="J89"/>
      <c r="L89"/>
      <c r="N89"/>
      <c r="P89"/>
      <c r="R89"/>
      <c r="T89"/>
      <c r="V89"/>
      <c r="X89"/>
    </row>
    <row r="90" spans="1:24" ht="21.95" customHeight="1" x14ac:dyDescent="0.25">
      <c r="A90" s="61" t="s">
        <v>2295</v>
      </c>
      <c r="B90" s="95" t="str">
        <f>IF(U69&lt;&gt;"",U69,"")</f>
        <v/>
      </c>
      <c r="C90" s="54">
        <f ca="1">VLOOKUP(A90,DB_TBL_DATA_FIELDS[[FIELD_ID]:[PCT_CALC_FIELD_STATUS_CODE]],22,FALSE)</f>
        <v>-1</v>
      </c>
      <c r="D90" s="54" t="str">
        <f>IF(VLOOKUP(A90,DB_TBL_DATA_FIELDS[[FIELD_ID]:[ERROR_MESSAGE]],23,FALSE)&lt;&gt;0,VLOOKUP(A90,DB_TBL_DATA_FIELDS[[FIELD_ID]:[ERROR_MESSAGE]],23,FALSE),"")</f>
        <v/>
      </c>
      <c r="E90" s="54">
        <f>VLOOKUP(A90,DB_TBL_DATA_FIELDS[[#All],[FIELD_ID]:[RANGE_VALIDATION_MAX]],18,FALSE)</f>
        <v>0</v>
      </c>
      <c r="F90" s="54">
        <f>VLOOKUP(A90,DB_TBL_DATA_FIELDS[[#All],[FIELD_ID]:[RANGE_VALIDATION_MAX]],19,FALSE)</f>
        <v>2</v>
      </c>
      <c r="G90" s="54" t="str">
        <f t="shared" ca="1" si="7"/>
        <v/>
      </c>
      <c r="I90" s="330" t="s">
        <v>2386</v>
      </c>
      <c r="J90" s="330"/>
      <c r="K90" s="330"/>
      <c r="L90" s="330"/>
      <c r="M90" s="330"/>
      <c r="N90" s="330"/>
      <c r="O90" s="330"/>
      <c r="P90" s="330"/>
      <c r="Q90" s="330"/>
      <c r="R90" s="330"/>
      <c r="S90" s="330"/>
      <c r="T90" s="330"/>
      <c r="U90" s="330"/>
      <c r="V90" s="330"/>
      <c r="W90" s="330"/>
      <c r="X90" s="330"/>
    </row>
    <row r="91" spans="1:24" ht="21.95" customHeight="1" x14ac:dyDescent="0.25">
      <c r="A91" s="61" t="s">
        <v>2296</v>
      </c>
      <c r="B91" s="95" t="str">
        <f>IF(W69&lt;&gt;"",TEXT(W69,"00000"),"")</f>
        <v/>
      </c>
      <c r="C91" s="54">
        <f ca="1">VLOOKUP(A91,DB_TBL_DATA_FIELDS[[FIELD_ID]:[PCT_CALC_FIELD_STATUS_CODE]],22,FALSE)</f>
        <v>-1</v>
      </c>
      <c r="D91" s="54" t="str">
        <f>IF(VLOOKUP(A91,DB_TBL_DATA_FIELDS[[FIELD_ID]:[ERROR_MESSAGE]],23,FALSE)&lt;&gt;0,VLOOKUP(A91,DB_TBL_DATA_FIELDS[[FIELD_ID]:[ERROR_MESSAGE]],23,FALSE),"")</f>
        <v/>
      </c>
      <c r="E91" s="54">
        <f>VLOOKUP(A91,DB_TBL_DATA_FIELDS[[#All],[FIELD_ID]:[RANGE_VALIDATION_MAX]],18,FALSE)</f>
        <v>5</v>
      </c>
      <c r="F91" s="54">
        <f>VLOOKUP(A91,DB_TBL_DATA_FIELDS[[#All],[FIELD_ID]:[RANGE_VALIDATION_MAX]],19,FALSE)</f>
        <v>10</v>
      </c>
      <c r="G91" s="54" t="str">
        <f t="shared" ca="1" si="7"/>
        <v/>
      </c>
      <c r="H91" s="215"/>
      <c r="J91"/>
      <c r="L91"/>
      <c r="M91" s="126"/>
      <c r="N91" s="127"/>
      <c r="O91" s="127"/>
      <c r="P91" s="127"/>
      <c r="Q91" s="127"/>
      <c r="R91" s="127"/>
      <c r="S91" s="128"/>
      <c r="T91" s="52" t="str">
        <f ca="1">G113</f>
        <v/>
      </c>
      <c r="V91"/>
      <c r="X91"/>
    </row>
    <row r="92" spans="1:24" ht="21.95" customHeight="1" x14ac:dyDescent="0.25">
      <c r="A92" s="61" t="s">
        <v>2297</v>
      </c>
      <c r="B92" s="95" t="str">
        <f>IF(I71&lt;&gt;"",I71,"")</f>
        <v/>
      </c>
      <c r="C92" s="54">
        <f ca="1">VLOOKUP(A92,DB_TBL_DATA_FIELDS[[FIELD_ID]:[PCT_CALC_FIELD_STATUS_CODE]],22,FALSE)</f>
        <v>1</v>
      </c>
      <c r="D92" s="54" t="str">
        <f>IF(VLOOKUP(A92,DB_TBL_DATA_FIELDS[[FIELD_ID]:[ERROR_MESSAGE]],23,FALSE)&lt;&gt;0,VLOOKUP(A92,DB_TBL_DATA_FIELDS[[FIELD_ID]:[ERROR_MESSAGE]],23,FALSE),"")</f>
        <v/>
      </c>
      <c r="E92" s="54">
        <f>VLOOKUP(A92,DB_TBL_DATA_FIELDS[[#All],[FIELD_ID]:[RANGE_VALIDATION_MAX]],18,FALSE)</f>
        <v>0</v>
      </c>
      <c r="F92" s="54">
        <f>VLOOKUP(A92,DB_TBL_DATA_FIELDS[[#All],[FIELD_ID]:[RANGE_VALIDATION_MAX]],19,FALSE)</f>
        <v>50</v>
      </c>
      <c r="G92" s="54">
        <f t="shared" ca="1" si="7"/>
        <v>1</v>
      </c>
      <c r="J92" s="162"/>
      <c r="K92" s="162"/>
      <c r="L92" s="162"/>
      <c r="M92" s="331" t="str">
        <f ca="1">D113</f>
        <v/>
      </c>
      <c r="N92" s="331"/>
      <c r="O92" s="331"/>
      <c r="P92" s="331"/>
      <c r="Q92" s="331"/>
      <c r="R92" s="331"/>
      <c r="S92" s="331"/>
      <c r="T92" s="162"/>
      <c r="U92" s="162"/>
      <c r="V92" s="162"/>
      <c r="W92" s="162"/>
      <c r="X92" s="162"/>
    </row>
    <row r="93" spans="1:24" ht="21.95" customHeight="1" x14ac:dyDescent="0.25">
      <c r="A93" s="61" t="s">
        <v>2894</v>
      </c>
      <c r="B93" s="95" t="str">
        <f>IF(M71&lt;&gt;"",TEXT(M71,"000"),"")</f>
        <v/>
      </c>
      <c r="C93" s="54">
        <f ca="1">VLOOKUP(A93,DB_TBL_DATA_FIELDS[[FIELD_ID]:[PCT_CALC_FIELD_STATUS_CODE]],22,FALSE)</f>
        <v>1</v>
      </c>
      <c r="D93" s="54" t="str">
        <f ca="1">IF(VLOOKUP(A93,DB_TBL_DATA_FIELDS[[FIELD_ID]:[ERROR_MESSAGE]],23,FALSE)&lt;&gt;0,VLOOKUP(A93,DB_TBL_DATA_FIELDS[[FIELD_ID]:[ERROR_MESSAGE]],23,FALSE),"")</f>
        <v/>
      </c>
      <c r="E93" s="54">
        <f>VLOOKUP(A93,DB_TBL_DATA_FIELDS[[#All],[FIELD_ID]:[RANGE_VALIDATION_MAX]],18,FALSE)</f>
        <v>1</v>
      </c>
      <c r="F93" s="54">
        <f>VLOOKUP(A93,DB_TBL_DATA_FIELDS[[#All],[FIELD_ID]:[RANGE_VALIDATION_MAX]],19,FALSE)</f>
        <v>3</v>
      </c>
      <c r="G93" s="54">
        <f t="shared" ref="G93" ca="1" si="8">IF(C93&lt;0,"",C93)</f>
        <v>1</v>
      </c>
      <c r="I93" s="36" t="str">
        <f ca="1">IF(DATA_INC_GUIDLN_CODE="","",DATA_INC_GUIDLN_CODE&amp;" ")&amp;"Income Area"</f>
        <v>Income Area</v>
      </c>
      <c r="X93"/>
    </row>
    <row r="94" spans="1:24" ht="21.95" customHeight="1" x14ac:dyDescent="0.25">
      <c r="A94" s="61" t="s">
        <v>2298</v>
      </c>
      <c r="B94" s="95" t="str">
        <f>IF(Q71&lt;&gt;"",TEXT(Q71,"00000"),"")</f>
        <v/>
      </c>
      <c r="C94" s="54">
        <f ca="1">VLOOKUP(A94,DB_TBL_DATA_FIELDS[[FIELD_ID]:[PCT_CALC_FIELD_STATUS_CODE]],22,FALSE)</f>
        <v>-1</v>
      </c>
      <c r="D94" s="54" t="str">
        <f>IF(VLOOKUP(A94,DB_TBL_DATA_FIELDS[[FIELD_ID]:[ERROR_MESSAGE]],23,FALSE)&lt;&gt;0,VLOOKUP(A94,DB_TBL_DATA_FIELDS[[FIELD_ID]:[ERROR_MESSAGE]],23,FALSE),"")</f>
        <v/>
      </c>
      <c r="E94" s="54">
        <f>VLOOKUP(A94,DB_TBL_DATA_FIELDS[[#All],[FIELD_ID]:[RANGE_VALIDATION_MAX]],18,FALSE)</f>
        <v>1</v>
      </c>
      <c r="F94" s="54">
        <f>VLOOKUP(A94,DB_TBL_DATA_FIELDS[[#All],[FIELD_ID]:[RANGE_VALIDATION_MAX]],19,FALSE)</f>
        <v>99999</v>
      </c>
      <c r="G94" s="54" t="str">
        <f t="shared" ca="1" si="7"/>
        <v/>
      </c>
      <c r="I94" s="324"/>
      <c r="J94" s="324"/>
      <c r="K94" s="324"/>
      <c r="L94" s="324"/>
      <c r="M94" s="324"/>
      <c r="N94" s="324"/>
      <c r="O94" s="324"/>
      <c r="P94" s="324"/>
      <c r="Q94" s="324"/>
      <c r="R94" s="324"/>
      <c r="S94" s="324"/>
      <c r="T94" s="324"/>
      <c r="U94" s="324"/>
      <c r="V94" s="324"/>
      <c r="W94" s="324"/>
      <c r="X94" s="52">
        <f ca="1">G115</f>
        <v>1</v>
      </c>
    </row>
    <row r="95" spans="1:24" ht="21.95" customHeight="1" x14ac:dyDescent="0.25">
      <c r="A95" s="61" t="s">
        <v>2299</v>
      </c>
      <c r="B95" s="95" t="str">
        <f>IF(AND(U71=0,W71=0),"",IF(U71&lt;&gt;0,TEXT(U71,"0000"),"")&amp;IF(W71&lt;&gt;"","."&amp;TEXT(W71,"00"),""))</f>
        <v/>
      </c>
      <c r="C95" s="54">
        <f ca="1">VLOOKUP(A95,DB_TBL_DATA_FIELDS[[FIELD_ID]:[PCT_CALC_FIELD_STATUS_CODE]],22,FALSE)</f>
        <v>1</v>
      </c>
      <c r="D95" s="54" t="str">
        <f>IF(VLOOKUP(A95,DB_TBL_DATA_FIELDS[[FIELD_ID]:[ERROR_MESSAGE]],23,FALSE)&lt;&gt;0,VLOOKUP(A95,DB_TBL_DATA_FIELDS[[FIELD_ID]:[ERROR_MESSAGE]],23,FALSE),"")</f>
        <v/>
      </c>
      <c r="E95" s="54">
        <f>VLOOKUP(A95,DB_TBL_DATA_FIELDS[[#All],[FIELD_ID]:[RANGE_VALIDATION_MAX]],18,FALSE)</f>
        <v>7</v>
      </c>
      <c r="F95" s="54">
        <f>VLOOKUP(A95,DB_TBL_DATA_FIELDS[[#All],[FIELD_ID]:[RANGE_VALIDATION_MAX]],19,FALSE)</f>
        <v>7</v>
      </c>
      <c r="G95" s="54">
        <f t="shared" ca="1" si="7"/>
        <v>1</v>
      </c>
      <c r="I95" s="36" t="s">
        <v>2327</v>
      </c>
      <c r="M95" s="109" t="s">
        <v>2387</v>
      </c>
      <c r="N95" s="109"/>
      <c r="O95" s="109"/>
      <c r="P95" s="36"/>
      <c r="Q95" s="36" t="s">
        <v>2389</v>
      </c>
      <c r="U95" s="36" t="s">
        <v>2388</v>
      </c>
      <c r="X95"/>
    </row>
    <row r="96" spans="1:24" ht="21.95" customHeight="1" x14ac:dyDescent="0.25">
      <c r="A96" s="61" t="s">
        <v>2291</v>
      </c>
      <c r="B96" s="95" t="str">
        <f>IF(Q74="","",IF(UPPER(Q74)="YES",TRUE,FALSE))</f>
        <v/>
      </c>
      <c r="C96" s="54">
        <f ca="1">VLOOKUP(A96,DB_TBL_DATA_FIELDS[[FIELD_ID]:[PCT_CALC_FIELD_STATUS_CODE]],22,FALSE)</f>
        <v>1</v>
      </c>
      <c r="D96" s="54" t="str">
        <f>IF(VLOOKUP(A96,DB_TBL_DATA_FIELDS[[FIELD_ID]:[ERROR_MESSAGE]],23,FALSE)&lt;&gt;0,VLOOKUP(A96,DB_TBL_DATA_FIELDS[[FIELD_ID]:[ERROR_MESSAGE]],23,FALSE),"")</f>
        <v/>
      </c>
      <c r="E96" s="54">
        <f>VLOOKUP(A96,DB_TBL_DATA_FIELDS[[#All],[FIELD_ID]:[RANGE_VALIDATION_MAX]],18,FALSE)</f>
        <v>0</v>
      </c>
      <c r="F96" s="54">
        <f>VLOOKUP(A96,DB_TBL_DATA_FIELDS[[#All],[FIELD_ID]:[RANGE_VALIDATION_MAX]],19,FALSE)</f>
        <v>0</v>
      </c>
      <c r="G96" s="54">
        <f t="shared" ca="1" si="7"/>
        <v>1</v>
      </c>
      <c r="I96" s="326" t="str">
        <f>IF(ICW_HOUSEHOLD_SIZE&lt;&gt;"",IF(VALUE(ICW_HOUSEHOLD_SIZE)&gt;0,ICW_HOUSEHOLD_SIZE,""),"")</f>
        <v/>
      </c>
      <c r="J96" s="327"/>
      <c r="K96" s="328"/>
      <c r="L96" s="52" t="str">
        <f ca="1">G116</f>
        <v/>
      </c>
      <c r="M96" s="368" t="str">
        <f>IF(VALUE(ICW_TOTAL_INCOME)&gt;0,ICW_TOTAL_INCOME,"")</f>
        <v/>
      </c>
      <c r="N96" s="369"/>
      <c r="O96" s="370"/>
      <c r="P96" s="52" t="str">
        <f ca="1">G118</f>
        <v/>
      </c>
      <c r="Q96" s="368" t="str">
        <f ca="1">B117</f>
        <v/>
      </c>
      <c r="R96" s="369"/>
      <c r="S96" s="370"/>
      <c r="T96" s="52">
        <f ca="1">G117</f>
        <v>1</v>
      </c>
      <c r="U96" s="371" t="str">
        <f ca="1">B119</f>
        <v/>
      </c>
      <c r="V96" s="372"/>
      <c r="W96" s="373"/>
      <c r="X96" s="52">
        <f ca="1">G119</f>
        <v>1</v>
      </c>
    </row>
    <row r="97" spans="1:25" ht="21.95" customHeight="1" x14ac:dyDescent="0.25">
      <c r="A97" s="61" t="s">
        <v>2307</v>
      </c>
      <c r="B97" s="95" t="str">
        <f>IF(I74&lt;&gt;"",I74,"")</f>
        <v/>
      </c>
      <c r="C97" s="54">
        <f ca="1">VLOOKUP(A97,DB_TBL_DATA_FIELDS[[FIELD_ID]:[PCT_CALC_FIELD_STATUS_CODE]],22,FALSE)</f>
        <v>1</v>
      </c>
      <c r="D97" s="54" t="str">
        <f>IF(VLOOKUP(A97,DB_TBL_DATA_FIELDS[[FIELD_ID]:[ERROR_MESSAGE]],23,FALSE)&lt;&gt;0,VLOOKUP(A97,DB_TBL_DATA_FIELDS[[FIELD_ID]:[ERROR_MESSAGE]],23,FALSE),"")</f>
        <v/>
      </c>
      <c r="E97" s="54">
        <f>VLOOKUP(A97,DB_TBL_DATA_FIELDS[[#All],[FIELD_ID]:[RANGE_VALIDATION_MAX]],18,FALSE)</f>
        <v>0</v>
      </c>
      <c r="F97" s="54">
        <f>VLOOKUP(A97,DB_TBL_DATA_FIELDS[[#All],[FIELD_ID]:[RANGE_VALIDATION_MAX]],19,FALSE)</f>
        <v>999999999</v>
      </c>
      <c r="G97" s="54">
        <f t="shared" ca="1" si="7"/>
        <v>1</v>
      </c>
      <c r="H97" s="253"/>
      <c r="I97" s="253"/>
      <c r="J97" s="253"/>
      <c r="K97" s="253"/>
      <c r="L97" s="253"/>
      <c r="M97" s="253"/>
      <c r="N97" s="253"/>
      <c r="O97" s="253"/>
      <c r="P97" s="253"/>
      <c r="Q97" s="253"/>
      <c r="R97" s="253"/>
      <c r="S97" s="253"/>
      <c r="T97" s="253"/>
      <c r="U97" s="253"/>
      <c r="V97" s="253"/>
      <c r="W97" s="253"/>
      <c r="X97" s="253"/>
      <c r="Y97" s="253"/>
    </row>
    <row r="98" spans="1:25" ht="21.95" customHeight="1" thickBot="1" x14ac:dyDescent="0.3">
      <c r="A98" s="61" t="s">
        <v>2311</v>
      </c>
      <c r="B98" s="95" t="str">
        <f>IF(M74&lt;&gt;"",M74,"")</f>
        <v/>
      </c>
      <c r="C98" s="54">
        <f ca="1">VLOOKUP(A98,DB_TBL_DATA_FIELDS[[FIELD_ID]:[PCT_CALC_FIELD_STATUS_CODE]],22,FALSE)</f>
        <v>1</v>
      </c>
      <c r="D98" s="54" t="str">
        <f>IF(VLOOKUP(A98,DB_TBL_DATA_FIELDS[[FIELD_ID]:[ERROR_MESSAGE]],23,FALSE)&lt;&gt;0,VLOOKUP(A98,DB_TBL_DATA_FIELDS[[FIELD_ID]:[ERROR_MESSAGE]],23,FALSE),"")</f>
        <v/>
      </c>
      <c r="E98" s="54">
        <f>VLOOKUP(A98,DB_TBL_DATA_FIELDS[[#All],[FIELD_ID]:[RANGE_VALIDATION_MAX]],18,FALSE)</f>
        <v>0</v>
      </c>
      <c r="F98" s="54">
        <f>VLOOKUP(A98,DB_TBL_DATA_FIELDS[[#All],[FIELD_ID]:[RANGE_VALIDATION_MAX]],19,FALSE)</f>
        <v>50</v>
      </c>
      <c r="G98" s="54">
        <f t="shared" ca="1" si="7"/>
        <v>1</v>
      </c>
      <c r="H98" s="253"/>
      <c r="I98" s="64" t="s">
        <v>2905</v>
      </c>
      <c r="J98" s="129"/>
      <c r="K98" s="130"/>
      <c r="L98" s="131"/>
      <c r="M98" s="130"/>
      <c r="N98" s="129"/>
      <c r="O98" s="130"/>
      <c r="P98" s="129"/>
      <c r="Q98" s="130"/>
      <c r="R98" s="129"/>
      <c r="S98" s="130"/>
      <c r="T98" s="130"/>
      <c r="U98" s="130"/>
      <c r="V98" s="130"/>
      <c r="W98" s="157"/>
      <c r="X98" s="132" t="str">
        <f>IF(C143=1,1,"")</f>
        <v/>
      </c>
      <c r="Y98" s="253"/>
    </row>
    <row r="99" spans="1:25" ht="21.95" customHeight="1" thickTop="1" x14ac:dyDescent="0.25">
      <c r="A99" s="61" t="s">
        <v>2309</v>
      </c>
      <c r="B99" s="95" t="str">
        <f>IF(U74="","",IF(UPPER(U74)="YES",TRUE,FALSE))</f>
        <v/>
      </c>
      <c r="C99" s="54">
        <f ca="1">VLOOKUP(A99,DB_TBL_DATA_FIELDS[[FIELD_ID]:[PCT_CALC_FIELD_STATUS_CODE]],22,FALSE)</f>
        <v>1</v>
      </c>
      <c r="D99" s="54" t="str">
        <f>IF(VLOOKUP(A99,DB_TBL_DATA_FIELDS[[FIELD_ID]:[ERROR_MESSAGE]],23,FALSE)&lt;&gt;0,VLOOKUP(A99,DB_TBL_DATA_FIELDS[[FIELD_ID]:[ERROR_MESSAGE]],23,FALSE),"")</f>
        <v/>
      </c>
      <c r="E99" s="54">
        <f>VLOOKUP(A99,DB_TBL_DATA_FIELDS[[#All],[FIELD_ID]:[RANGE_VALIDATION_MAX]],18,FALSE)</f>
        <v>0</v>
      </c>
      <c r="F99" s="54">
        <f>VLOOKUP(A99,DB_TBL_DATA_FIELDS[[#All],[FIELD_ID]:[RANGE_VALIDATION_MAX]],19,FALSE)</f>
        <v>0</v>
      </c>
      <c r="G99" s="54">
        <f t="shared" ca="1" si="7"/>
        <v>1</v>
      </c>
      <c r="H99" s="253"/>
      <c r="I99" s="253"/>
      <c r="J99" s="253"/>
      <c r="K99" s="253"/>
      <c r="L99" s="253"/>
      <c r="M99" s="253"/>
      <c r="N99" s="253"/>
      <c r="O99" s="253"/>
      <c r="P99" s="253"/>
      <c r="Q99" s="253"/>
      <c r="R99" s="253"/>
      <c r="S99" s="253"/>
      <c r="T99" s="253"/>
      <c r="U99" s="253"/>
      <c r="V99" s="253"/>
      <c r="W99" s="253"/>
      <c r="X99" s="253"/>
      <c r="Y99" s="253"/>
    </row>
    <row r="100" spans="1:25" ht="21.95" customHeight="1" x14ac:dyDescent="0.25">
      <c r="A100" s="61" t="s">
        <v>153</v>
      </c>
      <c r="B100" s="65" t="str">
        <f>"C"&amp;MATCH(LEFT(A100,LEN(A100)-LEN("_RANGE")),A:A,0)+1&amp;":C"&amp;(ROW()-1)</f>
        <v>C88:C99</v>
      </c>
      <c r="C100" s="54"/>
      <c r="D100" s="54"/>
      <c r="E100" s="54"/>
      <c r="F100" s="54"/>
      <c r="G100" s="54"/>
      <c r="H100" s="253"/>
      <c r="I100" s="253"/>
      <c r="J100" s="253"/>
      <c r="K100" s="253"/>
      <c r="L100" s="253"/>
      <c r="N100" s="253"/>
      <c r="O100" s="253"/>
      <c r="P100" s="253"/>
      <c r="Q100" s="253"/>
      <c r="R100" s="253"/>
      <c r="S100" s="253"/>
      <c r="T100" s="253"/>
      <c r="U100" s="253"/>
      <c r="V100" s="253"/>
      <c r="W100" s="253"/>
      <c r="X100" s="253"/>
      <c r="Y100" s="253"/>
    </row>
    <row r="101" spans="1:25" ht="21.95" customHeight="1" x14ac:dyDescent="0.25">
      <c r="A101" s="61" t="s">
        <v>154</v>
      </c>
      <c r="B101" s="65">
        <f ca="1">COUNTIF(INDIRECT($B100),2)</f>
        <v>0</v>
      </c>
      <c r="C101" s="54"/>
      <c r="D101" s="54"/>
      <c r="E101" s="54"/>
      <c r="F101" s="54"/>
      <c r="G101" s="54"/>
      <c r="H101" s="253"/>
      <c r="I101" s="253"/>
      <c r="J101" s="253"/>
      <c r="K101" s="253"/>
      <c r="L101" s="253"/>
      <c r="M101" s="253"/>
      <c r="N101" s="253"/>
      <c r="O101" s="253"/>
      <c r="P101" s="253"/>
      <c r="Q101" s="253"/>
      <c r="R101" s="253"/>
      <c r="S101" s="253"/>
      <c r="T101" s="253"/>
      <c r="U101" s="253"/>
      <c r="V101" s="253"/>
      <c r="W101" s="253"/>
      <c r="X101" s="253"/>
      <c r="Y101" s="253"/>
    </row>
    <row r="102" spans="1:25" ht="21.95" customHeight="1" thickBot="1" x14ac:dyDescent="0.3">
      <c r="A102" s="61" t="s">
        <v>155</v>
      </c>
      <c r="B102" s="65">
        <f ca="1">COUNTIF(INDIRECT($B100),0)+COUNTIF(INDIRECT($B100),1)+COUNTIF(INDIRECT($B100),2)</f>
        <v>7</v>
      </c>
      <c r="C102" s="54"/>
      <c r="D102" s="54"/>
      <c r="E102" s="54"/>
      <c r="F102" s="54"/>
      <c r="G102" s="54"/>
      <c r="I102" s="55" t="str">
        <f>B135</f>
        <v>Member Certification</v>
      </c>
      <c r="J102" s="55"/>
      <c r="K102" s="55"/>
      <c r="L102" s="55"/>
      <c r="M102" s="55"/>
      <c r="N102" s="55"/>
      <c r="O102" s="55"/>
      <c r="P102" s="55"/>
      <c r="Q102" s="55"/>
      <c r="R102" s="55"/>
      <c r="S102" s="55"/>
      <c r="T102" s="55"/>
      <c r="U102" s="55"/>
      <c r="V102" s="55"/>
      <c r="W102" s="55"/>
      <c r="X102" s="56" t="str">
        <f ca="1">"Status: "&amp;$B$146</f>
        <v>Status: Not Started</v>
      </c>
    </row>
    <row r="103" spans="1:25" ht="21.95" customHeight="1" x14ac:dyDescent="0.25">
      <c r="A103" s="61" t="s">
        <v>156</v>
      </c>
      <c r="B103" s="65">
        <f ca="1">COUNTIF(INDIRECT($B100),0)</f>
        <v>0</v>
      </c>
      <c r="C103" s="54"/>
      <c r="D103" s="54"/>
      <c r="E103" s="54"/>
      <c r="F103" s="54"/>
      <c r="G103" s="54"/>
      <c r="J103"/>
      <c r="V103"/>
      <c r="X103"/>
    </row>
    <row r="104" spans="1:25" ht="21.95" customHeight="1" x14ac:dyDescent="0.25">
      <c r="A104" s="61" t="s">
        <v>157</v>
      </c>
      <c r="B104" s="97">
        <f ca="1">IFERROR(B101/B102,1.01)</f>
        <v>0</v>
      </c>
      <c r="C104" s="54"/>
      <c r="D104" s="54"/>
      <c r="E104" s="54"/>
      <c r="F104" s="54"/>
      <c r="G104" s="54"/>
      <c r="I104" s="367" t="s">
        <v>2954</v>
      </c>
      <c r="J104" s="367"/>
      <c r="K104" s="367"/>
      <c r="L104" s="367"/>
      <c r="M104" s="367"/>
      <c r="N104" s="367"/>
      <c r="O104" s="367"/>
      <c r="P104" s="367"/>
      <c r="Q104" s="367"/>
      <c r="R104" s="367"/>
      <c r="S104" s="367"/>
      <c r="T104" s="367"/>
      <c r="U104" s="367"/>
      <c r="V104" s="367"/>
      <c r="W104" s="367"/>
      <c r="X104" s="367"/>
    </row>
    <row r="105" spans="1:25" ht="21.95" customHeight="1" x14ac:dyDescent="0.25">
      <c r="A105" s="61" t="s">
        <v>158</v>
      </c>
      <c r="B105" s="65" t="str">
        <f ca="1">IF(B103&gt;0,"Data Error(s)",IF(B104=0,"Not Started",IF(B104&lt;1,ROUNDUP(B104*100,0)&amp;"% Done",IF(B104&gt;1,"Optional","Complete"))))</f>
        <v>Not Started</v>
      </c>
      <c r="C105" s="54"/>
      <c r="D105" s="54"/>
      <c r="E105" s="54"/>
      <c r="F105" s="54"/>
      <c r="G105" s="54"/>
      <c r="I105" s="367"/>
      <c r="J105" s="367"/>
      <c r="K105" s="367"/>
      <c r="L105" s="367"/>
      <c r="M105" s="367"/>
      <c r="N105" s="367"/>
      <c r="O105" s="367"/>
      <c r="P105" s="367"/>
      <c r="Q105" s="367"/>
      <c r="R105" s="367"/>
      <c r="S105" s="367"/>
      <c r="T105" s="367"/>
      <c r="U105" s="367"/>
      <c r="V105" s="367"/>
      <c r="W105" s="367"/>
      <c r="X105" s="367"/>
    </row>
    <row r="106" spans="1:25" ht="21.95" customHeight="1" x14ac:dyDescent="0.25">
      <c r="A106" s="61" t="s">
        <v>159</v>
      </c>
      <c r="B106" s="65" t="str">
        <f ca="1">IF(B103&gt;0,0,IF(B104&lt;1,"",2))</f>
        <v/>
      </c>
      <c r="C106" s="54"/>
      <c r="D106" s="54"/>
      <c r="E106" s="54"/>
      <c r="F106" s="54"/>
      <c r="G106" s="54"/>
      <c r="I106" s="367"/>
      <c r="J106" s="367"/>
      <c r="K106" s="367"/>
      <c r="L106" s="367"/>
      <c r="M106" s="367"/>
      <c r="N106" s="367"/>
      <c r="O106" s="367"/>
      <c r="P106" s="367"/>
      <c r="Q106" s="367"/>
      <c r="R106" s="367"/>
      <c r="S106" s="367"/>
      <c r="T106" s="367"/>
      <c r="U106" s="367"/>
      <c r="V106" s="367"/>
      <c r="W106" s="367"/>
      <c r="X106" s="367"/>
    </row>
    <row r="107" spans="1:25" ht="21.95" customHeight="1" x14ac:dyDescent="0.25">
      <c r="A107" s="61" t="s">
        <v>160</v>
      </c>
      <c r="B107" s="96" t="s">
        <v>2357</v>
      </c>
      <c r="C107" s="54"/>
      <c r="D107" s="54"/>
      <c r="E107" s="54"/>
      <c r="F107" s="54"/>
      <c r="G107" s="54"/>
      <c r="I107" s="367"/>
      <c r="J107" s="367"/>
      <c r="K107" s="367"/>
      <c r="L107" s="367"/>
      <c r="M107" s="367"/>
      <c r="N107" s="367"/>
      <c r="O107" s="367"/>
      <c r="P107" s="367"/>
      <c r="Q107" s="367"/>
      <c r="R107" s="367"/>
      <c r="S107" s="367"/>
      <c r="T107" s="367"/>
      <c r="U107" s="367"/>
      <c r="V107" s="367"/>
      <c r="W107" s="367"/>
      <c r="X107" s="367"/>
    </row>
    <row r="108" spans="1:25" ht="21.95" customHeight="1" x14ac:dyDescent="0.25">
      <c r="A108" s="77" t="s">
        <v>2813</v>
      </c>
      <c r="B108" s="223" t="str">
        <f ca="1">IF(DATA_PRIMARY_RESIDENCE_FLAG=FALSE,'$DB.CONFIG'!M3,"")</f>
        <v/>
      </c>
      <c r="C108" s="54">
        <f ca="1">IF(B108="",0,1)</f>
        <v>0</v>
      </c>
      <c r="D108" s="54"/>
      <c r="E108" s="54"/>
      <c r="F108" s="54"/>
      <c r="G108" s="54"/>
      <c r="I108" s="367"/>
      <c r="J108" s="367"/>
      <c r="K108" s="367"/>
      <c r="L108" s="367"/>
      <c r="M108" s="367"/>
      <c r="N108" s="367"/>
      <c r="O108" s="367"/>
      <c r="P108" s="367"/>
      <c r="Q108" s="367"/>
      <c r="R108" s="367"/>
      <c r="S108" s="367"/>
      <c r="T108" s="367"/>
      <c r="U108" s="367"/>
      <c r="V108" s="367"/>
      <c r="W108" s="367"/>
      <c r="X108" s="367"/>
    </row>
    <row r="109" spans="1:25" ht="21.95" customHeight="1" x14ac:dyDescent="0.25">
      <c r="A109" s="77" t="s">
        <v>2148</v>
      </c>
      <c r="B109" s="65">
        <f ca="1">COUNTIF(C108,1)</f>
        <v>0</v>
      </c>
      <c r="C109" s="54"/>
      <c r="D109" s="54"/>
      <c r="E109" s="54"/>
      <c r="F109" s="54"/>
      <c r="G109" s="54"/>
      <c r="I109" s="367"/>
      <c r="J109" s="367"/>
      <c r="K109" s="367"/>
      <c r="L109" s="367"/>
      <c r="M109" s="367"/>
      <c r="N109" s="367"/>
      <c r="O109" s="367"/>
      <c r="P109" s="367"/>
      <c r="Q109" s="367"/>
      <c r="R109" s="367"/>
      <c r="S109" s="367"/>
      <c r="T109" s="367"/>
      <c r="U109" s="367"/>
      <c r="V109" s="367"/>
      <c r="W109" s="367"/>
      <c r="X109" s="367"/>
    </row>
    <row r="110" spans="1:25" ht="21.95" customHeight="1" x14ac:dyDescent="0.25">
      <c r="A110" s="77" t="s">
        <v>2149</v>
      </c>
      <c r="B110" s="65" t="b">
        <f ca="1">(B109&gt;0)</f>
        <v>0</v>
      </c>
      <c r="C110" s="54"/>
      <c r="D110" s="54"/>
      <c r="E110" s="54"/>
      <c r="F110" s="54"/>
      <c r="G110" s="54"/>
      <c r="I110" s="367"/>
      <c r="J110" s="367"/>
      <c r="K110" s="367"/>
      <c r="L110" s="367"/>
      <c r="M110" s="367"/>
      <c r="N110" s="367"/>
      <c r="O110" s="367"/>
      <c r="P110" s="367"/>
      <c r="Q110" s="367"/>
      <c r="R110" s="367"/>
      <c r="S110" s="367"/>
      <c r="T110" s="367"/>
      <c r="U110" s="367"/>
      <c r="V110" s="367"/>
      <c r="W110" s="367"/>
      <c r="X110" s="367"/>
    </row>
    <row r="111" spans="1:25" ht="21.95" customHeight="1" x14ac:dyDescent="0.25">
      <c r="A111" s="91" t="s">
        <v>162</v>
      </c>
      <c r="B111" s="93" t="s">
        <v>2358</v>
      </c>
      <c r="C111" s="92"/>
      <c r="D111" s="92"/>
      <c r="E111" s="92"/>
      <c r="F111" s="92"/>
      <c r="G111" s="92"/>
      <c r="I111" s="367"/>
      <c r="J111" s="367"/>
      <c r="K111" s="367"/>
      <c r="L111" s="367"/>
      <c r="M111" s="367"/>
      <c r="N111" s="367"/>
      <c r="O111" s="367"/>
      <c r="P111" s="367"/>
      <c r="Q111" s="367"/>
      <c r="R111" s="367"/>
      <c r="S111" s="367"/>
      <c r="T111" s="367"/>
      <c r="U111" s="367"/>
      <c r="V111" s="367"/>
      <c r="W111" s="367"/>
      <c r="X111" s="367"/>
    </row>
    <row r="112" spans="1:25" ht="21.95" customHeight="1" x14ac:dyDescent="0.25">
      <c r="A112" s="61" t="s">
        <v>2314</v>
      </c>
      <c r="B112" s="134" t="b">
        <v>0</v>
      </c>
      <c r="C112" s="54" t="str">
        <f ca="1">VLOOKUP(A112,DB_TBL_DATA_FIELDS[[FIELD_ID]:[PCT_CALC_FIELD_STATUS_CODE]],22,FALSE)</f>
        <v/>
      </c>
      <c r="D112" s="54" t="str">
        <f>IF(VLOOKUP(A112,DB_TBL_DATA_FIELDS[[FIELD_ID]:[ERROR_MESSAGE]],23,FALSE)&lt;&gt;0,VLOOKUP(A112,DB_TBL_DATA_FIELDS[[FIELD_ID]:[ERROR_MESSAGE]],23,FALSE),"")</f>
        <v/>
      </c>
      <c r="E112" s="54">
        <f>VLOOKUP(A112,DB_TBL_DATA_FIELDS[[#All],[FIELD_ID]:[RANGE_VALIDATION_MAX]],18,FALSE)</f>
        <v>0</v>
      </c>
      <c r="F112" s="54">
        <f>VLOOKUP(A112,DB_TBL_DATA_FIELDS[[#All],[FIELD_ID]:[RANGE_VALIDATION_MAX]],19,FALSE)</f>
        <v>0</v>
      </c>
      <c r="G112" s="54" t="str">
        <f t="shared" ref="G112:G123" ca="1" si="9">IF(C112&lt;0,"",C112)</f>
        <v/>
      </c>
      <c r="I112" s="367"/>
      <c r="J112" s="367"/>
      <c r="K112" s="367"/>
      <c r="L112" s="367"/>
      <c r="M112" s="367"/>
      <c r="N112" s="367"/>
      <c r="O112" s="367"/>
      <c r="P112" s="367"/>
      <c r="Q112" s="367"/>
      <c r="R112" s="367"/>
      <c r="S112" s="367"/>
      <c r="T112" s="367"/>
      <c r="U112" s="367"/>
      <c r="V112" s="367"/>
      <c r="W112" s="367"/>
      <c r="X112" s="367"/>
    </row>
    <row r="113" spans="1:24" ht="21.95" customHeight="1" x14ac:dyDescent="0.25">
      <c r="A113" s="61" t="s">
        <v>2316</v>
      </c>
      <c r="B113" s="65" t="str">
        <f ca="1">VLOOKUP(A113,DB_TBL_DATA_FIELDS[[#All],[FIELD_ID]:[FIELD_VALUE_RAW]],5,FALSE)</f>
        <v/>
      </c>
      <c r="C113" s="54">
        <f ca="1">VLOOKUP(A113,DB_TBL_DATA_FIELDS[[FIELD_ID]:[PCT_CALC_FIELD_STATUS_CODE]],22,FALSE)</f>
        <v>-1</v>
      </c>
      <c r="D113" s="54" t="str">
        <f ca="1">IF(VLOOKUP(A113,DB_TBL_DATA_FIELDS[[FIELD_ID]:[ERROR_MESSAGE]],23,FALSE)&lt;&gt;0,VLOOKUP(A113,DB_TBL_DATA_FIELDS[[FIELD_ID]:[ERROR_MESSAGE]],23,FALSE),"")</f>
        <v/>
      </c>
      <c r="E113" s="54">
        <f>VLOOKUP(A113,DB_TBL_DATA_FIELDS[[#All],[FIELD_ID]:[RANGE_VALIDATION_MAX]],18,FALSE)</f>
        <v>0</v>
      </c>
      <c r="F113" s="54">
        <f>VLOOKUP(A113,DB_TBL_DATA_FIELDS[[#All],[FIELD_ID]:[RANGE_VALIDATION_MAX]],19,FALSE)</f>
        <v>0</v>
      </c>
      <c r="G113" s="54" t="str">
        <f t="shared" ca="1" si="9"/>
        <v/>
      </c>
      <c r="I113" s="367"/>
      <c r="J113" s="367"/>
      <c r="K113" s="367"/>
      <c r="L113" s="367"/>
      <c r="M113" s="367"/>
      <c r="N113" s="367"/>
      <c r="O113" s="367"/>
      <c r="P113" s="367"/>
      <c r="Q113" s="367"/>
      <c r="R113" s="367"/>
      <c r="S113" s="367"/>
      <c r="T113" s="367"/>
      <c r="U113" s="367"/>
      <c r="V113" s="367"/>
      <c r="W113" s="367"/>
      <c r="X113" s="367"/>
    </row>
    <row r="114" spans="1:24" ht="21.95" customHeight="1" x14ac:dyDescent="0.25">
      <c r="A114" s="61" t="s">
        <v>2318</v>
      </c>
      <c r="B114" s="65" t="str">
        <f ca="1">VLOOKUP(A114,DB_TBL_DATA_FIELDS[[#All],[FIELD_ID]:[FIELD_VALUE_RAW]],5,FALSE)</f>
        <v/>
      </c>
      <c r="C114" s="54" t="str">
        <f ca="1">VLOOKUP(A114,DB_TBL_DATA_FIELDS[[FIELD_ID]:[PCT_CALC_FIELD_STATUS_CODE]],22,FALSE)</f>
        <v/>
      </c>
      <c r="D114" s="54" t="str">
        <f>IF(VLOOKUP(A114,DB_TBL_DATA_FIELDS[[FIELD_ID]:[ERROR_MESSAGE]],23,FALSE)&lt;&gt;0,VLOOKUP(A114,DB_TBL_DATA_FIELDS[[FIELD_ID]:[ERROR_MESSAGE]],23,FALSE),"")</f>
        <v/>
      </c>
      <c r="E114" s="54">
        <f>VLOOKUP(A114,DB_TBL_DATA_FIELDS[[#All],[FIELD_ID]:[RANGE_VALIDATION_MAX]],18,FALSE)</f>
        <v>0</v>
      </c>
      <c r="F114" s="54">
        <f>VLOOKUP(A114,DB_TBL_DATA_FIELDS[[#All],[FIELD_ID]:[RANGE_VALIDATION_MAX]],19,FALSE)</f>
        <v>4</v>
      </c>
      <c r="G114" s="54" t="str">
        <f t="shared" ca="1" si="9"/>
        <v/>
      </c>
      <c r="I114" s="367"/>
      <c r="J114" s="367"/>
      <c r="K114" s="367"/>
      <c r="L114" s="367"/>
      <c r="M114" s="367"/>
      <c r="N114" s="367"/>
      <c r="O114" s="367"/>
      <c r="P114" s="367"/>
      <c r="Q114" s="367"/>
      <c r="R114" s="367"/>
      <c r="S114" s="367"/>
      <c r="T114" s="367"/>
      <c r="U114" s="367"/>
      <c r="V114" s="367"/>
      <c r="W114" s="367"/>
      <c r="X114" s="367"/>
    </row>
    <row r="115" spans="1:24" ht="21.95" customHeight="1" x14ac:dyDescent="0.25">
      <c r="A115" s="61" t="s">
        <v>2485</v>
      </c>
      <c r="B115" s="95" t="str">
        <f>IF(I94&lt;&gt;"",I94,"")</f>
        <v/>
      </c>
      <c r="C115" s="54">
        <f ca="1">VLOOKUP(A115,DB_TBL_DATA_FIELDS[[FIELD_ID]:[PCT_CALC_FIELD_STATUS_CODE]],22,FALSE)</f>
        <v>1</v>
      </c>
      <c r="D115" s="54" t="str">
        <f ca="1">IF(VLOOKUP(A115,DB_TBL_DATA_FIELDS[[FIELD_ID]:[ERROR_MESSAGE]],23,FALSE)&lt;&gt;0,VLOOKUP(A115,DB_TBL_DATA_FIELDS[[FIELD_ID]:[ERROR_MESSAGE]],23,FALSE),"")</f>
        <v/>
      </c>
      <c r="E115" s="54">
        <f>VLOOKUP(A115,DB_TBL_DATA_FIELDS[[#All],[FIELD_ID]:[RANGE_VALIDATION_MAX]],18,FALSE)</f>
        <v>0</v>
      </c>
      <c r="F115" s="54">
        <f>VLOOKUP(A115,DB_TBL_DATA_FIELDS[[#All],[FIELD_ID]:[RANGE_VALIDATION_MAX]],19,FALSE)</f>
        <v>0</v>
      </c>
      <c r="G115" s="54">
        <f t="shared" ref="G115" ca="1" si="10">IF(C115&lt;0,"",C115)</f>
        <v>1</v>
      </c>
      <c r="I115" s="367"/>
      <c r="J115" s="367"/>
      <c r="K115" s="367"/>
      <c r="L115" s="367"/>
      <c r="M115" s="367"/>
      <c r="N115" s="367"/>
      <c r="O115" s="367"/>
      <c r="P115" s="367"/>
      <c r="Q115" s="367"/>
      <c r="R115" s="367"/>
      <c r="S115" s="367"/>
      <c r="T115" s="367"/>
      <c r="U115" s="367"/>
      <c r="V115" s="367"/>
      <c r="W115" s="367"/>
      <c r="X115" s="367"/>
    </row>
    <row r="116" spans="1:24" ht="21.95" customHeight="1" x14ac:dyDescent="0.25">
      <c r="A116" s="61" t="s">
        <v>2319</v>
      </c>
      <c r="B116" s="95" t="str">
        <f>IF(I96&lt;&gt;"",I96,"")</f>
        <v/>
      </c>
      <c r="C116" s="54">
        <f ca="1">VLOOKUP(A116,DB_TBL_DATA_FIELDS[[FIELD_ID]:[PCT_CALC_FIELD_STATUS_CODE]],22,FALSE)</f>
        <v>-1</v>
      </c>
      <c r="D116" s="54" t="str">
        <f>IF(VLOOKUP(A116,DB_TBL_DATA_FIELDS[[FIELD_ID]:[ERROR_MESSAGE]],23,FALSE)&lt;&gt;0,VLOOKUP(A116,DB_TBL_DATA_FIELDS[[FIELD_ID]:[ERROR_MESSAGE]],23,FALSE),"")</f>
        <v/>
      </c>
      <c r="E116" s="54">
        <f>VLOOKUP(A116,DB_TBL_DATA_FIELDS[[#All],[FIELD_ID]:[RANGE_VALIDATION_MAX]],18,FALSE)</f>
        <v>1</v>
      </c>
      <c r="F116" s="54">
        <f>VLOOKUP(A116,DB_TBL_DATA_FIELDS[[#All],[FIELD_ID]:[RANGE_VALIDATION_MAX]],19,FALSE)</f>
        <v>20</v>
      </c>
      <c r="G116" s="54" t="str">
        <f t="shared" ca="1" si="9"/>
        <v/>
      </c>
      <c r="I116" s="367"/>
      <c r="J116" s="367"/>
      <c r="K116" s="367"/>
      <c r="L116" s="367"/>
      <c r="M116" s="367"/>
      <c r="N116" s="367"/>
      <c r="O116" s="367"/>
      <c r="P116" s="367"/>
      <c r="Q116" s="367"/>
      <c r="R116" s="367"/>
      <c r="S116" s="367"/>
      <c r="T116" s="367"/>
      <c r="U116" s="367"/>
      <c r="V116" s="367"/>
      <c r="W116" s="367"/>
      <c r="X116" s="367"/>
    </row>
    <row r="117" spans="1:24" ht="21.95" customHeight="1" x14ac:dyDescent="0.25">
      <c r="A117" s="61" t="s">
        <v>2321</v>
      </c>
      <c r="B117" s="65" t="str">
        <f ca="1">VLOOKUP(A117,DB_TBL_DATA_FIELDS[[#All],[FIELD_ID]:[FIELD_VALUE_RAW]],5,FALSE)</f>
        <v/>
      </c>
      <c r="C117" s="54">
        <f ca="1">VLOOKUP(A117,DB_TBL_DATA_FIELDS[[FIELD_ID]:[PCT_CALC_FIELD_STATUS_CODE]],22,FALSE)</f>
        <v>1</v>
      </c>
      <c r="D117" s="54" t="str">
        <f>IF(VLOOKUP(A117,DB_TBL_DATA_FIELDS[[FIELD_ID]:[ERROR_MESSAGE]],23,FALSE)&lt;&gt;0,VLOOKUP(A117,DB_TBL_DATA_FIELDS[[FIELD_ID]:[ERROR_MESSAGE]],23,FALSE),"")</f>
        <v/>
      </c>
      <c r="E117" s="54">
        <f>VLOOKUP(A117,DB_TBL_DATA_FIELDS[[#All],[FIELD_ID]:[RANGE_VALIDATION_MAX]],18,FALSE)</f>
        <v>0</v>
      </c>
      <c r="F117" s="54">
        <f>VLOOKUP(A117,DB_TBL_DATA_FIELDS[[#All],[FIELD_ID]:[RANGE_VALIDATION_MAX]],19,FALSE)</f>
        <v>999999999</v>
      </c>
      <c r="G117" s="54">
        <f t="shared" ca="1" si="9"/>
        <v>1</v>
      </c>
      <c r="I117" s="367"/>
      <c r="J117" s="367"/>
      <c r="K117" s="367"/>
      <c r="L117" s="367"/>
      <c r="M117" s="367"/>
      <c r="N117" s="367"/>
      <c r="O117" s="367"/>
      <c r="P117" s="367"/>
      <c r="Q117" s="367"/>
      <c r="R117" s="367"/>
      <c r="S117" s="367"/>
      <c r="T117" s="367"/>
      <c r="U117" s="367"/>
      <c r="V117" s="367"/>
      <c r="W117" s="367"/>
      <c r="X117" s="367"/>
    </row>
    <row r="118" spans="1:24" ht="21.95" customHeight="1" x14ac:dyDescent="0.25">
      <c r="A118" s="61" t="s">
        <v>2320</v>
      </c>
      <c r="B118" s="95" t="str">
        <f>IF(M96&lt;&gt;"",M96,"")</f>
        <v/>
      </c>
      <c r="C118" s="54">
        <f ca="1">VLOOKUP(A118,DB_TBL_DATA_FIELDS[[FIELD_ID]:[PCT_CALC_FIELD_STATUS_CODE]],22,FALSE)</f>
        <v>-1</v>
      </c>
      <c r="D118" s="54" t="str">
        <f>IF(VLOOKUP(A118,DB_TBL_DATA_FIELDS[[FIELD_ID]:[ERROR_MESSAGE]],23,FALSE)&lt;&gt;0,VLOOKUP(A118,DB_TBL_DATA_FIELDS[[FIELD_ID]:[ERROR_MESSAGE]],23,FALSE),"")</f>
        <v/>
      </c>
      <c r="E118" s="54">
        <f>VLOOKUP(A118,DB_TBL_DATA_FIELDS[[#All],[FIELD_ID]:[RANGE_VALIDATION_MAX]],18,FALSE)</f>
        <v>0</v>
      </c>
      <c r="F118" s="54">
        <f>VLOOKUP(A118,DB_TBL_DATA_FIELDS[[#All],[FIELD_ID]:[RANGE_VALIDATION_MAX]],19,FALSE)</f>
        <v>999999999</v>
      </c>
      <c r="G118" s="54" t="str">
        <f t="shared" ca="1" si="9"/>
        <v/>
      </c>
      <c r="I118" s="367"/>
      <c r="J118" s="367"/>
      <c r="K118" s="367"/>
      <c r="L118" s="367"/>
      <c r="M118" s="367"/>
      <c r="N118" s="367"/>
      <c r="O118" s="367"/>
      <c r="P118" s="367"/>
      <c r="Q118" s="367"/>
      <c r="R118" s="367"/>
      <c r="S118" s="367"/>
      <c r="T118" s="367"/>
      <c r="U118" s="367"/>
      <c r="V118" s="367"/>
      <c r="W118" s="367"/>
      <c r="X118" s="367"/>
    </row>
    <row r="119" spans="1:24" ht="21.95" customHeight="1" x14ac:dyDescent="0.25">
      <c r="A119" s="61" t="s">
        <v>2323</v>
      </c>
      <c r="B119" s="65" t="str">
        <f ca="1">VLOOKUP(A119,DB_TBL_DATA_FIELDS[[#All],[FIELD_ID]:[FIELD_VALUE_RAW]],5,FALSE)</f>
        <v/>
      </c>
      <c r="C119" s="54">
        <f ca="1">VLOOKUP(A119,DB_TBL_DATA_FIELDS[[FIELD_ID]:[PCT_CALC_FIELD_STATUS_CODE]],22,FALSE)</f>
        <v>1</v>
      </c>
      <c r="D119" s="54" t="str">
        <f>IF(VLOOKUP(A119,DB_TBL_DATA_FIELDS[[FIELD_ID]:[ERROR_MESSAGE]],23,FALSE)&lt;&gt;0,VLOOKUP(A119,DB_TBL_DATA_FIELDS[[FIELD_ID]:[ERROR_MESSAGE]],23,FALSE),"")</f>
        <v/>
      </c>
      <c r="E119" s="54">
        <f>VLOOKUP(A119,DB_TBL_DATA_FIELDS[[#All],[FIELD_ID]:[RANGE_VALIDATION_MAX]],18,FALSE)</f>
        <v>0</v>
      </c>
      <c r="F119" s="54">
        <f>VLOOKUP(A119,DB_TBL_DATA_FIELDS[[#All],[FIELD_ID]:[RANGE_VALIDATION_MAX]],19,FALSE)</f>
        <v>999999999</v>
      </c>
      <c r="G119" s="54">
        <f t="shared" ca="1" si="9"/>
        <v>1</v>
      </c>
      <c r="I119" s="367"/>
      <c r="J119" s="367"/>
      <c r="K119" s="367"/>
      <c r="L119" s="367"/>
      <c r="M119" s="367"/>
      <c r="N119" s="367"/>
      <c r="O119" s="367"/>
      <c r="P119" s="367"/>
      <c r="Q119" s="367"/>
      <c r="R119" s="367"/>
      <c r="S119" s="367"/>
      <c r="T119" s="367"/>
      <c r="U119" s="367"/>
      <c r="V119" s="367"/>
      <c r="W119" s="367"/>
      <c r="X119" s="367"/>
    </row>
    <row r="120" spans="1:24" ht="21.95" customHeight="1" x14ac:dyDescent="0.25">
      <c r="A120" s="61" t="s">
        <v>2720</v>
      </c>
      <c r="B120" s="95" t="str">
        <f>IF(I81&lt;&gt;"",I81,"")</f>
        <v/>
      </c>
      <c r="C120" s="54">
        <f ca="1">VLOOKUP(A120,DB_TBL_DATA_FIELDS[[FIELD_ID]:[PCT_CALC_FIELD_STATUS_CODE]],22,FALSE)</f>
        <v>1</v>
      </c>
      <c r="D120" s="54" t="str">
        <f>IF(VLOOKUP(A120,DB_TBL_DATA_FIELDS[[FIELD_ID]:[ERROR_MESSAGE]],23,FALSE)&lt;&gt;0,VLOOKUP(A120,DB_TBL_DATA_FIELDS[[FIELD_ID]:[ERROR_MESSAGE]],23,FALSE),"")</f>
        <v/>
      </c>
      <c r="E120" s="54">
        <f>VLOOKUP(A120,DB_TBL_DATA_FIELDS[[#All],[FIELD_ID]:[RANGE_VALIDATION_MAX]],18,FALSE)</f>
        <v>0</v>
      </c>
      <c r="F120" s="54">
        <f>VLOOKUP(A120,DB_TBL_DATA_FIELDS[[#All],[FIELD_ID]:[RANGE_VALIDATION_MAX]],19,FALSE)</f>
        <v>50</v>
      </c>
      <c r="G120" s="54">
        <f t="shared" ref="G120:G122" ca="1" si="11">IF(C120&lt;0,"",C120)</f>
        <v>1</v>
      </c>
      <c r="I120" s="367"/>
      <c r="J120" s="367"/>
      <c r="K120" s="367"/>
      <c r="L120" s="367"/>
      <c r="M120" s="367"/>
      <c r="N120" s="367"/>
      <c r="O120" s="367"/>
      <c r="P120" s="367"/>
      <c r="Q120" s="367"/>
      <c r="R120" s="367"/>
      <c r="S120" s="367"/>
      <c r="T120" s="367"/>
      <c r="U120" s="367"/>
      <c r="V120" s="367"/>
      <c r="W120" s="367"/>
      <c r="X120" s="367"/>
    </row>
    <row r="121" spans="1:24" ht="21.95" customHeight="1" x14ac:dyDescent="0.25">
      <c r="A121" s="61" t="s">
        <v>2721</v>
      </c>
      <c r="B121" s="95" t="str">
        <f>IF(I83&lt;&gt;"",I83,"")</f>
        <v/>
      </c>
      <c r="C121" s="54">
        <f ca="1">VLOOKUP(A121,DB_TBL_DATA_FIELDS[[FIELD_ID]:[PCT_CALC_FIELD_STATUS_CODE]],22,FALSE)</f>
        <v>-1</v>
      </c>
      <c r="D121" s="54" t="str">
        <f>IF(VLOOKUP(A121,DB_TBL_DATA_FIELDS[[FIELD_ID]:[ERROR_MESSAGE]],23,FALSE)&lt;&gt;0,VLOOKUP(A121,DB_TBL_DATA_FIELDS[[FIELD_ID]:[ERROR_MESSAGE]],23,FALSE),"")</f>
        <v/>
      </c>
      <c r="E121" s="54">
        <f>VLOOKUP(A121,DB_TBL_DATA_FIELDS[[#All],[FIELD_ID]:[RANGE_VALIDATION_MAX]],18,FALSE)</f>
        <v>0</v>
      </c>
      <c r="F121" s="54">
        <f>VLOOKUP(A121,DB_TBL_DATA_FIELDS[[#All],[FIELD_ID]:[RANGE_VALIDATION_MAX]],19,FALSE)</f>
        <v>50</v>
      </c>
      <c r="G121" s="54" t="str">
        <f t="shared" ca="1" si="11"/>
        <v/>
      </c>
      <c r="I121" s="367"/>
      <c r="J121" s="367"/>
      <c r="K121" s="367"/>
      <c r="L121" s="367"/>
      <c r="M121" s="367"/>
      <c r="N121" s="367"/>
      <c r="O121" s="367"/>
      <c r="P121" s="367"/>
      <c r="Q121" s="367"/>
      <c r="R121" s="367"/>
      <c r="S121" s="367"/>
      <c r="T121" s="367"/>
      <c r="U121" s="367"/>
      <c r="V121" s="367"/>
      <c r="W121" s="367"/>
      <c r="X121" s="367"/>
    </row>
    <row r="122" spans="1:24" ht="21.95" customHeight="1" x14ac:dyDescent="0.25">
      <c r="A122" s="61" t="s">
        <v>2290</v>
      </c>
      <c r="B122" s="65" t="str">
        <f ca="1">VLOOKUP(A122,DB_TBL_DATA_FIELDS[[#All],[FIELD_ID]:[FIELD_VALUE_RAW]],5,FALSE)</f>
        <v/>
      </c>
      <c r="C122" s="54" t="str">
        <f ca="1">VLOOKUP(A122,DB_TBL_DATA_FIELDS[[FIELD_ID]:[PCT_CALC_FIELD_STATUS_CODE]],22,FALSE)</f>
        <v/>
      </c>
      <c r="D122" s="54" t="str">
        <f>IF(VLOOKUP(A122,DB_TBL_DATA_FIELDS[[FIELD_ID]:[ERROR_MESSAGE]],23,FALSE)&lt;&gt;0,VLOOKUP(A122,DB_TBL_DATA_FIELDS[[FIELD_ID]:[ERROR_MESSAGE]],23,FALSE),"")</f>
        <v/>
      </c>
      <c r="E122" s="54">
        <f>VLOOKUP(A122,DB_TBL_DATA_FIELDS[[#All],[FIELD_ID]:[RANGE_VALIDATION_MAX]],18,FALSE)</f>
        <v>0</v>
      </c>
      <c r="F122" s="54">
        <f>VLOOKUP(A122,DB_TBL_DATA_FIELDS[[#All],[FIELD_ID]:[RANGE_VALIDATION_MAX]],19,FALSE)</f>
        <v>50</v>
      </c>
      <c r="G122" s="54" t="str">
        <f t="shared" ca="1" si="11"/>
        <v/>
      </c>
      <c r="I122" s="367"/>
      <c r="J122" s="367"/>
      <c r="K122" s="367"/>
      <c r="L122" s="367"/>
      <c r="M122" s="367"/>
      <c r="N122" s="367"/>
      <c r="O122" s="367"/>
      <c r="P122" s="367"/>
      <c r="Q122" s="367"/>
      <c r="R122" s="367"/>
      <c r="S122" s="367"/>
      <c r="T122" s="367"/>
      <c r="U122" s="367"/>
      <c r="V122" s="367"/>
      <c r="W122" s="367"/>
      <c r="X122" s="367"/>
    </row>
    <row r="123" spans="1:24" ht="21.95" customHeight="1" x14ac:dyDescent="0.25">
      <c r="A123" s="61" t="s">
        <v>2342</v>
      </c>
      <c r="B123" s="95" t="str">
        <f>IF(U81&lt;&gt;"",U81,"")</f>
        <v/>
      </c>
      <c r="C123" s="54">
        <f ca="1">VLOOKUP(A123,DB_TBL_DATA_FIELDS[[FIELD_ID]:[PCT_CALC_FIELD_STATUS_CODE]],22,FALSE)</f>
        <v>1</v>
      </c>
      <c r="D123" s="54" t="str">
        <f ca="1">IF(VLOOKUP(A123,DB_TBL_DATA_FIELDS[[FIELD_ID]:[ERROR_MESSAGE]],23,FALSE)&lt;&gt;0,VLOOKUP(A123,DB_TBL_DATA_FIELDS[[FIELD_ID]:[ERROR_MESSAGE]],23,FALSE),"")</f>
        <v/>
      </c>
      <c r="E123" s="54">
        <f>VLOOKUP(A123,DB_TBL_DATA_FIELDS[[#All],[FIELD_ID]:[RANGE_VALIDATION_MAX]],18,FALSE)</f>
        <v>0</v>
      </c>
      <c r="F123" s="54">
        <f>VLOOKUP(A123,DB_TBL_DATA_FIELDS[[#All],[FIELD_ID]:[RANGE_VALIDATION_MAX]],19,FALSE)</f>
        <v>0</v>
      </c>
      <c r="G123" s="54">
        <f t="shared" ca="1" si="9"/>
        <v>1</v>
      </c>
      <c r="I123" s="367"/>
      <c r="J123" s="367"/>
      <c r="K123" s="367"/>
      <c r="L123" s="367"/>
      <c r="M123" s="367"/>
      <c r="N123" s="367"/>
      <c r="O123" s="367"/>
      <c r="P123" s="367"/>
      <c r="Q123" s="367"/>
      <c r="R123" s="367"/>
      <c r="S123" s="367"/>
      <c r="T123" s="367"/>
      <c r="U123" s="367"/>
      <c r="V123" s="367"/>
      <c r="W123" s="367"/>
      <c r="X123" s="367"/>
    </row>
    <row r="124" spans="1:24" ht="21.95" customHeight="1" x14ac:dyDescent="0.25">
      <c r="A124" s="61" t="s">
        <v>164</v>
      </c>
      <c r="B124" s="65" t="str">
        <f>"C"&amp;MATCH(LEFT(A124,LEN(A124)-LEN("_RANGE")),A:A,0)+1&amp;":C"&amp;(ROW()-1)</f>
        <v>C112:C123</v>
      </c>
      <c r="C124" s="54"/>
      <c r="D124" s="54"/>
      <c r="E124" s="54"/>
      <c r="F124" s="54"/>
      <c r="G124" s="54"/>
      <c r="I124" s="367"/>
      <c r="J124" s="367"/>
      <c r="K124" s="367"/>
      <c r="L124" s="367"/>
      <c r="M124" s="367"/>
      <c r="N124" s="367"/>
      <c r="O124" s="367"/>
      <c r="P124" s="367"/>
      <c r="Q124" s="367"/>
      <c r="R124" s="367"/>
      <c r="S124" s="367"/>
      <c r="T124" s="367"/>
      <c r="U124" s="367"/>
      <c r="V124" s="367"/>
      <c r="W124" s="367"/>
      <c r="X124" s="367"/>
    </row>
    <row r="125" spans="1:24" ht="21.95" customHeight="1" x14ac:dyDescent="0.25">
      <c r="A125" s="61" t="s">
        <v>165</v>
      </c>
      <c r="B125" s="65">
        <f ca="1">COUNTIF(INDIRECT($B124),2)</f>
        <v>0</v>
      </c>
      <c r="C125" s="54"/>
      <c r="D125" s="54"/>
      <c r="E125" s="54"/>
      <c r="F125" s="54"/>
      <c r="G125" s="54"/>
      <c r="I125" s="367"/>
      <c r="J125" s="367"/>
      <c r="K125" s="367"/>
      <c r="L125" s="367"/>
      <c r="M125" s="367"/>
      <c r="N125" s="367"/>
      <c r="O125" s="367"/>
      <c r="P125" s="367"/>
      <c r="Q125" s="367"/>
      <c r="R125" s="367"/>
      <c r="S125" s="367"/>
      <c r="T125" s="367"/>
      <c r="U125" s="367"/>
      <c r="V125" s="367"/>
      <c r="W125" s="367"/>
      <c r="X125" s="367"/>
    </row>
    <row r="126" spans="1:24" ht="21.95" customHeight="1" x14ac:dyDescent="0.25">
      <c r="A126" s="61" t="s">
        <v>166</v>
      </c>
      <c r="B126" s="65">
        <f ca="1">COUNTIF(INDIRECT($B124),0)+COUNTIF(INDIRECT($B124),1)+COUNTIF(INDIRECT($B124),2)</f>
        <v>5</v>
      </c>
      <c r="C126" s="54"/>
      <c r="D126" s="54"/>
      <c r="E126" s="54"/>
      <c r="F126" s="54"/>
      <c r="G126" s="54"/>
      <c r="I126" s="367"/>
      <c r="J126" s="367"/>
      <c r="K126" s="367"/>
      <c r="L126" s="367"/>
      <c r="M126" s="367"/>
      <c r="N126" s="367"/>
      <c r="O126" s="367"/>
      <c r="P126" s="367"/>
      <c r="Q126" s="367"/>
      <c r="R126" s="367"/>
      <c r="S126" s="367"/>
      <c r="T126" s="367"/>
      <c r="U126" s="367"/>
      <c r="V126" s="367"/>
      <c r="W126" s="367"/>
      <c r="X126" s="367"/>
    </row>
    <row r="127" spans="1:24" ht="21.95" customHeight="1" x14ac:dyDescent="0.25">
      <c r="A127" s="61" t="s">
        <v>167</v>
      </c>
      <c r="B127" s="65">
        <f ca="1">COUNTIF(INDIRECT($B124),0)</f>
        <v>0</v>
      </c>
      <c r="C127" s="54"/>
      <c r="D127" s="54"/>
      <c r="E127" s="54"/>
      <c r="F127" s="54"/>
      <c r="G127" s="54"/>
      <c r="I127" s="367"/>
      <c r="J127" s="367"/>
      <c r="K127" s="367"/>
      <c r="L127" s="367"/>
      <c r="M127" s="367"/>
      <c r="N127" s="367"/>
      <c r="O127" s="367"/>
      <c r="P127" s="367"/>
      <c r="Q127" s="367"/>
      <c r="R127" s="367"/>
      <c r="S127" s="367"/>
      <c r="T127" s="367"/>
      <c r="U127" s="367"/>
      <c r="V127" s="367"/>
      <c r="W127" s="367"/>
      <c r="X127" s="367"/>
    </row>
    <row r="128" spans="1:24" ht="21.95" customHeight="1" x14ac:dyDescent="0.25">
      <c r="A128" s="61" t="s">
        <v>168</v>
      </c>
      <c r="B128" s="97">
        <f ca="1">IFERROR(B125/B126,1.01)</f>
        <v>0</v>
      </c>
      <c r="C128" s="54"/>
      <c r="D128" s="54"/>
      <c r="E128" s="54"/>
      <c r="F128" s="54"/>
      <c r="G128" s="54"/>
      <c r="I128" s="367"/>
      <c r="J128" s="367"/>
      <c r="K128" s="367"/>
      <c r="L128" s="367"/>
      <c r="M128" s="367"/>
      <c r="N128" s="367"/>
      <c r="O128" s="367"/>
      <c r="P128" s="367"/>
      <c r="Q128" s="367"/>
      <c r="R128" s="367"/>
      <c r="S128" s="367"/>
      <c r="T128" s="367"/>
      <c r="U128" s="367"/>
      <c r="V128" s="367"/>
      <c r="W128" s="367"/>
      <c r="X128" s="367"/>
    </row>
    <row r="129" spans="1:24" ht="21.95" customHeight="1" x14ac:dyDescent="0.25">
      <c r="A129" s="61" t="s">
        <v>169</v>
      </c>
      <c r="B129" s="65" t="str">
        <f ca="1">IF(B127&gt;0,"Data Error(s)",IF(B128=0,"Not Started",IF(B128&lt;1,ROUNDUP(B128*100,0)&amp;"% Done",IF(B128&gt;1,"Optional","Complete"))))</f>
        <v>Not Started</v>
      </c>
      <c r="C129" s="54"/>
      <c r="D129" s="54"/>
      <c r="E129" s="54"/>
      <c r="F129" s="54"/>
      <c r="G129" s="54"/>
      <c r="I129" s="367"/>
      <c r="J129" s="367"/>
      <c r="K129" s="367"/>
      <c r="L129" s="367"/>
      <c r="M129" s="367"/>
      <c r="N129" s="367"/>
      <c r="O129" s="367"/>
      <c r="P129" s="367"/>
      <c r="Q129" s="367"/>
      <c r="R129" s="367"/>
      <c r="S129" s="367"/>
      <c r="T129" s="367"/>
      <c r="U129" s="367"/>
      <c r="V129" s="367"/>
      <c r="W129" s="367"/>
      <c r="X129" s="367"/>
    </row>
    <row r="130" spans="1:24" ht="21.95" customHeight="1" x14ac:dyDescent="0.25">
      <c r="A130" s="61" t="s">
        <v>170</v>
      </c>
      <c r="B130" s="65" t="str">
        <f ca="1">IF(B127&gt;0,0,IF(B128&lt;1,"",2))</f>
        <v/>
      </c>
      <c r="C130" s="54"/>
      <c r="D130" s="54"/>
      <c r="E130" s="54"/>
      <c r="F130" s="54"/>
      <c r="G130" s="54"/>
      <c r="I130" s="367"/>
      <c r="J130" s="367"/>
      <c r="K130" s="367"/>
      <c r="L130" s="367"/>
      <c r="M130" s="367"/>
      <c r="N130" s="367"/>
      <c r="O130" s="367"/>
      <c r="P130" s="367"/>
      <c r="Q130" s="367"/>
      <c r="R130" s="367"/>
      <c r="S130" s="367"/>
      <c r="T130" s="367"/>
      <c r="U130" s="367"/>
      <c r="V130" s="367"/>
      <c r="W130" s="367"/>
      <c r="X130" s="367"/>
    </row>
    <row r="131" spans="1:24" ht="21.95" customHeight="1" x14ac:dyDescent="0.25">
      <c r="A131" s="61" t="s">
        <v>171</v>
      </c>
      <c r="B131" s="96" t="s">
        <v>2358</v>
      </c>
      <c r="C131" s="54"/>
      <c r="D131" s="54"/>
      <c r="E131" s="54"/>
      <c r="F131" s="54"/>
      <c r="G131" s="54"/>
      <c r="I131" s="367"/>
      <c r="J131" s="367"/>
      <c r="K131" s="367"/>
      <c r="L131" s="367"/>
      <c r="M131" s="367"/>
      <c r="N131" s="367"/>
      <c r="O131" s="367"/>
      <c r="P131" s="367"/>
      <c r="Q131" s="367"/>
      <c r="R131" s="367"/>
      <c r="S131" s="367"/>
      <c r="T131" s="367"/>
      <c r="U131" s="367"/>
      <c r="V131" s="367"/>
      <c r="W131" s="367"/>
      <c r="X131" s="367"/>
    </row>
    <row r="132" spans="1:24" ht="21.95" customHeight="1" x14ac:dyDescent="0.25">
      <c r="A132" s="77" t="s">
        <v>2562</v>
      </c>
      <c r="B132" s="65" t="str">
        <f ca="1">IF(AND(DATA_MAX_ALLOWABLE_INCOME&lt;&gt;"",DATA_HSEHLD_INC_AMT&lt;&gt;"",DATA_MAX_ALLOWABLE_INCOME&lt;DATA_HSEHLD_INC_AMT),'$DB.CONFIG'!$M$3,"")</f>
        <v/>
      </c>
      <c r="C132" s="54">
        <f ca="1">IF(B132="",0,1)</f>
        <v>0</v>
      </c>
      <c r="D132" s="54"/>
      <c r="E132" s="54"/>
      <c r="F132" s="54"/>
      <c r="G132" s="54"/>
      <c r="J132"/>
      <c r="L132"/>
      <c r="N132"/>
      <c r="P132"/>
      <c r="R132"/>
      <c r="T132"/>
      <c r="V132"/>
      <c r="X132"/>
    </row>
    <row r="133" spans="1:24" ht="21.95" customHeight="1" x14ac:dyDescent="0.25">
      <c r="A133" s="77" t="s">
        <v>2146</v>
      </c>
      <c r="B133" s="65">
        <f ca="1">COUNTIF(C132,1)</f>
        <v>0</v>
      </c>
      <c r="C133" s="54"/>
      <c r="D133" s="54"/>
      <c r="E133" s="54"/>
      <c r="F133" s="54"/>
      <c r="G133" s="54"/>
      <c r="I133" s="36" t="s">
        <v>2873</v>
      </c>
      <c r="K133" s="36"/>
      <c r="M133" s="36"/>
      <c r="N133" s="36"/>
      <c r="O133" s="36" t="s">
        <v>2874</v>
      </c>
      <c r="Q133" s="36"/>
      <c r="S133" s="36"/>
      <c r="T133" s="36"/>
      <c r="U133" s="36" t="s">
        <v>31</v>
      </c>
      <c r="V133" s="36"/>
      <c r="W133" s="36"/>
      <c r="X133" s="36"/>
    </row>
    <row r="134" spans="1:24" ht="21.95" customHeight="1" x14ac:dyDescent="0.25">
      <c r="A134" s="77" t="s">
        <v>2147</v>
      </c>
      <c r="B134" s="65" t="b">
        <f ca="1">(B133&gt;0)</f>
        <v>0</v>
      </c>
      <c r="C134" s="54"/>
      <c r="D134" s="54"/>
      <c r="E134" s="54"/>
      <c r="F134" s="54"/>
      <c r="G134" s="54"/>
      <c r="I134" s="316"/>
      <c r="J134" s="317"/>
      <c r="K134" s="317"/>
      <c r="L134" s="317"/>
      <c r="M134" s="318"/>
      <c r="N134" s="52">
        <f ca="1">G136</f>
        <v>1</v>
      </c>
      <c r="O134" s="316"/>
      <c r="P134" s="317"/>
      <c r="Q134" s="317"/>
      <c r="R134" s="317"/>
      <c r="S134" s="318"/>
      <c r="T134" s="52">
        <f ca="1">G137</f>
        <v>1</v>
      </c>
      <c r="U134" s="338"/>
      <c r="V134" s="339"/>
      <c r="W134" s="340"/>
      <c r="X134" s="52">
        <f ca="1">G138</f>
        <v>1</v>
      </c>
    </row>
    <row r="135" spans="1:24" ht="21.95" customHeight="1" x14ac:dyDescent="0.25">
      <c r="A135" s="91" t="s">
        <v>2861</v>
      </c>
      <c r="B135" s="93" t="s">
        <v>2862</v>
      </c>
      <c r="C135" s="92"/>
      <c r="D135" s="92"/>
      <c r="E135" s="92"/>
      <c r="F135" s="92"/>
      <c r="G135" s="92"/>
      <c r="I135" s="36" t="s">
        <v>132</v>
      </c>
      <c r="K135" s="36"/>
      <c r="M135" s="36"/>
      <c r="N135" s="36"/>
      <c r="O135" s="36"/>
      <c r="P135" s="36"/>
      <c r="S135" s="36" t="s">
        <v>2158</v>
      </c>
      <c r="W135" s="36"/>
    </row>
    <row r="136" spans="1:24" ht="21.95" customHeight="1" x14ac:dyDescent="0.25">
      <c r="A136" s="61" t="s">
        <v>2855</v>
      </c>
      <c r="B136" s="95" t="str">
        <f>IF(I134&lt;&gt;"",I134,"")</f>
        <v/>
      </c>
      <c r="C136" s="54">
        <f ca="1">VLOOKUP(A136,DB_TBL_DATA_FIELDS[[FIELD_ID]:[PCT_CALC_FIELD_STATUS_CODE]],22,FALSE)</f>
        <v>1</v>
      </c>
      <c r="D136" s="54" t="str">
        <f ca="1">IF(VLOOKUP(A136,DB_TBL_DATA_FIELDS[[FIELD_ID]:[ERROR_MESSAGE]],23,FALSE)&lt;&gt;0,VLOOKUP(A136,DB_TBL_DATA_FIELDS[[FIELD_ID]:[ERROR_MESSAGE]],23,FALSE),"")</f>
        <v/>
      </c>
      <c r="E136" s="54">
        <f>VLOOKUP(A136,DB_TBL_DATA_FIELDS[[#All],[FIELD_ID]:[RANGE_VALIDATION_MAX]],18,FALSE)</f>
        <v>0</v>
      </c>
      <c r="F136" s="54">
        <f>VLOOKUP(A136,DB_TBL_DATA_FIELDS[[#All],[FIELD_ID]:[RANGE_VALIDATION_MAX]],19,FALSE)</f>
        <v>100</v>
      </c>
      <c r="G136" s="54">
        <f t="shared" ref="G136:G140" ca="1" si="12">IF(C136&lt;0,"",C136)</f>
        <v>1</v>
      </c>
      <c r="I136" s="316"/>
      <c r="J136" s="317"/>
      <c r="K136" s="317"/>
      <c r="L136" s="317"/>
      <c r="M136" s="317"/>
      <c r="N136" s="317"/>
      <c r="O136" s="317"/>
      <c r="P136" s="317"/>
      <c r="Q136" s="318"/>
      <c r="R136" s="52">
        <f ca="1">G139</f>
        <v>1</v>
      </c>
      <c r="S136" s="313"/>
      <c r="T136" s="314"/>
      <c r="U136" s="314"/>
      <c r="V136" s="314"/>
      <c r="W136" s="315"/>
      <c r="X136" s="52">
        <f ca="1">G140</f>
        <v>1</v>
      </c>
    </row>
    <row r="137" spans="1:24" ht="21.95" customHeight="1" x14ac:dyDescent="0.25">
      <c r="A137" s="61" t="s">
        <v>2857</v>
      </c>
      <c r="B137" s="95" t="str">
        <f>IF(O134&lt;&gt;"",O134,"")</f>
        <v/>
      </c>
      <c r="C137" s="54">
        <f ca="1">VLOOKUP(A137,DB_TBL_DATA_FIELDS[[FIELD_ID]:[PCT_CALC_FIELD_STATUS_CODE]],22,FALSE)</f>
        <v>1</v>
      </c>
      <c r="D137" s="54" t="str">
        <f ca="1">IF(VLOOKUP(A137,DB_TBL_DATA_FIELDS[[FIELD_ID]:[ERROR_MESSAGE]],23,FALSE)&lt;&gt;0,VLOOKUP(A137,DB_TBL_DATA_FIELDS[[FIELD_ID]:[ERROR_MESSAGE]],23,FALSE),"")</f>
        <v/>
      </c>
      <c r="E137" s="54">
        <f>VLOOKUP(A137,DB_TBL_DATA_FIELDS[[#All],[FIELD_ID]:[RANGE_VALIDATION_MAX]],18,FALSE)</f>
        <v>0</v>
      </c>
      <c r="F137" s="54">
        <f>VLOOKUP(A137,DB_TBL_DATA_FIELDS[[#All],[FIELD_ID]:[RANGE_VALIDATION_MAX]],19,FALSE)</f>
        <v>100</v>
      </c>
      <c r="G137" s="54">
        <f t="shared" ca="1" si="12"/>
        <v>1</v>
      </c>
      <c r="I137" s="331" t="str">
        <f ca="1">D139</f>
        <v/>
      </c>
      <c r="J137" s="331"/>
      <c r="K137" s="331"/>
      <c r="L137" s="331"/>
      <c r="M137" s="331"/>
      <c r="N137" s="331"/>
      <c r="O137" s="331"/>
      <c r="P137" s="331"/>
      <c r="Q137" s="331"/>
      <c r="R137"/>
      <c r="T137"/>
      <c r="V137"/>
      <c r="X137"/>
    </row>
    <row r="138" spans="1:24" ht="21.95" customHeight="1" x14ac:dyDescent="0.25">
      <c r="A138" s="61" t="s">
        <v>2858</v>
      </c>
      <c r="B138" s="95" t="str">
        <f>IF(U134&lt;&gt;"",U134,"")</f>
        <v/>
      </c>
      <c r="C138" s="54">
        <f ca="1">VLOOKUP(A138,DB_TBL_DATA_FIELDS[[FIELD_ID]:[PCT_CALC_FIELD_STATUS_CODE]],22,FALSE)</f>
        <v>1</v>
      </c>
      <c r="D138" s="54" t="str">
        <f ca="1">IF(VLOOKUP(A138,DB_TBL_DATA_FIELDS[[FIELD_ID]:[ERROR_MESSAGE]],23,FALSE)&lt;&gt;0,VLOOKUP(A138,DB_TBL_DATA_FIELDS[[FIELD_ID]:[ERROR_MESSAGE]],23,FALSE),"")</f>
        <v/>
      </c>
      <c r="E138" s="54">
        <f>VLOOKUP(A138,DB_TBL_DATA_FIELDS[[#All],[FIELD_ID]:[RANGE_VALIDATION_MAX]],18,FALSE)</f>
        <v>0</v>
      </c>
      <c r="F138" s="54">
        <f>VLOOKUP(A138,DB_TBL_DATA_FIELDS[[#All],[FIELD_ID]:[RANGE_VALIDATION_MAX]],19,FALSE)</f>
        <v>0</v>
      </c>
      <c r="G138" s="54">
        <f t="shared" ca="1" si="12"/>
        <v>1</v>
      </c>
      <c r="J138"/>
      <c r="L138"/>
      <c r="N138"/>
      <c r="P138"/>
    </row>
    <row r="139" spans="1:24" ht="21.95" customHeight="1" x14ac:dyDescent="0.25">
      <c r="A139" s="61" t="s">
        <v>2230</v>
      </c>
      <c r="B139" s="95" t="str">
        <f>IF(I136&lt;&gt;"",I136,"")</f>
        <v/>
      </c>
      <c r="C139" s="54">
        <f ca="1">VLOOKUP(A139,DB_TBL_DATA_FIELDS[[FIELD_ID]:[PCT_CALC_FIELD_STATUS_CODE]],22,FALSE)</f>
        <v>1</v>
      </c>
      <c r="D139" s="54" t="str">
        <f ca="1">IF(VLOOKUP(A139,DB_TBL_DATA_FIELDS[[FIELD_ID]:[ERROR_MESSAGE]],23,FALSE)&lt;&gt;0,VLOOKUP(A139,DB_TBL_DATA_FIELDS[[FIELD_ID]:[ERROR_MESSAGE]],23,FALSE),"")</f>
        <v/>
      </c>
      <c r="E139" s="54">
        <f>VLOOKUP(A139,DB_TBL_DATA_FIELDS[[#All],[FIELD_ID]:[RANGE_VALIDATION_MAX]],18,FALSE)</f>
        <v>0</v>
      </c>
      <c r="F139" s="54">
        <f>VLOOKUP(A139,DB_TBL_DATA_FIELDS[[#All],[FIELD_ID]:[RANGE_VALIDATION_MAX]],19,FALSE)</f>
        <v>60</v>
      </c>
      <c r="G139" s="54">
        <f t="shared" ca="1" si="12"/>
        <v>1</v>
      </c>
      <c r="J139"/>
      <c r="L139"/>
      <c r="N139"/>
      <c r="P139"/>
    </row>
    <row r="140" spans="1:24" ht="21.95" hidden="1" customHeight="1" x14ac:dyDescent="0.25">
      <c r="A140" s="61" t="s">
        <v>2231</v>
      </c>
      <c r="B140" s="95" t="str">
        <f>IF(S136&lt;&gt;"",S136,"")</f>
        <v/>
      </c>
      <c r="C140" s="54">
        <f ca="1">VLOOKUP(A140,DB_TBL_DATA_FIELDS[[FIELD_ID]:[PCT_CALC_FIELD_STATUS_CODE]],22,FALSE)</f>
        <v>1</v>
      </c>
      <c r="D140" s="54" t="str">
        <f>IF(VLOOKUP(A140,DB_TBL_DATA_FIELDS[[FIELD_ID]:[ERROR_MESSAGE]],23,FALSE)&lt;&gt;0,VLOOKUP(A140,DB_TBL_DATA_FIELDS[[FIELD_ID]:[ERROR_MESSAGE]],23,FALSE),"")</f>
        <v/>
      </c>
      <c r="E140" s="54">
        <f>VLOOKUP(A140,DB_TBL_DATA_FIELDS[[#All],[FIELD_ID]:[RANGE_VALIDATION_MAX]],18,FALSE)</f>
        <v>0</v>
      </c>
      <c r="F140" s="54">
        <f>VLOOKUP(A140,DB_TBL_DATA_FIELDS[[#All],[FIELD_ID]:[RANGE_VALIDATION_MAX]],19,FALSE)</f>
        <v>50</v>
      </c>
      <c r="G140" s="54">
        <f t="shared" ca="1" si="12"/>
        <v>1</v>
      </c>
      <c r="J140"/>
      <c r="L140"/>
      <c r="N140"/>
      <c r="P140"/>
    </row>
    <row r="141" spans="1:24" ht="21.95" hidden="1" customHeight="1" x14ac:dyDescent="0.25">
      <c r="A141" s="61" t="s">
        <v>2863</v>
      </c>
      <c r="B141" s="65" t="str">
        <f>"C"&amp;MATCH(LEFT(A141,LEN(A141)-LEN("_RANGE")),A:A,0)+1&amp;":C"&amp;(ROW()-1)</f>
        <v>C136:C140</v>
      </c>
      <c r="C141" s="54"/>
      <c r="D141" s="54"/>
      <c r="E141" s="54"/>
      <c r="F141" s="54"/>
      <c r="G141" s="54"/>
      <c r="J141"/>
      <c r="L141"/>
      <c r="N141"/>
      <c r="P141"/>
      <c r="R141"/>
      <c r="T141"/>
      <c r="V141"/>
      <c r="X141"/>
    </row>
    <row r="142" spans="1:24" ht="21.95" hidden="1" customHeight="1" x14ac:dyDescent="0.25">
      <c r="A142" s="61" t="s">
        <v>2864</v>
      </c>
      <c r="B142" s="65">
        <f ca="1">COUNTIF(INDIRECT($B141),2)</f>
        <v>0</v>
      </c>
      <c r="C142" s="54"/>
      <c r="D142" s="54"/>
      <c r="E142" s="54"/>
      <c r="F142" s="54"/>
      <c r="G142" s="54"/>
      <c r="J142"/>
      <c r="L142"/>
      <c r="N142"/>
      <c r="P142"/>
      <c r="R142"/>
      <c r="T142"/>
      <c r="V142"/>
      <c r="X142"/>
    </row>
    <row r="143" spans="1:24" ht="21.95" hidden="1" customHeight="1" x14ac:dyDescent="0.25">
      <c r="A143" s="61" t="s">
        <v>2865</v>
      </c>
      <c r="B143" s="65">
        <f ca="1">COUNTIF(INDIRECT($B141),0)+COUNTIF(INDIRECT($B141),1)+COUNTIF(INDIRECT($B141),2)</f>
        <v>5</v>
      </c>
      <c r="C143" s="54"/>
      <c r="D143" s="54"/>
      <c r="E143" s="54"/>
      <c r="F143" s="54"/>
      <c r="G143" s="54"/>
      <c r="J143"/>
      <c r="L143"/>
      <c r="N143"/>
      <c r="P143"/>
      <c r="R143"/>
      <c r="T143"/>
      <c r="V143"/>
      <c r="X143"/>
    </row>
    <row r="144" spans="1:24" ht="21.95" hidden="1" customHeight="1" x14ac:dyDescent="0.25">
      <c r="A144" s="61" t="s">
        <v>2866</v>
      </c>
      <c r="B144" s="65">
        <f ca="1">COUNTIF(INDIRECT($B141),0)</f>
        <v>0</v>
      </c>
      <c r="C144" s="54"/>
      <c r="D144" s="54"/>
      <c r="E144" s="54"/>
      <c r="F144" s="54"/>
      <c r="G144" s="54"/>
      <c r="J144"/>
      <c r="L144"/>
      <c r="N144"/>
      <c r="P144"/>
      <c r="R144"/>
      <c r="T144"/>
      <c r="V144"/>
      <c r="X144"/>
    </row>
    <row r="145" spans="1:24" ht="21.95" hidden="1" customHeight="1" x14ac:dyDescent="0.25">
      <c r="A145" s="61" t="s">
        <v>2867</v>
      </c>
      <c r="B145" s="97">
        <f ca="1">IFERROR(B142/B143,1.01)</f>
        <v>0</v>
      </c>
      <c r="C145" s="54"/>
      <c r="D145" s="54"/>
      <c r="E145" s="54"/>
      <c r="F145" s="54"/>
      <c r="G145" s="54"/>
      <c r="J145"/>
      <c r="L145"/>
      <c r="N145"/>
      <c r="P145"/>
      <c r="R145"/>
      <c r="T145"/>
      <c r="V145"/>
      <c r="X145"/>
    </row>
    <row r="146" spans="1:24" ht="21.95" hidden="1" customHeight="1" x14ac:dyDescent="0.25">
      <c r="A146" s="61" t="s">
        <v>2868</v>
      </c>
      <c r="B146" s="65" t="str">
        <f ca="1">IF(B144&gt;0,"Data Error(s)",IF(B145=0,"Not Started",IF(B145&lt;1,ROUNDUP(B145*100,0)&amp;"% Done",IF(B145&gt;1,"Optional","Complete"))))</f>
        <v>Not Started</v>
      </c>
      <c r="C146" s="54"/>
      <c r="D146" s="54"/>
      <c r="E146" s="54"/>
      <c r="F146" s="54"/>
      <c r="G146" s="54"/>
      <c r="J146"/>
      <c r="L146"/>
      <c r="N146"/>
      <c r="P146"/>
      <c r="R146"/>
      <c r="T146"/>
      <c r="V146"/>
      <c r="X146"/>
    </row>
    <row r="147" spans="1:24" ht="21.95" hidden="1" customHeight="1" x14ac:dyDescent="0.25">
      <c r="A147" s="61" t="s">
        <v>2869</v>
      </c>
      <c r="B147" s="65" t="str">
        <f ca="1">IF(B144&gt;0,0,IF(B145&lt;1,"",2))</f>
        <v/>
      </c>
      <c r="C147" s="54"/>
      <c r="D147" s="54"/>
      <c r="E147" s="54"/>
      <c r="F147" s="54"/>
      <c r="G147" s="54"/>
      <c r="J147"/>
      <c r="L147"/>
      <c r="N147"/>
      <c r="P147"/>
      <c r="R147"/>
      <c r="T147"/>
      <c r="V147"/>
      <c r="X147"/>
    </row>
    <row r="148" spans="1:24" ht="21.95" hidden="1" customHeight="1" x14ac:dyDescent="0.25">
      <c r="A148" s="61" t="s">
        <v>2870</v>
      </c>
      <c r="B148" s="96" t="s">
        <v>2862</v>
      </c>
      <c r="C148" s="54"/>
      <c r="D148" s="54"/>
      <c r="E148" s="54"/>
      <c r="F148" s="54"/>
      <c r="G148" s="54"/>
      <c r="J148"/>
      <c r="L148"/>
      <c r="N148"/>
      <c r="P148"/>
      <c r="R148"/>
      <c r="T148"/>
      <c r="V148"/>
      <c r="X148"/>
    </row>
    <row r="149" spans="1:24" ht="21.95" hidden="1" customHeight="1" x14ac:dyDescent="0.25">
      <c r="A149" s="77" t="s">
        <v>2871</v>
      </c>
      <c r="B149" s="65">
        <v>0</v>
      </c>
      <c r="C149" s="54"/>
      <c r="D149" s="54"/>
      <c r="E149" s="54"/>
      <c r="F149" s="54"/>
      <c r="G149" s="54"/>
      <c r="J149"/>
      <c r="L149"/>
      <c r="N149"/>
      <c r="P149"/>
      <c r="R149"/>
      <c r="T149"/>
      <c r="V149"/>
      <c r="X149"/>
    </row>
    <row r="150" spans="1:24" ht="21.95" hidden="1" customHeight="1" x14ac:dyDescent="0.25">
      <c r="A150" s="77" t="s">
        <v>2872</v>
      </c>
      <c r="B150" s="65" t="b">
        <f>(B149&gt;0)</f>
        <v>0</v>
      </c>
      <c r="C150" s="54"/>
      <c r="D150" s="54"/>
      <c r="E150" s="54"/>
      <c r="F150" s="54"/>
      <c r="G150" s="54"/>
      <c r="J150"/>
      <c r="L150"/>
      <c r="N150"/>
      <c r="P150"/>
      <c r="R150"/>
      <c r="T150"/>
      <c r="V150"/>
      <c r="X150"/>
    </row>
    <row r="151" spans="1:24" ht="21.95" hidden="1" customHeight="1" x14ac:dyDescent="0.25">
      <c r="J151"/>
      <c r="L151"/>
      <c r="N151"/>
      <c r="P151"/>
      <c r="R151"/>
      <c r="T151"/>
      <c r="V151"/>
      <c r="X151"/>
    </row>
    <row r="152" spans="1:24" ht="21.95" hidden="1" customHeight="1" x14ac:dyDescent="0.25">
      <c r="J152"/>
      <c r="L152"/>
      <c r="N152"/>
      <c r="P152"/>
      <c r="R152"/>
      <c r="T152"/>
      <c r="V152"/>
      <c r="X152"/>
    </row>
    <row r="153" spans="1:24" ht="21.95" hidden="1" customHeight="1" x14ac:dyDescent="0.25">
      <c r="J153"/>
      <c r="L153"/>
      <c r="N153"/>
      <c r="P153"/>
      <c r="R153"/>
      <c r="T153"/>
      <c r="V153"/>
      <c r="X153"/>
    </row>
    <row r="154" spans="1:24" ht="21.95" hidden="1" customHeight="1" x14ac:dyDescent="0.25">
      <c r="J154"/>
      <c r="L154"/>
      <c r="N154"/>
      <c r="P154"/>
      <c r="R154"/>
      <c r="T154"/>
      <c r="V154"/>
      <c r="X154"/>
    </row>
    <row r="155" spans="1:24" ht="21.95" hidden="1" customHeight="1" x14ac:dyDescent="0.25">
      <c r="J155"/>
      <c r="L155"/>
      <c r="N155"/>
      <c r="P155"/>
      <c r="R155"/>
      <c r="T155"/>
      <c r="V155"/>
      <c r="X155"/>
    </row>
    <row r="156" spans="1:24" ht="21.95" hidden="1" customHeight="1" x14ac:dyDescent="0.25">
      <c r="J156"/>
      <c r="L156"/>
      <c r="N156"/>
      <c r="P156"/>
      <c r="R156"/>
      <c r="T156"/>
      <c r="V156"/>
      <c r="X156"/>
    </row>
    <row r="157" spans="1:24" ht="21.95" hidden="1" customHeight="1" x14ac:dyDescent="0.25">
      <c r="J157"/>
      <c r="L157"/>
      <c r="N157"/>
      <c r="P157"/>
      <c r="R157"/>
      <c r="T157"/>
      <c r="V157"/>
      <c r="X157"/>
    </row>
    <row r="158" spans="1:24" ht="21.95" hidden="1" customHeight="1" x14ac:dyDescent="0.25">
      <c r="J158"/>
      <c r="L158"/>
      <c r="N158"/>
      <c r="P158"/>
      <c r="R158"/>
      <c r="T158"/>
      <c r="V158"/>
      <c r="X158"/>
    </row>
    <row r="159" spans="1:24" hidden="1" x14ac:dyDescent="0.25">
      <c r="J159"/>
      <c r="L159"/>
      <c r="N159"/>
      <c r="P159"/>
      <c r="R159"/>
      <c r="T159"/>
      <c r="V159"/>
      <c r="X159"/>
    </row>
    <row r="160" spans="1:24" hidden="1" x14ac:dyDescent="0.25">
      <c r="J160"/>
      <c r="L160"/>
      <c r="N160"/>
      <c r="P160"/>
      <c r="R160"/>
      <c r="T160"/>
      <c r="V160"/>
      <c r="X160"/>
    </row>
    <row r="161" spans="10:24" hidden="1" x14ac:dyDescent="0.25">
      <c r="J161"/>
      <c r="L161"/>
      <c r="N161"/>
      <c r="P161"/>
      <c r="R161"/>
      <c r="T161"/>
      <c r="V161"/>
      <c r="X161"/>
    </row>
    <row r="162" spans="10:24" hidden="1" x14ac:dyDescent="0.25">
      <c r="J162"/>
      <c r="L162"/>
      <c r="N162"/>
      <c r="P162"/>
      <c r="R162"/>
      <c r="T162"/>
      <c r="V162"/>
      <c r="X162"/>
    </row>
    <row r="163" spans="10:24" hidden="1" x14ac:dyDescent="0.25">
      <c r="J163"/>
      <c r="L163"/>
      <c r="N163"/>
      <c r="P163"/>
      <c r="R163"/>
      <c r="T163"/>
      <c r="V163"/>
      <c r="X163"/>
    </row>
    <row r="164" spans="10:24" hidden="1" x14ac:dyDescent="0.25">
      <c r="J164"/>
      <c r="L164"/>
      <c r="N164"/>
      <c r="P164"/>
      <c r="R164"/>
      <c r="T164"/>
      <c r="V164"/>
      <c r="X164"/>
    </row>
    <row r="165" spans="10:24" hidden="1" x14ac:dyDescent="0.25">
      <c r="J165"/>
      <c r="L165"/>
      <c r="N165"/>
      <c r="P165"/>
      <c r="R165"/>
      <c r="T165"/>
      <c r="V165"/>
      <c r="X165"/>
    </row>
    <row r="166" spans="10:24" hidden="1" x14ac:dyDescent="0.25">
      <c r="J166"/>
      <c r="L166"/>
      <c r="N166"/>
      <c r="P166"/>
      <c r="R166"/>
      <c r="T166"/>
      <c r="V166"/>
      <c r="X166"/>
    </row>
    <row r="167" spans="10:24" hidden="1" x14ac:dyDescent="0.25">
      <c r="J167"/>
      <c r="L167"/>
      <c r="N167"/>
      <c r="P167"/>
      <c r="R167"/>
      <c r="T167"/>
      <c r="V167"/>
      <c r="X167"/>
    </row>
    <row r="168" spans="10:24" hidden="1" x14ac:dyDescent="0.25">
      <c r="J168"/>
      <c r="L168"/>
      <c r="N168"/>
      <c r="P168"/>
      <c r="R168"/>
      <c r="T168"/>
      <c r="V168"/>
      <c r="X168"/>
    </row>
    <row r="169" spans="10:24" hidden="1" x14ac:dyDescent="0.25">
      <c r="J169"/>
      <c r="L169"/>
      <c r="N169"/>
      <c r="P169"/>
      <c r="R169"/>
      <c r="T169"/>
      <c r="V169"/>
      <c r="X169"/>
    </row>
    <row r="170" spans="10:24" hidden="1" x14ac:dyDescent="0.25">
      <c r="J170"/>
      <c r="L170"/>
      <c r="N170"/>
      <c r="P170"/>
      <c r="R170"/>
      <c r="T170"/>
      <c r="V170"/>
      <c r="X170"/>
    </row>
  </sheetData>
  <sheetProtection algorithmName="SHA-512" hashValue="fZW0EstcRQD9VU6+Bqo84pYfKkf5hmemf0p+OjznfL1Vz3zyFigmQcEFZnd6zEuk05pDvS03pdtGck9WE4T6iw==" saltValue="tbLuTWr+P3+BasBeIIr23A==" spinCount="100000" sheet="1" objects="1" scenarios="1" selectLockedCells="1"/>
  <dataConsolidate/>
  <mergeCells count="74">
    <mergeCell ref="I6:Y6"/>
    <mergeCell ref="I17:M17"/>
    <mergeCell ref="I18:M18"/>
    <mergeCell ref="Q17:U17"/>
    <mergeCell ref="I19:M19"/>
    <mergeCell ref="Q18:U18"/>
    <mergeCell ref="U13:X13"/>
    <mergeCell ref="I9:X9"/>
    <mergeCell ref="Q19:U19"/>
    <mergeCell ref="I24:W24"/>
    <mergeCell ref="U48:W48"/>
    <mergeCell ref="K33:L33"/>
    <mergeCell ref="M34:O34"/>
    <mergeCell ref="M35:O35"/>
    <mergeCell ref="M36:O36"/>
    <mergeCell ref="Q35:U35"/>
    <mergeCell ref="Q36:U36"/>
    <mergeCell ref="I43:O43"/>
    <mergeCell ref="Q43:S43"/>
    <mergeCell ref="I35:J35"/>
    <mergeCell ref="I36:J36"/>
    <mergeCell ref="W33:X33"/>
    <mergeCell ref="I41:O41"/>
    <mergeCell ref="Q41:S41"/>
    <mergeCell ref="I34:J34"/>
    <mergeCell ref="I137:Q137"/>
    <mergeCell ref="I134:M134"/>
    <mergeCell ref="O134:S134"/>
    <mergeCell ref="Q56:S56"/>
    <mergeCell ref="I104:X131"/>
    <mergeCell ref="Q69:S69"/>
    <mergeCell ref="I62:S63"/>
    <mergeCell ref="U81:W81"/>
    <mergeCell ref="U74:W74"/>
    <mergeCell ref="M96:O96"/>
    <mergeCell ref="Q96:S96"/>
    <mergeCell ref="U96:W96"/>
    <mergeCell ref="I57:P57"/>
    <mergeCell ref="U56:W56"/>
    <mergeCell ref="I59:T59"/>
    <mergeCell ref="U59:W59"/>
    <mergeCell ref="I33:J33"/>
    <mergeCell ref="M33:P33"/>
    <mergeCell ref="Q33:V33"/>
    <mergeCell ref="Q34:U34"/>
    <mergeCell ref="M74:O74"/>
    <mergeCell ref="Q49:W49"/>
    <mergeCell ref="Q71:S71"/>
    <mergeCell ref="I69:O69"/>
    <mergeCell ref="I71:K71"/>
    <mergeCell ref="M71:O71"/>
    <mergeCell ref="I51:W53"/>
    <mergeCell ref="U58:W58"/>
    <mergeCell ref="I55:P55"/>
    <mergeCell ref="Q55:T55"/>
    <mergeCell ref="U55:X55"/>
    <mergeCell ref="I56:P56"/>
    <mergeCell ref="I60:X60"/>
    <mergeCell ref="Q57:S57"/>
    <mergeCell ref="U57:W57"/>
    <mergeCell ref="I58:T58"/>
    <mergeCell ref="U134:W134"/>
    <mergeCell ref="S136:W136"/>
    <mergeCell ref="I136:Q136"/>
    <mergeCell ref="Q74:S74"/>
    <mergeCell ref="U82:W83"/>
    <mergeCell ref="I83:S83"/>
    <mergeCell ref="I94:W94"/>
    <mergeCell ref="I81:S81"/>
    <mergeCell ref="I74:K74"/>
    <mergeCell ref="I96:K96"/>
    <mergeCell ref="I86:X87"/>
    <mergeCell ref="I90:X90"/>
    <mergeCell ref="M92:S92"/>
  </mergeCells>
  <conditionalFormatting sqref="H6">
    <cfRule type="expression" dxfId="169" priority="131">
      <formula>($B$10=TRUE)</formula>
    </cfRule>
  </conditionalFormatting>
  <conditionalFormatting sqref="I60">
    <cfRule type="notContainsBlanks" dxfId="168" priority="7">
      <formula>LEN(TRIM(I60))&gt;0</formula>
    </cfRule>
  </conditionalFormatting>
  <conditionalFormatting sqref="I137">
    <cfRule type="notContainsBlanks" dxfId="167" priority="89">
      <formula>LEN(TRIM(I137))&gt;0</formula>
    </cfRule>
  </conditionalFormatting>
  <conditionalFormatting sqref="I83:S83">
    <cfRule type="expression" dxfId="166" priority="31">
      <formula>DATA_NONPROF_AGCY_NAME_OTHER_REQUIRED&lt;&gt;TRUE</formula>
    </cfRule>
  </conditionalFormatting>
  <conditionalFormatting sqref="I28:X28">
    <cfRule type="expression" dxfId="165" priority="28">
      <formula>$X$28=1</formula>
    </cfRule>
  </conditionalFormatting>
  <conditionalFormatting sqref="I31:X31">
    <cfRule type="expression" dxfId="164" priority="82">
      <formula>(#REF!=1)</formula>
    </cfRule>
  </conditionalFormatting>
  <conditionalFormatting sqref="I38:X38">
    <cfRule type="expression" dxfId="163" priority="72">
      <formula>(#REF!=1)</formula>
    </cfRule>
  </conditionalFormatting>
  <conditionalFormatting sqref="I54:X54">
    <cfRule type="expression" dxfId="162" priority="1">
      <formula>$X$54=1</formula>
    </cfRule>
  </conditionalFormatting>
  <conditionalFormatting sqref="I67:X67">
    <cfRule type="expression" dxfId="161" priority="24">
      <formula>$X$67=1</formula>
    </cfRule>
  </conditionalFormatting>
  <conditionalFormatting sqref="I85:X85 M96 Q96 U96">
    <cfRule type="expression" dxfId="160" priority="38">
      <formula>$X$85=1</formula>
    </cfRule>
  </conditionalFormatting>
  <conditionalFormatting sqref="I6:Y6">
    <cfRule type="expression" dxfId="159" priority="132">
      <formula>($B$10=TRUE)</formula>
    </cfRule>
  </conditionalFormatting>
  <conditionalFormatting sqref="L34">
    <cfRule type="iconSet" priority="80">
      <iconSet iconSet="3Symbols" showValue="0">
        <cfvo type="percent" val="0"/>
        <cfvo type="num" val="0" gte="0"/>
        <cfvo type="num" val="2"/>
      </iconSet>
    </cfRule>
  </conditionalFormatting>
  <conditionalFormatting sqref="L35:L36">
    <cfRule type="iconSet" priority="77">
      <iconSet iconSet="3Symbols" showValue="0">
        <cfvo type="percent" val="0"/>
        <cfvo type="num" val="0" gte="0"/>
        <cfvo type="num" val="2"/>
      </iconSet>
    </cfRule>
  </conditionalFormatting>
  <conditionalFormatting sqref="L71">
    <cfRule type="iconSet" priority="58">
      <iconSet iconSet="3Symbols" showValue="0">
        <cfvo type="percent" val="0"/>
        <cfvo type="num" val="0" gte="0"/>
        <cfvo type="num" val="2"/>
      </iconSet>
    </cfRule>
  </conditionalFormatting>
  <conditionalFormatting sqref="L74">
    <cfRule type="iconSet" priority="51">
      <iconSet iconSet="3Symbols" showValue="0">
        <cfvo type="percent" val="0"/>
        <cfvo type="num" val="0" gte="0"/>
        <cfvo type="num" val="2"/>
      </iconSet>
    </cfRule>
  </conditionalFormatting>
  <conditionalFormatting sqref="L96:L97 L99:L100">
    <cfRule type="iconSet" priority="2485">
      <iconSet iconSet="3Symbols" showValue="0">
        <cfvo type="percent" val="0"/>
        <cfvo type="num" val="0" gte="0"/>
        <cfvo type="num" val="2"/>
      </iconSet>
    </cfRule>
  </conditionalFormatting>
  <conditionalFormatting sqref="M92">
    <cfRule type="notContainsBlanks" dxfId="158" priority="30">
      <formula>LEN(TRIM(M92))&gt;0</formula>
    </cfRule>
  </conditionalFormatting>
  <conditionalFormatting sqref="N17:N19 V17:V18">
    <cfRule type="iconSet" priority="1906">
      <iconSet iconSet="3Flags">
        <cfvo type="percent" val="0"/>
        <cfvo type="num" val="0" gte="0"/>
        <cfvo type="num" val="1000" gte="0"/>
      </iconSet>
    </cfRule>
  </conditionalFormatting>
  <conditionalFormatting sqref="N134">
    <cfRule type="iconSet" priority="93">
      <iconSet iconSet="3Symbols" showValue="0">
        <cfvo type="percent" val="0"/>
        <cfvo type="num" val="0" gte="0"/>
        <cfvo type="num" val="2"/>
      </iconSet>
    </cfRule>
  </conditionalFormatting>
  <conditionalFormatting sqref="O17:P19">
    <cfRule type="expression" dxfId="157" priority="158">
      <formula>($P17=2)</formula>
    </cfRule>
    <cfRule type="expression" dxfId="156" priority="152">
      <formula>($P17=0)</formula>
    </cfRule>
  </conditionalFormatting>
  <conditionalFormatting sqref="P17:P19">
    <cfRule type="iconSet" priority="1904">
      <iconSet iconSet="3Symbols2" showValue="0">
        <cfvo type="percent" val="0"/>
        <cfvo type="num" val="0" gte="0"/>
        <cfvo type="num" val="1" gte="0"/>
      </iconSet>
    </cfRule>
  </conditionalFormatting>
  <conditionalFormatting sqref="P34">
    <cfRule type="iconSet" priority="81">
      <iconSet iconSet="3Symbols" showValue="0">
        <cfvo type="percent" val="0"/>
        <cfvo type="num" val="0" gte="0"/>
        <cfvo type="num" val="2"/>
      </iconSet>
    </cfRule>
  </conditionalFormatting>
  <conditionalFormatting sqref="P35:P36">
    <cfRule type="iconSet" priority="78">
      <iconSet iconSet="3Symbols" showValue="0">
        <cfvo type="percent" val="0"/>
        <cfvo type="num" val="0" gte="0"/>
        <cfvo type="num" val="2"/>
      </iconSet>
    </cfRule>
  </conditionalFormatting>
  <conditionalFormatting sqref="P41 X41 T41 V41">
    <cfRule type="iconSet" priority="2250">
      <iconSet iconSet="3Symbols" showValue="0">
        <cfvo type="percent" val="0"/>
        <cfvo type="num" val="0" gte="0"/>
        <cfvo type="num" val="2"/>
      </iconSet>
    </cfRule>
  </conditionalFormatting>
  <conditionalFormatting sqref="P43">
    <cfRule type="iconSet" priority="71">
      <iconSet iconSet="3Symbols" showValue="0">
        <cfvo type="percent" val="0"/>
        <cfvo type="num" val="0" gte="0"/>
        <cfvo type="num" val="2"/>
      </iconSet>
    </cfRule>
  </conditionalFormatting>
  <conditionalFormatting sqref="P69 X69 T69 V69">
    <cfRule type="iconSet" priority="59">
      <iconSet iconSet="3Symbols" showValue="0">
        <cfvo type="percent" val="0"/>
        <cfvo type="num" val="0" gte="0"/>
        <cfvo type="num" val="2"/>
      </iconSet>
    </cfRule>
  </conditionalFormatting>
  <conditionalFormatting sqref="P71">
    <cfRule type="iconSet" priority="14">
      <iconSet iconSet="3Symbols" showValue="0">
        <cfvo type="percent" val="0"/>
        <cfvo type="num" val="0" gte="0"/>
        <cfvo type="num" val="2"/>
      </iconSet>
    </cfRule>
  </conditionalFormatting>
  <conditionalFormatting sqref="P74">
    <cfRule type="iconSet" priority="49">
      <iconSet iconSet="3Symbols" showValue="0">
        <cfvo type="percent" val="0"/>
        <cfvo type="num" val="0" gte="0"/>
        <cfvo type="num" val="2"/>
      </iconSet>
    </cfRule>
  </conditionalFormatting>
  <conditionalFormatting sqref="P96:P97 P99:P100">
    <cfRule type="iconSet" priority="2479">
      <iconSet iconSet="3Symbols" showValue="0">
        <cfvo type="percent" val="0"/>
        <cfvo type="num" val="0" gte="0"/>
        <cfvo type="num" val="2"/>
      </iconSet>
    </cfRule>
  </conditionalFormatting>
  <conditionalFormatting sqref="Q49">
    <cfRule type="notContainsBlanks" dxfId="155" priority="36">
      <formula>LEN(TRIM(Q49))&gt;0</formula>
    </cfRule>
  </conditionalFormatting>
  <conditionalFormatting sqref="Q74:S74">
    <cfRule type="expression" dxfId="154" priority="23">
      <formula>$X$67=1</formula>
    </cfRule>
  </conditionalFormatting>
  <conditionalFormatting sqref="Q96:S97 Q99:S100">
    <cfRule type="expression" dxfId="153" priority="44">
      <formula>AND(#REF!="",#REF!&lt;&gt;"")</formula>
    </cfRule>
  </conditionalFormatting>
  <conditionalFormatting sqref="Q56:X57 U58:X58">
    <cfRule type="expression" dxfId="152" priority="5">
      <formula>UPPER($W$50)&lt;&gt;"YES"</formula>
    </cfRule>
  </conditionalFormatting>
  <conditionalFormatting sqref="R13 N13 J13">
    <cfRule type="iconSet" priority="164">
      <iconSet iconSet="3Symbols" showValue="0">
        <cfvo type="percent" val="0"/>
        <cfvo type="num" val="0" gte="0"/>
        <cfvo type="num" val="2"/>
      </iconSet>
    </cfRule>
  </conditionalFormatting>
  <conditionalFormatting sqref="R136 X24 X136 N134">
    <cfRule type="iconSet" priority="213">
      <iconSet iconSet="3Symbols" showValue="0">
        <cfvo type="percent" val="0"/>
        <cfvo type="num" val="0" gte="0"/>
        <cfvo type="num" val="2"/>
      </iconSet>
    </cfRule>
  </conditionalFormatting>
  <conditionalFormatting sqref="R136">
    <cfRule type="iconSet" priority="2245">
      <iconSet iconSet="3Symbols" showValue="0">
        <cfvo type="percent" val="0"/>
        <cfvo type="num" val="0" gte="0"/>
        <cfvo type="num" val="2"/>
      </iconSet>
    </cfRule>
  </conditionalFormatting>
  <conditionalFormatting sqref="S3">
    <cfRule type="dataBar" priority="586">
      <dataBar>
        <cfvo type="num" val="0"/>
        <cfvo type="num" val="1"/>
        <color theme="6" tint="-0.249977111117893"/>
      </dataBar>
      <extLst>
        <ext xmlns:x14="http://schemas.microsoft.com/office/spreadsheetml/2009/9/main" uri="{B025F937-C7B1-47D3-B67F-A62EFF666E3E}">
          <x14:id>{0DDCFBC6-6DAE-49A0-9581-3FFF6CC4ABBD}</x14:id>
        </ext>
      </extLst>
    </cfRule>
  </conditionalFormatting>
  <conditionalFormatting sqref="T3">
    <cfRule type="iconSet" priority="85">
      <iconSet iconSet="3Symbols2" showValue="0">
        <cfvo type="percent" val="0"/>
        <cfvo type="num" val="0" gte="0"/>
        <cfvo type="num" val="1" gte="0"/>
      </iconSet>
    </cfRule>
  </conditionalFormatting>
  <conditionalFormatting sqref="T43">
    <cfRule type="iconSet" priority="70">
      <iconSet iconSet="3Symbols" showValue="0">
        <cfvo type="percent" val="0"/>
        <cfvo type="num" val="0" gte="0"/>
        <cfvo type="num" val="2"/>
      </iconSet>
    </cfRule>
  </conditionalFormatting>
  <conditionalFormatting sqref="T56:T57">
    <cfRule type="iconSet" priority="10">
      <iconSet iconSet="3Symbols" showValue="0">
        <cfvo type="percent" val="0"/>
        <cfvo type="num" val="0" gte="0"/>
        <cfvo type="num" val="2"/>
      </iconSet>
    </cfRule>
  </conditionalFormatting>
  <conditionalFormatting sqref="T71">
    <cfRule type="iconSet" priority="57">
      <iconSet iconSet="3Symbols" showValue="0">
        <cfvo type="percent" val="0"/>
        <cfvo type="num" val="0" gte="0"/>
        <cfvo type="num" val="2"/>
      </iconSet>
    </cfRule>
  </conditionalFormatting>
  <conditionalFormatting sqref="T74">
    <cfRule type="iconSet" priority="54">
      <iconSet iconSet="3Symbols" showValue="0">
        <cfvo type="percent" val="0"/>
        <cfvo type="num" val="0" gte="0"/>
        <cfvo type="num" val="2"/>
      </iconSet>
    </cfRule>
  </conditionalFormatting>
  <conditionalFormatting sqref="T81">
    <cfRule type="iconSet" priority="34">
      <iconSet iconSet="3Symbols" showValue="0">
        <cfvo type="percent" val="0"/>
        <cfvo type="num" val="0" gte="0"/>
        <cfvo type="num" val="2"/>
      </iconSet>
    </cfRule>
    <cfRule type="iconSet" priority="35">
      <iconSet iconSet="3Symbols" showValue="0">
        <cfvo type="percent" val="0"/>
        <cfvo type="num" val="0" gte="0"/>
        <cfvo type="num" val="2"/>
      </iconSet>
    </cfRule>
  </conditionalFormatting>
  <conditionalFormatting sqref="T83">
    <cfRule type="iconSet" priority="33">
      <iconSet iconSet="3Symbols" showValue="0">
        <cfvo type="percent" val="0"/>
        <cfvo type="num" val="0" gte="0"/>
        <cfvo type="num" val="2"/>
      </iconSet>
    </cfRule>
    <cfRule type="iconSet" priority="32">
      <iconSet iconSet="3Symbols" showValue="0">
        <cfvo type="percent" val="0"/>
        <cfvo type="num" val="0" gte="0"/>
        <cfvo type="num" val="2"/>
      </iconSet>
    </cfRule>
  </conditionalFormatting>
  <conditionalFormatting sqref="T91">
    <cfRule type="iconSet" priority="2452">
      <iconSet iconSet="3Symbols" showValue="0">
        <cfvo type="percent" val="0"/>
        <cfvo type="num" val="0" gte="0"/>
        <cfvo type="num" val="2"/>
      </iconSet>
    </cfRule>
  </conditionalFormatting>
  <conditionalFormatting sqref="T96:T97 T99:T100">
    <cfRule type="iconSet" priority="2481">
      <iconSet iconSet="3Symbols" showValue="0">
        <cfvo type="percent" val="0"/>
        <cfvo type="num" val="0" gte="0"/>
        <cfvo type="num" val="2"/>
      </iconSet>
    </cfRule>
  </conditionalFormatting>
  <conditionalFormatting sqref="T134">
    <cfRule type="iconSet" priority="21">
      <iconSet iconSet="3Symbols" showValue="0">
        <cfvo type="percent" val="0"/>
        <cfvo type="num" val="0" gte="0"/>
        <cfvo type="num" val="2"/>
      </iconSet>
    </cfRule>
    <cfRule type="iconSet" priority="22">
      <iconSet iconSet="3Symbols" showValue="0">
        <cfvo type="percent" val="0"/>
        <cfvo type="num" val="0" gte="0"/>
        <cfvo type="num" val="2"/>
      </iconSet>
    </cfRule>
  </conditionalFormatting>
  <conditionalFormatting sqref="U82">
    <cfRule type="notContainsBlanks" dxfId="151" priority="37">
      <formula>LEN(TRIM(U82))&gt;0</formula>
    </cfRule>
  </conditionalFormatting>
  <conditionalFormatting sqref="U48:W48 I74:K74 M74:O74">
    <cfRule type="expression" dxfId="150" priority="2453">
      <formula>AND(#REF!="",#REF!&lt;&gt;"")</formula>
    </cfRule>
  </conditionalFormatting>
  <conditionalFormatting sqref="U56:W57">
    <cfRule type="expression" dxfId="149" priority="6">
      <formula>AND(#REF!="",#REF!&lt;&gt;"")</formula>
    </cfRule>
  </conditionalFormatting>
  <conditionalFormatting sqref="U56:X57">
    <cfRule type="expression" dxfId="148" priority="4">
      <formula>UPPER($Q56)&lt;&gt;"YES"</formula>
    </cfRule>
  </conditionalFormatting>
  <conditionalFormatting sqref="V19">
    <cfRule type="iconSet" priority="18">
      <iconSet iconSet="3Flags">
        <cfvo type="percent" val="0"/>
        <cfvo type="num" val="0" gte="0"/>
        <cfvo type="num" val="1000" gte="0"/>
      </iconSet>
    </cfRule>
  </conditionalFormatting>
  <conditionalFormatting sqref="V34">
    <cfRule type="iconSet" priority="83">
      <iconSet iconSet="3Symbols" showValue="0">
        <cfvo type="percent" val="0"/>
        <cfvo type="num" val="0" gte="0"/>
        <cfvo type="num" val="2"/>
      </iconSet>
    </cfRule>
  </conditionalFormatting>
  <conditionalFormatting sqref="V35:V36">
    <cfRule type="iconSet" priority="79">
      <iconSet iconSet="3Symbols" showValue="0">
        <cfvo type="percent" val="0"/>
        <cfvo type="num" val="0" gte="0"/>
        <cfvo type="num" val="2"/>
      </iconSet>
    </cfRule>
  </conditionalFormatting>
  <conditionalFormatting sqref="W29">
    <cfRule type="expression" dxfId="147" priority="26">
      <formula>$C$61=1</formula>
    </cfRule>
  </conditionalFormatting>
  <conditionalFormatting sqref="W17:X19">
    <cfRule type="expression" dxfId="146" priority="16">
      <formula>($X17=2)</formula>
    </cfRule>
    <cfRule type="expression" dxfId="145" priority="15">
      <formula>($X17=0)</formula>
    </cfRule>
  </conditionalFormatting>
  <conditionalFormatting sqref="X17">
    <cfRule type="iconSet" priority="100">
      <iconSet iconSet="3Symbols2" showValue="0">
        <cfvo type="percent" val="0"/>
        <cfvo type="num" val="0" gte="0"/>
        <cfvo type="num" val="1" gte="0"/>
      </iconSet>
    </cfRule>
  </conditionalFormatting>
  <conditionalFormatting sqref="X18">
    <cfRule type="iconSet" priority="97">
      <iconSet iconSet="3Symbols2" showValue="0">
        <cfvo type="percent" val="0"/>
        <cfvo type="num" val="0" gte="0"/>
        <cfvo type="num" val="1" gte="0"/>
      </iconSet>
    </cfRule>
  </conditionalFormatting>
  <conditionalFormatting sqref="X19">
    <cfRule type="iconSet" priority="17">
      <iconSet iconSet="3Symbols2" showValue="0">
        <cfvo type="percent" val="0"/>
        <cfvo type="num" val="0" gte="0"/>
        <cfvo type="num" val="1" gte="0"/>
      </iconSet>
    </cfRule>
  </conditionalFormatting>
  <conditionalFormatting sqref="X25">
    <cfRule type="iconSet" priority="2247">
      <iconSet iconSet="3Symbols" showValue="0">
        <cfvo type="percent" val="0"/>
        <cfvo type="num" val="0" gte="0"/>
        <cfvo type="num" val="2"/>
      </iconSet>
    </cfRule>
  </conditionalFormatting>
  <conditionalFormatting sqref="X28">
    <cfRule type="iconSet" priority="29">
      <iconSet iconSet="3Flags" showValue="0">
        <cfvo type="percent" val="0"/>
        <cfvo type="num" val="1"/>
        <cfvo type="num" val="2" gte="0"/>
      </iconSet>
    </cfRule>
  </conditionalFormatting>
  <conditionalFormatting sqref="X29">
    <cfRule type="iconSet" priority="86">
      <iconSet iconSet="3Symbols" showValue="0">
        <cfvo type="percent" val="0"/>
        <cfvo type="num" val="0" gte="0"/>
        <cfvo type="num" val="2"/>
      </iconSet>
    </cfRule>
  </conditionalFormatting>
  <conditionalFormatting sqref="X34:X36">
    <cfRule type="iconSet" priority="76">
      <iconSet iconSet="3Symbols" showValue="0">
        <cfvo type="percent" val="0"/>
        <cfvo type="num" val="0" gte="0"/>
        <cfvo type="num" val="2"/>
      </iconSet>
    </cfRule>
  </conditionalFormatting>
  <conditionalFormatting sqref="X43">
    <cfRule type="iconSet" priority="69">
      <iconSet iconSet="3Symbols" showValue="0">
        <cfvo type="percent" val="0"/>
        <cfvo type="num" val="0" gte="0"/>
        <cfvo type="num" val="2"/>
      </iconSet>
    </cfRule>
  </conditionalFormatting>
  <conditionalFormatting sqref="X48">
    <cfRule type="iconSet" priority="66">
      <iconSet iconSet="3Symbols" showValue="0">
        <cfvo type="percent" val="0"/>
        <cfvo type="num" val="0" gte="0"/>
        <cfvo type="num" val="2"/>
      </iconSet>
    </cfRule>
  </conditionalFormatting>
  <conditionalFormatting sqref="X50">
    <cfRule type="iconSet" priority="11">
      <iconSet iconSet="3Symbols" showValue="0">
        <cfvo type="percent" val="0"/>
        <cfvo type="num" val="0" gte="0"/>
        <cfvo type="num" val="2"/>
      </iconSet>
    </cfRule>
  </conditionalFormatting>
  <conditionalFormatting sqref="X54">
    <cfRule type="iconSet" priority="2">
      <iconSet iconSet="3Flags" showValue="0">
        <cfvo type="percent" val="0"/>
        <cfvo type="num" val="1"/>
        <cfvo type="num" val="2" gte="0"/>
      </iconSet>
    </cfRule>
  </conditionalFormatting>
  <conditionalFormatting sqref="X56:X57">
    <cfRule type="iconSet" priority="9">
      <iconSet iconSet="3Symbols" showValue="0">
        <cfvo type="percent" val="0"/>
        <cfvo type="num" val="0" gte="0"/>
        <cfvo type="num" val="2"/>
      </iconSet>
    </cfRule>
  </conditionalFormatting>
  <conditionalFormatting sqref="X59">
    <cfRule type="iconSet" priority="3">
      <iconSet iconSet="3Symbols" showValue="0">
        <cfvo type="percent" val="0"/>
        <cfvo type="num" val="0" gte="0"/>
        <cfvo type="num" val="2"/>
      </iconSet>
    </cfRule>
  </conditionalFormatting>
  <conditionalFormatting sqref="X62">
    <cfRule type="iconSet" priority="60">
      <iconSet iconSet="3Symbols" showValue="0">
        <cfvo type="percent" val="0"/>
        <cfvo type="num" val="0" gte="0"/>
        <cfvo type="num" val="2"/>
      </iconSet>
    </cfRule>
  </conditionalFormatting>
  <conditionalFormatting sqref="X67">
    <cfRule type="iconSet" priority="25">
      <iconSet iconSet="3Flags" showValue="0">
        <cfvo type="percent" val="0"/>
        <cfvo type="num" val="1"/>
        <cfvo type="num" val="2" gte="0"/>
      </iconSet>
    </cfRule>
  </conditionalFormatting>
  <conditionalFormatting sqref="X71">
    <cfRule type="iconSet" priority="56">
      <iconSet iconSet="3Symbols" showValue="0">
        <cfvo type="percent" val="0"/>
        <cfvo type="num" val="0" gte="0"/>
        <cfvo type="num" val="2"/>
      </iconSet>
    </cfRule>
  </conditionalFormatting>
  <conditionalFormatting sqref="X74">
    <cfRule type="iconSet" priority="53">
      <iconSet iconSet="3Symbols" showValue="0">
        <cfvo type="percent" val="0"/>
        <cfvo type="num" val="0" gte="0"/>
        <cfvo type="num" val="2"/>
      </iconSet>
    </cfRule>
  </conditionalFormatting>
  <conditionalFormatting sqref="X81">
    <cfRule type="iconSet" priority="40">
      <iconSet iconSet="3Symbols" showValue="0">
        <cfvo type="percent" val="0"/>
        <cfvo type="num" val="0" gte="0"/>
        <cfvo type="num" val="2"/>
      </iconSet>
    </cfRule>
    <cfRule type="iconSet" priority="2456">
      <iconSet iconSet="3Symbols" showValue="0">
        <cfvo type="percent" val="0"/>
        <cfvo type="num" val="0" gte="0"/>
        <cfvo type="num" val="2"/>
      </iconSet>
    </cfRule>
  </conditionalFormatting>
  <conditionalFormatting sqref="X85 H6">
    <cfRule type="iconSet" priority="130">
      <iconSet iconSet="3Flags" showValue="0">
        <cfvo type="percent" val="0"/>
        <cfvo type="num" val="1"/>
        <cfvo type="num" val="2" gte="0"/>
      </iconSet>
    </cfRule>
  </conditionalFormatting>
  <conditionalFormatting sqref="X94">
    <cfRule type="iconSet" priority="12">
      <iconSet iconSet="3Symbols" showValue="0">
        <cfvo type="percent" val="0"/>
        <cfvo type="num" val="0" gte="0"/>
        <cfvo type="num" val="2"/>
      </iconSet>
    </cfRule>
  </conditionalFormatting>
  <conditionalFormatting sqref="X96:X97 X99:X100">
    <cfRule type="iconSet" priority="2483">
      <iconSet iconSet="3Symbols" showValue="0">
        <cfvo type="percent" val="0"/>
        <cfvo type="num" val="0" gte="0"/>
        <cfvo type="num" val="2"/>
      </iconSet>
    </cfRule>
  </conditionalFormatting>
  <conditionalFormatting sqref="X98">
    <cfRule type="iconSet" priority="13">
      <iconSet iconSet="3Flags" showValue="0">
        <cfvo type="percent" val="0"/>
        <cfvo type="num" val="1"/>
        <cfvo type="num" val="2" gte="0"/>
      </iconSet>
    </cfRule>
  </conditionalFormatting>
  <conditionalFormatting sqref="X134">
    <cfRule type="iconSet" priority="19">
      <iconSet iconSet="3Symbols" showValue="0">
        <cfvo type="percent" val="0"/>
        <cfvo type="num" val="0" gte="0"/>
        <cfvo type="num" val="2"/>
      </iconSet>
    </cfRule>
    <cfRule type="iconSet" priority="20">
      <iconSet iconSet="3Symbols" showValue="0">
        <cfvo type="percent" val="0"/>
        <cfvo type="num" val="0" gte="0"/>
        <cfvo type="num" val="2"/>
      </iconSet>
    </cfRule>
  </conditionalFormatting>
  <conditionalFormatting sqref="X136">
    <cfRule type="iconSet" priority="90">
      <iconSet iconSet="3Symbols" showValue="0">
        <cfvo type="percent" val="0"/>
        <cfvo type="num" val="0" gte="0"/>
        <cfvo type="num" val="2"/>
      </iconSet>
    </cfRule>
  </conditionalFormatting>
  <dataValidations xWindow="41" yWindow="456" count="38">
    <dataValidation type="textLength" allowBlank="1" showInputMessage="1" showErrorMessage="1" error="Maximum Number of Characters Exceeded" sqref="I24" xr:uid="{8D5F9ACC-DAD6-47E8-889D-DF201BAA51F5}">
      <formula1>E19</formula1>
      <formula2>F19</formula2>
    </dataValidation>
    <dataValidation type="list" allowBlank="1" showInputMessage="1" showErrorMessage="1" error="Select 'Yes' or 'No'" sqref="W29 Q74 W62 U74 W50 Q56:S57" xr:uid="{A9F690BC-2BD5-4AAB-B37A-8A139284F944}">
      <formula1>RANGE_LOOKUP_YESNO</formula1>
    </dataValidation>
    <dataValidation type="whole" allowBlank="1" showInputMessage="1" showErrorMessage="1" error="Invalid Zip Code Entered" sqref="W69 W41" xr:uid="{90381253-5E13-4816-8902-9BD5DE731714}">
      <formula1>1</formula1>
      <formula2>99999</formula2>
    </dataValidation>
    <dataValidation type="custom" showInputMessage="1" showErrorMessage="1" errorTitle="No Data Entry" error="Field is Read-Only" sqref="H15" xr:uid="{80F700BF-2009-43A0-8F68-6C470BFF2078}">
      <formula1>"&lt;0&gt;0"</formula1>
    </dataValidation>
    <dataValidation type="list" allowBlank="1" showInputMessage="1" showErrorMessage="1" sqref="K34:K36" xr:uid="{28E990A5-6FD4-4056-B0ED-31E398369A92}">
      <formula1>RANGE_LOOKUP_PREFIX</formula1>
    </dataValidation>
    <dataValidation type="list" allowBlank="1" showInputMessage="1" showErrorMessage="1" error="_x000a_" sqref="W34:W36" xr:uid="{F4752557-C9A2-4500-84C6-29FC1C4335DB}">
      <formula1>RANGE_LOOKUP_MARITALSTATUS</formula1>
    </dataValidation>
    <dataValidation type="list" allowBlank="1" showInputMessage="1" showErrorMessage="1" error="An invalid State has been specified" sqref="U69 U41" xr:uid="{EC9A006C-2402-48BF-A0D9-ABE97C9CDEE8}">
      <formula1>RANGE_LOOKUP_STATE_ALLSTATES</formula1>
    </dataValidation>
    <dataValidation type="list" allowBlank="1" showInputMessage="1" showErrorMessage="1" sqref="I43:O43" xr:uid="{1612698D-36C4-48CA-85E4-0EF1EB083FA6}">
      <formula1>IF($U$41&lt;&gt;"",INDIRECT("COUNTY_RANGE_"&amp;$U$41),INDIRECT("RANGE_LOOKUP_COUNTY_PLACEHOLDER"))</formula1>
    </dataValidation>
    <dataValidation type="whole" allowBlank="1" showInputMessage="1" showErrorMessage="1" error="Please enter a valid MSA Code (eg: 55555)_x000a_" sqref="Q43:S43 Q71:S71" xr:uid="{3534299C-8862-4BB9-AAE6-7CD3B543305C}">
      <formula1>1</formula1>
      <formula2>99999</formula2>
    </dataValidation>
    <dataValidation type="whole" allowBlank="1" showInputMessage="1" showErrorMessage="1" error="Invalid Census Entered" sqref="U43 U71" xr:uid="{84BACF1D-B5A9-40F6-BB27-612F24BDDBEB}">
      <formula1>1</formula1>
      <formula2>9999</formula2>
    </dataValidation>
    <dataValidation type="whole" allowBlank="1" showInputMessage="1" showErrorMessage="1" error="Invalid Census Tract Entered" sqref="W71 W43" xr:uid="{1E43EFDB-E150-4A9A-9274-F09378F5766C}">
      <formula1>0</formula1>
      <formula2>99</formula2>
    </dataValidation>
    <dataValidation type="list" allowBlank="1" showInputMessage="1" showErrorMessage="1" sqref="I71" xr:uid="{B62FC77B-D057-4231-97B8-DEA532C37879}">
      <formula1>IF($U$69&lt;&gt;"",INDIRECT("COUNTY_RANGE_"&amp;$U$69),INDIRECT("RANGE_LOOKUP_COUNTY_PLACEHOLDER"))</formula1>
    </dataValidation>
    <dataValidation type="list" allowBlank="1" showInputMessage="1" showErrorMessage="1" sqref="M74:O74" xr:uid="{F12491AF-187F-40AE-A01F-85EC43D05C80}">
      <formula1>RANGE_LOOKUP_PROPTY_BLDG_TYPE_UI</formula1>
    </dataValidation>
    <dataValidation type="decimal" allowBlank="1" showInputMessage="1" showErrorMessage="1" sqref="Q96:S96" xr:uid="{5E1CB1A9-29DD-4AAC-A840-1D5B84E8D701}">
      <formula1>I148</formula1>
      <formula2>J148</formula2>
    </dataValidation>
    <dataValidation type="date" operator="greaterThanOrEqual" allowBlank="1" showInputMessage="1" showErrorMessage="1" sqref="U81:W81" xr:uid="{FDE991EA-E5F1-4F12-97DC-A3CD6FCACA3E}">
      <formula1>36526</formula1>
    </dataValidation>
    <dataValidation type="list" allowBlank="1" showInputMessage="1" showErrorMessage="1" error="Invalid Homeownership Counseling Agency Specified" sqref="I81" xr:uid="{5349C3E6-B274-4B38-B3CE-860C7EEAEBA1}">
      <formula1>RANGE_LOOKUP_COUNSELING_AGENCIES</formula1>
    </dataValidation>
    <dataValidation type="textLength" allowBlank="1" showInputMessage="1" showErrorMessage="1" error="Maximum Number of Characters Exceeded" sqref="I83:S83" xr:uid="{D6F3085B-E052-4736-AE77-A891EA1186C4}">
      <formula1>$E121</formula1>
      <formula2>$F121</formula2>
    </dataValidation>
    <dataValidation type="date" operator="greaterThanOrEqual" allowBlank="1" showErrorMessage="1" sqref="U134:W134" xr:uid="{28585BD5-D571-452A-9825-1617F6EF2536}">
      <formula1>43466</formula1>
    </dataValidation>
    <dataValidation type="textLength" allowBlank="1" showInputMessage="1" showErrorMessage="1" error="Maximum Number of Characters Exceeded" sqref="I41:O41" xr:uid="{9A22FE43-16D7-4839-B9D2-9F260A72EAD6}">
      <formula1>E46</formula1>
      <formula2>F46</formula2>
    </dataValidation>
    <dataValidation type="whole" allowBlank="1" showInputMessage="1" showErrorMessage="1" error="Invalid County Code Entered" sqref="M71:O71" xr:uid="{E797714B-B42D-4EF8-86D5-989BD1CDF74B}">
      <formula1>1</formula1>
      <formula2>999</formula2>
    </dataValidation>
    <dataValidation type="textLength" allowBlank="1" showInputMessage="1" showErrorMessage="1" error="Maximum Number of Characters Exceeded_x000a_" sqref="Q34:U34" xr:uid="{3394CED3-5750-4336-8BCA-369E22319C03}">
      <formula1>E36</formula1>
      <formula2>F36</formula2>
    </dataValidation>
    <dataValidation type="textLength" allowBlank="1" showInputMessage="1" showErrorMessage="1" error="Maximum Number of Characters Exceeded" sqref="M34:O34" xr:uid="{83191A07-682C-48A1-99A7-C47D76959F01}">
      <formula1>E35</formula1>
      <formula2>F35</formula2>
    </dataValidation>
    <dataValidation type="textLength" allowBlank="1" showInputMessage="1" showErrorMessage="1" error="Maximum Number of Characters Exceeded" sqref="M35:O35" xr:uid="{B8CEB03A-340A-422F-8E5A-DC87EC44C226}">
      <formula1>E39</formula1>
      <formula2>F39</formula2>
    </dataValidation>
    <dataValidation type="textLength" allowBlank="1" showInputMessage="1" showErrorMessage="1" error="Maximum Number of Characters Exceeded_x000a_" sqref="Q35:U35" xr:uid="{ECAA38E7-82F9-4C8A-A723-A15D580A32C2}">
      <formula1>E40</formula1>
      <formula2>F40</formula2>
    </dataValidation>
    <dataValidation type="textLength" allowBlank="1" showInputMessage="1" showErrorMessage="1" error="Maximum Number of Characters Exceeded" sqref="M36:O36" xr:uid="{97D26550-FF31-46E7-BA8A-B79EEDCED567}">
      <formula1>E43</formula1>
      <formula2>F43</formula2>
    </dataValidation>
    <dataValidation type="textLength" allowBlank="1" showInputMessage="1" showErrorMessage="1" error="Maximum Number of Characters Exceeded_x000a_" sqref="Q36:U36" xr:uid="{75BFB9A4-B692-4147-91AB-9303A21CF61C}">
      <formula1>E44</formula1>
      <formula2>F44</formula2>
    </dataValidation>
    <dataValidation type="textLength" allowBlank="1" showInputMessage="1" showErrorMessage="1" error="Maximum Number of Characters Exceeded" sqref="Q41:S41" xr:uid="{0FD9BFC1-8335-4299-9166-E0C511AE8C18}">
      <formula1>E47</formula1>
      <formula2>F47</formula2>
    </dataValidation>
    <dataValidation type="textLength" allowBlank="1" showInputMessage="1" showErrorMessage="1" error="Maximum Number of Characters Exceeded" sqref="I134" xr:uid="{D3B569F9-E924-431B-8666-4B0C7E54758B}">
      <formula1>E136</formula1>
      <formula2>F136</formula2>
    </dataValidation>
    <dataValidation type="list" allowBlank="1" showInputMessage="1" showErrorMessage="1" error="Invalid Income Area Specified" sqref="I94:W94" xr:uid="{42C6E0C7-665B-4594-9589-A37A62DDFD2C}">
      <formula1>IF(AND(DATA_INC_LOOKUP_OFFSET_ROW&lt;&gt;"",DATA_INC_LOOKUP_AREA_ARR_LEN&lt;&gt;""),OFFSET(INDIRECT(DATA_INC_LOOKUP_AREA_HEADER_PTR),DATA_INC_LOOKUP_OFFSET_ROW,0,DATA_INC_LOOKUP_AREA_ARR_LEN),INCOME_AREA_NOT_READY)</formula1>
    </dataValidation>
    <dataValidation type="decimal" allowBlank="1" showInputMessage="1" showErrorMessage="1" error="Invalid Grant Amount Requested" sqref="U48:W48" xr:uid="{1C19579E-DFC6-474F-A3B9-F1585A531DD0}">
      <formula1>E65</formula1>
      <formula2>F65</formula2>
    </dataValidation>
    <dataValidation type="decimal" allowBlank="1" showInputMessage="1" showErrorMessage="1" error="Invalid Amount Entered" sqref="U56:W56" xr:uid="{BF71C7AE-9DA1-45D7-BA06-46AAAC9E3A31}">
      <formula1>E70</formula1>
      <formula2>F70</formula2>
    </dataValidation>
    <dataValidation type="decimal" allowBlank="1" showInputMessage="1" showErrorMessage="1" error="Invalid Amount Entered" sqref="U57:W57" xr:uid="{8EF0C704-C199-46A3-BD11-A37724827517}">
      <formula1>E72</formula1>
      <formula2>F72</formula2>
    </dataValidation>
    <dataValidation type="textLength" allowBlank="1" showInputMessage="1" showErrorMessage="1" error="Maximum Number of Characters Exceeded" sqref="I69:O69" xr:uid="{D0FE4805-0C29-48B0-B27C-5108B6C05EDA}">
      <formula1>E88</formula1>
      <formula2>F88</formula2>
    </dataValidation>
    <dataValidation type="textLength" allowBlank="1" showInputMessage="1" showErrorMessage="1" error="Maximum Number of Characters Exceeded" sqref="Q69:S69" xr:uid="{11858E40-9E2D-42F3-9218-079A40485F8E}">
      <formula1>E89</formula1>
      <formula2>F89</formula2>
    </dataValidation>
    <dataValidation type="decimal" allowBlank="1" showInputMessage="1" showErrorMessage="1" sqref="I74:K74" xr:uid="{65C48045-858E-4D43-A2EC-F031DF26F458}">
      <formula1>E97</formula1>
      <formula2>F97</formula2>
    </dataValidation>
    <dataValidation type="textLength" allowBlank="1" showInputMessage="1" showErrorMessage="1" error="Maximum Number of Characters Exceeded" sqref="I136:Q136" xr:uid="{4785EAEB-A319-429B-BC46-DF2A86C11FF0}">
      <formula1>E139</formula1>
      <formula2>F139</formula2>
    </dataValidation>
    <dataValidation type="textLength" allowBlank="1" showInputMessage="1" showErrorMessage="1" error="Maximum Number of Characters Exceeded" sqref="O134:S134" xr:uid="{5AEBE0A9-96BA-4A83-A2B7-8808F206D0C1}">
      <formula1>E137</formula1>
      <formula2>F137</formula2>
    </dataValidation>
    <dataValidation type="textLength" allowBlank="1" showInputMessage="1" showErrorMessage="1" error="Invalid Phone Number Entered" sqref="S136:W136" xr:uid="{D7CDBEA8-54B7-433F-9160-39A4DEB9AC2B}">
      <formula1>E140</formula1>
      <formula2>F140</formula2>
    </dataValidation>
  </dataValidations>
  <pageMargins left="0.25" right="0.25" top="0.5" bottom="0.5" header="0.3" footer="0.3"/>
  <pageSetup scale="90" fitToHeight="0" orientation="portrait" r:id="rId1"/>
  <headerFooter>
    <oddFooter>&amp;R&amp;8&amp;P of &amp;N</oddFooter>
  </headerFooter>
  <rowBreaks count="3" manualBreakCount="3">
    <brk id="37" min="7" max="24" man="1"/>
    <brk id="75" min="7" max="24" man="1"/>
    <brk id="101" min="7" max="24"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2" r:id="rId4" name="ICW_COMPLETE_FLAG">
              <controlPr defaultSize="0" autoFill="0" autoLine="0" autoPict="0">
                <anchor moveWithCells="1">
                  <from>
                    <xdr:col>12</xdr:col>
                    <xdr:colOff>190500</xdr:colOff>
                    <xdr:row>90</xdr:row>
                    <xdr:rowOff>19050</xdr:rowOff>
                  </from>
                  <to>
                    <xdr:col>18</xdr:col>
                    <xdr:colOff>552450</xdr:colOff>
                    <xdr:row>90</xdr:row>
                    <xdr:rowOff>266700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0DDCFBC6-6DAE-49A0-9581-3FFF6CC4ABBD}">
            <x14:dataBar direction="leftToRight" axisPosition="none">
              <x14:cfvo type="num">
                <xm:f>0</xm:f>
              </x14:cfvo>
              <x14:cfvo type="num">
                <xm:f>1</xm:f>
              </x14:cfvo>
              <x14:negativeFillColor theme="5"/>
            </x14:dataBar>
          </x14:cfRule>
          <xm:sqref>S3</xm:sqref>
        </x14:conditionalFormatting>
      </x14:conditionalFormatting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C9A09-392B-4B4A-B7CE-91AD2938AC40}">
  <sheetPr>
    <pageSetUpPr fitToPage="1"/>
  </sheetPr>
  <dimension ref="A1:U11"/>
  <sheetViews>
    <sheetView showGridLines="0" showRowColHeaders="0" topLeftCell="C1" zoomScaleNormal="100" workbookViewId="0">
      <selection activeCell="C8" sqref="C8"/>
    </sheetView>
  </sheetViews>
  <sheetFormatPr defaultColWidth="0" defaultRowHeight="15" customHeight="1" zeroHeight="1" x14ac:dyDescent="0.25"/>
  <cols>
    <col min="1" max="1" width="22.28515625" hidden="1" customWidth="1"/>
    <col min="2" max="2" width="31.42578125" hidden="1" customWidth="1"/>
    <col min="3" max="3" width="1.42578125" customWidth="1"/>
    <col min="4" max="4" width="31.28515625" customWidth="1"/>
    <col min="5" max="20" width="12.7109375" customWidth="1"/>
    <col min="21" max="21" width="1.42578125" customWidth="1"/>
    <col min="22" max="16384" width="9.140625" hidden="1"/>
  </cols>
  <sheetData>
    <row r="1" spans="1:21" ht="11.1" customHeight="1" x14ac:dyDescent="0.25"/>
    <row r="2" spans="1:21" ht="24.95" customHeight="1" x14ac:dyDescent="0.25">
      <c r="A2" s="43" t="s">
        <v>179</v>
      </c>
      <c r="B2" s="43" t="s">
        <v>178</v>
      </c>
      <c r="Q2" s="433" t="str">
        <f>HYPERLINK("#"&amp;$B$4,$B$5)</f>
        <v xml:space="preserve">Return to </v>
      </c>
      <c r="R2" s="433"/>
      <c r="S2" s="433"/>
      <c r="T2" s="433"/>
    </row>
    <row r="3" spans="1:21" ht="11.1" customHeight="1" x14ac:dyDescent="0.25"/>
    <row r="4" spans="1:21" ht="21.75" customHeight="1" x14ac:dyDescent="0.25">
      <c r="A4" t="s">
        <v>2852</v>
      </c>
      <c r="B4" t="str">
        <f>"TARGET_" &amp;CONFIG_EFORM_TYPE_CODE&amp;"_"&amp;CONFIG_FHC_PROG_ID&amp;"_ICW_BOOKMARK"</f>
        <v>TARGET___ICW_BOOKMARK</v>
      </c>
      <c r="C4" s="210"/>
      <c r="D4" s="212" t="str">
        <f>"HUD Income Limit Guidelines: US Virgin Islands ("&amp;Configuration!M56&amp;")"</f>
        <v>HUD Income Limit Guidelines: US Virgin Islands (2025)</v>
      </c>
      <c r="E4" s="212"/>
      <c r="F4" s="212"/>
      <c r="G4" s="210"/>
      <c r="H4" s="210"/>
      <c r="I4" s="210"/>
      <c r="J4" s="210"/>
      <c r="K4" s="250"/>
      <c r="L4" s="250"/>
      <c r="M4" s="250"/>
      <c r="N4" s="250"/>
      <c r="O4" s="250"/>
      <c r="P4" s="250"/>
      <c r="Q4" s="250"/>
      <c r="R4" s="250"/>
      <c r="S4" s="250"/>
      <c r="T4" s="250"/>
      <c r="U4" s="210"/>
    </row>
    <row r="5" spans="1:21" ht="9" customHeight="1" x14ac:dyDescent="0.25">
      <c r="A5" s="36" t="s">
        <v>2853</v>
      </c>
      <c r="B5" s="36" t="str">
        <f>"Return to "&amp;CONFIG_EFORM_TYPE_NAME</f>
        <v xml:space="preserve">Return to </v>
      </c>
      <c r="C5" s="207"/>
      <c r="D5" s="251"/>
      <c r="E5" s="209"/>
      <c r="F5" s="209"/>
      <c r="G5" s="208"/>
      <c r="H5" s="208"/>
      <c r="I5" s="208"/>
      <c r="J5" s="208"/>
      <c r="K5" s="208"/>
      <c r="L5" s="208"/>
      <c r="M5" s="208"/>
      <c r="N5" s="208"/>
      <c r="O5" s="208"/>
      <c r="P5" s="208"/>
      <c r="Q5" s="208"/>
      <c r="R5" s="208"/>
      <c r="S5" s="208"/>
      <c r="T5" s="208"/>
      <c r="U5" s="208"/>
    </row>
    <row r="6" spans="1:21" ht="20.100000000000001" customHeight="1" x14ac:dyDescent="0.25">
      <c r="D6" s="284" t="s">
        <v>8994</v>
      </c>
      <c r="E6" s="461">
        <v>1</v>
      </c>
      <c r="F6" s="461"/>
      <c r="G6" s="461">
        <v>2</v>
      </c>
      <c r="H6" s="461"/>
      <c r="I6" s="461">
        <v>3</v>
      </c>
      <c r="J6" s="461"/>
      <c r="K6" s="461">
        <v>4</v>
      </c>
      <c r="L6" s="461"/>
      <c r="M6" s="461">
        <v>5</v>
      </c>
      <c r="N6" s="461"/>
      <c r="O6" s="461">
        <v>6</v>
      </c>
      <c r="P6" s="461"/>
      <c r="Q6" s="461">
        <v>7</v>
      </c>
      <c r="R6" s="461"/>
      <c r="S6" s="461">
        <v>8</v>
      </c>
      <c r="T6" s="461">
        <v>8</v>
      </c>
      <c r="U6" s="208"/>
    </row>
    <row r="7" spans="1:21" ht="27" customHeight="1" x14ac:dyDescent="0.25">
      <c r="D7" s="248" t="s">
        <v>1979</v>
      </c>
      <c r="E7" s="285" t="s">
        <v>8993</v>
      </c>
      <c r="F7" s="285" t="s">
        <v>2389</v>
      </c>
      <c r="G7" s="285" t="s">
        <v>8993</v>
      </c>
      <c r="H7" s="285" t="s">
        <v>2389</v>
      </c>
      <c r="I7" s="285" t="s">
        <v>8993</v>
      </c>
      <c r="J7" s="285" t="s">
        <v>2389</v>
      </c>
      <c r="K7" s="285" t="s">
        <v>8993</v>
      </c>
      <c r="L7" s="285" t="s">
        <v>2389</v>
      </c>
      <c r="M7" s="285" t="s">
        <v>8993</v>
      </c>
      <c r="N7" s="285" t="s">
        <v>2389</v>
      </c>
      <c r="O7" s="285" t="s">
        <v>8993</v>
      </c>
      <c r="P7" s="285" t="s">
        <v>2389</v>
      </c>
      <c r="Q7" s="285" t="s">
        <v>8993</v>
      </c>
      <c r="R7" s="285" t="s">
        <v>2389</v>
      </c>
      <c r="S7" s="285" t="s">
        <v>8993</v>
      </c>
      <c r="T7" s="285" t="s">
        <v>2389</v>
      </c>
      <c r="U7" s="208"/>
    </row>
    <row r="8" spans="1:21" s="36" customFormat="1" ht="20.100000000000001" customHeight="1" x14ac:dyDescent="0.25">
      <c r="A8" s="36" t="s">
        <v>2904</v>
      </c>
      <c r="B8" s="36" t="str">
        <f>"VI_"&amp;UPPER(TRIM(D8))</f>
        <v>VI_ST. CROIX ISLAND, VI</v>
      </c>
      <c r="D8" s="249" t="s">
        <v>2956</v>
      </c>
      <c r="E8" s="283" t="e" cm="1">
        <f t="array" aca="1" ref="E8" ca="1">((VLOOKUP($B8,LOOKUP_AMI_TABLE,5+((E$6-1)),FALSE)/0.8)*INDIRECT("AMI_MIN_PCT_VI_"&amp;CONFIG_FHC_PROG_ID))+0.01</f>
        <v>#REF!</v>
      </c>
      <c r="F8" s="283" t="e" cm="1">
        <f t="array" aca="1" ref="F8" ca="1">((VLOOKUP($B8,LOOKUP_AMI_TABLE,5+((E$6-1)),FALSE)/0.8)*INDIRECT("AMI_MAX_PCT_VI_"&amp;CONFIG_FHC_PROG_ID))</f>
        <v>#REF!</v>
      </c>
      <c r="G8" s="283" t="e" cm="1">
        <f t="array" aca="1" ref="G8" ca="1">((VLOOKUP($B8,LOOKUP_AMI_TABLE,5+((G$6-1)),FALSE)/0.8)*INDIRECT("AMI_MIN_PCT_VI_"&amp;CONFIG_FHC_PROG_ID))+0.01</f>
        <v>#REF!</v>
      </c>
      <c r="H8" s="283" t="e" cm="1">
        <f t="array" aca="1" ref="H8" ca="1">((VLOOKUP($B8,LOOKUP_AMI_TABLE,5+((G$6-1)),FALSE)/0.8)*INDIRECT("AMI_MAX_PCT_VI_"&amp;CONFIG_FHC_PROG_ID))</f>
        <v>#REF!</v>
      </c>
      <c r="I8" s="283" t="e" cm="1">
        <f t="array" aca="1" ref="I8" ca="1">((VLOOKUP($B8,LOOKUP_AMI_TABLE,5+((I$6-1)),FALSE)/0.8)*INDIRECT("AMI_MIN_PCT_VI_"&amp;CONFIG_FHC_PROG_ID))+0.01</f>
        <v>#REF!</v>
      </c>
      <c r="J8" s="283" t="e" cm="1">
        <f t="array" aca="1" ref="J8" ca="1">((VLOOKUP($B8,LOOKUP_AMI_TABLE,5+((I$6-1)),FALSE)/0.8)*INDIRECT("AMI_MAX_PCT_VI_"&amp;CONFIG_FHC_PROG_ID))</f>
        <v>#REF!</v>
      </c>
      <c r="K8" s="283" t="e" cm="1">
        <f t="array" aca="1" ref="K8" ca="1">((VLOOKUP($B8,LOOKUP_AMI_TABLE,5+((K$6-1)),FALSE)/0.8)*INDIRECT("AMI_MIN_PCT_VI_"&amp;CONFIG_FHC_PROG_ID))+0.01</f>
        <v>#REF!</v>
      </c>
      <c r="L8" s="283" t="e" cm="1">
        <f t="array" aca="1" ref="L8" ca="1">((VLOOKUP($B8,LOOKUP_AMI_TABLE,5+((K$6-1)),FALSE)/0.8)*INDIRECT("AMI_MAX_PCT_VI_"&amp;CONFIG_FHC_PROG_ID))</f>
        <v>#REF!</v>
      </c>
      <c r="M8" s="283" t="e" cm="1">
        <f t="array" aca="1" ref="M8" ca="1">((VLOOKUP($B8,LOOKUP_AMI_TABLE,5+((M$6-1)),FALSE)/0.8)*INDIRECT("AMI_MIN_PCT_VI_"&amp;CONFIG_FHC_PROG_ID))+0.01</f>
        <v>#REF!</v>
      </c>
      <c r="N8" s="283" t="e" cm="1">
        <f t="array" aca="1" ref="N8" ca="1">((VLOOKUP($B8,LOOKUP_AMI_TABLE,5+((M$6-1)),FALSE)/0.8)*INDIRECT("AMI_MAX_PCT_VI_"&amp;CONFIG_FHC_PROG_ID))</f>
        <v>#REF!</v>
      </c>
      <c r="O8" s="283" t="e" cm="1">
        <f t="array" aca="1" ref="O8" ca="1">((VLOOKUP($B8,LOOKUP_AMI_TABLE,5+((O$6-1)),FALSE)/0.8)*INDIRECT("AMI_MIN_PCT_VI_"&amp;CONFIG_FHC_PROG_ID))+0.01</f>
        <v>#REF!</v>
      </c>
      <c r="P8" s="283" t="e" cm="1">
        <f t="array" aca="1" ref="P8" ca="1">((VLOOKUP($B8,LOOKUP_AMI_TABLE,5+((O$6-1)),FALSE)/0.8)*INDIRECT("AMI_MAX_PCT_VI_"&amp;CONFIG_FHC_PROG_ID))</f>
        <v>#REF!</v>
      </c>
      <c r="Q8" s="283" t="e" cm="1">
        <f t="array" aca="1" ref="Q8" ca="1">((VLOOKUP($B8,LOOKUP_AMI_TABLE,5+((Q$6-1)),FALSE)/0.8)*INDIRECT("AMI_MIN_PCT_VI_"&amp;CONFIG_FHC_PROG_ID))+0.01</f>
        <v>#REF!</v>
      </c>
      <c r="R8" s="283" t="e" cm="1">
        <f t="array" aca="1" ref="R8" ca="1">((VLOOKUP($B8,LOOKUP_AMI_TABLE,5+((Q$6-1)),FALSE)/0.8)*INDIRECT("AMI_MAX_PCT_VI_"&amp;CONFIG_FHC_PROG_ID))</f>
        <v>#REF!</v>
      </c>
      <c r="S8" s="283" t="e" cm="1">
        <f t="array" aca="1" ref="S8" ca="1">((VLOOKUP($B8,LOOKUP_AMI_TABLE,5+((S$6-1)),FALSE)/0.8)*INDIRECT("AMI_MIN_PCT_VI_"&amp;CONFIG_FHC_PROG_ID))+0.01</f>
        <v>#REF!</v>
      </c>
      <c r="T8" s="283" t="e" cm="1">
        <f t="array" aca="1" ref="T8" ca="1">((VLOOKUP($B8,LOOKUP_AMI_TABLE,5+((S$6-1)),FALSE)/0.8)*INDIRECT("AMI_MAX_PCT_VI_"&amp;CONFIG_FHC_PROG_ID))</f>
        <v>#REF!</v>
      </c>
    </row>
    <row r="9" spans="1:21" s="36" customFormat="1" ht="20.100000000000001" customHeight="1" x14ac:dyDescent="0.25">
      <c r="A9" s="36" t="s">
        <v>2904</v>
      </c>
      <c r="B9" s="36" t="str">
        <f t="shared" ref="B9:B10" si="0">"VI_"&amp;UPPER(TRIM(D9))</f>
        <v>VI_ST. JOHN ISLAND, VI</v>
      </c>
      <c r="D9" s="249" t="s">
        <v>2957</v>
      </c>
      <c r="E9" s="283" t="e" cm="1">
        <f t="array" aca="1" ref="E9" ca="1">((VLOOKUP($B9,LOOKUP_AMI_TABLE,5+((E$6-1)),FALSE)/0.8)*INDIRECT("AMI_MIN_PCT_VI_"&amp;CONFIG_FHC_PROG_ID))+0.01</f>
        <v>#REF!</v>
      </c>
      <c r="F9" s="283" t="e" cm="1">
        <f t="array" aca="1" ref="F9" ca="1">((VLOOKUP($B9,LOOKUP_AMI_TABLE,5+((E$6-1)),FALSE)/0.8)*INDIRECT("AMI_MAX_PCT_VI_"&amp;CONFIG_FHC_PROG_ID))</f>
        <v>#REF!</v>
      </c>
      <c r="G9" s="283" t="e" cm="1">
        <f t="array" aca="1" ref="G9" ca="1">((VLOOKUP($B9,LOOKUP_AMI_TABLE,5+((G$6-1)),FALSE)/0.8)*INDIRECT("AMI_MIN_PCT_VI_"&amp;CONFIG_FHC_PROG_ID))+0.01</f>
        <v>#REF!</v>
      </c>
      <c r="H9" s="283" t="e" cm="1">
        <f t="array" aca="1" ref="H9" ca="1">((VLOOKUP($B9,LOOKUP_AMI_TABLE,5+((G$6-1)),FALSE)/0.8)*INDIRECT("AMI_MAX_PCT_VI_"&amp;CONFIG_FHC_PROG_ID))</f>
        <v>#REF!</v>
      </c>
      <c r="I9" s="283" t="e" cm="1">
        <f t="array" aca="1" ref="I9" ca="1">((VLOOKUP($B9,LOOKUP_AMI_TABLE,5+((I$6-1)),FALSE)/0.8)*INDIRECT("AMI_MIN_PCT_VI_"&amp;CONFIG_FHC_PROG_ID))+0.01</f>
        <v>#REF!</v>
      </c>
      <c r="J9" s="283" t="e" cm="1">
        <f t="array" aca="1" ref="J9" ca="1">((VLOOKUP($B9,LOOKUP_AMI_TABLE,5+((I$6-1)),FALSE)/0.8)*INDIRECT("AMI_MAX_PCT_VI_"&amp;CONFIG_FHC_PROG_ID))</f>
        <v>#REF!</v>
      </c>
      <c r="K9" s="283" t="e" cm="1">
        <f t="array" aca="1" ref="K9" ca="1">((VLOOKUP($B9,LOOKUP_AMI_TABLE,5+((K$6-1)),FALSE)/0.8)*INDIRECT("AMI_MIN_PCT_VI_"&amp;CONFIG_FHC_PROG_ID))+0.01</f>
        <v>#REF!</v>
      </c>
      <c r="L9" s="283" t="e" cm="1">
        <f t="array" aca="1" ref="L9" ca="1">((VLOOKUP($B9,LOOKUP_AMI_TABLE,5+((K$6-1)),FALSE)/0.8)*INDIRECT("AMI_MAX_PCT_VI_"&amp;CONFIG_FHC_PROG_ID))</f>
        <v>#REF!</v>
      </c>
      <c r="M9" s="283" t="e" cm="1">
        <f t="array" aca="1" ref="M9" ca="1">((VLOOKUP($B9,LOOKUP_AMI_TABLE,5+((M$6-1)),FALSE)/0.8)*INDIRECT("AMI_MIN_PCT_VI_"&amp;CONFIG_FHC_PROG_ID))+0.01</f>
        <v>#REF!</v>
      </c>
      <c r="N9" s="283" t="e" cm="1">
        <f t="array" aca="1" ref="N9" ca="1">((VLOOKUP($B9,LOOKUP_AMI_TABLE,5+((M$6-1)),FALSE)/0.8)*INDIRECT("AMI_MAX_PCT_VI_"&amp;CONFIG_FHC_PROG_ID))</f>
        <v>#REF!</v>
      </c>
      <c r="O9" s="283" t="e" cm="1">
        <f t="array" aca="1" ref="O9" ca="1">((VLOOKUP($B9,LOOKUP_AMI_TABLE,5+((O$6-1)),FALSE)/0.8)*INDIRECT("AMI_MIN_PCT_VI_"&amp;CONFIG_FHC_PROG_ID))+0.01</f>
        <v>#REF!</v>
      </c>
      <c r="P9" s="283" t="e" cm="1">
        <f t="array" aca="1" ref="P9" ca="1">((VLOOKUP($B9,LOOKUP_AMI_TABLE,5+((O$6-1)),FALSE)/0.8)*INDIRECT("AMI_MAX_PCT_VI_"&amp;CONFIG_FHC_PROG_ID))</f>
        <v>#REF!</v>
      </c>
      <c r="Q9" s="283" t="e" cm="1">
        <f t="array" aca="1" ref="Q9" ca="1">((VLOOKUP($B9,LOOKUP_AMI_TABLE,5+((Q$6-1)),FALSE)/0.8)*INDIRECT("AMI_MIN_PCT_VI_"&amp;CONFIG_FHC_PROG_ID))+0.01</f>
        <v>#REF!</v>
      </c>
      <c r="R9" s="283" t="e" cm="1">
        <f t="array" aca="1" ref="R9" ca="1">((VLOOKUP($B9,LOOKUP_AMI_TABLE,5+((Q$6-1)),FALSE)/0.8)*INDIRECT("AMI_MAX_PCT_VI_"&amp;CONFIG_FHC_PROG_ID))</f>
        <v>#REF!</v>
      </c>
      <c r="S9" s="283" t="e" cm="1">
        <f t="array" aca="1" ref="S9" ca="1">((VLOOKUP($B9,LOOKUP_AMI_TABLE,5+((S$6-1)),FALSE)/0.8)*INDIRECT("AMI_MIN_PCT_VI_"&amp;CONFIG_FHC_PROG_ID))+0.01</f>
        <v>#REF!</v>
      </c>
      <c r="T9" s="283" t="e" cm="1">
        <f t="array" aca="1" ref="T9" ca="1">((VLOOKUP($B9,LOOKUP_AMI_TABLE,5+((S$6-1)),FALSE)/0.8)*INDIRECT("AMI_MAX_PCT_VI_"&amp;CONFIG_FHC_PROG_ID))</f>
        <v>#REF!</v>
      </c>
    </row>
    <row r="10" spans="1:21" s="36" customFormat="1" ht="20.100000000000001" customHeight="1" x14ac:dyDescent="0.25">
      <c r="A10" s="36" t="s">
        <v>2904</v>
      </c>
      <c r="B10" s="36" t="str">
        <f t="shared" si="0"/>
        <v>VI_ST. THOMAS ISLAND, VI</v>
      </c>
      <c r="D10" s="249" t="s">
        <v>2958</v>
      </c>
      <c r="E10" s="283" t="e" cm="1">
        <f t="array" aca="1" ref="E10" ca="1">((VLOOKUP($B10,LOOKUP_AMI_TABLE,5+((E$6-1)),FALSE)/0.8)*INDIRECT("AMI_MIN_PCT_VI_"&amp;CONFIG_FHC_PROG_ID))+0.01</f>
        <v>#REF!</v>
      </c>
      <c r="F10" s="283" t="e" cm="1">
        <f t="array" aca="1" ref="F10" ca="1">((VLOOKUP($B10,LOOKUP_AMI_TABLE,5+((E$6-1)),FALSE)/0.8)*INDIRECT("AMI_MAX_PCT_VI_"&amp;CONFIG_FHC_PROG_ID))</f>
        <v>#REF!</v>
      </c>
      <c r="G10" s="283" t="e" cm="1">
        <f t="array" aca="1" ref="G10" ca="1">((VLOOKUP($B10,LOOKUP_AMI_TABLE,5+((G$6-1)),FALSE)/0.8)*INDIRECT("AMI_MIN_PCT_VI_"&amp;CONFIG_FHC_PROG_ID))+0.01</f>
        <v>#REF!</v>
      </c>
      <c r="H10" s="283" t="e" cm="1">
        <f t="array" aca="1" ref="H10" ca="1">((VLOOKUP($B10,LOOKUP_AMI_TABLE,5+((G$6-1)),FALSE)/0.8)*INDIRECT("AMI_MAX_PCT_VI_"&amp;CONFIG_FHC_PROG_ID))</f>
        <v>#REF!</v>
      </c>
      <c r="I10" s="283" t="e" cm="1">
        <f t="array" aca="1" ref="I10" ca="1">((VLOOKUP($B10,LOOKUP_AMI_TABLE,5+((I$6-1)),FALSE)/0.8)*INDIRECT("AMI_MIN_PCT_VI_"&amp;CONFIG_FHC_PROG_ID))+0.01</f>
        <v>#REF!</v>
      </c>
      <c r="J10" s="283" t="e" cm="1">
        <f t="array" aca="1" ref="J10" ca="1">((VLOOKUP($B10,LOOKUP_AMI_TABLE,5+((I$6-1)),FALSE)/0.8)*INDIRECT("AMI_MAX_PCT_VI_"&amp;CONFIG_FHC_PROG_ID))</f>
        <v>#REF!</v>
      </c>
      <c r="K10" s="283" t="e" cm="1">
        <f t="array" aca="1" ref="K10" ca="1">((VLOOKUP($B10,LOOKUP_AMI_TABLE,5+((K$6-1)),FALSE)/0.8)*INDIRECT("AMI_MIN_PCT_VI_"&amp;CONFIG_FHC_PROG_ID))+0.01</f>
        <v>#REF!</v>
      </c>
      <c r="L10" s="283" t="e" cm="1">
        <f t="array" aca="1" ref="L10" ca="1">((VLOOKUP($B10,LOOKUP_AMI_TABLE,5+((K$6-1)),FALSE)/0.8)*INDIRECT("AMI_MAX_PCT_VI_"&amp;CONFIG_FHC_PROG_ID))</f>
        <v>#REF!</v>
      </c>
      <c r="M10" s="283" t="e" cm="1">
        <f t="array" aca="1" ref="M10" ca="1">((VLOOKUP($B10,LOOKUP_AMI_TABLE,5+((M$6-1)),FALSE)/0.8)*INDIRECT("AMI_MIN_PCT_VI_"&amp;CONFIG_FHC_PROG_ID))+0.01</f>
        <v>#REF!</v>
      </c>
      <c r="N10" s="283" t="e" cm="1">
        <f t="array" aca="1" ref="N10" ca="1">((VLOOKUP($B10,LOOKUP_AMI_TABLE,5+((M$6-1)),FALSE)/0.8)*INDIRECT("AMI_MAX_PCT_VI_"&amp;CONFIG_FHC_PROG_ID))</f>
        <v>#REF!</v>
      </c>
      <c r="O10" s="283" t="e" cm="1">
        <f t="array" aca="1" ref="O10" ca="1">((VLOOKUP($B10,LOOKUP_AMI_TABLE,5+((O$6-1)),FALSE)/0.8)*INDIRECT("AMI_MIN_PCT_VI_"&amp;CONFIG_FHC_PROG_ID))+0.01</f>
        <v>#REF!</v>
      </c>
      <c r="P10" s="283" t="e" cm="1">
        <f t="array" aca="1" ref="P10" ca="1">((VLOOKUP($B10,LOOKUP_AMI_TABLE,5+((O$6-1)),FALSE)/0.8)*INDIRECT("AMI_MAX_PCT_VI_"&amp;CONFIG_FHC_PROG_ID))</f>
        <v>#REF!</v>
      </c>
      <c r="Q10" s="283" t="e" cm="1">
        <f t="array" aca="1" ref="Q10" ca="1">((VLOOKUP($B10,LOOKUP_AMI_TABLE,5+((Q$6-1)),FALSE)/0.8)*INDIRECT("AMI_MIN_PCT_VI_"&amp;CONFIG_FHC_PROG_ID))+0.01</f>
        <v>#REF!</v>
      </c>
      <c r="R10" s="283" t="e" cm="1">
        <f t="array" aca="1" ref="R10" ca="1">((VLOOKUP($B10,LOOKUP_AMI_TABLE,5+((Q$6-1)),FALSE)/0.8)*INDIRECT("AMI_MAX_PCT_VI_"&amp;CONFIG_FHC_PROG_ID))</f>
        <v>#REF!</v>
      </c>
      <c r="S10" s="283" t="e" cm="1">
        <f t="array" aca="1" ref="S10" ca="1">((VLOOKUP($B10,LOOKUP_AMI_TABLE,5+((S$6-1)),FALSE)/0.8)*INDIRECT("AMI_MIN_PCT_VI_"&amp;CONFIG_FHC_PROG_ID))+0.01</f>
        <v>#REF!</v>
      </c>
      <c r="T10" s="283" t="e" cm="1">
        <f t="array" aca="1" ref="T10" ca="1">((VLOOKUP($B10,LOOKUP_AMI_TABLE,5+((S$6-1)),FALSE)/0.8)*INDIRECT("AMI_MAX_PCT_VI_"&amp;CONFIG_FHC_PROG_ID))</f>
        <v>#REF!</v>
      </c>
    </row>
    <row r="11" spans="1:21" ht="15" customHeight="1" x14ac:dyDescent="0.25"/>
  </sheetData>
  <sheetProtection algorithmName="SHA-512" hashValue="AnnJNbxpnN3h9R1yrMSwyPqyXZaVW62N5uO/gEIWWbb9cIXRppQqLWgeTVb5uKmPSiUwTsrfTszaT7Ry77keQA==" saltValue="xV/Gxs+VT3LLEPM7QPL/1Q==" spinCount="100000" sheet="1" objects="1" scenarios="1"/>
  <mergeCells count="9">
    <mergeCell ref="Q2:T2"/>
    <mergeCell ref="E6:F6"/>
    <mergeCell ref="G6:H6"/>
    <mergeCell ref="I6:J6"/>
    <mergeCell ref="K6:L6"/>
    <mergeCell ref="M6:N6"/>
    <mergeCell ref="O6:P6"/>
    <mergeCell ref="Q6:R6"/>
    <mergeCell ref="S6:T6"/>
  </mergeCells>
  <pageMargins left="0.7" right="0.7" top="0.75" bottom="0.75" header="0.3" footer="0.3"/>
  <pageSetup scale="66" fitToHeight="0" orientation="portrait" horizontalDpi="0" verticalDpi="0" r:id="rId1"/>
  <headerFooter>
    <oddFooter>Page &amp;P of &amp;N</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6"/>
    <pageSetUpPr fitToPage="1"/>
  </sheetPr>
  <dimension ref="A1:R2844"/>
  <sheetViews>
    <sheetView showGridLines="0" showRowColHeaders="0" topLeftCell="C1" workbookViewId="0">
      <pane ySplit="2" topLeftCell="A3" activePane="bottomLeft" state="frozen"/>
      <selection activeCell="K10" sqref="K10:N10"/>
      <selection pane="bottomLeft" activeCell="K10" sqref="K10:N10"/>
    </sheetView>
  </sheetViews>
  <sheetFormatPr defaultColWidth="0" defaultRowHeight="15" zeroHeight="1" x14ac:dyDescent="0.25"/>
  <cols>
    <col min="1" max="1" width="14.7109375" hidden="1" customWidth="1"/>
    <col min="2" max="2" width="17.28515625" hidden="1" customWidth="1"/>
    <col min="3" max="3" width="2.7109375" customWidth="1"/>
    <col min="4" max="4" width="10.7109375" customWidth="1"/>
    <col min="5" max="5" width="66" bestFit="1" customWidth="1"/>
    <col min="6" max="14" width="10.7109375" customWidth="1"/>
    <col min="15" max="15" width="2.42578125" customWidth="1"/>
    <col min="16" max="18" width="0" hidden="1" customWidth="1"/>
    <col min="19" max="16384" width="9.140625" hidden="1"/>
  </cols>
  <sheetData>
    <row r="1" spans="1:18" ht="40.5" customHeight="1" thickBot="1" x14ac:dyDescent="0.3">
      <c r="A1" s="38"/>
      <c r="B1" s="38"/>
      <c r="C1" s="32"/>
      <c r="D1" s="32"/>
      <c r="E1" s="33"/>
      <c r="F1" s="33"/>
      <c r="G1" s="32"/>
      <c r="H1" s="32"/>
      <c r="I1" s="33"/>
      <c r="J1" s="33"/>
      <c r="K1" s="32"/>
      <c r="L1" s="32"/>
      <c r="M1" s="32"/>
      <c r="N1" s="32"/>
      <c r="O1" s="32"/>
    </row>
    <row r="2" spans="1:18" ht="21" customHeight="1" x14ac:dyDescent="0.25">
      <c r="A2" s="38"/>
      <c r="B2" s="38"/>
      <c r="C2" s="34"/>
      <c r="D2" s="35" t="s">
        <v>191</v>
      </c>
      <c r="E2" s="34"/>
      <c r="F2" s="34"/>
      <c r="G2" s="34"/>
      <c r="H2" s="34"/>
      <c r="I2" s="34"/>
      <c r="J2" s="34"/>
      <c r="K2" s="34"/>
      <c r="L2" s="34"/>
      <c r="M2" s="34"/>
      <c r="N2" s="34"/>
      <c r="O2" s="34"/>
      <c r="Q2" s="37"/>
      <c r="R2" s="36"/>
    </row>
    <row r="3" spans="1:18" ht="21.95" customHeight="1" x14ac:dyDescent="0.25">
      <c r="A3" s="38" t="s">
        <v>190</v>
      </c>
      <c r="B3" s="38" t="str">
        <f>"eForm Version "&amp;CONFIG_EFORMN_VERSION_NO</f>
        <v>eForm Version 2.2.0</v>
      </c>
      <c r="C3" s="39"/>
    </row>
    <row r="4" spans="1:18" ht="21.95" customHeight="1" x14ac:dyDescent="0.25">
      <c r="A4" s="38"/>
      <c r="B4" s="38"/>
      <c r="D4" s="256" t="s">
        <v>8949</v>
      </c>
      <c r="E4" s="255"/>
      <c r="F4" s="255"/>
      <c r="G4" s="255"/>
      <c r="H4" s="255"/>
      <c r="I4" s="255"/>
      <c r="J4" s="255"/>
      <c r="K4" s="255"/>
      <c r="L4" s="255"/>
      <c r="M4" s="255"/>
      <c r="N4" s="255"/>
    </row>
    <row r="5" spans="1:18" ht="21.95" customHeight="1" x14ac:dyDescent="0.25">
      <c r="A5" s="38"/>
      <c r="B5" s="38"/>
      <c r="D5" s="46" t="s">
        <v>2907</v>
      </c>
      <c r="E5" s="49"/>
      <c r="F5" s="49"/>
      <c r="G5" s="49"/>
      <c r="H5" s="49"/>
      <c r="I5" s="49"/>
      <c r="J5" s="49"/>
      <c r="K5" s="49"/>
      <c r="L5" s="49"/>
      <c r="M5" s="49"/>
      <c r="N5" s="49"/>
    </row>
    <row r="6" spans="1:18" ht="21.95" customHeight="1" x14ac:dyDescent="0.25">
      <c r="A6" s="38"/>
      <c r="B6" s="38"/>
    </row>
    <row r="7" spans="1:18" ht="21.95" customHeight="1" x14ac:dyDescent="0.25">
      <c r="A7" s="38"/>
      <c r="B7" s="38"/>
      <c r="D7" s="36" t="s">
        <v>2806</v>
      </c>
      <c r="K7" s="469" t="s">
        <v>9074</v>
      </c>
      <c r="L7" s="469"/>
      <c r="M7" s="469"/>
      <c r="N7" s="469"/>
    </row>
    <row r="8" spans="1:18" ht="21.95" customHeight="1" x14ac:dyDescent="0.25">
      <c r="A8" s="38"/>
      <c r="B8" s="38"/>
      <c r="D8" s="36" t="s">
        <v>8982</v>
      </c>
      <c r="K8" s="469" t="s">
        <v>8981</v>
      </c>
      <c r="L8" s="469"/>
      <c r="M8" s="469"/>
      <c r="N8" s="469"/>
    </row>
    <row r="9" spans="1:18" ht="21.95" customHeight="1" x14ac:dyDescent="0.25">
      <c r="A9" s="38"/>
      <c r="B9" s="38"/>
      <c r="D9" s="36" t="s">
        <v>2484</v>
      </c>
      <c r="K9" s="469" t="s">
        <v>9075</v>
      </c>
      <c r="L9" s="469"/>
      <c r="M9" s="469"/>
      <c r="N9" s="469"/>
    </row>
    <row r="10" spans="1:18" ht="21.95" customHeight="1" x14ac:dyDescent="0.25">
      <c r="A10" s="38"/>
      <c r="B10" s="38"/>
      <c r="D10" s="36" t="s">
        <v>9031</v>
      </c>
      <c r="K10" s="481">
        <v>60000</v>
      </c>
      <c r="L10" s="482"/>
      <c r="M10" s="482"/>
      <c r="N10" s="483"/>
    </row>
    <row r="11" spans="1:18" ht="21.95" customHeight="1" x14ac:dyDescent="0.25">
      <c r="A11" s="38"/>
      <c r="B11" s="38"/>
      <c r="D11" s="109" t="s">
        <v>2217</v>
      </c>
      <c r="K11" s="470" t="str">
        <f>CONFIG_EFORM_VERSION_NO_MAJ&amp;"."</f>
        <v>2.2.</v>
      </c>
      <c r="L11" s="470"/>
      <c r="M11" s="469">
        <v>0</v>
      </c>
      <c r="N11" s="469"/>
    </row>
    <row r="12" spans="1:18" ht="21.95" customHeight="1" x14ac:dyDescent="0.25">
      <c r="A12" s="38"/>
      <c r="B12" s="38"/>
      <c r="D12" s="109" t="s">
        <v>2335</v>
      </c>
      <c r="K12" s="471">
        <v>46162</v>
      </c>
      <c r="L12" s="471"/>
      <c r="M12" s="471"/>
      <c r="N12" s="471"/>
    </row>
    <row r="13" spans="1:18" ht="21.95" customHeight="1" x14ac:dyDescent="0.25">
      <c r="A13" s="38"/>
      <c r="B13" s="38"/>
      <c r="D13" s="36" t="s">
        <v>2886</v>
      </c>
      <c r="K13" s="469" t="s">
        <v>2890</v>
      </c>
      <c r="L13" s="469"/>
      <c r="M13" s="469"/>
      <c r="N13" s="469"/>
    </row>
    <row r="14" spans="1:18" ht="21.95" customHeight="1" x14ac:dyDescent="0.25">
      <c r="A14" s="38"/>
      <c r="B14" s="38"/>
    </row>
    <row r="15" spans="1:18" ht="21.95" customHeight="1" x14ac:dyDescent="0.25">
      <c r="A15" s="38"/>
      <c r="B15" s="38"/>
      <c r="D15" s="256" t="s">
        <v>8961</v>
      </c>
      <c r="E15" s="255"/>
      <c r="F15" s="255"/>
      <c r="G15" s="255"/>
      <c r="H15" s="255"/>
      <c r="I15" s="255"/>
      <c r="J15" s="255"/>
      <c r="K15" s="255"/>
      <c r="L15" s="255"/>
      <c r="M15" s="255"/>
      <c r="N15" s="255"/>
    </row>
    <row r="16" spans="1:18" ht="21.95" customHeight="1" x14ac:dyDescent="0.25">
      <c r="A16" s="38"/>
      <c r="B16" s="38"/>
      <c r="D16" s="46" t="s">
        <v>8959</v>
      </c>
      <c r="E16" s="49"/>
      <c r="F16" s="49"/>
      <c r="G16" s="49"/>
      <c r="H16" s="49"/>
      <c r="I16" s="49"/>
      <c r="J16" s="49"/>
      <c r="K16" s="49"/>
      <c r="L16" s="49"/>
      <c r="M16" s="49"/>
      <c r="N16" s="49"/>
    </row>
    <row r="17" spans="1:14" ht="21.95" customHeight="1" x14ac:dyDescent="0.25">
      <c r="A17" s="38"/>
      <c r="B17" s="38"/>
    </row>
    <row r="18" spans="1:14" ht="21.95" customHeight="1" x14ac:dyDescent="0.25">
      <c r="A18" s="38"/>
      <c r="B18" s="38"/>
      <c r="D18" s="343" t="s">
        <v>8950</v>
      </c>
      <c r="E18" s="343"/>
      <c r="F18" s="343"/>
      <c r="G18" s="343"/>
      <c r="H18" s="343"/>
      <c r="I18" s="475" t="s">
        <v>8944</v>
      </c>
      <c r="J18" s="475"/>
      <c r="K18" s="475" t="s">
        <v>8945</v>
      </c>
      <c r="L18" s="475"/>
      <c r="M18" s="475" t="s">
        <v>8946</v>
      </c>
      <c r="N18" s="475"/>
    </row>
    <row r="19" spans="1:14" ht="21.95" customHeight="1" x14ac:dyDescent="0.25">
      <c r="A19" s="38"/>
      <c r="B19" s="38"/>
      <c r="D19" s="366" t="s">
        <v>8958</v>
      </c>
      <c r="E19" s="462"/>
      <c r="F19" s="462"/>
      <c r="G19" s="462"/>
      <c r="H19" s="463"/>
      <c r="I19" s="110" t="s">
        <v>9072</v>
      </c>
      <c r="J19" s="40">
        <v>0</v>
      </c>
      <c r="K19" s="110" t="s">
        <v>9073</v>
      </c>
      <c r="L19" s="40">
        <v>0</v>
      </c>
      <c r="M19" s="110" t="s">
        <v>9348</v>
      </c>
      <c r="N19" s="40">
        <v>0</v>
      </c>
    </row>
    <row r="20" spans="1:14" ht="21.95" customHeight="1" x14ac:dyDescent="0.25">
      <c r="A20" s="38"/>
      <c r="B20" s="38"/>
      <c r="D20" s="366" t="s">
        <v>9058</v>
      </c>
      <c r="E20" s="462"/>
      <c r="F20" s="462"/>
      <c r="G20" s="462"/>
      <c r="H20" s="463"/>
      <c r="I20" s="464">
        <v>30000</v>
      </c>
      <c r="J20" s="464"/>
      <c r="K20" s="464">
        <v>30000</v>
      </c>
      <c r="L20" s="464"/>
      <c r="M20" s="464">
        <v>30000</v>
      </c>
      <c r="N20" s="464"/>
    </row>
    <row r="21" spans="1:14" ht="21.95" hidden="1" customHeight="1" x14ac:dyDescent="0.25">
      <c r="A21" s="38"/>
      <c r="B21" s="38"/>
      <c r="D21" s="366" t="s">
        <v>2337</v>
      </c>
      <c r="E21" s="462"/>
      <c r="F21" s="462"/>
      <c r="G21" s="462"/>
      <c r="H21" s="463"/>
      <c r="I21" s="464">
        <v>500</v>
      </c>
      <c r="J21" s="464"/>
      <c r="K21" s="464">
        <v>500</v>
      </c>
      <c r="L21" s="464"/>
      <c r="M21" s="464">
        <v>500</v>
      </c>
      <c r="N21" s="464"/>
    </row>
    <row r="22" spans="1:14" ht="21.95" customHeight="1" x14ac:dyDescent="0.25">
      <c r="A22" s="38"/>
      <c r="B22" s="38"/>
      <c r="D22" s="366" t="s">
        <v>2580</v>
      </c>
      <c r="E22" s="462"/>
      <c r="F22" s="462"/>
      <c r="G22" s="462"/>
      <c r="H22" s="463"/>
      <c r="I22" s="465">
        <v>1</v>
      </c>
      <c r="J22" s="465"/>
      <c r="K22" s="465">
        <v>1</v>
      </c>
      <c r="L22" s="465"/>
      <c r="M22" s="465">
        <v>1</v>
      </c>
      <c r="N22" s="465"/>
    </row>
    <row r="23" spans="1:14" ht="21.95" customHeight="1" x14ac:dyDescent="0.25">
      <c r="A23" s="38"/>
      <c r="B23" s="38"/>
      <c r="D23" s="366" t="s">
        <v>2811</v>
      </c>
      <c r="E23" s="462"/>
      <c r="F23" s="462"/>
      <c r="G23" s="462"/>
      <c r="H23" s="463"/>
      <c r="I23" s="464">
        <v>1000</v>
      </c>
      <c r="J23" s="464"/>
      <c r="K23" s="464">
        <v>1000</v>
      </c>
      <c r="L23" s="464"/>
      <c r="M23" s="464">
        <v>1000</v>
      </c>
      <c r="N23" s="464"/>
    </row>
    <row r="24" spans="1:14" ht="21.95" customHeight="1" x14ac:dyDescent="0.25">
      <c r="A24" s="38"/>
      <c r="B24" s="38"/>
      <c r="D24" s="366" t="s">
        <v>2814</v>
      </c>
      <c r="E24" s="462"/>
      <c r="F24" s="462"/>
      <c r="G24" s="462"/>
      <c r="H24" s="463"/>
      <c r="I24" s="477">
        <v>1.1000000000000001</v>
      </c>
      <c r="J24" s="477"/>
      <c r="K24" s="477">
        <v>1.1000000000000001</v>
      </c>
      <c r="L24" s="477"/>
      <c r="M24" s="477">
        <v>1.1000000000000001</v>
      </c>
      <c r="N24" s="477"/>
    </row>
    <row r="25" spans="1:14" ht="21.95" customHeight="1" x14ac:dyDescent="0.25">
      <c r="A25" s="38"/>
      <c r="B25" s="38"/>
      <c r="D25" s="366" t="s">
        <v>2815</v>
      </c>
      <c r="E25" s="462"/>
      <c r="F25" s="462"/>
      <c r="G25" s="462"/>
      <c r="H25" s="463"/>
      <c r="I25" s="477">
        <v>0.75</v>
      </c>
      <c r="J25" s="477"/>
      <c r="K25" s="477">
        <v>0.75</v>
      </c>
      <c r="L25" s="477"/>
      <c r="M25" s="477">
        <v>0.75</v>
      </c>
      <c r="N25" s="477"/>
    </row>
    <row r="26" spans="1:14" ht="21.95" customHeight="1" x14ac:dyDescent="0.25">
      <c r="A26" s="38"/>
      <c r="B26" s="38"/>
      <c r="D26" s="366" t="s">
        <v>2816</v>
      </c>
      <c r="E26" s="462"/>
      <c r="F26" s="462"/>
      <c r="G26" s="462"/>
      <c r="H26" s="463"/>
      <c r="I26" s="477">
        <v>0.75</v>
      </c>
      <c r="J26" s="477"/>
      <c r="K26" s="477">
        <v>0.75</v>
      </c>
      <c r="L26" s="477"/>
      <c r="M26" s="477">
        <v>0.75</v>
      </c>
      <c r="N26" s="477"/>
    </row>
    <row r="27" spans="1:14" ht="21.95" customHeight="1" x14ac:dyDescent="0.25">
      <c r="A27" s="38"/>
      <c r="B27" s="38"/>
      <c r="D27" s="366" t="s">
        <v>2839</v>
      </c>
      <c r="E27" s="462"/>
      <c r="F27" s="462"/>
      <c r="G27" s="462"/>
      <c r="H27" s="463"/>
      <c r="I27" s="477">
        <v>0.45</v>
      </c>
      <c r="J27" s="477"/>
      <c r="K27" s="477">
        <v>0.45</v>
      </c>
      <c r="L27" s="477"/>
      <c r="M27" s="477">
        <v>0.45</v>
      </c>
      <c r="N27" s="477"/>
    </row>
    <row r="28" spans="1:14" ht="21.95" customHeight="1" x14ac:dyDescent="0.25">
      <c r="A28" s="38"/>
      <c r="B28" s="38"/>
      <c r="D28" s="366" t="s">
        <v>2827</v>
      </c>
      <c r="E28" s="462"/>
      <c r="F28" s="462"/>
      <c r="G28" s="462"/>
      <c r="H28" s="463"/>
      <c r="I28" s="476">
        <v>45000</v>
      </c>
      <c r="J28" s="476"/>
      <c r="K28" s="476">
        <v>45000</v>
      </c>
      <c r="L28" s="476"/>
      <c r="M28" s="476">
        <v>45000</v>
      </c>
      <c r="N28" s="476"/>
    </row>
    <row r="29" spans="1:14" ht="21.95" customHeight="1" x14ac:dyDescent="0.25">
      <c r="A29" s="38"/>
      <c r="B29" s="38"/>
      <c r="D29" s="366" t="s">
        <v>2826</v>
      </c>
      <c r="E29" s="462"/>
      <c r="F29" s="462"/>
      <c r="G29" s="462"/>
      <c r="H29" s="463"/>
      <c r="I29" s="476">
        <v>45000</v>
      </c>
      <c r="J29" s="476"/>
      <c r="K29" s="476">
        <v>45000</v>
      </c>
      <c r="L29" s="476"/>
      <c r="M29" s="476">
        <v>45000</v>
      </c>
      <c r="N29" s="476"/>
    </row>
    <row r="30" spans="1:14" ht="21.95" customHeight="1" x14ac:dyDescent="0.25">
      <c r="A30" s="38"/>
      <c r="B30" s="38"/>
      <c r="D30" s="472" t="s">
        <v>8960</v>
      </c>
      <c r="E30" s="473"/>
      <c r="F30" s="473"/>
      <c r="G30" s="473"/>
      <c r="H30" s="474"/>
      <c r="I30" s="272" t="s">
        <v>8951</v>
      </c>
      <c r="J30" s="272" t="s">
        <v>8952</v>
      </c>
      <c r="K30" s="272" t="s">
        <v>8951</v>
      </c>
      <c r="L30" s="272" t="s">
        <v>8952</v>
      </c>
      <c r="M30" s="272" t="s">
        <v>8951</v>
      </c>
      <c r="N30" s="272" t="s">
        <v>8952</v>
      </c>
    </row>
    <row r="31" spans="1:14" ht="21.95" customHeight="1" x14ac:dyDescent="0.25">
      <c r="A31" s="38"/>
      <c r="B31" s="38"/>
      <c r="D31" s="466" t="s">
        <v>8953</v>
      </c>
      <c r="E31" s="467"/>
      <c r="F31" s="467"/>
      <c r="G31" s="467"/>
      <c r="H31" s="468"/>
      <c r="I31" s="273">
        <v>0</v>
      </c>
      <c r="J31" s="273">
        <v>0.8</v>
      </c>
      <c r="K31" s="159">
        <v>0.8</v>
      </c>
      <c r="L31" s="159">
        <v>1.2</v>
      </c>
      <c r="M31" s="159">
        <v>0</v>
      </c>
      <c r="N31" s="159">
        <v>1.2</v>
      </c>
    </row>
    <row r="32" spans="1:14" ht="21.95" customHeight="1" x14ac:dyDescent="0.25">
      <c r="A32" s="38"/>
      <c r="B32" s="38"/>
      <c r="D32" s="466" t="s">
        <v>8954</v>
      </c>
      <c r="E32" s="467"/>
      <c r="F32" s="467"/>
      <c r="G32" s="467"/>
      <c r="H32" s="468"/>
      <c r="I32" s="273">
        <v>0</v>
      </c>
      <c r="J32" s="273">
        <v>0.8</v>
      </c>
      <c r="K32" s="159">
        <v>0.8</v>
      </c>
      <c r="L32" s="159">
        <v>1.2</v>
      </c>
      <c r="M32" s="159">
        <v>0</v>
      </c>
      <c r="N32" s="159">
        <v>1.2</v>
      </c>
    </row>
    <row r="33" spans="1:14" ht="21.95" customHeight="1" x14ac:dyDescent="0.25">
      <c r="A33" s="38"/>
      <c r="B33" s="38"/>
      <c r="D33" s="466" t="s">
        <v>8955</v>
      </c>
      <c r="E33" s="467"/>
      <c r="F33" s="467"/>
      <c r="G33" s="467"/>
      <c r="H33" s="468"/>
      <c r="I33" s="273">
        <v>0</v>
      </c>
      <c r="J33" s="273">
        <v>0.8</v>
      </c>
      <c r="K33" s="159">
        <v>0.8</v>
      </c>
      <c r="L33" s="159">
        <v>1.5</v>
      </c>
      <c r="M33" s="159">
        <v>0</v>
      </c>
      <c r="N33" s="159">
        <v>1.5</v>
      </c>
    </row>
    <row r="34" spans="1:14" ht="21.95" customHeight="1" x14ac:dyDescent="0.25">
      <c r="A34" s="38"/>
      <c r="B34" s="38"/>
      <c r="D34" s="466" t="s">
        <v>8956</v>
      </c>
      <c r="E34" s="467"/>
      <c r="F34" s="467"/>
      <c r="G34" s="467"/>
      <c r="H34" s="468"/>
      <c r="I34" s="273">
        <v>0</v>
      </c>
      <c r="J34" s="273">
        <v>0.8</v>
      </c>
      <c r="K34" s="159">
        <v>0.8</v>
      </c>
      <c r="L34" s="159">
        <v>1.5</v>
      </c>
      <c r="M34" s="159">
        <v>0</v>
      </c>
      <c r="N34" s="159">
        <v>1.5</v>
      </c>
    </row>
    <row r="35" spans="1:14" ht="21.95" customHeight="1" x14ac:dyDescent="0.25">
      <c r="A35" s="38"/>
      <c r="B35" s="38"/>
      <c r="D35" s="466" t="s">
        <v>8957</v>
      </c>
      <c r="E35" s="467"/>
      <c r="F35" s="467"/>
      <c r="G35" s="467"/>
      <c r="H35" s="468"/>
      <c r="I35" s="273">
        <v>0</v>
      </c>
      <c r="J35" s="273">
        <v>0.8</v>
      </c>
      <c r="K35" s="273" t="s">
        <v>138</v>
      </c>
      <c r="L35" s="273" t="s">
        <v>138</v>
      </c>
      <c r="M35" s="273" t="s">
        <v>138</v>
      </c>
      <c r="N35" s="273" t="s">
        <v>138</v>
      </c>
    </row>
    <row r="36" spans="1:14" ht="21.95" customHeight="1" x14ac:dyDescent="0.25">
      <c r="A36" s="38"/>
      <c r="B36" s="38"/>
      <c r="D36" s="36"/>
    </row>
    <row r="37" spans="1:14" ht="21.95" customHeight="1" x14ac:dyDescent="0.25">
      <c r="A37" s="138"/>
      <c r="B37" s="138"/>
      <c r="D37" s="256" t="s">
        <v>2909</v>
      </c>
      <c r="E37" s="255"/>
      <c r="F37" s="255"/>
      <c r="G37" s="255"/>
      <c r="H37" s="255"/>
      <c r="I37" s="255"/>
      <c r="J37" s="255"/>
      <c r="K37" s="255"/>
      <c r="L37" s="255"/>
      <c r="M37" s="255"/>
      <c r="N37" s="255"/>
    </row>
    <row r="38" spans="1:14" ht="21.95" customHeight="1" x14ac:dyDescent="0.25">
      <c r="D38" s="46" t="s">
        <v>2910</v>
      </c>
      <c r="E38" s="49"/>
      <c r="F38" s="49"/>
      <c r="G38" s="49"/>
      <c r="H38" s="49"/>
      <c r="I38" s="49"/>
      <c r="J38" s="49"/>
      <c r="K38" s="49"/>
      <c r="L38" s="49"/>
      <c r="M38" s="49"/>
      <c r="N38" s="49"/>
    </row>
    <row r="39" spans="1:14" ht="21.95" customHeight="1" x14ac:dyDescent="0.25">
      <c r="D39" s="37"/>
      <c r="M39" s="90"/>
      <c r="N39" s="90"/>
    </row>
    <row r="40" spans="1:14" ht="21.95" customHeight="1" x14ac:dyDescent="0.25">
      <c r="D40" s="343" t="s">
        <v>2171</v>
      </c>
      <c r="E40" s="343"/>
      <c r="F40" s="343"/>
      <c r="G40" s="343"/>
      <c r="H40" s="343"/>
      <c r="I40" s="344" t="s">
        <v>2172</v>
      </c>
      <c r="J40" s="345"/>
      <c r="K40" s="345"/>
      <c r="L40" s="345"/>
      <c r="M40" s="345"/>
      <c r="N40" s="346"/>
    </row>
    <row r="41" spans="1:14" ht="21.95" customHeight="1" x14ac:dyDescent="0.25">
      <c r="D41" s="487" t="s">
        <v>9076</v>
      </c>
      <c r="E41" s="487"/>
      <c r="F41" s="487"/>
      <c r="G41" s="487"/>
      <c r="H41" s="487"/>
      <c r="I41" s="478" t="s">
        <v>2887</v>
      </c>
      <c r="J41" s="479"/>
      <c r="K41" s="479"/>
      <c r="L41" s="479"/>
      <c r="M41" s="479"/>
      <c r="N41" s="480"/>
    </row>
    <row r="42" spans="1:14" ht="21.95" customHeight="1" x14ac:dyDescent="0.25">
      <c r="D42" s="487" t="s">
        <v>9077</v>
      </c>
      <c r="E42" s="487"/>
      <c r="F42" s="487"/>
      <c r="G42" s="487"/>
      <c r="H42" s="487"/>
      <c r="I42" s="478" t="s">
        <v>8942</v>
      </c>
      <c r="J42" s="479"/>
      <c r="K42" s="479"/>
      <c r="L42" s="479"/>
      <c r="M42" s="479"/>
      <c r="N42" s="480"/>
    </row>
    <row r="43" spans="1:14" ht="21.95" customHeight="1" x14ac:dyDescent="0.25">
      <c r="D43" s="487" t="s">
        <v>9078</v>
      </c>
      <c r="E43" s="487"/>
      <c r="F43" s="487"/>
      <c r="G43" s="487"/>
      <c r="H43" s="487"/>
      <c r="I43" s="478" t="s">
        <v>8943</v>
      </c>
      <c r="J43" s="479"/>
      <c r="K43" s="479"/>
      <c r="L43" s="479"/>
      <c r="M43" s="479"/>
      <c r="N43" s="480"/>
    </row>
    <row r="44" spans="1:14" ht="21.95" customHeight="1" x14ac:dyDescent="0.25">
      <c r="D44" s="487"/>
      <c r="E44" s="487"/>
      <c r="F44" s="487"/>
      <c r="G44" s="487"/>
      <c r="H44" s="487"/>
      <c r="I44" s="478"/>
      <c r="J44" s="479"/>
      <c r="K44" s="479"/>
      <c r="L44" s="479"/>
      <c r="M44" s="479"/>
      <c r="N44" s="480"/>
    </row>
    <row r="45" spans="1:14" ht="21.95" customHeight="1" x14ac:dyDescent="0.25">
      <c r="D45" s="487"/>
      <c r="E45" s="487"/>
      <c r="F45" s="487"/>
      <c r="G45" s="487"/>
      <c r="H45" s="487"/>
      <c r="I45" s="478"/>
      <c r="J45" s="479"/>
      <c r="K45" s="479"/>
      <c r="L45" s="479"/>
      <c r="M45" s="479"/>
      <c r="N45" s="480"/>
    </row>
    <row r="46" spans="1:14" ht="21.95" customHeight="1" x14ac:dyDescent="0.25">
      <c r="D46" s="487"/>
      <c r="E46" s="487"/>
      <c r="F46" s="487"/>
      <c r="G46" s="487"/>
      <c r="H46" s="487"/>
      <c r="I46" s="478"/>
      <c r="J46" s="479"/>
      <c r="K46" s="479"/>
      <c r="L46" s="479"/>
      <c r="M46" s="479"/>
      <c r="N46" s="480"/>
    </row>
    <row r="47" spans="1:14" ht="21.95" customHeight="1" x14ac:dyDescent="0.25">
      <c r="D47" s="37"/>
      <c r="M47" s="90"/>
      <c r="N47" s="90"/>
    </row>
    <row r="48" spans="1:14" ht="21.95" customHeight="1" x14ac:dyDescent="0.25">
      <c r="A48" s="38"/>
      <c r="B48" s="38"/>
      <c r="D48" s="256" t="s">
        <v>2341</v>
      </c>
      <c r="E48" s="255"/>
      <c r="F48" s="255"/>
      <c r="G48" s="255"/>
      <c r="H48" s="255"/>
      <c r="I48" s="255"/>
      <c r="J48" s="255"/>
      <c r="K48" s="255"/>
      <c r="L48" s="255"/>
      <c r="M48" s="255"/>
      <c r="N48" s="255"/>
    </row>
    <row r="49" spans="1:14" ht="21.95" customHeight="1" x14ac:dyDescent="0.25">
      <c r="A49" s="38"/>
      <c r="B49" s="38"/>
      <c r="D49" s="46" t="s">
        <v>2908</v>
      </c>
      <c r="E49" s="49"/>
      <c r="F49" s="49"/>
      <c r="G49" s="49"/>
      <c r="H49" s="49"/>
      <c r="I49" s="49"/>
      <c r="J49" s="49"/>
      <c r="K49" s="49"/>
      <c r="L49" s="49"/>
      <c r="M49" s="49"/>
      <c r="N49" s="49"/>
    </row>
    <row r="50" spans="1:14" ht="21.95" customHeight="1" x14ac:dyDescent="0.25">
      <c r="A50" s="38"/>
      <c r="B50" s="38"/>
    </row>
    <row r="51" spans="1:14" ht="21.95" customHeight="1" thickBot="1" x14ac:dyDescent="0.3">
      <c r="A51" s="38"/>
      <c r="B51" s="38"/>
      <c r="D51" s="135" t="s">
        <v>2486</v>
      </c>
      <c r="E51" s="130"/>
      <c r="F51" s="130"/>
      <c r="G51" s="130"/>
      <c r="H51" s="130"/>
      <c r="I51" s="130"/>
      <c r="J51" s="130"/>
      <c r="K51" s="130"/>
      <c r="L51" s="130"/>
      <c r="M51" s="130"/>
      <c r="N51" s="130"/>
    </row>
    <row r="52" spans="1:14" ht="21.95" customHeight="1" thickTop="1" x14ac:dyDescent="0.25">
      <c r="A52" s="38"/>
      <c r="B52" s="38"/>
    </row>
    <row r="53" spans="1:14" ht="21.95" customHeight="1" x14ac:dyDescent="0.25">
      <c r="A53" s="38"/>
      <c r="B53" s="38"/>
      <c r="D53" s="36" t="s">
        <v>2393</v>
      </c>
      <c r="M53" s="401">
        <v>2025</v>
      </c>
      <c r="N53" s="403"/>
    </row>
    <row r="54" spans="1:14" ht="21.95" customHeight="1" x14ac:dyDescent="0.25">
      <c r="A54" s="38"/>
      <c r="B54" s="38"/>
      <c r="D54" s="36" t="s">
        <v>2394</v>
      </c>
      <c r="M54" s="401">
        <v>2025</v>
      </c>
      <c r="N54" s="403"/>
    </row>
    <row r="55" spans="1:14" ht="21.95" customHeight="1" x14ac:dyDescent="0.25">
      <c r="A55" s="38"/>
      <c r="B55" s="38"/>
      <c r="D55" s="36" t="s">
        <v>2395</v>
      </c>
      <c r="M55" s="401">
        <v>2025</v>
      </c>
      <c r="N55" s="403"/>
    </row>
    <row r="56" spans="1:14" ht="21.95" customHeight="1" x14ac:dyDescent="0.25">
      <c r="A56" s="38"/>
      <c r="B56" s="38"/>
      <c r="D56" s="36" t="s">
        <v>2396</v>
      </c>
      <c r="M56" s="401">
        <v>2025</v>
      </c>
      <c r="N56" s="403"/>
    </row>
    <row r="57" spans="1:14" ht="21.95" customHeight="1" x14ac:dyDescent="0.25">
      <c r="A57" s="38"/>
      <c r="B57" s="38"/>
      <c r="D57" s="36" t="s">
        <v>2911</v>
      </c>
      <c r="M57" s="401">
        <v>2025</v>
      </c>
      <c r="N57" s="403"/>
    </row>
    <row r="58" spans="1:14" ht="21.95" customHeight="1" x14ac:dyDescent="0.25">
      <c r="A58" s="38"/>
      <c r="B58" s="38"/>
      <c r="D58" s="36"/>
    </row>
    <row r="59" spans="1:14" ht="21.95" customHeight="1" thickBot="1" x14ac:dyDescent="0.3">
      <c r="A59" s="38"/>
      <c r="B59" s="38"/>
      <c r="D59" s="135" t="str">
        <f>TEXT(CONFIG_MFI_PERCENTAGE,"#%")&amp;" AMI Limits"</f>
        <v>80% AMI Limits</v>
      </c>
      <c r="E59" s="130"/>
      <c r="F59" s="130"/>
      <c r="G59" s="130"/>
      <c r="H59" s="130"/>
      <c r="I59" s="130"/>
      <c r="J59" s="130"/>
      <c r="K59" s="130"/>
      <c r="L59" s="130"/>
      <c r="M59" s="130"/>
      <c r="N59" s="130"/>
    </row>
    <row r="60" spans="1:14" ht="21.95" customHeight="1" thickTop="1" x14ac:dyDescent="0.25">
      <c r="A60" s="38"/>
      <c r="B60" s="38"/>
      <c r="D60" s="36"/>
    </row>
    <row r="61" spans="1:14" ht="21.95" customHeight="1" x14ac:dyDescent="0.25">
      <c r="A61" s="38"/>
      <c r="B61" s="38"/>
      <c r="D61" s="485" t="s">
        <v>2483</v>
      </c>
      <c r="E61" s="486"/>
      <c r="F61" s="486"/>
      <c r="G61" s="484" t="str">
        <f>TEXT(CONFIG_MFI_PERCENTAGE,"#%")&amp;" Income Limit (by household size)"</f>
        <v>80% Income Limit (by household size)</v>
      </c>
      <c r="H61" s="484"/>
      <c r="I61" s="484"/>
      <c r="J61" s="484"/>
      <c r="K61" s="484"/>
      <c r="L61" s="484"/>
      <c r="M61" s="484"/>
      <c r="N61" s="484"/>
    </row>
    <row r="62" spans="1:14" ht="21.95" customHeight="1" x14ac:dyDescent="0.25">
      <c r="A62" s="38"/>
      <c r="B62" s="38"/>
      <c r="D62" s="137" t="s">
        <v>51</v>
      </c>
      <c r="E62" s="261" t="s">
        <v>2955</v>
      </c>
      <c r="F62" s="137" t="s">
        <v>2405</v>
      </c>
      <c r="G62" s="137" t="s">
        <v>2397</v>
      </c>
      <c r="H62" s="137" t="s">
        <v>2398</v>
      </c>
      <c r="I62" s="137" t="s">
        <v>2399</v>
      </c>
      <c r="J62" s="137" t="s">
        <v>2400</v>
      </c>
      <c r="K62" s="137" t="s">
        <v>2401</v>
      </c>
      <c r="L62" s="137" t="s">
        <v>2402</v>
      </c>
      <c r="M62" s="137" t="s">
        <v>2403</v>
      </c>
      <c r="N62" s="137" t="s">
        <v>2404</v>
      </c>
    </row>
    <row r="63" spans="1:14" ht="21.95" customHeight="1" x14ac:dyDescent="0.25">
      <c r="A63" s="38"/>
      <c r="B63" s="38"/>
      <c r="C63" s="139" t="str">
        <f>TRIM(UPPER(D63))&amp;"_"&amp;TRIM(UPPER(E63))</f>
        <v>NJ_ATLANTIC</v>
      </c>
      <c r="D63" s="136" t="s">
        <v>75</v>
      </c>
      <c r="E63" s="262" t="s">
        <v>1326</v>
      </c>
      <c r="F63" s="136" t="s">
        <v>2322</v>
      </c>
      <c r="G63" s="246">
        <v>105360</v>
      </c>
      <c r="H63" s="254">
        <f t="shared" ref="H63:H94" si="0">G63</f>
        <v>105360</v>
      </c>
      <c r="I63" s="246">
        <v>121164</v>
      </c>
      <c r="J63" s="254">
        <f>I63</f>
        <v>121164</v>
      </c>
      <c r="K63" s="254">
        <f>J63</f>
        <v>121164</v>
      </c>
      <c r="L63" s="254">
        <f>K63</f>
        <v>121164</v>
      </c>
      <c r="M63" s="254">
        <f>L63</f>
        <v>121164</v>
      </c>
      <c r="N63" s="254">
        <f>M63</f>
        <v>121164</v>
      </c>
    </row>
    <row r="64" spans="1:14" ht="21.95" customHeight="1" x14ac:dyDescent="0.25">
      <c r="A64" s="38"/>
      <c r="B64" s="38"/>
      <c r="C64" s="139" t="str">
        <f t="shared" ref="C64:C127" si="1">TRIM(UPPER(D64))&amp;"_"&amp;TRIM(UPPER(E64))</f>
        <v>NJ_BERGEN</v>
      </c>
      <c r="D64" s="136" t="s">
        <v>75</v>
      </c>
      <c r="E64" s="262" t="s">
        <v>1327</v>
      </c>
      <c r="F64" s="136" t="s">
        <v>2322</v>
      </c>
      <c r="G64" s="246">
        <v>105360</v>
      </c>
      <c r="H64" s="254">
        <f t="shared" si="0"/>
        <v>105360</v>
      </c>
      <c r="I64" s="246">
        <v>126132</v>
      </c>
      <c r="J64" s="254">
        <f t="shared" ref="J64:M83" si="2">I64</f>
        <v>126132</v>
      </c>
      <c r="K64" s="254">
        <f t="shared" si="2"/>
        <v>126132</v>
      </c>
      <c r="L64" s="254">
        <f t="shared" si="2"/>
        <v>126132</v>
      </c>
      <c r="M64" s="254">
        <f t="shared" si="2"/>
        <v>126132</v>
      </c>
      <c r="N64" s="254">
        <f t="shared" ref="N64:N127" si="3">M64</f>
        <v>126132</v>
      </c>
    </row>
    <row r="65" spans="1:14" ht="21.95" customHeight="1" x14ac:dyDescent="0.25">
      <c r="A65" s="38"/>
      <c r="B65" s="38"/>
      <c r="C65" s="139" t="str">
        <f t="shared" si="1"/>
        <v>NJ_BURLINGTON</v>
      </c>
      <c r="D65" s="136" t="s">
        <v>75</v>
      </c>
      <c r="E65" s="262" t="s">
        <v>1328</v>
      </c>
      <c r="F65" s="136" t="s">
        <v>2322</v>
      </c>
      <c r="G65" s="246">
        <v>105360</v>
      </c>
      <c r="H65" s="254">
        <f t="shared" si="0"/>
        <v>105360</v>
      </c>
      <c r="I65" s="246">
        <v>121164</v>
      </c>
      <c r="J65" s="254">
        <f t="shared" si="2"/>
        <v>121164</v>
      </c>
      <c r="K65" s="254">
        <f t="shared" si="2"/>
        <v>121164</v>
      </c>
      <c r="L65" s="254">
        <f t="shared" si="2"/>
        <v>121164</v>
      </c>
      <c r="M65" s="254">
        <f t="shared" si="2"/>
        <v>121164</v>
      </c>
      <c r="N65" s="254">
        <f t="shared" si="3"/>
        <v>121164</v>
      </c>
    </row>
    <row r="66" spans="1:14" ht="21.95" customHeight="1" x14ac:dyDescent="0.25">
      <c r="A66" s="38"/>
      <c r="B66" s="38"/>
      <c r="C66" s="139" t="str">
        <f t="shared" si="1"/>
        <v>NJ_CAMDEN</v>
      </c>
      <c r="D66" s="136" t="s">
        <v>75</v>
      </c>
      <c r="E66" s="262" t="s">
        <v>537</v>
      </c>
      <c r="F66" s="136" t="s">
        <v>2322</v>
      </c>
      <c r="G66" s="246">
        <v>105360</v>
      </c>
      <c r="H66" s="254">
        <f t="shared" si="0"/>
        <v>105360</v>
      </c>
      <c r="I66" s="246">
        <v>121164</v>
      </c>
      <c r="J66" s="254">
        <f t="shared" si="2"/>
        <v>121164</v>
      </c>
      <c r="K66" s="254">
        <f t="shared" si="2"/>
        <v>121164</v>
      </c>
      <c r="L66" s="254">
        <f t="shared" si="2"/>
        <v>121164</v>
      </c>
      <c r="M66" s="254">
        <f t="shared" si="2"/>
        <v>121164</v>
      </c>
      <c r="N66" s="254">
        <f t="shared" si="3"/>
        <v>121164</v>
      </c>
    </row>
    <row r="67" spans="1:14" ht="21.95" customHeight="1" x14ac:dyDescent="0.25">
      <c r="A67" s="38"/>
      <c r="B67" s="38"/>
      <c r="C67" s="139" t="str">
        <f t="shared" si="1"/>
        <v>NJ_CAPE MAY</v>
      </c>
      <c r="D67" s="136" t="s">
        <v>75</v>
      </c>
      <c r="E67" s="262" t="s">
        <v>1329</v>
      </c>
      <c r="F67" s="136" t="s">
        <v>2322</v>
      </c>
      <c r="G67" s="246">
        <v>105360</v>
      </c>
      <c r="H67" s="254">
        <f t="shared" si="0"/>
        <v>105360</v>
      </c>
      <c r="I67" s="246">
        <v>121164</v>
      </c>
      <c r="J67" s="254">
        <f t="shared" si="2"/>
        <v>121164</v>
      </c>
      <c r="K67" s="254">
        <f t="shared" si="2"/>
        <v>121164</v>
      </c>
      <c r="L67" s="254">
        <f t="shared" si="2"/>
        <v>121164</v>
      </c>
      <c r="M67" s="254">
        <f t="shared" si="2"/>
        <v>121164</v>
      </c>
      <c r="N67" s="254">
        <f t="shared" si="3"/>
        <v>121164</v>
      </c>
    </row>
    <row r="68" spans="1:14" ht="21.95" customHeight="1" x14ac:dyDescent="0.25">
      <c r="A68" s="38"/>
      <c r="B68" s="38"/>
      <c r="C68" s="139" t="str">
        <f t="shared" si="1"/>
        <v>NJ_CUMBERLAND</v>
      </c>
      <c r="D68" s="136" t="s">
        <v>75</v>
      </c>
      <c r="E68" s="262" t="s">
        <v>677</v>
      </c>
      <c r="F68" s="136" t="s">
        <v>2322</v>
      </c>
      <c r="G68" s="246">
        <v>105360</v>
      </c>
      <c r="H68" s="254">
        <f t="shared" si="0"/>
        <v>105360</v>
      </c>
      <c r="I68" s="246">
        <v>121164</v>
      </c>
      <c r="J68" s="254">
        <f t="shared" si="2"/>
        <v>121164</v>
      </c>
      <c r="K68" s="254">
        <f t="shared" si="2"/>
        <v>121164</v>
      </c>
      <c r="L68" s="254">
        <f t="shared" si="2"/>
        <v>121164</v>
      </c>
      <c r="M68" s="254">
        <f t="shared" si="2"/>
        <v>121164</v>
      </c>
      <c r="N68" s="254">
        <f t="shared" si="3"/>
        <v>121164</v>
      </c>
    </row>
    <row r="69" spans="1:14" ht="21.95" customHeight="1" x14ac:dyDescent="0.25">
      <c r="A69" s="38"/>
      <c r="B69" s="38"/>
      <c r="C69" s="139" t="str">
        <f t="shared" si="1"/>
        <v>NJ_ESSEX</v>
      </c>
      <c r="D69" s="136" t="s">
        <v>75</v>
      </c>
      <c r="E69" s="262" t="s">
        <v>1025</v>
      </c>
      <c r="F69" s="136" t="s">
        <v>2322</v>
      </c>
      <c r="G69" s="246">
        <v>108240</v>
      </c>
      <c r="H69" s="254">
        <f t="shared" si="0"/>
        <v>108240</v>
      </c>
      <c r="I69" s="246">
        <v>124476</v>
      </c>
      <c r="J69" s="254">
        <f t="shared" si="2"/>
        <v>124476</v>
      </c>
      <c r="K69" s="254">
        <f t="shared" si="2"/>
        <v>124476</v>
      </c>
      <c r="L69" s="254">
        <f t="shared" si="2"/>
        <v>124476</v>
      </c>
      <c r="M69" s="254">
        <f t="shared" si="2"/>
        <v>124476</v>
      </c>
      <c r="N69" s="254">
        <f t="shared" si="3"/>
        <v>124476</v>
      </c>
    </row>
    <row r="70" spans="1:14" ht="21.95" customHeight="1" x14ac:dyDescent="0.25">
      <c r="A70" s="38"/>
      <c r="B70" s="38"/>
      <c r="C70" s="139" t="str">
        <f t="shared" si="1"/>
        <v>NJ_GLOUCESTER</v>
      </c>
      <c r="D70" s="136" t="s">
        <v>75</v>
      </c>
      <c r="E70" s="262" t="s">
        <v>1330</v>
      </c>
      <c r="F70" s="136" t="s">
        <v>2322</v>
      </c>
      <c r="G70" s="246">
        <v>105360</v>
      </c>
      <c r="H70" s="254">
        <f t="shared" si="0"/>
        <v>105360</v>
      </c>
      <c r="I70" s="246">
        <v>121164</v>
      </c>
      <c r="J70" s="254">
        <f t="shared" si="2"/>
        <v>121164</v>
      </c>
      <c r="K70" s="254">
        <f t="shared" si="2"/>
        <v>121164</v>
      </c>
      <c r="L70" s="254">
        <f t="shared" si="2"/>
        <v>121164</v>
      </c>
      <c r="M70" s="254">
        <f t="shared" si="2"/>
        <v>121164</v>
      </c>
      <c r="N70" s="254">
        <f t="shared" si="3"/>
        <v>121164</v>
      </c>
    </row>
    <row r="71" spans="1:14" ht="21.95" customHeight="1" x14ac:dyDescent="0.25">
      <c r="A71" s="38"/>
      <c r="B71" s="38"/>
      <c r="C71" s="139" t="str">
        <f t="shared" si="1"/>
        <v>NJ_HUDSON</v>
      </c>
      <c r="D71" s="136" t="s">
        <v>75</v>
      </c>
      <c r="E71" s="262" t="s">
        <v>1331</v>
      </c>
      <c r="F71" s="136" t="s">
        <v>2322</v>
      </c>
      <c r="G71" s="246">
        <v>105360</v>
      </c>
      <c r="H71" s="254">
        <f t="shared" si="0"/>
        <v>105360</v>
      </c>
      <c r="I71" s="246">
        <v>121164</v>
      </c>
      <c r="J71" s="254">
        <f t="shared" si="2"/>
        <v>121164</v>
      </c>
      <c r="K71" s="254">
        <f t="shared" si="2"/>
        <v>121164</v>
      </c>
      <c r="L71" s="254">
        <f t="shared" si="2"/>
        <v>121164</v>
      </c>
      <c r="M71" s="254">
        <f t="shared" si="2"/>
        <v>121164</v>
      </c>
      <c r="N71" s="254">
        <f t="shared" si="3"/>
        <v>121164</v>
      </c>
    </row>
    <row r="72" spans="1:14" ht="21.95" customHeight="1" x14ac:dyDescent="0.25">
      <c r="A72" s="38"/>
      <c r="B72" s="38"/>
      <c r="C72" s="139" t="str">
        <f t="shared" si="1"/>
        <v>NJ_HUNTERDON</v>
      </c>
      <c r="D72" s="136" t="s">
        <v>75</v>
      </c>
      <c r="E72" s="262" t="s">
        <v>1332</v>
      </c>
      <c r="F72" s="136" t="s">
        <v>2322</v>
      </c>
      <c r="G72" s="246">
        <v>122720</v>
      </c>
      <c r="H72" s="254">
        <f t="shared" si="0"/>
        <v>122720</v>
      </c>
      <c r="I72" s="246">
        <v>141128</v>
      </c>
      <c r="J72" s="254">
        <f t="shared" si="2"/>
        <v>141128</v>
      </c>
      <c r="K72" s="254">
        <f t="shared" si="2"/>
        <v>141128</v>
      </c>
      <c r="L72" s="254">
        <f t="shared" si="2"/>
        <v>141128</v>
      </c>
      <c r="M72" s="254">
        <f t="shared" si="2"/>
        <v>141128</v>
      </c>
      <c r="N72" s="254">
        <f t="shared" si="3"/>
        <v>141128</v>
      </c>
    </row>
    <row r="73" spans="1:14" ht="21.95" customHeight="1" x14ac:dyDescent="0.25">
      <c r="A73" s="38"/>
      <c r="B73" s="38"/>
      <c r="C73" s="139" t="str">
        <f t="shared" si="1"/>
        <v>NJ_MERCER</v>
      </c>
      <c r="D73" s="136" t="s">
        <v>75</v>
      </c>
      <c r="E73" s="262" t="s">
        <v>703</v>
      </c>
      <c r="F73" s="136" t="s">
        <v>2322</v>
      </c>
      <c r="G73" s="246">
        <v>105360</v>
      </c>
      <c r="H73" s="254">
        <f t="shared" si="0"/>
        <v>105360</v>
      </c>
      <c r="I73" s="246">
        <v>121164</v>
      </c>
      <c r="J73" s="254">
        <f t="shared" si="2"/>
        <v>121164</v>
      </c>
      <c r="K73" s="254">
        <f t="shared" si="2"/>
        <v>121164</v>
      </c>
      <c r="L73" s="254">
        <f t="shared" si="2"/>
        <v>121164</v>
      </c>
      <c r="M73" s="254">
        <f t="shared" si="2"/>
        <v>121164</v>
      </c>
      <c r="N73" s="254">
        <f t="shared" si="3"/>
        <v>121164</v>
      </c>
    </row>
    <row r="74" spans="1:14" ht="21.95" customHeight="1" x14ac:dyDescent="0.25">
      <c r="A74" s="38"/>
      <c r="B74" s="38"/>
      <c r="C74" s="139" t="str">
        <f t="shared" si="1"/>
        <v>NJ_MIDDLESEX</v>
      </c>
      <c r="D74" s="136" t="s">
        <v>75</v>
      </c>
      <c r="E74" s="262" t="s">
        <v>463</v>
      </c>
      <c r="F74" s="136" t="s">
        <v>2322</v>
      </c>
      <c r="G74" s="246">
        <v>122720</v>
      </c>
      <c r="H74" s="254">
        <f t="shared" si="0"/>
        <v>122720</v>
      </c>
      <c r="I74" s="246">
        <v>141128</v>
      </c>
      <c r="J74" s="254">
        <f t="shared" si="2"/>
        <v>141128</v>
      </c>
      <c r="K74" s="254">
        <f t="shared" si="2"/>
        <v>141128</v>
      </c>
      <c r="L74" s="254">
        <f t="shared" si="2"/>
        <v>141128</v>
      </c>
      <c r="M74" s="254">
        <f t="shared" si="2"/>
        <v>141128</v>
      </c>
      <c r="N74" s="254">
        <f t="shared" si="3"/>
        <v>141128</v>
      </c>
    </row>
    <row r="75" spans="1:14" ht="21.95" customHeight="1" x14ac:dyDescent="0.25">
      <c r="A75" s="38"/>
      <c r="B75" s="38"/>
      <c r="C75" s="139" t="str">
        <f t="shared" si="1"/>
        <v>NJ_MONMOUTH</v>
      </c>
      <c r="D75" s="136" t="s">
        <v>75</v>
      </c>
      <c r="E75" s="262" t="s">
        <v>1333</v>
      </c>
      <c r="F75" s="136" t="s">
        <v>2322</v>
      </c>
      <c r="G75" s="246">
        <v>109440</v>
      </c>
      <c r="H75" s="254">
        <f t="shared" si="0"/>
        <v>109440</v>
      </c>
      <c r="I75" s="246">
        <v>125856</v>
      </c>
      <c r="J75" s="254">
        <f t="shared" si="2"/>
        <v>125856</v>
      </c>
      <c r="K75" s="254">
        <f t="shared" si="2"/>
        <v>125856</v>
      </c>
      <c r="L75" s="254">
        <f t="shared" si="2"/>
        <v>125856</v>
      </c>
      <c r="M75" s="254">
        <f t="shared" si="2"/>
        <v>125856</v>
      </c>
      <c r="N75" s="254">
        <f t="shared" si="3"/>
        <v>125856</v>
      </c>
    </row>
    <row r="76" spans="1:14" ht="21.95" customHeight="1" x14ac:dyDescent="0.25">
      <c r="A76" s="38"/>
      <c r="B76" s="38"/>
      <c r="C76" s="139" t="str">
        <f t="shared" si="1"/>
        <v>NJ_MORRIS</v>
      </c>
      <c r="D76" s="136" t="s">
        <v>75</v>
      </c>
      <c r="E76" s="262" t="s">
        <v>841</v>
      </c>
      <c r="F76" s="136" t="s">
        <v>2322</v>
      </c>
      <c r="G76" s="246">
        <v>108240</v>
      </c>
      <c r="H76" s="254">
        <f t="shared" si="0"/>
        <v>108240</v>
      </c>
      <c r="I76" s="246">
        <v>124476</v>
      </c>
      <c r="J76" s="254">
        <f t="shared" si="2"/>
        <v>124476</v>
      </c>
      <c r="K76" s="254">
        <f t="shared" si="2"/>
        <v>124476</v>
      </c>
      <c r="L76" s="254">
        <f t="shared" si="2"/>
        <v>124476</v>
      </c>
      <c r="M76" s="254">
        <f t="shared" si="2"/>
        <v>124476</v>
      </c>
      <c r="N76" s="254">
        <f t="shared" si="3"/>
        <v>124476</v>
      </c>
    </row>
    <row r="77" spans="1:14" ht="21.95" customHeight="1" x14ac:dyDescent="0.25">
      <c r="A77" s="38"/>
      <c r="B77" s="38"/>
      <c r="C77" s="139" t="str">
        <f t="shared" si="1"/>
        <v>NJ_OCEAN</v>
      </c>
      <c r="D77" s="136" t="s">
        <v>75</v>
      </c>
      <c r="E77" s="262" t="s">
        <v>1334</v>
      </c>
      <c r="F77" s="136" t="s">
        <v>2322</v>
      </c>
      <c r="G77" s="246">
        <v>109440</v>
      </c>
      <c r="H77" s="254">
        <f t="shared" si="0"/>
        <v>109440</v>
      </c>
      <c r="I77" s="246">
        <v>125856</v>
      </c>
      <c r="J77" s="254">
        <f t="shared" si="2"/>
        <v>125856</v>
      </c>
      <c r="K77" s="254">
        <f t="shared" si="2"/>
        <v>125856</v>
      </c>
      <c r="L77" s="254">
        <f t="shared" si="2"/>
        <v>125856</v>
      </c>
      <c r="M77" s="254">
        <f t="shared" si="2"/>
        <v>125856</v>
      </c>
      <c r="N77" s="254">
        <f t="shared" si="3"/>
        <v>125856</v>
      </c>
    </row>
    <row r="78" spans="1:14" ht="21.95" customHeight="1" x14ac:dyDescent="0.25">
      <c r="A78" s="38"/>
      <c r="B78" s="38"/>
      <c r="C78" s="139" t="str">
        <f t="shared" si="1"/>
        <v>NJ_PASSAIC</v>
      </c>
      <c r="D78" s="136" t="s">
        <v>75</v>
      </c>
      <c r="E78" s="262" t="s">
        <v>1335</v>
      </c>
      <c r="F78" s="136" t="s">
        <v>2322</v>
      </c>
      <c r="G78" s="246">
        <v>105360</v>
      </c>
      <c r="H78" s="254">
        <f t="shared" si="0"/>
        <v>105360</v>
      </c>
      <c r="I78" s="246">
        <v>126132</v>
      </c>
      <c r="J78" s="254">
        <f t="shared" si="2"/>
        <v>126132</v>
      </c>
      <c r="K78" s="254">
        <f t="shared" si="2"/>
        <v>126132</v>
      </c>
      <c r="L78" s="254">
        <f t="shared" si="2"/>
        <v>126132</v>
      </c>
      <c r="M78" s="254">
        <f t="shared" si="2"/>
        <v>126132</v>
      </c>
      <c r="N78" s="254">
        <f t="shared" si="3"/>
        <v>126132</v>
      </c>
    </row>
    <row r="79" spans="1:14" ht="21.95" customHeight="1" x14ac:dyDescent="0.25">
      <c r="A79" s="38"/>
      <c r="B79" s="38"/>
      <c r="C79" s="139" t="str">
        <f t="shared" si="1"/>
        <v>NJ_SALEM</v>
      </c>
      <c r="D79" s="136" t="s">
        <v>75</v>
      </c>
      <c r="E79" s="262" t="s">
        <v>1336</v>
      </c>
      <c r="F79" s="136" t="s">
        <v>2322</v>
      </c>
      <c r="G79" s="246">
        <v>105360</v>
      </c>
      <c r="H79" s="254">
        <f t="shared" si="0"/>
        <v>105360</v>
      </c>
      <c r="I79" s="246">
        <v>121164</v>
      </c>
      <c r="J79" s="254">
        <f t="shared" si="2"/>
        <v>121164</v>
      </c>
      <c r="K79" s="254">
        <f t="shared" si="2"/>
        <v>121164</v>
      </c>
      <c r="L79" s="254">
        <f t="shared" si="2"/>
        <v>121164</v>
      </c>
      <c r="M79" s="254">
        <f t="shared" si="2"/>
        <v>121164</v>
      </c>
      <c r="N79" s="254">
        <f t="shared" si="3"/>
        <v>121164</v>
      </c>
    </row>
    <row r="80" spans="1:14" ht="21.95" customHeight="1" x14ac:dyDescent="0.25">
      <c r="A80" s="38"/>
      <c r="B80" s="38"/>
      <c r="C80" s="139" t="str">
        <f t="shared" si="1"/>
        <v>NJ_SOMERSET</v>
      </c>
      <c r="D80" s="136" t="s">
        <v>75</v>
      </c>
      <c r="E80" s="262" t="s">
        <v>1001</v>
      </c>
      <c r="F80" s="136" t="s">
        <v>2322</v>
      </c>
      <c r="G80" s="246">
        <v>122720</v>
      </c>
      <c r="H80" s="254">
        <f t="shared" si="0"/>
        <v>122720</v>
      </c>
      <c r="I80" s="246">
        <v>141128</v>
      </c>
      <c r="J80" s="254">
        <f t="shared" si="2"/>
        <v>141128</v>
      </c>
      <c r="K80" s="254">
        <f t="shared" si="2"/>
        <v>141128</v>
      </c>
      <c r="L80" s="254">
        <f t="shared" si="2"/>
        <v>141128</v>
      </c>
      <c r="M80" s="254">
        <f t="shared" si="2"/>
        <v>141128</v>
      </c>
      <c r="N80" s="254">
        <f t="shared" si="3"/>
        <v>141128</v>
      </c>
    </row>
    <row r="81" spans="1:14" ht="21.95" customHeight="1" x14ac:dyDescent="0.25">
      <c r="A81" s="38"/>
      <c r="B81" s="38"/>
      <c r="C81" s="139" t="str">
        <f t="shared" si="1"/>
        <v>NJ_SUSSEX</v>
      </c>
      <c r="D81" s="136" t="s">
        <v>75</v>
      </c>
      <c r="E81" s="262" t="s">
        <v>470</v>
      </c>
      <c r="F81" s="136" t="s">
        <v>2322</v>
      </c>
      <c r="G81" s="246">
        <v>108240</v>
      </c>
      <c r="H81" s="254">
        <f t="shared" si="0"/>
        <v>108240</v>
      </c>
      <c r="I81" s="246">
        <v>124476</v>
      </c>
      <c r="J81" s="254">
        <f t="shared" si="2"/>
        <v>124476</v>
      </c>
      <c r="K81" s="254">
        <f t="shared" si="2"/>
        <v>124476</v>
      </c>
      <c r="L81" s="254">
        <f t="shared" si="2"/>
        <v>124476</v>
      </c>
      <c r="M81" s="254">
        <f t="shared" si="2"/>
        <v>124476</v>
      </c>
      <c r="N81" s="254">
        <f t="shared" si="3"/>
        <v>124476</v>
      </c>
    </row>
    <row r="82" spans="1:14" ht="21.95" customHeight="1" x14ac:dyDescent="0.25">
      <c r="A82" s="38"/>
      <c r="B82" s="38"/>
      <c r="C82" s="139" t="str">
        <f t="shared" si="1"/>
        <v>NJ_UNION</v>
      </c>
      <c r="D82" s="136" t="s">
        <v>75</v>
      </c>
      <c r="E82" s="262" t="s">
        <v>345</v>
      </c>
      <c r="F82" s="136" t="s">
        <v>2322</v>
      </c>
      <c r="G82" s="246">
        <v>108240</v>
      </c>
      <c r="H82" s="254">
        <f t="shared" si="0"/>
        <v>108240</v>
      </c>
      <c r="I82" s="246">
        <v>124476</v>
      </c>
      <c r="J82" s="254">
        <f t="shared" si="2"/>
        <v>124476</v>
      </c>
      <c r="K82" s="254">
        <f t="shared" si="2"/>
        <v>124476</v>
      </c>
      <c r="L82" s="254">
        <f t="shared" si="2"/>
        <v>124476</v>
      </c>
      <c r="M82" s="254">
        <f t="shared" si="2"/>
        <v>124476</v>
      </c>
      <c r="N82" s="254">
        <f t="shared" si="3"/>
        <v>124476</v>
      </c>
    </row>
    <row r="83" spans="1:14" ht="21.95" customHeight="1" x14ac:dyDescent="0.25">
      <c r="A83" s="38"/>
      <c r="B83" s="38"/>
      <c r="C83" s="139" t="str">
        <f t="shared" si="1"/>
        <v>NJ_WARREN</v>
      </c>
      <c r="D83" s="136" t="s">
        <v>75</v>
      </c>
      <c r="E83" s="262" t="s">
        <v>622</v>
      </c>
      <c r="F83" s="136" t="s">
        <v>2322</v>
      </c>
      <c r="G83" s="246">
        <v>106960</v>
      </c>
      <c r="H83" s="254">
        <f t="shared" si="0"/>
        <v>106960</v>
      </c>
      <c r="I83" s="246">
        <v>123004</v>
      </c>
      <c r="J83" s="254">
        <f t="shared" si="2"/>
        <v>123004</v>
      </c>
      <c r="K83" s="254">
        <f t="shared" si="2"/>
        <v>123004</v>
      </c>
      <c r="L83" s="254">
        <f t="shared" si="2"/>
        <v>123004</v>
      </c>
      <c r="M83" s="254">
        <f t="shared" si="2"/>
        <v>123004</v>
      </c>
      <c r="N83" s="254">
        <f t="shared" si="3"/>
        <v>123004</v>
      </c>
    </row>
    <row r="84" spans="1:14" ht="21.95" customHeight="1" x14ac:dyDescent="0.25">
      <c r="A84" s="38"/>
      <c r="B84" s="38"/>
      <c r="C84" s="139" t="str">
        <f t="shared" si="1"/>
        <v>NY_ALBANY</v>
      </c>
      <c r="D84" s="136" t="s">
        <v>54</v>
      </c>
      <c r="E84" s="262" t="s">
        <v>1361</v>
      </c>
      <c r="F84" s="136" t="s">
        <v>2322</v>
      </c>
      <c r="G84" s="246">
        <v>92880</v>
      </c>
      <c r="H84" s="254">
        <f t="shared" si="0"/>
        <v>92880</v>
      </c>
      <c r="I84" s="246">
        <v>106812</v>
      </c>
      <c r="J84" s="254">
        <f t="shared" ref="J84:M103" si="4">I84</f>
        <v>106812</v>
      </c>
      <c r="K84" s="254">
        <f t="shared" si="4"/>
        <v>106812</v>
      </c>
      <c r="L84" s="254">
        <f t="shared" si="4"/>
        <v>106812</v>
      </c>
      <c r="M84" s="254">
        <f t="shared" si="4"/>
        <v>106812</v>
      </c>
      <c r="N84" s="254">
        <f t="shared" si="3"/>
        <v>106812</v>
      </c>
    </row>
    <row r="85" spans="1:14" ht="21.95" customHeight="1" x14ac:dyDescent="0.25">
      <c r="A85" s="38"/>
      <c r="B85" s="38"/>
      <c r="C85" s="139" t="str">
        <f t="shared" si="1"/>
        <v>NY_ALLEGANY</v>
      </c>
      <c r="D85" s="136" t="s">
        <v>54</v>
      </c>
      <c r="E85" s="262" t="s">
        <v>1004</v>
      </c>
      <c r="F85" s="136" t="s">
        <v>2322</v>
      </c>
      <c r="G85" s="246">
        <v>88160</v>
      </c>
      <c r="H85" s="254">
        <f t="shared" si="0"/>
        <v>88160</v>
      </c>
      <c r="I85" s="246">
        <v>101384</v>
      </c>
      <c r="J85" s="254">
        <f t="shared" si="4"/>
        <v>101384</v>
      </c>
      <c r="K85" s="254">
        <f t="shared" si="4"/>
        <v>101384</v>
      </c>
      <c r="L85" s="254">
        <f t="shared" si="4"/>
        <v>101384</v>
      </c>
      <c r="M85" s="254">
        <f t="shared" si="4"/>
        <v>101384</v>
      </c>
      <c r="N85" s="254">
        <f t="shared" si="3"/>
        <v>101384</v>
      </c>
    </row>
    <row r="86" spans="1:14" ht="21.95" customHeight="1" x14ac:dyDescent="0.25">
      <c r="A86" s="38"/>
      <c r="B86" s="38"/>
      <c r="C86" s="139" t="str">
        <f t="shared" si="1"/>
        <v>NY_BRONX</v>
      </c>
      <c r="D86" s="136" t="s">
        <v>54</v>
      </c>
      <c r="E86" s="262" t="s">
        <v>1362</v>
      </c>
      <c r="F86" s="136" t="s">
        <v>2322</v>
      </c>
      <c r="G86" s="246">
        <v>155520</v>
      </c>
      <c r="H86" s="254">
        <f t="shared" si="0"/>
        <v>155520</v>
      </c>
      <c r="I86" s="246">
        <v>181440</v>
      </c>
      <c r="J86" s="254">
        <f t="shared" si="4"/>
        <v>181440</v>
      </c>
      <c r="K86" s="254">
        <f t="shared" si="4"/>
        <v>181440</v>
      </c>
      <c r="L86" s="254">
        <f t="shared" si="4"/>
        <v>181440</v>
      </c>
      <c r="M86" s="254">
        <f t="shared" si="4"/>
        <v>181440</v>
      </c>
      <c r="N86" s="254">
        <f t="shared" si="3"/>
        <v>181440</v>
      </c>
    </row>
    <row r="87" spans="1:14" ht="21.95" customHeight="1" x14ac:dyDescent="0.25">
      <c r="A87" s="38"/>
      <c r="B87" s="38"/>
      <c r="C87" s="139" t="str">
        <f t="shared" si="1"/>
        <v>NY_BROOME</v>
      </c>
      <c r="D87" s="136" t="s">
        <v>54</v>
      </c>
      <c r="E87" s="262" t="s">
        <v>1363</v>
      </c>
      <c r="F87" s="136" t="s">
        <v>2322</v>
      </c>
      <c r="G87" s="246">
        <v>88160</v>
      </c>
      <c r="H87" s="254">
        <f t="shared" si="0"/>
        <v>88160</v>
      </c>
      <c r="I87" s="246">
        <v>101384</v>
      </c>
      <c r="J87" s="254">
        <f t="shared" si="4"/>
        <v>101384</v>
      </c>
      <c r="K87" s="254">
        <f t="shared" si="4"/>
        <v>101384</v>
      </c>
      <c r="L87" s="254">
        <f t="shared" si="4"/>
        <v>101384</v>
      </c>
      <c r="M87" s="254">
        <f t="shared" si="4"/>
        <v>101384</v>
      </c>
      <c r="N87" s="254">
        <f t="shared" si="3"/>
        <v>101384</v>
      </c>
    </row>
    <row r="88" spans="1:14" ht="21.95" customHeight="1" x14ac:dyDescent="0.25">
      <c r="A88" s="38"/>
      <c r="B88" s="38"/>
      <c r="C88" s="139" t="str">
        <f t="shared" si="1"/>
        <v>NY_CATTARAUGUS</v>
      </c>
      <c r="D88" s="136" t="s">
        <v>54</v>
      </c>
      <c r="E88" s="262" t="s">
        <v>1364</v>
      </c>
      <c r="F88" s="136" t="s">
        <v>2322</v>
      </c>
      <c r="G88" s="246">
        <v>88160</v>
      </c>
      <c r="H88" s="254">
        <f t="shared" si="0"/>
        <v>88160</v>
      </c>
      <c r="I88" s="246">
        <v>101384</v>
      </c>
      <c r="J88" s="254">
        <f t="shared" si="4"/>
        <v>101384</v>
      </c>
      <c r="K88" s="254">
        <f t="shared" si="4"/>
        <v>101384</v>
      </c>
      <c r="L88" s="254">
        <f t="shared" si="4"/>
        <v>101384</v>
      </c>
      <c r="M88" s="254">
        <f t="shared" si="4"/>
        <v>101384</v>
      </c>
      <c r="N88" s="254">
        <f t="shared" si="3"/>
        <v>101384</v>
      </c>
    </row>
    <row r="89" spans="1:14" ht="21.95" customHeight="1" x14ac:dyDescent="0.25">
      <c r="A89" s="38"/>
      <c r="B89" s="38"/>
      <c r="C89" s="139" t="str">
        <f t="shared" si="1"/>
        <v>NY_CAYUGA</v>
      </c>
      <c r="D89" s="136" t="s">
        <v>54</v>
      </c>
      <c r="E89" s="262" t="s">
        <v>1365</v>
      </c>
      <c r="F89" s="136" t="s">
        <v>2322</v>
      </c>
      <c r="G89" s="246">
        <v>88160</v>
      </c>
      <c r="H89" s="254">
        <f t="shared" si="0"/>
        <v>88160</v>
      </c>
      <c r="I89" s="246">
        <v>101384</v>
      </c>
      <c r="J89" s="254">
        <f t="shared" si="4"/>
        <v>101384</v>
      </c>
      <c r="K89" s="254">
        <f t="shared" si="4"/>
        <v>101384</v>
      </c>
      <c r="L89" s="254">
        <f t="shared" si="4"/>
        <v>101384</v>
      </c>
      <c r="M89" s="254">
        <f t="shared" si="4"/>
        <v>101384</v>
      </c>
      <c r="N89" s="254">
        <f t="shared" si="3"/>
        <v>101384</v>
      </c>
    </row>
    <row r="90" spans="1:14" ht="21.95" customHeight="1" x14ac:dyDescent="0.25">
      <c r="A90" s="38"/>
      <c r="B90" s="38"/>
      <c r="C90" s="139" t="str">
        <f t="shared" si="1"/>
        <v>NY_CHAUTAUQUA</v>
      </c>
      <c r="D90" s="136" t="s">
        <v>54</v>
      </c>
      <c r="E90" s="262" t="s">
        <v>814</v>
      </c>
      <c r="F90" s="136" t="s">
        <v>2322</v>
      </c>
      <c r="G90" s="246">
        <v>88160</v>
      </c>
      <c r="H90" s="254">
        <f t="shared" si="0"/>
        <v>88160</v>
      </c>
      <c r="I90" s="246">
        <v>101384</v>
      </c>
      <c r="J90" s="254">
        <f t="shared" si="4"/>
        <v>101384</v>
      </c>
      <c r="K90" s="254">
        <f t="shared" si="4"/>
        <v>101384</v>
      </c>
      <c r="L90" s="254">
        <f t="shared" si="4"/>
        <v>101384</v>
      </c>
      <c r="M90" s="254">
        <f t="shared" si="4"/>
        <v>101384</v>
      </c>
      <c r="N90" s="254">
        <f t="shared" si="3"/>
        <v>101384</v>
      </c>
    </row>
    <row r="91" spans="1:14" ht="21.95" customHeight="1" x14ac:dyDescent="0.25">
      <c r="A91" s="38"/>
      <c r="B91" s="38"/>
      <c r="C91" s="139" t="str">
        <f t="shared" si="1"/>
        <v>NY_CHEMUNG</v>
      </c>
      <c r="D91" s="136" t="s">
        <v>54</v>
      </c>
      <c r="E91" s="262" t="s">
        <v>1366</v>
      </c>
      <c r="F91" s="136" t="s">
        <v>2322</v>
      </c>
      <c r="G91" s="246">
        <v>88160</v>
      </c>
      <c r="H91" s="254">
        <f t="shared" si="0"/>
        <v>88160</v>
      </c>
      <c r="I91" s="246">
        <v>101384</v>
      </c>
      <c r="J91" s="254">
        <f t="shared" si="4"/>
        <v>101384</v>
      </c>
      <c r="K91" s="254">
        <f t="shared" si="4"/>
        <v>101384</v>
      </c>
      <c r="L91" s="254">
        <f t="shared" si="4"/>
        <v>101384</v>
      </c>
      <c r="M91" s="254">
        <f t="shared" si="4"/>
        <v>101384</v>
      </c>
      <c r="N91" s="254">
        <f t="shared" si="3"/>
        <v>101384</v>
      </c>
    </row>
    <row r="92" spans="1:14" ht="21.95" customHeight="1" x14ac:dyDescent="0.25">
      <c r="A92" s="38"/>
      <c r="B92" s="38"/>
      <c r="C92" s="139" t="str">
        <f t="shared" si="1"/>
        <v>NY_CHENANGO</v>
      </c>
      <c r="D92" s="136" t="s">
        <v>54</v>
      </c>
      <c r="E92" s="262" t="s">
        <v>1367</v>
      </c>
      <c r="F92" s="136" t="s">
        <v>2322</v>
      </c>
      <c r="G92" s="246">
        <v>88160</v>
      </c>
      <c r="H92" s="254">
        <f t="shared" si="0"/>
        <v>88160</v>
      </c>
      <c r="I92" s="246">
        <v>101384</v>
      </c>
      <c r="J92" s="254">
        <f t="shared" si="4"/>
        <v>101384</v>
      </c>
      <c r="K92" s="254">
        <f t="shared" si="4"/>
        <v>101384</v>
      </c>
      <c r="L92" s="254">
        <f t="shared" si="4"/>
        <v>101384</v>
      </c>
      <c r="M92" s="254">
        <f t="shared" si="4"/>
        <v>101384</v>
      </c>
      <c r="N92" s="254">
        <f t="shared" si="3"/>
        <v>101384</v>
      </c>
    </row>
    <row r="93" spans="1:14" ht="21.95" customHeight="1" x14ac:dyDescent="0.25">
      <c r="A93" s="38"/>
      <c r="B93" s="38"/>
      <c r="C93" s="139" t="str">
        <f t="shared" si="1"/>
        <v>NY_CLINTON</v>
      </c>
      <c r="D93" s="136" t="s">
        <v>54</v>
      </c>
      <c r="E93" s="262" t="s">
        <v>675</v>
      </c>
      <c r="F93" s="136" t="s">
        <v>2322</v>
      </c>
      <c r="G93" s="246">
        <v>88160</v>
      </c>
      <c r="H93" s="254">
        <f t="shared" si="0"/>
        <v>88160</v>
      </c>
      <c r="I93" s="246">
        <v>101384</v>
      </c>
      <c r="J93" s="254">
        <f t="shared" si="4"/>
        <v>101384</v>
      </c>
      <c r="K93" s="254">
        <f t="shared" si="4"/>
        <v>101384</v>
      </c>
      <c r="L93" s="254">
        <f t="shared" si="4"/>
        <v>101384</v>
      </c>
      <c r="M93" s="254">
        <f t="shared" si="4"/>
        <v>101384</v>
      </c>
      <c r="N93" s="254">
        <f t="shared" si="3"/>
        <v>101384</v>
      </c>
    </row>
    <row r="94" spans="1:14" ht="21.95" customHeight="1" x14ac:dyDescent="0.25">
      <c r="A94" s="38"/>
      <c r="B94" s="38"/>
      <c r="C94" s="139" t="str">
        <f t="shared" si="1"/>
        <v>NY_COLUMBIA</v>
      </c>
      <c r="D94" s="136" t="s">
        <v>54</v>
      </c>
      <c r="E94" s="262" t="s">
        <v>303</v>
      </c>
      <c r="F94" s="136" t="s">
        <v>2322</v>
      </c>
      <c r="G94" s="246">
        <v>90160</v>
      </c>
      <c r="H94" s="254">
        <f t="shared" si="0"/>
        <v>90160</v>
      </c>
      <c r="I94" s="246">
        <v>103684</v>
      </c>
      <c r="J94" s="254">
        <f t="shared" si="4"/>
        <v>103684</v>
      </c>
      <c r="K94" s="254">
        <f t="shared" si="4"/>
        <v>103684</v>
      </c>
      <c r="L94" s="254">
        <f t="shared" si="4"/>
        <v>103684</v>
      </c>
      <c r="M94" s="254">
        <f t="shared" si="4"/>
        <v>103684</v>
      </c>
      <c r="N94" s="254">
        <f t="shared" si="3"/>
        <v>103684</v>
      </c>
    </row>
    <row r="95" spans="1:14" ht="21.95" customHeight="1" x14ac:dyDescent="0.25">
      <c r="A95" s="38"/>
      <c r="B95" s="38"/>
      <c r="C95" s="139" t="str">
        <f t="shared" si="1"/>
        <v>NY_CORTLAND</v>
      </c>
      <c r="D95" s="136" t="s">
        <v>54</v>
      </c>
      <c r="E95" s="262" t="s">
        <v>1368</v>
      </c>
      <c r="F95" s="136" t="s">
        <v>2322</v>
      </c>
      <c r="G95" s="246">
        <v>88160</v>
      </c>
      <c r="H95" s="254">
        <f t="shared" ref="H95:H126" si="5">G95</f>
        <v>88160</v>
      </c>
      <c r="I95" s="246">
        <v>101384</v>
      </c>
      <c r="J95" s="254">
        <f t="shared" si="4"/>
        <v>101384</v>
      </c>
      <c r="K95" s="254">
        <f t="shared" si="4"/>
        <v>101384</v>
      </c>
      <c r="L95" s="254">
        <f t="shared" si="4"/>
        <v>101384</v>
      </c>
      <c r="M95" s="254">
        <f t="shared" si="4"/>
        <v>101384</v>
      </c>
      <c r="N95" s="254">
        <f t="shared" si="3"/>
        <v>101384</v>
      </c>
    </row>
    <row r="96" spans="1:14" ht="21.95" customHeight="1" x14ac:dyDescent="0.25">
      <c r="A96" s="38"/>
      <c r="B96" s="38"/>
      <c r="C96" s="139" t="str">
        <f t="shared" si="1"/>
        <v>NY_DELAWARE</v>
      </c>
      <c r="D96" s="136" t="s">
        <v>54</v>
      </c>
      <c r="E96" s="262" t="s">
        <v>727</v>
      </c>
      <c r="F96" s="136" t="s">
        <v>2322</v>
      </c>
      <c r="G96" s="246">
        <v>88160</v>
      </c>
      <c r="H96" s="254">
        <f t="shared" si="5"/>
        <v>88160</v>
      </c>
      <c r="I96" s="246">
        <v>101384</v>
      </c>
      <c r="J96" s="254">
        <f t="shared" si="4"/>
        <v>101384</v>
      </c>
      <c r="K96" s="254">
        <f t="shared" si="4"/>
        <v>101384</v>
      </c>
      <c r="L96" s="254">
        <f t="shared" si="4"/>
        <v>101384</v>
      </c>
      <c r="M96" s="254">
        <f t="shared" si="4"/>
        <v>101384</v>
      </c>
      <c r="N96" s="254">
        <f t="shared" si="3"/>
        <v>101384</v>
      </c>
    </row>
    <row r="97" spans="1:14" ht="21.95" customHeight="1" x14ac:dyDescent="0.25">
      <c r="A97" s="38"/>
      <c r="B97" s="38"/>
      <c r="C97" s="139" t="str">
        <f t="shared" si="1"/>
        <v>NY_DUTCHESS</v>
      </c>
      <c r="D97" s="136" t="s">
        <v>54</v>
      </c>
      <c r="E97" s="262" t="s">
        <v>1369</v>
      </c>
      <c r="F97" s="136" t="s">
        <v>2322</v>
      </c>
      <c r="G97" s="246">
        <v>98400</v>
      </c>
      <c r="H97" s="254">
        <f t="shared" si="5"/>
        <v>98400</v>
      </c>
      <c r="I97" s="246">
        <v>113160</v>
      </c>
      <c r="J97" s="254">
        <f t="shared" si="4"/>
        <v>113160</v>
      </c>
      <c r="K97" s="254">
        <f t="shared" si="4"/>
        <v>113160</v>
      </c>
      <c r="L97" s="254">
        <f t="shared" si="4"/>
        <v>113160</v>
      </c>
      <c r="M97" s="254">
        <f t="shared" si="4"/>
        <v>113160</v>
      </c>
      <c r="N97" s="254">
        <f t="shared" si="3"/>
        <v>113160</v>
      </c>
    </row>
    <row r="98" spans="1:14" ht="21.95" customHeight="1" x14ac:dyDescent="0.25">
      <c r="A98" s="38"/>
      <c r="B98" s="38"/>
      <c r="C98" s="139" t="str">
        <f t="shared" si="1"/>
        <v>NY_ERIE</v>
      </c>
      <c r="D98" s="136" t="s">
        <v>54</v>
      </c>
      <c r="E98" s="262" t="s">
        <v>1370</v>
      </c>
      <c r="F98" s="136" t="s">
        <v>2322</v>
      </c>
      <c r="G98" s="246">
        <v>88160</v>
      </c>
      <c r="H98" s="254">
        <f t="shared" si="5"/>
        <v>88160</v>
      </c>
      <c r="I98" s="246">
        <v>101384</v>
      </c>
      <c r="J98" s="254">
        <f t="shared" si="4"/>
        <v>101384</v>
      </c>
      <c r="K98" s="254">
        <f t="shared" si="4"/>
        <v>101384</v>
      </c>
      <c r="L98" s="254">
        <f t="shared" si="4"/>
        <v>101384</v>
      </c>
      <c r="M98" s="254">
        <f t="shared" si="4"/>
        <v>101384</v>
      </c>
      <c r="N98" s="254">
        <f t="shared" si="3"/>
        <v>101384</v>
      </c>
    </row>
    <row r="99" spans="1:14" ht="21.95" customHeight="1" x14ac:dyDescent="0.25">
      <c r="A99" s="38"/>
      <c r="B99" s="38"/>
      <c r="C99" s="139" t="str">
        <f t="shared" si="1"/>
        <v>NY_ESSEX</v>
      </c>
      <c r="D99" s="136" t="s">
        <v>54</v>
      </c>
      <c r="E99" s="262" t="s">
        <v>1025</v>
      </c>
      <c r="F99" s="136" t="s">
        <v>2322</v>
      </c>
      <c r="G99" s="246">
        <v>88160</v>
      </c>
      <c r="H99" s="254">
        <f t="shared" si="5"/>
        <v>88160</v>
      </c>
      <c r="I99" s="246">
        <v>101384</v>
      </c>
      <c r="J99" s="254">
        <f t="shared" si="4"/>
        <v>101384</v>
      </c>
      <c r="K99" s="254">
        <f t="shared" si="4"/>
        <v>101384</v>
      </c>
      <c r="L99" s="254">
        <f t="shared" si="4"/>
        <v>101384</v>
      </c>
      <c r="M99" s="254">
        <f t="shared" si="4"/>
        <v>101384</v>
      </c>
      <c r="N99" s="254">
        <f t="shared" si="3"/>
        <v>101384</v>
      </c>
    </row>
    <row r="100" spans="1:14" ht="21.95" customHeight="1" x14ac:dyDescent="0.25">
      <c r="A100" s="38"/>
      <c r="B100" s="38"/>
      <c r="C100" s="139" t="str">
        <f t="shared" si="1"/>
        <v>NY_FRANKLIN</v>
      </c>
      <c r="D100" s="136" t="s">
        <v>54</v>
      </c>
      <c r="E100" s="262" t="s">
        <v>223</v>
      </c>
      <c r="F100" s="136" t="s">
        <v>2322</v>
      </c>
      <c r="G100" s="246">
        <v>88160</v>
      </c>
      <c r="H100" s="254">
        <f t="shared" si="5"/>
        <v>88160</v>
      </c>
      <c r="I100" s="246">
        <v>101384</v>
      </c>
      <c r="J100" s="254">
        <f t="shared" si="4"/>
        <v>101384</v>
      </c>
      <c r="K100" s="254">
        <f t="shared" si="4"/>
        <v>101384</v>
      </c>
      <c r="L100" s="254">
        <f t="shared" si="4"/>
        <v>101384</v>
      </c>
      <c r="M100" s="254">
        <f t="shared" si="4"/>
        <v>101384</v>
      </c>
      <c r="N100" s="254">
        <f t="shared" si="3"/>
        <v>101384</v>
      </c>
    </row>
    <row r="101" spans="1:14" ht="21.95" customHeight="1" x14ac:dyDescent="0.25">
      <c r="A101" s="38"/>
      <c r="B101" s="38"/>
      <c r="C101" s="139" t="str">
        <f t="shared" si="1"/>
        <v>NY_FULTON</v>
      </c>
      <c r="D101" s="136" t="s">
        <v>54</v>
      </c>
      <c r="E101" s="262" t="s">
        <v>312</v>
      </c>
      <c r="F101" s="136" t="s">
        <v>2322</v>
      </c>
      <c r="G101" s="246">
        <v>88160</v>
      </c>
      <c r="H101" s="254">
        <f t="shared" si="5"/>
        <v>88160</v>
      </c>
      <c r="I101" s="246">
        <v>101384</v>
      </c>
      <c r="J101" s="254">
        <f t="shared" si="4"/>
        <v>101384</v>
      </c>
      <c r="K101" s="254">
        <f t="shared" si="4"/>
        <v>101384</v>
      </c>
      <c r="L101" s="254">
        <f t="shared" si="4"/>
        <v>101384</v>
      </c>
      <c r="M101" s="254">
        <f t="shared" si="4"/>
        <v>101384</v>
      </c>
      <c r="N101" s="254">
        <f t="shared" si="3"/>
        <v>101384</v>
      </c>
    </row>
    <row r="102" spans="1:14" ht="21.95" customHeight="1" x14ac:dyDescent="0.25">
      <c r="A102" s="38"/>
      <c r="B102" s="38"/>
      <c r="C102" s="139" t="str">
        <f t="shared" si="1"/>
        <v>NY_GENESEE</v>
      </c>
      <c r="D102" s="136" t="s">
        <v>54</v>
      </c>
      <c r="E102" s="262" t="s">
        <v>1046</v>
      </c>
      <c r="F102" s="136" t="s">
        <v>2322</v>
      </c>
      <c r="G102" s="246">
        <v>88160</v>
      </c>
      <c r="H102" s="254">
        <f t="shared" si="5"/>
        <v>88160</v>
      </c>
      <c r="I102" s="246">
        <v>101384</v>
      </c>
      <c r="J102" s="254">
        <f t="shared" si="4"/>
        <v>101384</v>
      </c>
      <c r="K102" s="254">
        <f t="shared" si="4"/>
        <v>101384</v>
      </c>
      <c r="L102" s="254">
        <f t="shared" si="4"/>
        <v>101384</v>
      </c>
      <c r="M102" s="254">
        <f t="shared" si="4"/>
        <v>101384</v>
      </c>
      <c r="N102" s="254">
        <f t="shared" si="3"/>
        <v>101384</v>
      </c>
    </row>
    <row r="103" spans="1:14" ht="21.95" customHeight="1" x14ac:dyDescent="0.25">
      <c r="A103" s="38"/>
      <c r="B103" s="38"/>
      <c r="C103" s="139" t="str">
        <f t="shared" si="1"/>
        <v>NY_GREENE</v>
      </c>
      <c r="D103" s="136" t="s">
        <v>54</v>
      </c>
      <c r="E103" s="262" t="s">
        <v>225</v>
      </c>
      <c r="F103" s="136" t="s">
        <v>2322</v>
      </c>
      <c r="G103" s="246">
        <v>88160</v>
      </c>
      <c r="H103" s="254">
        <f t="shared" si="5"/>
        <v>88160</v>
      </c>
      <c r="I103" s="246">
        <v>101384</v>
      </c>
      <c r="J103" s="254">
        <f t="shared" si="4"/>
        <v>101384</v>
      </c>
      <c r="K103" s="254">
        <f t="shared" si="4"/>
        <v>101384</v>
      </c>
      <c r="L103" s="254">
        <f t="shared" si="4"/>
        <v>101384</v>
      </c>
      <c r="M103" s="254">
        <f t="shared" si="4"/>
        <v>101384</v>
      </c>
      <c r="N103" s="254">
        <f t="shared" si="3"/>
        <v>101384</v>
      </c>
    </row>
    <row r="104" spans="1:14" ht="21.95" customHeight="1" x14ac:dyDescent="0.25">
      <c r="A104" s="38"/>
      <c r="B104" s="38"/>
      <c r="C104" s="139" t="str">
        <f t="shared" si="1"/>
        <v>NY_HAMILTON</v>
      </c>
      <c r="D104" s="136" t="s">
        <v>54</v>
      </c>
      <c r="E104" s="262" t="s">
        <v>491</v>
      </c>
      <c r="F104" s="136" t="s">
        <v>2322</v>
      </c>
      <c r="G104" s="246">
        <v>88160</v>
      </c>
      <c r="H104" s="254">
        <f t="shared" si="5"/>
        <v>88160</v>
      </c>
      <c r="I104" s="246">
        <v>101384</v>
      </c>
      <c r="J104" s="254">
        <f t="shared" ref="J104:M123" si="6">I104</f>
        <v>101384</v>
      </c>
      <c r="K104" s="254">
        <f t="shared" si="6"/>
        <v>101384</v>
      </c>
      <c r="L104" s="254">
        <f t="shared" si="6"/>
        <v>101384</v>
      </c>
      <c r="M104" s="254">
        <f t="shared" si="6"/>
        <v>101384</v>
      </c>
      <c r="N104" s="254">
        <f t="shared" si="3"/>
        <v>101384</v>
      </c>
    </row>
    <row r="105" spans="1:14" ht="21.95" customHeight="1" x14ac:dyDescent="0.25">
      <c r="A105" s="38"/>
      <c r="B105" s="38"/>
      <c r="C105" s="139" t="str">
        <f t="shared" si="1"/>
        <v>NY_HERKIMER</v>
      </c>
      <c r="D105" s="136" t="s">
        <v>54</v>
      </c>
      <c r="E105" s="262" t="s">
        <v>1371</v>
      </c>
      <c r="F105" s="136" t="s">
        <v>2322</v>
      </c>
      <c r="G105" s="246">
        <v>88160</v>
      </c>
      <c r="H105" s="254">
        <f t="shared" si="5"/>
        <v>88160</v>
      </c>
      <c r="I105" s="246">
        <v>101384</v>
      </c>
      <c r="J105" s="254">
        <f t="shared" si="6"/>
        <v>101384</v>
      </c>
      <c r="K105" s="254">
        <f t="shared" si="6"/>
        <v>101384</v>
      </c>
      <c r="L105" s="254">
        <f t="shared" si="6"/>
        <v>101384</v>
      </c>
      <c r="M105" s="254">
        <f t="shared" si="6"/>
        <v>101384</v>
      </c>
      <c r="N105" s="254">
        <f t="shared" si="3"/>
        <v>101384</v>
      </c>
    </row>
    <row r="106" spans="1:14" ht="21.95" customHeight="1" x14ac:dyDescent="0.25">
      <c r="A106" s="38"/>
      <c r="B106" s="38"/>
      <c r="C106" s="139" t="str">
        <f t="shared" si="1"/>
        <v>NY_JEFFERSON</v>
      </c>
      <c r="D106" s="136" t="s">
        <v>54</v>
      </c>
      <c r="E106" s="262" t="s">
        <v>230</v>
      </c>
      <c r="F106" s="136" t="s">
        <v>2322</v>
      </c>
      <c r="G106" s="246">
        <v>88160</v>
      </c>
      <c r="H106" s="254">
        <f t="shared" si="5"/>
        <v>88160</v>
      </c>
      <c r="I106" s="246">
        <v>101384</v>
      </c>
      <c r="J106" s="254">
        <f t="shared" si="6"/>
        <v>101384</v>
      </c>
      <c r="K106" s="254">
        <f t="shared" si="6"/>
        <v>101384</v>
      </c>
      <c r="L106" s="254">
        <f t="shared" si="6"/>
        <v>101384</v>
      </c>
      <c r="M106" s="254">
        <f t="shared" si="6"/>
        <v>101384</v>
      </c>
      <c r="N106" s="254">
        <f t="shared" si="3"/>
        <v>101384</v>
      </c>
    </row>
    <row r="107" spans="1:14" ht="21.95" customHeight="1" x14ac:dyDescent="0.25">
      <c r="A107" s="38"/>
      <c r="B107" s="38"/>
      <c r="C107" s="139" t="str">
        <f t="shared" si="1"/>
        <v>NY_KINGS</v>
      </c>
      <c r="D107" s="136" t="s">
        <v>54</v>
      </c>
      <c r="E107" s="262" t="s">
        <v>365</v>
      </c>
      <c r="F107" s="136" t="s">
        <v>2322</v>
      </c>
      <c r="G107" s="246">
        <v>155520</v>
      </c>
      <c r="H107" s="254">
        <f t="shared" si="5"/>
        <v>155520</v>
      </c>
      <c r="I107" s="246">
        <v>181440</v>
      </c>
      <c r="J107" s="254">
        <f t="shared" si="6"/>
        <v>181440</v>
      </c>
      <c r="K107" s="254">
        <f t="shared" si="6"/>
        <v>181440</v>
      </c>
      <c r="L107" s="254">
        <f t="shared" si="6"/>
        <v>181440</v>
      </c>
      <c r="M107" s="254">
        <f t="shared" si="6"/>
        <v>181440</v>
      </c>
      <c r="N107" s="254">
        <f t="shared" si="3"/>
        <v>181440</v>
      </c>
    </row>
    <row r="108" spans="1:14" ht="21.95" customHeight="1" x14ac:dyDescent="0.25">
      <c r="A108" s="38"/>
      <c r="B108" s="38"/>
      <c r="C108" s="139" t="str">
        <f t="shared" si="1"/>
        <v>NY_LEWIS</v>
      </c>
      <c r="D108" s="136" t="s">
        <v>54</v>
      </c>
      <c r="E108" s="262" t="s">
        <v>657</v>
      </c>
      <c r="F108" s="136" t="s">
        <v>2322</v>
      </c>
      <c r="G108" s="246">
        <v>88160</v>
      </c>
      <c r="H108" s="254">
        <f t="shared" si="5"/>
        <v>88160</v>
      </c>
      <c r="I108" s="246">
        <v>101384</v>
      </c>
      <c r="J108" s="254">
        <f t="shared" si="6"/>
        <v>101384</v>
      </c>
      <c r="K108" s="254">
        <f t="shared" si="6"/>
        <v>101384</v>
      </c>
      <c r="L108" s="254">
        <f t="shared" si="6"/>
        <v>101384</v>
      </c>
      <c r="M108" s="254">
        <f t="shared" si="6"/>
        <v>101384</v>
      </c>
      <c r="N108" s="254">
        <f t="shared" si="3"/>
        <v>101384</v>
      </c>
    </row>
    <row r="109" spans="1:14" ht="21.95" customHeight="1" x14ac:dyDescent="0.25">
      <c r="A109" s="38"/>
      <c r="B109" s="38"/>
      <c r="C109" s="139" t="str">
        <f t="shared" si="1"/>
        <v>NY_LIVINGSTON</v>
      </c>
      <c r="D109" s="136" t="s">
        <v>54</v>
      </c>
      <c r="E109" s="262" t="s">
        <v>695</v>
      </c>
      <c r="F109" s="136" t="s">
        <v>2322</v>
      </c>
      <c r="G109" s="246">
        <v>88160</v>
      </c>
      <c r="H109" s="254">
        <f t="shared" si="5"/>
        <v>88160</v>
      </c>
      <c r="I109" s="246">
        <v>101384</v>
      </c>
      <c r="J109" s="254">
        <f t="shared" si="6"/>
        <v>101384</v>
      </c>
      <c r="K109" s="254">
        <f t="shared" si="6"/>
        <v>101384</v>
      </c>
      <c r="L109" s="254">
        <f t="shared" si="6"/>
        <v>101384</v>
      </c>
      <c r="M109" s="254">
        <f t="shared" si="6"/>
        <v>101384</v>
      </c>
      <c r="N109" s="254">
        <f t="shared" si="3"/>
        <v>101384</v>
      </c>
    </row>
    <row r="110" spans="1:14" ht="21.95" customHeight="1" x14ac:dyDescent="0.25">
      <c r="A110" s="38"/>
      <c r="B110" s="38"/>
      <c r="C110" s="139" t="str">
        <f t="shared" si="1"/>
        <v>NY_MADISON</v>
      </c>
      <c r="D110" s="136" t="s">
        <v>54</v>
      </c>
      <c r="E110" s="262" t="s">
        <v>238</v>
      </c>
      <c r="F110" s="136" t="s">
        <v>2322</v>
      </c>
      <c r="G110" s="246">
        <v>88160</v>
      </c>
      <c r="H110" s="254">
        <f t="shared" si="5"/>
        <v>88160</v>
      </c>
      <c r="I110" s="246">
        <v>101384</v>
      </c>
      <c r="J110" s="254">
        <f t="shared" si="6"/>
        <v>101384</v>
      </c>
      <c r="K110" s="254">
        <f t="shared" si="6"/>
        <v>101384</v>
      </c>
      <c r="L110" s="254">
        <f t="shared" si="6"/>
        <v>101384</v>
      </c>
      <c r="M110" s="254">
        <f t="shared" si="6"/>
        <v>101384</v>
      </c>
      <c r="N110" s="254">
        <f t="shared" si="3"/>
        <v>101384</v>
      </c>
    </row>
    <row r="111" spans="1:14" ht="21.95" customHeight="1" x14ac:dyDescent="0.25">
      <c r="A111" s="38"/>
      <c r="B111" s="38"/>
      <c r="C111" s="139" t="str">
        <f t="shared" si="1"/>
        <v>NY_MONROE</v>
      </c>
      <c r="D111" s="136" t="s">
        <v>54</v>
      </c>
      <c r="E111" s="262" t="s">
        <v>243</v>
      </c>
      <c r="F111" s="136" t="s">
        <v>2322</v>
      </c>
      <c r="G111" s="246">
        <v>88160</v>
      </c>
      <c r="H111" s="254">
        <f t="shared" si="5"/>
        <v>88160</v>
      </c>
      <c r="I111" s="246">
        <v>101384</v>
      </c>
      <c r="J111" s="254">
        <f t="shared" si="6"/>
        <v>101384</v>
      </c>
      <c r="K111" s="254">
        <f t="shared" si="6"/>
        <v>101384</v>
      </c>
      <c r="L111" s="254">
        <f t="shared" si="6"/>
        <v>101384</v>
      </c>
      <c r="M111" s="254">
        <f t="shared" si="6"/>
        <v>101384</v>
      </c>
      <c r="N111" s="254">
        <f t="shared" si="3"/>
        <v>101384</v>
      </c>
    </row>
    <row r="112" spans="1:14" ht="21.95" customHeight="1" x14ac:dyDescent="0.25">
      <c r="A112" s="38"/>
      <c r="B112" s="38"/>
      <c r="C112" s="139" t="str">
        <f t="shared" si="1"/>
        <v>NY_MONTGOMERY</v>
      </c>
      <c r="D112" s="136" t="s">
        <v>54</v>
      </c>
      <c r="E112" s="262" t="s">
        <v>244</v>
      </c>
      <c r="F112" s="136" t="s">
        <v>2322</v>
      </c>
      <c r="G112" s="246">
        <v>88160</v>
      </c>
      <c r="H112" s="254">
        <f t="shared" si="5"/>
        <v>88160</v>
      </c>
      <c r="I112" s="246">
        <v>101384</v>
      </c>
      <c r="J112" s="254">
        <f t="shared" si="6"/>
        <v>101384</v>
      </c>
      <c r="K112" s="254">
        <f t="shared" si="6"/>
        <v>101384</v>
      </c>
      <c r="L112" s="254">
        <f t="shared" si="6"/>
        <v>101384</v>
      </c>
      <c r="M112" s="254">
        <f t="shared" si="6"/>
        <v>101384</v>
      </c>
      <c r="N112" s="254">
        <f t="shared" si="3"/>
        <v>101384</v>
      </c>
    </row>
    <row r="113" spans="1:14" ht="21.95" customHeight="1" x14ac:dyDescent="0.25">
      <c r="A113" s="38"/>
      <c r="B113" s="38"/>
      <c r="C113" s="139" t="str">
        <f t="shared" si="1"/>
        <v>NY_NASSAU</v>
      </c>
      <c r="D113" s="136" t="s">
        <v>54</v>
      </c>
      <c r="E113" s="262" t="s">
        <v>504</v>
      </c>
      <c r="F113" s="136" t="s">
        <v>2322</v>
      </c>
      <c r="G113" s="246">
        <v>158304</v>
      </c>
      <c r="H113" s="254">
        <f t="shared" si="5"/>
        <v>158304</v>
      </c>
      <c r="I113" s="246">
        <v>184688</v>
      </c>
      <c r="J113" s="254">
        <f t="shared" si="6"/>
        <v>184688</v>
      </c>
      <c r="K113" s="254">
        <f t="shared" si="6"/>
        <v>184688</v>
      </c>
      <c r="L113" s="254">
        <f t="shared" si="6"/>
        <v>184688</v>
      </c>
      <c r="M113" s="254">
        <f t="shared" si="6"/>
        <v>184688</v>
      </c>
      <c r="N113" s="254">
        <f t="shared" si="3"/>
        <v>184688</v>
      </c>
    </row>
    <row r="114" spans="1:14" ht="21.95" customHeight="1" x14ac:dyDescent="0.25">
      <c r="A114" s="38"/>
      <c r="B114" s="38"/>
      <c r="C114" s="139" t="str">
        <f t="shared" si="1"/>
        <v>NY_NEW YORK</v>
      </c>
      <c r="D114" s="136" t="s">
        <v>54</v>
      </c>
      <c r="E114" s="262" t="s">
        <v>1372</v>
      </c>
      <c r="F114" s="136" t="s">
        <v>2322</v>
      </c>
      <c r="G114" s="246">
        <v>155520</v>
      </c>
      <c r="H114" s="254">
        <f t="shared" si="5"/>
        <v>155520</v>
      </c>
      <c r="I114" s="246">
        <v>181440</v>
      </c>
      <c r="J114" s="254">
        <f t="shared" si="6"/>
        <v>181440</v>
      </c>
      <c r="K114" s="254">
        <f t="shared" si="6"/>
        <v>181440</v>
      </c>
      <c r="L114" s="254">
        <f t="shared" si="6"/>
        <v>181440</v>
      </c>
      <c r="M114" s="254">
        <f t="shared" si="6"/>
        <v>181440</v>
      </c>
      <c r="N114" s="254">
        <f t="shared" si="3"/>
        <v>181440</v>
      </c>
    </row>
    <row r="115" spans="1:14" ht="21.95" customHeight="1" x14ac:dyDescent="0.25">
      <c r="A115" s="38"/>
      <c r="B115" s="38"/>
      <c r="C115" s="139" t="str">
        <f t="shared" si="1"/>
        <v>NY_NIAGARA</v>
      </c>
      <c r="D115" s="136" t="s">
        <v>54</v>
      </c>
      <c r="E115" s="262" t="s">
        <v>1373</v>
      </c>
      <c r="F115" s="136" t="s">
        <v>2322</v>
      </c>
      <c r="G115" s="246">
        <v>88160</v>
      </c>
      <c r="H115" s="254">
        <f t="shared" si="5"/>
        <v>88160</v>
      </c>
      <c r="I115" s="246">
        <v>101384</v>
      </c>
      <c r="J115" s="254">
        <f t="shared" si="6"/>
        <v>101384</v>
      </c>
      <c r="K115" s="254">
        <f t="shared" si="6"/>
        <v>101384</v>
      </c>
      <c r="L115" s="254">
        <f t="shared" si="6"/>
        <v>101384</v>
      </c>
      <c r="M115" s="254">
        <f t="shared" si="6"/>
        <v>101384</v>
      </c>
      <c r="N115" s="254">
        <f t="shared" si="3"/>
        <v>101384</v>
      </c>
    </row>
    <row r="116" spans="1:14" ht="21.95" customHeight="1" x14ac:dyDescent="0.25">
      <c r="A116" s="38"/>
      <c r="B116" s="38"/>
      <c r="C116" s="139" t="str">
        <f t="shared" si="1"/>
        <v>NY_ONEIDA</v>
      </c>
      <c r="D116" s="136" t="s">
        <v>54</v>
      </c>
      <c r="E116" s="262" t="s">
        <v>660</v>
      </c>
      <c r="F116" s="136" t="s">
        <v>2322</v>
      </c>
      <c r="G116" s="246">
        <v>88160</v>
      </c>
      <c r="H116" s="254">
        <f t="shared" si="5"/>
        <v>88160</v>
      </c>
      <c r="I116" s="246">
        <v>101384</v>
      </c>
      <c r="J116" s="254">
        <f t="shared" si="6"/>
        <v>101384</v>
      </c>
      <c r="K116" s="254">
        <f t="shared" si="6"/>
        <v>101384</v>
      </c>
      <c r="L116" s="254">
        <f t="shared" si="6"/>
        <v>101384</v>
      </c>
      <c r="M116" s="254">
        <f t="shared" si="6"/>
        <v>101384</v>
      </c>
      <c r="N116" s="254">
        <f t="shared" si="3"/>
        <v>101384</v>
      </c>
    </row>
    <row r="117" spans="1:14" ht="21.95" customHeight="1" x14ac:dyDescent="0.25">
      <c r="A117" s="38"/>
      <c r="B117" s="38"/>
      <c r="C117" s="139" t="str">
        <f t="shared" si="1"/>
        <v>NY_ONONDAGA</v>
      </c>
      <c r="D117" s="136" t="s">
        <v>54</v>
      </c>
      <c r="E117" s="262" t="s">
        <v>1374</v>
      </c>
      <c r="F117" s="136" t="s">
        <v>2322</v>
      </c>
      <c r="G117" s="246">
        <v>88160</v>
      </c>
      <c r="H117" s="254">
        <f t="shared" si="5"/>
        <v>88160</v>
      </c>
      <c r="I117" s="246">
        <v>101384</v>
      </c>
      <c r="J117" s="254">
        <f t="shared" si="6"/>
        <v>101384</v>
      </c>
      <c r="K117" s="254">
        <f t="shared" si="6"/>
        <v>101384</v>
      </c>
      <c r="L117" s="254">
        <f t="shared" si="6"/>
        <v>101384</v>
      </c>
      <c r="M117" s="254">
        <f t="shared" si="6"/>
        <v>101384</v>
      </c>
      <c r="N117" s="254">
        <f t="shared" si="3"/>
        <v>101384</v>
      </c>
    </row>
    <row r="118" spans="1:14" ht="21.95" customHeight="1" x14ac:dyDescent="0.25">
      <c r="A118" s="38"/>
      <c r="B118" s="38"/>
      <c r="C118" s="139" t="str">
        <f t="shared" si="1"/>
        <v>NY_ONTARIO</v>
      </c>
      <c r="D118" s="136" t="s">
        <v>54</v>
      </c>
      <c r="E118" s="262" t="s">
        <v>1375</v>
      </c>
      <c r="F118" s="136" t="s">
        <v>2322</v>
      </c>
      <c r="G118" s="246">
        <v>88160</v>
      </c>
      <c r="H118" s="254">
        <f t="shared" si="5"/>
        <v>88160</v>
      </c>
      <c r="I118" s="246">
        <v>101384</v>
      </c>
      <c r="J118" s="254">
        <f t="shared" si="6"/>
        <v>101384</v>
      </c>
      <c r="K118" s="254">
        <f t="shared" si="6"/>
        <v>101384</v>
      </c>
      <c r="L118" s="254">
        <f t="shared" si="6"/>
        <v>101384</v>
      </c>
      <c r="M118" s="254">
        <f t="shared" si="6"/>
        <v>101384</v>
      </c>
      <c r="N118" s="254">
        <f t="shared" si="3"/>
        <v>101384</v>
      </c>
    </row>
    <row r="119" spans="1:14" ht="21.95" customHeight="1" x14ac:dyDescent="0.25">
      <c r="A119" s="38"/>
      <c r="B119" s="38"/>
      <c r="C119" s="139" t="str">
        <f t="shared" si="1"/>
        <v>NY_ORANGE</v>
      </c>
      <c r="D119" s="136" t="s">
        <v>54</v>
      </c>
      <c r="E119" s="262" t="s">
        <v>378</v>
      </c>
      <c r="F119" s="136" t="s">
        <v>2322</v>
      </c>
      <c r="G119" s="246">
        <v>98400</v>
      </c>
      <c r="H119" s="254">
        <f t="shared" si="5"/>
        <v>98400</v>
      </c>
      <c r="I119" s="246">
        <v>113160</v>
      </c>
      <c r="J119" s="254">
        <f t="shared" si="6"/>
        <v>113160</v>
      </c>
      <c r="K119" s="254">
        <f t="shared" si="6"/>
        <v>113160</v>
      </c>
      <c r="L119" s="254">
        <f t="shared" si="6"/>
        <v>113160</v>
      </c>
      <c r="M119" s="254">
        <f t="shared" si="6"/>
        <v>113160</v>
      </c>
      <c r="N119" s="254">
        <f t="shared" si="3"/>
        <v>113160</v>
      </c>
    </row>
    <row r="120" spans="1:14" ht="21.95" customHeight="1" x14ac:dyDescent="0.25">
      <c r="A120" s="38"/>
      <c r="B120" s="38"/>
      <c r="C120" s="139" t="str">
        <f>TRIM(UPPER(D120))&amp;"_"&amp;TRIM(UPPER(E120))</f>
        <v>NY_ORLEANS</v>
      </c>
      <c r="D120" s="136" t="s">
        <v>54</v>
      </c>
      <c r="E120" s="262" t="s">
        <v>1376</v>
      </c>
      <c r="F120" s="136" t="s">
        <v>2322</v>
      </c>
      <c r="G120" s="246">
        <v>88160</v>
      </c>
      <c r="H120" s="254">
        <f t="shared" si="5"/>
        <v>88160</v>
      </c>
      <c r="I120" s="246">
        <v>101384</v>
      </c>
      <c r="J120" s="254">
        <f t="shared" si="6"/>
        <v>101384</v>
      </c>
      <c r="K120" s="254">
        <f t="shared" si="6"/>
        <v>101384</v>
      </c>
      <c r="L120" s="254">
        <f t="shared" si="6"/>
        <v>101384</v>
      </c>
      <c r="M120" s="254">
        <f t="shared" si="6"/>
        <v>101384</v>
      </c>
      <c r="N120" s="254">
        <f t="shared" si="3"/>
        <v>101384</v>
      </c>
    </row>
    <row r="121" spans="1:14" ht="21.95" customHeight="1" x14ac:dyDescent="0.25">
      <c r="A121" s="38"/>
      <c r="B121" s="38"/>
      <c r="C121" s="139" t="str">
        <f t="shared" si="1"/>
        <v>NY_OSWEGO</v>
      </c>
      <c r="D121" s="136" t="s">
        <v>54</v>
      </c>
      <c r="E121" s="262" t="s">
        <v>1377</v>
      </c>
      <c r="F121" s="136" t="s">
        <v>2322</v>
      </c>
      <c r="G121" s="246">
        <v>88160</v>
      </c>
      <c r="H121" s="254">
        <f t="shared" si="5"/>
        <v>88160</v>
      </c>
      <c r="I121" s="246">
        <v>101384</v>
      </c>
      <c r="J121" s="254">
        <f t="shared" si="6"/>
        <v>101384</v>
      </c>
      <c r="K121" s="254">
        <f t="shared" si="6"/>
        <v>101384</v>
      </c>
      <c r="L121" s="254">
        <f t="shared" si="6"/>
        <v>101384</v>
      </c>
      <c r="M121" s="254">
        <f t="shared" si="6"/>
        <v>101384</v>
      </c>
      <c r="N121" s="254">
        <f t="shared" si="3"/>
        <v>101384</v>
      </c>
    </row>
    <row r="122" spans="1:14" ht="21.95" customHeight="1" x14ac:dyDescent="0.25">
      <c r="A122" s="38"/>
      <c r="B122" s="38"/>
      <c r="C122" s="139" t="str">
        <f t="shared" si="1"/>
        <v>NY_OTSEGO</v>
      </c>
      <c r="D122" s="136" t="s">
        <v>54</v>
      </c>
      <c r="E122" s="262" t="s">
        <v>1083</v>
      </c>
      <c r="F122" s="136" t="s">
        <v>2322</v>
      </c>
      <c r="G122" s="246">
        <v>88160</v>
      </c>
      <c r="H122" s="254">
        <f t="shared" si="5"/>
        <v>88160</v>
      </c>
      <c r="I122" s="246">
        <v>101384</v>
      </c>
      <c r="J122" s="254">
        <f t="shared" si="6"/>
        <v>101384</v>
      </c>
      <c r="K122" s="254">
        <f t="shared" si="6"/>
        <v>101384</v>
      </c>
      <c r="L122" s="254">
        <f t="shared" si="6"/>
        <v>101384</v>
      </c>
      <c r="M122" s="254">
        <f t="shared" si="6"/>
        <v>101384</v>
      </c>
      <c r="N122" s="254">
        <f t="shared" si="3"/>
        <v>101384</v>
      </c>
    </row>
    <row r="123" spans="1:14" ht="21.95" customHeight="1" x14ac:dyDescent="0.25">
      <c r="A123" s="38"/>
      <c r="B123" s="38"/>
      <c r="C123" s="139" t="str">
        <f t="shared" si="1"/>
        <v>NY_PUTNAM</v>
      </c>
      <c r="D123" s="136" t="s">
        <v>54</v>
      </c>
      <c r="E123" s="262" t="s">
        <v>511</v>
      </c>
      <c r="F123" s="136" t="s">
        <v>2322</v>
      </c>
      <c r="G123" s="246">
        <v>155520</v>
      </c>
      <c r="H123" s="254">
        <f t="shared" si="5"/>
        <v>155520</v>
      </c>
      <c r="I123" s="246">
        <v>181440</v>
      </c>
      <c r="J123" s="254">
        <f t="shared" si="6"/>
        <v>181440</v>
      </c>
      <c r="K123" s="254">
        <f t="shared" si="6"/>
        <v>181440</v>
      </c>
      <c r="L123" s="254">
        <f t="shared" si="6"/>
        <v>181440</v>
      </c>
      <c r="M123" s="254">
        <f t="shared" si="6"/>
        <v>181440</v>
      </c>
      <c r="N123" s="254">
        <f t="shared" si="3"/>
        <v>181440</v>
      </c>
    </row>
    <row r="124" spans="1:14" ht="21.95" customHeight="1" x14ac:dyDescent="0.25">
      <c r="A124" s="38"/>
      <c r="B124" s="38"/>
      <c r="C124" s="139" t="str">
        <f t="shared" si="1"/>
        <v>NY_QUEENS</v>
      </c>
      <c r="D124" s="136" t="s">
        <v>54</v>
      </c>
      <c r="E124" s="262" t="s">
        <v>1378</v>
      </c>
      <c r="F124" s="136" t="s">
        <v>2322</v>
      </c>
      <c r="G124" s="246">
        <v>155520</v>
      </c>
      <c r="H124" s="254">
        <f t="shared" si="5"/>
        <v>155520</v>
      </c>
      <c r="I124" s="246">
        <v>181440</v>
      </c>
      <c r="J124" s="254">
        <f t="shared" ref="J124:M143" si="7">I124</f>
        <v>181440</v>
      </c>
      <c r="K124" s="254">
        <f t="shared" si="7"/>
        <v>181440</v>
      </c>
      <c r="L124" s="254">
        <f t="shared" si="7"/>
        <v>181440</v>
      </c>
      <c r="M124" s="254">
        <f t="shared" si="7"/>
        <v>181440</v>
      </c>
      <c r="N124" s="254">
        <f t="shared" si="3"/>
        <v>181440</v>
      </c>
    </row>
    <row r="125" spans="1:14" ht="21.95" customHeight="1" x14ac:dyDescent="0.25">
      <c r="A125" s="38"/>
      <c r="B125" s="38"/>
      <c r="C125" s="139" t="str">
        <f t="shared" si="1"/>
        <v>NY_RENSSELAER</v>
      </c>
      <c r="D125" s="136" t="s">
        <v>54</v>
      </c>
      <c r="E125" s="262" t="s">
        <v>1379</v>
      </c>
      <c r="F125" s="136" t="s">
        <v>2322</v>
      </c>
      <c r="G125" s="246">
        <v>92880</v>
      </c>
      <c r="H125" s="254">
        <f t="shared" si="5"/>
        <v>92880</v>
      </c>
      <c r="I125" s="246">
        <v>106812</v>
      </c>
      <c r="J125" s="254">
        <f t="shared" si="7"/>
        <v>106812</v>
      </c>
      <c r="K125" s="254">
        <f t="shared" si="7"/>
        <v>106812</v>
      </c>
      <c r="L125" s="254">
        <f t="shared" si="7"/>
        <v>106812</v>
      </c>
      <c r="M125" s="254">
        <f t="shared" si="7"/>
        <v>106812</v>
      </c>
      <c r="N125" s="254">
        <f t="shared" si="3"/>
        <v>106812</v>
      </c>
    </row>
    <row r="126" spans="1:14" ht="21.95" customHeight="1" x14ac:dyDescent="0.25">
      <c r="A126" s="38"/>
      <c r="B126" s="38"/>
      <c r="C126" s="139" t="str">
        <f t="shared" si="1"/>
        <v>NY_RICHMOND</v>
      </c>
      <c r="D126" s="136" t="s">
        <v>54</v>
      </c>
      <c r="E126" s="262" t="s">
        <v>600</v>
      </c>
      <c r="F126" s="136" t="s">
        <v>2322</v>
      </c>
      <c r="G126" s="246">
        <v>155520</v>
      </c>
      <c r="H126" s="254">
        <f t="shared" si="5"/>
        <v>155520</v>
      </c>
      <c r="I126" s="246">
        <v>181440</v>
      </c>
      <c r="J126" s="254">
        <f t="shared" si="7"/>
        <v>181440</v>
      </c>
      <c r="K126" s="254">
        <f t="shared" si="7"/>
        <v>181440</v>
      </c>
      <c r="L126" s="254">
        <f t="shared" si="7"/>
        <v>181440</v>
      </c>
      <c r="M126" s="254">
        <f t="shared" si="7"/>
        <v>181440</v>
      </c>
      <c r="N126" s="254">
        <f t="shared" si="3"/>
        <v>181440</v>
      </c>
    </row>
    <row r="127" spans="1:14" ht="21.95" customHeight="1" x14ac:dyDescent="0.25">
      <c r="A127" s="38"/>
      <c r="B127" s="38"/>
      <c r="C127" s="139" t="str">
        <f t="shared" si="1"/>
        <v>NY_ROCKLAND</v>
      </c>
      <c r="D127" s="136" t="s">
        <v>54</v>
      </c>
      <c r="E127" s="262" t="s">
        <v>1380</v>
      </c>
      <c r="F127" s="136" t="s">
        <v>2322</v>
      </c>
      <c r="G127" s="246">
        <v>155520</v>
      </c>
      <c r="H127" s="254">
        <f t="shared" ref="H127:H158" si="8">G127</f>
        <v>155520</v>
      </c>
      <c r="I127" s="246">
        <v>181440</v>
      </c>
      <c r="J127" s="254">
        <f t="shared" si="7"/>
        <v>181440</v>
      </c>
      <c r="K127" s="254">
        <f t="shared" si="7"/>
        <v>181440</v>
      </c>
      <c r="L127" s="254">
        <f t="shared" si="7"/>
        <v>181440</v>
      </c>
      <c r="M127" s="254">
        <f t="shared" si="7"/>
        <v>181440</v>
      </c>
      <c r="N127" s="254">
        <f t="shared" si="3"/>
        <v>181440</v>
      </c>
    </row>
    <row r="128" spans="1:14" ht="21.95" customHeight="1" x14ac:dyDescent="0.25">
      <c r="A128" s="38"/>
      <c r="B128" s="38"/>
      <c r="C128" s="139" t="str">
        <f t="shared" ref="C128:C191" si="9">TRIM(UPPER(D128))&amp;"_"&amp;TRIM(UPPER(E128))</f>
        <v>NY_SARATOGA</v>
      </c>
      <c r="D128" s="136" t="s">
        <v>54</v>
      </c>
      <c r="E128" s="262" t="s">
        <v>1382</v>
      </c>
      <c r="F128" s="136" t="s">
        <v>2322</v>
      </c>
      <c r="G128" s="246">
        <v>92880</v>
      </c>
      <c r="H128" s="254">
        <f t="shared" si="8"/>
        <v>92880</v>
      </c>
      <c r="I128" s="246">
        <v>106812</v>
      </c>
      <c r="J128" s="254">
        <f t="shared" si="7"/>
        <v>106812</v>
      </c>
      <c r="K128" s="254">
        <f t="shared" si="7"/>
        <v>106812</v>
      </c>
      <c r="L128" s="254">
        <f t="shared" si="7"/>
        <v>106812</v>
      </c>
      <c r="M128" s="254">
        <f t="shared" si="7"/>
        <v>106812</v>
      </c>
      <c r="N128" s="254">
        <f t="shared" ref="N128:N191" si="10">M128</f>
        <v>106812</v>
      </c>
    </row>
    <row r="129" spans="1:14" ht="21.95" customHeight="1" x14ac:dyDescent="0.25">
      <c r="A129" s="38"/>
      <c r="B129" s="38"/>
      <c r="C129" s="139" t="str">
        <f t="shared" si="9"/>
        <v>NY_SCHENECTADY</v>
      </c>
      <c r="D129" s="136" t="s">
        <v>54</v>
      </c>
      <c r="E129" s="262" t="s">
        <v>1383</v>
      </c>
      <c r="F129" s="136" t="s">
        <v>2322</v>
      </c>
      <c r="G129" s="246">
        <v>92880</v>
      </c>
      <c r="H129" s="254">
        <f t="shared" si="8"/>
        <v>92880</v>
      </c>
      <c r="I129" s="246">
        <v>106812</v>
      </c>
      <c r="J129" s="254">
        <f t="shared" si="7"/>
        <v>106812</v>
      </c>
      <c r="K129" s="254">
        <f t="shared" si="7"/>
        <v>106812</v>
      </c>
      <c r="L129" s="254">
        <f t="shared" si="7"/>
        <v>106812</v>
      </c>
      <c r="M129" s="254">
        <f t="shared" si="7"/>
        <v>106812</v>
      </c>
      <c r="N129" s="254">
        <f t="shared" si="10"/>
        <v>106812</v>
      </c>
    </row>
    <row r="130" spans="1:14" ht="21.95" customHeight="1" x14ac:dyDescent="0.25">
      <c r="A130" s="38"/>
      <c r="B130" s="38"/>
      <c r="C130" s="139" t="str">
        <f t="shared" si="9"/>
        <v>NY_SCHOHARIE</v>
      </c>
      <c r="D130" s="136" t="s">
        <v>54</v>
      </c>
      <c r="E130" s="262" t="s">
        <v>1384</v>
      </c>
      <c r="F130" s="136" t="s">
        <v>2322</v>
      </c>
      <c r="G130" s="246">
        <v>92880</v>
      </c>
      <c r="H130" s="254">
        <f t="shared" si="8"/>
        <v>92880</v>
      </c>
      <c r="I130" s="246">
        <v>106812</v>
      </c>
      <c r="J130" s="254">
        <f t="shared" si="7"/>
        <v>106812</v>
      </c>
      <c r="K130" s="254">
        <f t="shared" si="7"/>
        <v>106812</v>
      </c>
      <c r="L130" s="254">
        <f t="shared" si="7"/>
        <v>106812</v>
      </c>
      <c r="M130" s="254">
        <f t="shared" si="7"/>
        <v>106812</v>
      </c>
      <c r="N130" s="254">
        <f t="shared" si="10"/>
        <v>106812</v>
      </c>
    </row>
    <row r="131" spans="1:14" ht="21.95" customHeight="1" x14ac:dyDescent="0.25">
      <c r="A131" s="38"/>
      <c r="B131" s="38"/>
      <c r="C131" s="139" t="str">
        <f t="shared" si="9"/>
        <v>NY_SCHUYLER</v>
      </c>
      <c r="D131" s="136" t="s">
        <v>54</v>
      </c>
      <c r="E131" s="262" t="s">
        <v>711</v>
      </c>
      <c r="F131" s="136" t="s">
        <v>2322</v>
      </c>
      <c r="G131" s="246">
        <v>88160</v>
      </c>
      <c r="H131" s="254">
        <f t="shared" si="8"/>
        <v>88160</v>
      </c>
      <c r="I131" s="246">
        <v>101384</v>
      </c>
      <c r="J131" s="254">
        <f t="shared" si="7"/>
        <v>101384</v>
      </c>
      <c r="K131" s="254">
        <f t="shared" si="7"/>
        <v>101384</v>
      </c>
      <c r="L131" s="254">
        <f t="shared" si="7"/>
        <v>101384</v>
      </c>
      <c r="M131" s="254">
        <f t="shared" si="7"/>
        <v>101384</v>
      </c>
      <c r="N131" s="254">
        <f t="shared" si="10"/>
        <v>101384</v>
      </c>
    </row>
    <row r="132" spans="1:14" ht="21.95" customHeight="1" x14ac:dyDescent="0.25">
      <c r="A132" s="38"/>
      <c r="B132" s="38"/>
      <c r="C132" s="139" t="str">
        <f t="shared" si="9"/>
        <v>NY_SENECA</v>
      </c>
      <c r="D132" s="136" t="s">
        <v>54</v>
      </c>
      <c r="E132" s="262" t="s">
        <v>1385</v>
      </c>
      <c r="F132" s="136" t="s">
        <v>2322</v>
      </c>
      <c r="G132" s="246">
        <v>88160</v>
      </c>
      <c r="H132" s="254">
        <f t="shared" si="8"/>
        <v>88160</v>
      </c>
      <c r="I132" s="246">
        <v>101384</v>
      </c>
      <c r="J132" s="254">
        <f t="shared" si="7"/>
        <v>101384</v>
      </c>
      <c r="K132" s="254">
        <f t="shared" si="7"/>
        <v>101384</v>
      </c>
      <c r="L132" s="254">
        <f t="shared" si="7"/>
        <v>101384</v>
      </c>
      <c r="M132" s="254">
        <f t="shared" si="7"/>
        <v>101384</v>
      </c>
      <c r="N132" s="254">
        <f t="shared" si="10"/>
        <v>101384</v>
      </c>
    </row>
    <row r="133" spans="1:14" ht="21.95" customHeight="1" x14ac:dyDescent="0.25">
      <c r="A133" s="38"/>
      <c r="B133" s="38"/>
      <c r="C133" s="139" t="str">
        <f t="shared" si="9"/>
        <v>NY_ST. LAWRENCE</v>
      </c>
      <c r="D133" s="136" t="s">
        <v>54</v>
      </c>
      <c r="E133" s="262" t="s">
        <v>1381</v>
      </c>
      <c r="F133" s="136" t="s">
        <v>2322</v>
      </c>
      <c r="G133" s="246">
        <v>88160</v>
      </c>
      <c r="H133" s="254">
        <f t="shared" si="8"/>
        <v>88160</v>
      </c>
      <c r="I133" s="246">
        <v>101384</v>
      </c>
      <c r="J133" s="254">
        <f t="shared" si="7"/>
        <v>101384</v>
      </c>
      <c r="K133" s="254">
        <f t="shared" si="7"/>
        <v>101384</v>
      </c>
      <c r="L133" s="254">
        <f t="shared" si="7"/>
        <v>101384</v>
      </c>
      <c r="M133" s="254">
        <f t="shared" si="7"/>
        <v>101384</v>
      </c>
      <c r="N133" s="254">
        <f t="shared" si="10"/>
        <v>101384</v>
      </c>
    </row>
    <row r="134" spans="1:14" ht="21.95" customHeight="1" x14ac:dyDescent="0.25">
      <c r="A134" s="38"/>
      <c r="B134" s="38"/>
      <c r="C134" s="139" t="str">
        <f t="shared" si="9"/>
        <v>NY_STEUBEN</v>
      </c>
      <c r="D134" s="136" t="s">
        <v>54</v>
      </c>
      <c r="E134" s="262" t="s">
        <v>752</v>
      </c>
      <c r="F134" s="136" t="s">
        <v>2322</v>
      </c>
      <c r="G134" s="246">
        <v>88160</v>
      </c>
      <c r="H134" s="254">
        <f t="shared" si="8"/>
        <v>88160</v>
      </c>
      <c r="I134" s="246">
        <v>101384</v>
      </c>
      <c r="J134" s="254">
        <f t="shared" si="7"/>
        <v>101384</v>
      </c>
      <c r="K134" s="254">
        <f t="shared" si="7"/>
        <v>101384</v>
      </c>
      <c r="L134" s="254">
        <f t="shared" si="7"/>
        <v>101384</v>
      </c>
      <c r="M134" s="254">
        <f t="shared" si="7"/>
        <v>101384</v>
      </c>
      <c r="N134" s="254">
        <f t="shared" si="10"/>
        <v>101384</v>
      </c>
    </row>
    <row r="135" spans="1:14" ht="21.95" customHeight="1" x14ac:dyDescent="0.25">
      <c r="A135" s="38"/>
      <c r="B135" s="38"/>
      <c r="C135" s="139" t="str">
        <f t="shared" si="9"/>
        <v>NY_SUFFOLK</v>
      </c>
      <c r="D135" s="136" t="s">
        <v>54</v>
      </c>
      <c r="E135" s="262" t="s">
        <v>1030</v>
      </c>
      <c r="F135" s="136" t="s">
        <v>2322</v>
      </c>
      <c r="G135" s="246">
        <v>158304</v>
      </c>
      <c r="H135" s="254">
        <f t="shared" si="8"/>
        <v>158304</v>
      </c>
      <c r="I135" s="246">
        <v>184688</v>
      </c>
      <c r="J135" s="254">
        <f t="shared" si="7"/>
        <v>184688</v>
      </c>
      <c r="K135" s="254">
        <f t="shared" si="7"/>
        <v>184688</v>
      </c>
      <c r="L135" s="254">
        <f t="shared" si="7"/>
        <v>184688</v>
      </c>
      <c r="M135" s="254">
        <f t="shared" si="7"/>
        <v>184688</v>
      </c>
      <c r="N135" s="254">
        <f t="shared" si="10"/>
        <v>184688</v>
      </c>
    </row>
    <row r="136" spans="1:14" ht="21.95" customHeight="1" x14ac:dyDescent="0.25">
      <c r="A136" s="38"/>
      <c r="B136" s="38"/>
      <c r="C136" s="139" t="str">
        <f t="shared" si="9"/>
        <v>NY_SULLIVAN</v>
      </c>
      <c r="D136" s="136" t="s">
        <v>54</v>
      </c>
      <c r="E136" s="262" t="s">
        <v>753</v>
      </c>
      <c r="F136" s="136" t="s">
        <v>2322</v>
      </c>
      <c r="G136" s="246">
        <v>88160</v>
      </c>
      <c r="H136" s="254">
        <f t="shared" si="8"/>
        <v>88160</v>
      </c>
      <c r="I136" s="246">
        <v>101384</v>
      </c>
      <c r="J136" s="254">
        <f t="shared" si="7"/>
        <v>101384</v>
      </c>
      <c r="K136" s="254">
        <f t="shared" si="7"/>
        <v>101384</v>
      </c>
      <c r="L136" s="254">
        <f t="shared" si="7"/>
        <v>101384</v>
      </c>
      <c r="M136" s="254">
        <f t="shared" si="7"/>
        <v>101384</v>
      </c>
      <c r="N136" s="254">
        <f t="shared" si="10"/>
        <v>101384</v>
      </c>
    </row>
    <row r="137" spans="1:14" ht="21.95" customHeight="1" x14ac:dyDescent="0.25">
      <c r="A137" s="38"/>
      <c r="B137" s="38"/>
      <c r="C137" s="139" t="str">
        <f t="shared" si="9"/>
        <v>NY_TIOGA</v>
      </c>
      <c r="D137" s="136" t="s">
        <v>54</v>
      </c>
      <c r="E137" s="262" t="s">
        <v>1386</v>
      </c>
      <c r="F137" s="136" t="s">
        <v>2322</v>
      </c>
      <c r="G137" s="246">
        <v>88160</v>
      </c>
      <c r="H137" s="254">
        <f t="shared" si="8"/>
        <v>88160</v>
      </c>
      <c r="I137" s="246">
        <v>101384</v>
      </c>
      <c r="J137" s="254">
        <f t="shared" si="7"/>
        <v>101384</v>
      </c>
      <c r="K137" s="254">
        <f t="shared" si="7"/>
        <v>101384</v>
      </c>
      <c r="L137" s="254">
        <f t="shared" si="7"/>
        <v>101384</v>
      </c>
      <c r="M137" s="254">
        <f t="shared" si="7"/>
        <v>101384</v>
      </c>
      <c r="N137" s="254">
        <f t="shared" si="10"/>
        <v>101384</v>
      </c>
    </row>
    <row r="138" spans="1:14" ht="21.95" customHeight="1" x14ac:dyDescent="0.25">
      <c r="A138" s="38"/>
      <c r="B138" s="38"/>
      <c r="C138" s="139" t="str">
        <f t="shared" si="9"/>
        <v>NY_TOMPKINS</v>
      </c>
      <c r="D138" s="136" t="s">
        <v>54</v>
      </c>
      <c r="E138" s="262" t="s">
        <v>1387</v>
      </c>
      <c r="F138" s="136" t="s">
        <v>2322</v>
      </c>
      <c r="G138" s="246">
        <v>96240</v>
      </c>
      <c r="H138" s="254">
        <f t="shared" si="8"/>
        <v>96240</v>
      </c>
      <c r="I138" s="246">
        <v>110676</v>
      </c>
      <c r="J138" s="254">
        <f t="shared" si="7"/>
        <v>110676</v>
      </c>
      <c r="K138" s="254">
        <f t="shared" si="7"/>
        <v>110676</v>
      </c>
      <c r="L138" s="254">
        <f t="shared" si="7"/>
        <v>110676</v>
      </c>
      <c r="M138" s="254">
        <f t="shared" si="7"/>
        <v>110676</v>
      </c>
      <c r="N138" s="254">
        <f t="shared" si="10"/>
        <v>110676</v>
      </c>
    </row>
    <row r="139" spans="1:14" ht="21.95" customHeight="1" x14ac:dyDescent="0.25">
      <c r="A139" s="38"/>
      <c r="B139" s="38"/>
      <c r="C139" s="139" t="str">
        <f t="shared" si="9"/>
        <v>NY_ULSTER</v>
      </c>
      <c r="D139" s="136" t="s">
        <v>54</v>
      </c>
      <c r="E139" s="262" t="s">
        <v>1388</v>
      </c>
      <c r="F139" s="136" t="s">
        <v>2322</v>
      </c>
      <c r="G139" s="246">
        <v>95840</v>
      </c>
      <c r="H139" s="254">
        <f t="shared" si="8"/>
        <v>95840</v>
      </c>
      <c r="I139" s="246">
        <v>110216</v>
      </c>
      <c r="J139" s="254">
        <f t="shared" si="7"/>
        <v>110216</v>
      </c>
      <c r="K139" s="254">
        <f t="shared" si="7"/>
        <v>110216</v>
      </c>
      <c r="L139" s="254">
        <f t="shared" si="7"/>
        <v>110216</v>
      </c>
      <c r="M139" s="254">
        <f t="shared" si="7"/>
        <v>110216</v>
      </c>
      <c r="N139" s="254">
        <f t="shared" si="10"/>
        <v>110216</v>
      </c>
    </row>
    <row r="140" spans="1:14" ht="21.95" customHeight="1" x14ac:dyDescent="0.25">
      <c r="A140" s="38"/>
      <c r="B140" s="38"/>
      <c r="C140" s="139" t="str">
        <f t="shared" si="9"/>
        <v>NY_WARREN</v>
      </c>
      <c r="D140" s="136" t="s">
        <v>54</v>
      </c>
      <c r="E140" s="262" t="s">
        <v>622</v>
      </c>
      <c r="F140" s="136" t="s">
        <v>2322</v>
      </c>
      <c r="G140" s="246">
        <v>88160</v>
      </c>
      <c r="H140" s="254">
        <f t="shared" si="8"/>
        <v>88160</v>
      </c>
      <c r="I140" s="246">
        <v>101384</v>
      </c>
      <c r="J140" s="254">
        <f t="shared" si="7"/>
        <v>101384</v>
      </c>
      <c r="K140" s="254">
        <f t="shared" si="7"/>
        <v>101384</v>
      </c>
      <c r="L140" s="254">
        <f t="shared" si="7"/>
        <v>101384</v>
      </c>
      <c r="M140" s="254">
        <f t="shared" si="7"/>
        <v>101384</v>
      </c>
      <c r="N140" s="254">
        <f t="shared" si="10"/>
        <v>101384</v>
      </c>
    </row>
    <row r="141" spans="1:14" ht="21.95" customHeight="1" x14ac:dyDescent="0.25">
      <c r="A141" s="38"/>
      <c r="B141" s="38"/>
      <c r="C141" s="139" t="str">
        <f t="shared" si="9"/>
        <v>NY_WASHINGTON</v>
      </c>
      <c r="D141" s="136" t="s">
        <v>54</v>
      </c>
      <c r="E141" s="262" t="s">
        <v>258</v>
      </c>
      <c r="F141" s="136" t="s">
        <v>2322</v>
      </c>
      <c r="G141" s="246">
        <v>88160</v>
      </c>
      <c r="H141" s="254">
        <f t="shared" si="8"/>
        <v>88160</v>
      </c>
      <c r="I141" s="246">
        <v>101384</v>
      </c>
      <c r="J141" s="254">
        <f t="shared" si="7"/>
        <v>101384</v>
      </c>
      <c r="K141" s="254">
        <f t="shared" si="7"/>
        <v>101384</v>
      </c>
      <c r="L141" s="254">
        <f t="shared" si="7"/>
        <v>101384</v>
      </c>
      <c r="M141" s="254">
        <f t="shared" si="7"/>
        <v>101384</v>
      </c>
      <c r="N141" s="254">
        <f t="shared" si="10"/>
        <v>101384</v>
      </c>
    </row>
    <row r="142" spans="1:14" ht="21.95" customHeight="1" x14ac:dyDescent="0.25">
      <c r="A142" s="38"/>
      <c r="B142" s="38"/>
      <c r="C142" s="139" t="str">
        <f t="shared" si="9"/>
        <v>NY_WAYNE</v>
      </c>
      <c r="D142" s="136" t="s">
        <v>54</v>
      </c>
      <c r="E142" s="262" t="s">
        <v>623</v>
      </c>
      <c r="F142" s="136" t="s">
        <v>2322</v>
      </c>
      <c r="G142" s="246">
        <v>88160</v>
      </c>
      <c r="H142" s="254">
        <f t="shared" si="8"/>
        <v>88160</v>
      </c>
      <c r="I142" s="246">
        <v>101384</v>
      </c>
      <c r="J142" s="254">
        <f t="shared" si="7"/>
        <v>101384</v>
      </c>
      <c r="K142" s="254">
        <f t="shared" si="7"/>
        <v>101384</v>
      </c>
      <c r="L142" s="254">
        <f t="shared" si="7"/>
        <v>101384</v>
      </c>
      <c r="M142" s="254">
        <f t="shared" si="7"/>
        <v>101384</v>
      </c>
      <c r="N142" s="254">
        <f t="shared" si="10"/>
        <v>101384</v>
      </c>
    </row>
    <row r="143" spans="1:14" ht="21.95" customHeight="1" x14ac:dyDescent="0.25">
      <c r="A143" s="38"/>
      <c r="B143" s="38"/>
      <c r="C143" s="139" t="str">
        <f t="shared" si="9"/>
        <v>NY_WESTCHESTER</v>
      </c>
      <c r="D143" s="136" t="s">
        <v>54</v>
      </c>
      <c r="E143" s="262" t="s">
        <v>1389</v>
      </c>
      <c r="F143" s="136" t="s">
        <v>2322</v>
      </c>
      <c r="G143" s="246">
        <v>163200</v>
      </c>
      <c r="H143" s="254">
        <f t="shared" si="8"/>
        <v>163200</v>
      </c>
      <c r="I143" s="246">
        <v>190400</v>
      </c>
      <c r="J143" s="254">
        <f t="shared" si="7"/>
        <v>190400</v>
      </c>
      <c r="K143" s="254">
        <f t="shared" si="7"/>
        <v>190400</v>
      </c>
      <c r="L143" s="254">
        <f t="shared" si="7"/>
        <v>190400</v>
      </c>
      <c r="M143" s="254">
        <f t="shared" si="7"/>
        <v>190400</v>
      </c>
      <c r="N143" s="254">
        <f t="shared" si="10"/>
        <v>190400</v>
      </c>
    </row>
    <row r="144" spans="1:14" ht="21.95" customHeight="1" x14ac:dyDescent="0.25">
      <c r="A144" s="38"/>
      <c r="B144" s="38"/>
      <c r="C144" s="139" t="str">
        <f t="shared" si="9"/>
        <v>NY_WYOMING</v>
      </c>
      <c r="D144" s="136" t="s">
        <v>54</v>
      </c>
      <c r="E144" s="262" t="s">
        <v>1390</v>
      </c>
      <c r="F144" s="136" t="s">
        <v>2322</v>
      </c>
      <c r="G144" s="246">
        <v>88160</v>
      </c>
      <c r="H144" s="254">
        <f t="shared" si="8"/>
        <v>88160</v>
      </c>
      <c r="I144" s="246">
        <v>101384</v>
      </c>
      <c r="J144" s="254">
        <f t="shared" ref="J144:M163" si="11">I144</f>
        <v>101384</v>
      </c>
      <c r="K144" s="254">
        <f t="shared" si="11"/>
        <v>101384</v>
      </c>
      <c r="L144" s="254">
        <f t="shared" si="11"/>
        <v>101384</v>
      </c>
      <c r="M144" s="254">
        <f t="shared" si="11"/>
        <v>101384</v>
      </c>
      <c r="N144" s="254">
        <f t="shared" si="10"/>
        <v>101384</v>
      </c>
    </row>
    <row r="145" spans="1:14" ht="21.95" customHeight="1" x14ac:dyDescent="0.25">
      <c r="A145" s="38"/>
      <c r="B145" s="38"/>
      <c r="C145" s="139" t="str">
        <f t="shared" si="9"/>
        <v>NY_YATES</v>
      </c>
      <c r="D145" s="136" t="s">
        <v>54</v>
      </c>
      <c r="E145" s="262" t="s">
        <v>1391</v>
      </c>
      <c r="F145" s="136" t="s">
        <v>2322</v>
      </c>
      <c r="G145" s="246">
        <v>88160</v>
      </c>
      <c r="H145" s="254">
        <f t="shared" si="8"/>
        <v>88160</v>
      </c>
      <c r="I145" s="246">
        <v>101384</v>
      </c>
      <c r="J145" s="254">
        <f t="shared" si="11"/>
        <v>101384</v>
      </c>
      <c r="K145" s="254">
        <f t="shared" si="11"/>
        <v>101384</v>
      </c>
      <c r="L145" s="254">
        <f t="shared" si="11"/>
        <v>101384</v>
      </c>
      <c r="M145" s="254">
        <f t="shared" si="11"/>
        <v>101384</v>
      </c>
      <c r="N145" s="254">
        <f t="shared" si="10"/>
        <v>101384</v>
      </c>
    </row>
    <row r="146" spans="1:14" ht="21.95" customHeight="1" x14ac:dyDescent="0.25">
      <c r="A146" s="38"/>
      <c r="B146" s="38"/>
      <c r="C146" s="139" t="str">
        <f t="shared" si="9"/>
        <v>PR_ADJUNTAS</v>
      </c>
      <c r="D146" s="136" t="s">
        <v>68</v>
      </c>
      <c r="E146" s="262" t="s">
        <v>2406</v>
      </c>
      <c r="F146" s="136" t="s">
        <v>2322</v>
      </c>
      <c r="G146" s="246">
        <v>22656</v>
      </c>
      <c r="H146" s="254">
        <f t="shared" si="8"/>
        <v>22656</v>
      </c>
      <c r="I146" s="246">
        <v>26432</v>
      </c>
      <c r="J146" s="254">
        <f t="shared" si="11"/>
        <v>26432</v>
      </c>
      <c r="K146" s="254">
        <f t="shared" si="11"/>
        <v>26432</v>
      </c>
      <c r="L146" s="254">
        <f t="shared" si="11"/>
        <v>26432</v>
      </c>
      <c r="M146" s="254">
        <f t="shared" si="11"/>
        <v>26432</v>
      </c>
      <c r="N146" s="254">
        <f t="shared" si="10"/>
        <v>26432</v>
      </c>
    </row>
    <row r="147" spans="1:14" ht="21.95" customHeight="1" x14ac:dyDescent="0.25">
      <c r="A147" s="38"/>
      <c r="B147" s="38"/>
      <c r="C147" s="139" t="str">
        <f t="shared" si="9"/>
        <v>PR_AGUADA</v>
      </c>
      <c r="D147" s="136" t="s">
        <v>68</v>
      </c>
      <c r="E147" s="262" t="s">
        <v>2407</v>
      </c>
      <c r="F147" s="136" t="s">
        <v>2322</v>
      </c>
      <c r="G147" s="246">
        <v>24480</v>
      </c>
      <c r="H147" s="254">
        <f t="shared" si="8"/>
        <v>24480</v>
      </c>
      <c r="I147" s="246">
        <v>28560</v>
      </c>
      <c r="J147" s="254">
        <f t="shared" si="11"/>
        <v>28560</v>
      </c>
      <c r="K147" s="254">
        <f t="shared" si="11"/>
        <v>28560</v>
      </c>
      <c r="L147" s="254">
        <f t="shared" si="11"/>
        <v>28560</v>
      </c>
      <c r="M147" s="254">
        <f t="shared" si="11"/>
        <v>28560</v>
      </c>
      <c r="N147" s="254">
        <f t="shared" si="10"/>
        <v>28560</v>
      </c>
    </row>
    <row r="148" spans="1:14" ht="21.95" customHeight="1" x14ac:dyDescent="0.25">
      <c r="A148" s="38"/>
      <c r="B148" s="38"/>
      <c r="C148" s="139" t="str">
        <f t="shared" si="9"/>
        <v>PR_AGUADILLA</v>
      </c>
      <c r="D148" s="136" t="s">
        <v>68</v>
      </c>
      <c r="E148" s="262" t="s">
        <v>2408</v>
      </c>
      <c r="F148" s="136" t="s">
        <v>2322</v>
      </c>
      <c r="G148" s="246">
        <v>24480</v>
      </c>
      <c r="H148" s="254">
        <f t="shared" si="8"/>
        <v>24480</v>
      </c>
      <c r="I148" s="246">
        <v>28560</v>
      </c>
      <c r="J148" s="254">
        <f t="shared" si="11"/>
        <v>28560</v>
      </c>
      <c r="K148" s="254">
        <f t="shared" si="11"/>
        <v>28560</v>
      </c>
      <c r="L148" s="254">
        <f t="shared" si="11"/>
        <v>28560</v>
      </c>
      <c r="M148" s="254">
        <f t="shared" si="11"/>
        <v>28560</v>
      </c>
      <c r="N148" s="254">
        <f t="shared" si="10"/>
        <v>28560</v>
      </c>
    </row>
    <row r="149" spans="1:14" ht="21.95" customHeight="1" x14ac:dyDescent="0.25">
      <c r="A149" s="38"/>
      <c r="B149" s="38"/>
      <c r="C149" s="139" t="str">
        <f t="shared" si="9"/>
        <v>PR_AGUAS BUENAS</v>
      </c>
      <c r="D149" s="136" t="s">
        <v>68</v>
      </c>
      <c r="E149" s="262" t="s">
        <v>2409</v>
      </c>
      <c r="F149" s="136" t="s">
        <v>2322</v>
      </c>
      <c r="G149" s="246">
        <v>31968</v>
      </c>
      <c r="H149" s="254">
        <f t="shared" si="8"/>
        <v>31968</v>
      </c>
      <c r="I149" s="246">
        <v>37296</v>
      </c>
      <c r="J149" s="254">
        <f t="shared" si="11"/>
        <v>37296</v>
      </c>
      <c r="K149" s="254">
        <f t="shared" si="11"/>
        <v>37296</v>
      </c>
      <c r="L149" s="254">
        <f t="shared" si="11"/>
        <v>37296</v>
      </c>
      <c r="M149" s="254">
        <f t="shared" si="11"/>
        <v>37296</v>
      </c>
      <c r="N149" s="254">
        <f t="shared" si="10"/>
        <v>37296</v>
      </c>
    </row>
    <row r="150" spans="1:14" ht="21.95" customHeight="1" x14ac:dyDescent="0.25">
      <c r="A150" s="38"/>
      <c r="B150" s="38"/>
      <c r="C150" s="139" t="str">
        <f t="shared" si="9"/>
        <v>PR_AIBONITO</v>
      </c>
      <c r="D150" s="136" t="s">
        <v>68</v>
      </c>
      <c r="E150" s="262" t="s">
        <v>2410</v>
      </c>
      <c r="F150" s="136" t="s">
        <v>2322</v>
      </c>
      <c r="G150" s="246">
        <v>22848</v>
      </c>
      <c r="H150" s="254">
        <f t="shared" si="8"/>
        <v>22848</v>
      </c>
      <c r="I150" s="246">
        <v>26656</v>
      </c>
      <c r="J150" s="254">
        <f t="shared" si="11"/>
        <v>26656</v>
      </c>
      <c r="K150" s="254">
        <f t="shared" si="11"/>
        <v>26656</v>
      </c>
      <c r="L150" s="254">
        <f t="shared" si="11"/>
        <v>26656</v>
      </c>
      <c r="M150" s="254">
        <f t="shared" si="11"/>
        <v>26656</v>
      </c>
      <c r="N150" s="254">
        <f t="shared" si="10"/>
        <v>26656</v>
      </c>
    </row>
    <row r="151" spans="1:14" ht="21.95" customHeight="1" x14ac:dyDescent="0.25">
      <c r="A151" s="38"/>
      <c r="B151" s="38"/>
      <c r="C151" s="139" t="str">
        <f t="shared" si="9"/>
        <v>PR_ANASCO</v>
      </c>
      <c r="D151" s="136" t="s">
        <v>68</v>
      </c>
      <c r="E151" s="262" t="s">
        <v>2411</v>
      </c>
      <c r="F151" s="136" t="s">
        <v>2322</v>
      </c>
      <c r="G151" s="246">
        <v>24480</v>
      </c>
      <c r="H151" s="254">
        <f t="shared" si="8"/>
        <v>24480</v>
      </c>
      <c r="I151" s="246">
        <v>28560</v>
      </c>
      <c r="J151" s="254">
        <f t="shared" si="11"/>
        <v>28560</v>
      </c>
      <c r="K151" s="254">
        <f t="shared" si="11"/>
        <v>28560</v>
      </c>
      <c r="L151" s="254">
        <f t="shared" si="11"/>
        <v>28560</v>
      </c>
      <c r="M151" s="254">
        <f t="shared" si="11"/>
        <v>28560</v>
      </c>
      <c r="N151" s="254">
        <f t="shared" si="10"/>
        <v>28560</v>
      </c>
    </row>
    <row r="152" spans="1:14" ht="21.95" customHeight="1" x14ac:dyDescent="0.25">
      <c r="A152" s="38"/>
      <c r="B152" s="38"/>
      <c r="C152" s="139" t="str">
        <f t="shared" si="9"/>
        <v>PR_ARECIBO</v>
      </c>
      <c r="D152" s="136" t="s">
        <v>68</v>
      </c>
      <c r="E152" s="262" t="s">
        <v>2412</v>
      </c>
      <c r="F152" s="136" t="s">
        <v>2322</v>
      </c>
      <c r="G152" s="246">
        <v>27072</v>
      </c>
      <c r="H152" s="254">
        <f t="shared" si="8"/>
        <v>27072</v>
      </c>
      <c r="I152" s="246">
        <v>31584</v>
      </c>
      <c r="J152" s="254">
        <f t="shared" si="11"/>
        <v>31584</v>
      </c>
      <c r="K152" s="254">
        <f t="shared" si="11"/>
        <v>31584</v>
      </c>
      <c r="L152" s="254">
        <f t="shared" si="11"/>
        <v>31584</v>
      </c>
      <c r="M152" s="254">
        <f t="shared" si="11"/>
        <v>31584</v>
      </c>
      <c r="N152" s="254">
        <f t="shared" si="10"/>
        <v>31584</v>
      </c>
    </row>
    <row r="153" spans="1:14" ht="21.95" customHeight="1" x14ac:dyDescent="0.25">
      <c r="A153" s="38"/>
      <c r="B153" s="38"/>
      <c r="C153" s="139" t="str">
        <f t="shared" si="9"/>
        <v>PR_ARROYO</v>
      </c>
      <c r="D153" s="136" t="s">
        <v>68</v>
      </c>
      <c r="E153" s="262" t="s">
        <v>2413</v>
      </c>
      <c r="F153" s="136" t="s">
        <v>2322</v>
      </c>
      <c r="G153" s="246">
        <v>28512</v>
      </c>
      <c r="H153" s="254">
        <f t="shared" si="8"/>
        <v>28512</v>
      </c>
      <c r="I153" s="246">
        <v>33264</v>
      </c>
      <c r="J153" s="254">
        <f t="shared" si="11"/>
        <v>33264</v>
      </c>
      <c r="K153" s="254">
        <f t="shared" si="11"/>
        <v>33264</v>
      </c>
      <c r="L153" s="254">
        <f t="shared" si="11"/>
        <v>33264</v>
      </c>
      <c r="M153" s="254">
        <f t="shared" si="11"/>
        <v>33264</v>
      </c>
      <c r="N153" s="254">
        <f t="shared" si="10"/>
        <v>33264</v>
      </c>
    </row>
    <row r="154" spans="1:14" ht="21.95" customHeight="1" x14ac:dyDescent="0.25">
      <c r="A154" s="38"/>
      <c r="B154" s="38"/>
      <c r="C154" s="139" t="str">
        <f t="shared" si="9"/>
        <v>PR_BARCELONETA</v>
      </c>
      <c r="D154" s="136" t="s">
        <v>68</v>
      </c>
      <c r="E154" s="262" t="s">
        <v>2414</v>
      </c>
      <c r="F154" s="136" t="s">
        <v>2322</v>
      </c>
      <c r="G154" s="246">
        <v>31968</v>
      </c>
      <c r="H154" s="254">
        <f t="shared" si="8"/>
        <v>31968</v>
      </c>
      <c r="I154" s="246">
        <v>37296</v>
      </c>
      <c r="J154" s="254">
        <f t="shared" si="11"/>
        <v>37296</v>
      </c>
      <c r="K154" s="254">
        <f t="shared" si="11"/>
        <v>37296</v>
      </c>
      <c r="L154" s="254">
        <f t="shared" si="11"/>
        <v>37296</v>
      </c>
      <c r="M154" s="254">
        <f t="shared" si="11"/>
        <v>37296</v>
      </c>
      <c r="N154" s="254">
        <f t="shared" si="10"/>
        <v>37296</v>
      </c>
    </row>
    <row r="155" spans="1:14" ht="21.95" customHeight="1" x14ac:dyDescent="0.25">
      <c r="A155" s="38"/>
      <c r="B155" s="38"/>
      <c r="C155" s="139" t="str">
        <f t="shared" si="9"/>
        <v>PR_BARRANQUITAS</v>
      </c>
      <c r="D155" s="136" t="s">
        <v>68</v>
      </c>
      <c r="E155" s="262" t="s">
        <v>2415</v>
      </c>
      <c r="F155" s="136" t="s">
        <v>2322</v>
      </c>
      <c r="G155" s="246">
        <v>22848</v>
      </c>
      <c r="H155" s="254">
        <f t="shared" si="8"/>
        <v>22848</v>
      </c>
      <c r="I155" s="246">
        <v>26656</v>
      </c>
      <c r="J155" s="254">
        <f t="shared" si="11"/>
        <v>26656</v>
      </c>
      <c r="K155" s="254">
        <f t="shared" si="11"/>
        <v>26656</v>
      </c>
      <c r="L155" s="254">
        <f t="shared" si="11"/>
        <v>26656</v>
      </c>
      <c r="M155" s="254">
        <f t="shared" si="11"/>
        <v>26656</v>
      </c>
      <c r="N155" s="254">
        <f t="shared" si="10"/>
        <v>26656</v>
      </c>
    </row>
    <row r="156" spans="1:14" ht="21.95" customHeight="1" x14ac:dyDescent="0.25">
      <c r="A156" s="38"/>
      <c r="B156" s="38"/>
      <c r="C156" s="139" t="str">
        <f t="shared" si="9"/>
        <v>PR_BAYAMON</v>
      </c>
      <c r="D156" s="136" t="s">
        <v>68</v>
      </c>
      <c r="E156" s="262" t="s">
        <v>2416</v>
      </c>
      <c r="F156" s="136" t="s">
        <v>2322</v>
      </c>
      <c r="G156" s="246">
        <v>31968</v>
      </c>
      <c r="H156" s="254">
        <f t="shared" si="8"/>
        <v>31968</v>
      </c>
      <c r="I156" s="246">
        <v>37296</v>
      </c>
      <c r="J156" s="254">
        <f t="shared" si="11"/>
        <v>37296</v>
      </c>
      <c r="K156" s="254">
        <f t="shared" si="11"/>
        <v>37296</v>
      </c>
      <c r="L156" s="254">
        <f t="shared" si="11"/>
        <v>37296</v>
      </c>
      <c r="M156" s="254">
        <f t="shared" si="11"/>
        <v>37296</v>
      </c>
      <c r="N156" s="254">
        <f t="shared" si="10"/>
        <v>37296</v>
      </c>
    </row>
    <row r="157" spans="1:14" ht="21.95" customHeight="1" x14ac:dyDescent="0.25">
      <c r="A157" s="38"/>
      <c r="B157" s="38"/>
      <c r="C157" s="139" t="str">
        <f t="shared" si="9"/>
        <v>PR_CABO ROJO</v>
      </c>
      <c r="D157" s="136" t="s">
        <v>68</v>
      </c>
      <c r="E157" s="262" t="s">
        <v>2417</v>
      </c>
      <c r="F157" s="136" t="s">
        <v>2322</v>
      </c>
      <c r="G157" s="246">
        <v>22656</v>
      </c>
      <c r="H157" s="254">
        <f t="shared" si="8"/>
        <v>22656</v>
      </c>
      <c r="I157" s="246">
        <v>26432</v>
      </c>
      <c r="J157" s="254">
        <f t="shared" si="11"/>
        <v>26432</v>
      </c>
      <c r="K157" s="254">
        <f t="shared" si="11"/>
        <v>26432</v>
      </c>
      <c r="L157" s="254">
        <f t="shared" si="11"/>
        <v>26432</v>
      </c>
      <c r="M157" s="254">
        <f t="shared" si="11"/>
        <v>26432</v>
      </c>
      <c r="N157" s="254">
        <f t="shared" si="10"/>
        <v>26432</v>
      </c>
    </row>
    <row r="158" spans="1:14" ht="21.95" customHeight="1" x14ac:dyDescent="0.25">
      <c r="A158" s="38"/>
      <c r="B158" s="38"/>
      <c r="C158" s="139" t="str">
        <f t="shared" si="9"/>
        <v>PR_CAGUAS</v>
      </c>
      <c r="D158" s="136" t="s">
        <v>68</v>
      </c>
      <c r="E158" s="262" t="s">
        <v>2418</v>
      </c>
      <c r="F158" s="136" t="s">
        <v>2322</v>
      </c>
      <c r="G158" s="246">
        <v>29760</v>
      </c>
      <c r="H158" s="254">
        <f t="shared" si="8"/>
        <v>29760</v>
      </c>
      <c r="I158" s="246">
        <v>34720</v>
      </c>
      <c r="J158" s="254">
        <f t="shared" si="11"/>
        <v>34720</v>
      </c>
      <c r="K158" s="254">
        <f t="shared" si="11"/>
        <v>34720</v>
      </c>
      <c r="L158" s="254">
        <f t="shared" si="11"/>
        <v>34720</v>
      </c>
      <c r="M158" s="254">
        <f t="shared" si="11"/>
        <v>34720</v>
      </c>
      <c r="N158" s="254">
        <f t="shared" si="10"/>
        <v>34720</v>
      </c>
    </row>
    <row r="159" spans="1:14" ht="21.95" customHeight="1" x14ac:dyDescent="0.25">
      <c r="A159" s="38"/>
      <c r="B159" s="38"/>
      <c r="C159" s="139" t="str">
        <f t="shared" si="9"/>
        <v>PR_CAMUY</v>
      </c>
      <c r="D159" s="136" t="s">
        <v>68</v>
      </c>
      <c r="E159" s="262" t="s">
        <v>2419</v>
      </c>
      <c r="F159" s="136" t="s">
        <v>2322</v>
      </c>
      <c r="G159" s="246">
        <v>27072</v>
      </c>
      <c r="H159" s="254">
        <f t="shared" ref="H159:H190" si="12">G159</f>
        <v>27072</v>
      </c>
      <c r="I159" s="246">
        <v>31584</v>
      </c>
      <c r="J159" s="254">
        <f t="shared" si="11"/>
        <v>31584</v>
      </c>
      <c r="K159" s="254">
        <f t="shared" si="11"/>
        <v>31584</v>
      </c>
      <c r="L159" s="254">
        <f t="shared" si="11"/>
        <v>31584</v>
      </c>
      <c r="M159" s="254">
        <f t="shared" si="11"/>
        <v>31584</v>
      </c>
      <c r="N159" s="254">
        <f t="shared" si="10"/>
        <v>31584</v>
      </c>
    </row>
    <row r="160" spans="1:14" ht="21.95" customHeight="1" x14ac:dyDescent="0.25">
      <c r="A160" s="38"/>
      <c r="B160" s="38"/>
      <c r="C160" s="139" t="str">
        <f t="shared" si="9"/>
        <v>PR_CANOVANAS</v>
      </c>
      <c r="D160" s="136" t="s">
        <v>68</v>
      </c>
      <c r="E160" s="262" t="s">
        <v>2420</v>
      </c>
      <c r="F160" s="136" t="s">
        <v>2322</v>
      </c>
      <c r="G160" s="246">
        <v>31968</v>
      </c>
      <c r="H160" s="254">
        <f t="shared" si="12"/>
        <v>31968</v>
      </c>
      <c r="I160" s="246">
        <v>37296</v>
      </c>
      <c r="J160" s="254">
        <f t="shared" si="11"/>
        <v>37296</v>
      </c>
      <c r="K160" s="254">
        <f t="shared" si="11"/>
        <v>37296</v>
      </c>
      <c r="L160" s="254">
        <f t="shared" si="11"/>
        <v>37296</v>
      </c>
      <c r="M160" s="254">
        <f t="shared" si="11"/>
        <v>37296</v>
      </c>
      <c r="N160" s="254">
        <f t="shared" si="10"/>
        <v>37296</v>
      </c>
    </row>
    <row r="161" spans="1:14" ht="21.95" customHeight="1" x14ac:dyDescent="0.25">
      <c r="A161" s="38"/>
      <c r="B161" s="38"/>
      <c r="C161" s="139" t="str">
        <f t="shared" si="9"/>
        <v>PR_CAROLINA</v>
      </c>
      <c r="D161" s="136" t="s">
        <v>68</v>
      </c>
      <c r="E161" s="262" t="s">
        <v>2421</v>
      </c>
      <c r="F161" s="136" t="s">
        <v>2322</v>
      </c>
      <c r="G161" s="246">
        <v>31968</v>
      </c>
      <c r="H161" s="254">
        <f t="shared" si="12"/>
        <v>31968</v>
      </c>
      <c r="I161" s="246">
        <v>37296</v>
      </c>
      <c r="J161" s="254">
        <f t="shared" si="11"/>
        <v>37296</v>
      </c>
      <c r="K161" s="254">
        <f t="shared" si="11"/>
        <v>37296</v>
      </c>
      <c r="L161" s="254">
        <f t="shared" si="11"/>
        <v>37296</v>
      </c>
      <c r="M161" s="254">
        <f t="shared" si="11"/>
        <v>37296</v>
      </c>
      <c r="N161" s="254">
        <f t="shared" si="10"/>
        <v>37296</v>
      </c>
    </row>
    <row r="162" spans="1:14" ht="21.95" customHeight="1" x14ac:dyDescent="0.25">
      <c r="A162" s="38"/>
      <c r="B162" s="38"/>
      <c r="C162" s="139" t="str">
        <f t="shared" si="9"/>
        <v>PR_CATANO</v>
      </c>
      <c r="D162" s="136" t="s">
        <v>68</v>
      </c>
      <c r="E162" s="262" t="s">
        <v>2422</v>
      </c>
      <c r="F162" s="136" t="s">
        <v>2322</v>
      </c>
      <c r="G162" s="246">
        <v>31968</v>
      </c>
      <c r="H162" s="254">
        <f t="shared" si="12"/>
        <v>31968</v>
      </c>
      <c r="I162" s="246">
        <v>37296</v>
      </c>
      <c r="J162" s="254">
        <f t="shared" si="11"/>
        <v>37296</v>
      </c>
      <c r="K162" s="254">
        <f t="shared" si="11"/>
        <v>37296</v>
      </c>
      <c r="L162" s="254">
        <f t="shared" si="11"/>
        <v>37296</v>
      </c>
      <c r="M162" s="254">
        <f t="shared" si="11"/>
        <v>37296</v>
      </c>
      <c r="N162" s="254">
        <f t="shared" si="10"/>
        <v>37296</v>
      </c>
    </row>
    <row r="163" spans="1:14" ht="21.95" customHeight="1" x14ac:dyDescent="0.25">
      <c r="A163" s="38"/>
      <c r="B163" s="38"/>
      <c r="C163" s="139" t="str">
        <f t="shared" si="9"/>
        <v>PR_CAYEY</v>
      </c>
      <c r="D163" s="136" t="s">
        <v>68</v>
      </c>
      <c r="E163" s="262" t="s">
        <v>2423</v>
      </c>
      <c r="F163" s="136" t="s">
        <v>2322</v>
      </c>
      <c r="G163" s="246">
        <v>29760</v>
      </c>
      <c r="H163" s="254">
        <f t="shared" si="12"/>
        <v>29760</v>
      </c>
      <c r="I163" s="246">
        <v>34720</v>
      </c>
      <c r="J163" s="254">
        <f t="shared" si="11"/>
        <v>34720</v>
      </c>
      <c r="K163" s="254">
        <f t="shared" si="11"/>
        <v>34720</v>
      </c>
      <c r="L163" s="254">
        <f t="shared" si="11"/>
        <v>34720</v>
      </c>
      <c r="M163" s="254">
        <f t="shared" si="11"/>
        <v>34720</v>
      </c>
      <c r="N163" s="254">
        <f t="shared" si="10"/>
        <v>34720</v>
      </c>
    </row>
    <row r="164" spans="1:14" ht="21.95" customHeight="1" x14ac:dyDescent="0.25">
      <c r="A164" s="38"/>
      <c r="B164" s="38"/>
      <c r="C164" s="139" t="str">
        <f t="shared" si="9"/>
        <v>PR_CEIBA</v>
      </c>
      <c r="D164" s="136" t="s">
        <v>68</v>
      </c>
      <c r="E164" s="262" t="s">
        <v>2424</v>
      </c>
      <c r="F164" s="136" t="s">
        <v>2322</v>
      </c>
      <c r="G164" s="246">
        <v>29088</v>
      </c>
      <c r="H164" s="254">
        <f t="shared" si="12"/>
        <v>29088</v>
      </c>
      <c r="I164" s="246">
        <v>33936</v>
      </c>
      <c r="J164" s="254">
        <f t="shared" ref="J164:M183" si="13">I164</f>
        <v>33936</v>
      </c>
      <c r="K164" s="254">
        <f t="shared" si="13"/>
        <v>33936</v>
      </c>
      <c r="L164" s="254">
        <f t="shared" si="13"/>
        <v>33936</v>
      </c>
      <c r="M164" s="254">
        <f t="shared" si="13"/>
        <v>33936</v>
      </c>
      <c r="N164" s="254">
        <f t="shared" si="10"/>
        <v>33936</v>
      </c>
    </row>
    <row r="165" spans="1:14" ht="21.95" customHeight="1" x14ac:dyDescent="0.25">
      <c r="A165" s="38"/>
      <c r="B165" s="38"/>
      <c r="C165" s="139" t="str">
        <f t="shared" si="9"/>
        <v>PR_CIALES</v>
      </c>
      <c r="D165" s="136" t="s">
        <v>68</v>
      </c>
      <c r="E165" s="262" t="s">
        <v>2425</v>
      </c>
      <c r="F165" s="136" t="s">
        <v>2322</v>
      </c>
      <c r="G165" s="246">
        <v>22848</v>
      </c>
      <c r="H165" s="254">
        <f t="shared" si="12"/>
        <v>22848</v>
      </c>
      <c r="I165" s="246">
        <v>26656</v>
      </c>
      <c r="J165" s="254">
        <f t="shared" si="13"/>
        <v>26656</v>
      </c>
      <c r="K165" s="254">
        <f t="shared" si="13"/>
        <v>26656</v>
      </c>
      <c r="L165" s="254">
        <f t="shared" si="13"/>
        <v>26656</v>
      </c>
      <c r="M165" s="254">
        <f t="shared" si="13"/>
        <v>26656</v>
      </c>
      <c r="N165" s="254">
        <f t="shared" si="10"/>
        <v>26656</v>
      </c>
    </row>
    <row r="166" spans="1:14" ht="21.95" customHeight="1" x14ac:dyDescent="0.25">
      <c r="A166" s="38"/>
      <c r="B166" s="38"/>
      <c r="C166" s="139" t="str">
        <f t="shared" si="9"/>
        <v>PR_CIDRA</v>
      </c>
      <c r="D166" s="136" t="s">
        <v>68</v>
      </c>
      <c r="E166" s="262" t="s">
        <v>2426</v>
      </c>
      <c r="F166" s="136" t="s">
        <v>2322</v>
      </c>
      <c r="G166" s="246">
        <v>29760</v>
      </c>
      <c r="H166" s="254">
        <f t="shared" si="12"/>
        <v>29760</v>
      </c>
      <c r="I166" s="246">
        <v>34720</v>
      </c>
      <c r="J166" s="254">
        <f t="shared" si="13"/>
        <v>34720</v>
      </c>
      <c r="K166" s="254">
        <f t="shared" si="13"/>
        <v>34720</v>
      </c>
      <c r="L166" s="254">
        <f t="shared" si="13"/>
        <v>34720</v>
      </c>
      <c r="M166" s="254">
        <f t="shared" si="13"/>
        <v>34720</v>
      </c>
      <c r="N166" s="254">
        <f t="shared" si="10"/>
        <v>34720</v>
      </c>
    </row>
    <row r="167" spans="1:14" ht="21.95" customHeight="1" x14ac:dyDescent="0.25">
      <c r="A167" s="38"/>
      <c r="B167" s="38"/>
      <c r="C167" s="139" t="str">
        <f t="shared" si="9"/>
        <v>PR_COAMO</v>
      </c>
      <c r="D167" s="136" t="s">
        <v>68</v>
      </c>
      <c r="E167" s="262" t="s">
        <v>2427</v>
      </c>
      <c r="F167" s="136" t="s">
        <v>2322</v>
      </c>
      <c r="G167" s="246">
        <v>22656</v>
      </c>
      <c r="H167" s="254">
        <f t="shared" si="12"/>
        <v>22656</v>
      </c>
      <c r="I167" s="246">
        <v>26432</v>
      </c>
      <c r="J167" s="254">
        <f t="shared" si="13"/>
        <v>26432</v>
      </c>
      <c r="K167" s="254">
        <f t="shared" si="13"/>
        <v>26432</v>
      </c>
      <c r="L167" s="254">
        <f t="shared" si="13"/>
        <v>26432</v>
      </c>
      <c r="M167" s="254">
        <f t="shared" si="13"/>
        <v>26432</v>
      </c>
      <c r="N167" s="254">
        <f t="shared" si="10"/>
        <v>26432</v>
      </c>
    </row>
    <row r="168" spans="1:14" ht="21.95" customHeight="1" x14ac:dyDescent="0.25">
      <c r="A168" s="38"/>
      <c r="B168" s="38"/>
      <c r="C168" s="139" t="str">
        <f t="shared" si="9"/>
        <v>PR_COMERIO</v>
      </c>
      <c r="D168" s="136" t="s">
        <v>68</v>
      </c>
      <c r="E168" s="262" t="s">
        <v>2428</v>
      </c>
      <c r="F168" s="136" t="s">
        <v>2322</v>
      </c>
      <c r="G168" s="246">
        <v>31968</v>
      </c>
      <c r="H168" s="254">
        <f t="shared" si="12"/>
        <v>31968</v>
      </c>
      <c r="I168" s="246">
        <v>37296</v>
      </c>
      <c r="J168" s="254">
        <f t="shared" si="13"/>
        <v>37296</v>
      </c>
      <c r="K168" s="254">
        <f t="shared" si="13"/>
        <v>37296</v>
      </c>
      <c r="L168" s="254">
        <f t="shared" si="13"/>
        <v>37296</v>
      </c>
      <c r="M168" s="254">
        <f t="shared" si="13"/>
        <v>37296</v>
      </c>
      <c r="N168" s="254">
        <f t="shared" si="10"/>
        <v>37296</v>
      </c>
    </row>
    <row r="169" spans="1:14" ht="21.95" customHeight="1" x14ac:dyDescent="0.25">
      <c r="A169" s="38"/>
      <c r="B169" s="38"/>
      <c r="C169" s="139" t="str">
        <f t="shared" si="9"/>
        <v>PR_COROZAL</v>
      </c>
      <c r="D169" s="136" t="s">
        <v>68</v>
      </c>
      <c r="E169" s="262" t="s">
        <v>2429</v>
      </c>
      <c r="F169" s="136" t="s">
        <v>2322</v>
      </c>
      <c r="G169" s="246">
        <v>31968</v>
      </c>
      <c r="H169" s="254">
        <f t="shared" si="12"/>
        <v>31968</v>
      </c>
      <c r="I169" s="246">
        <v>37296</v>
      </c>
      <c r="J169" s="254">
        <f t="shared" si="13"/>
        <v>37296</v>
      </c>
      <c r="K169" s="254">
        <f t="shared" si="13"/>
        <v>37296</v>
      </c>
      <c r="L169" s="254">
        <f t="shared" si="13"/>
        <v>37296</v>
      </c>
      <c r="M169" s="254">
        <f t="shared" si="13"/>
        <v>37296</v>
      </c>
      <c r="N169" s="254">
        <f t="shared" si="10"/>
        <v>37296</v>
      </c>
    </row>
    <row r="170" spans="1:14" ht="21.95" customHeight="1" x14ac:dyDescent="0.25">
      <c r="A170" s="38"/>
      <c r="B170" s="38"/>
      <c r="C170" s="139" t="str">
        <f t="shared" si="9"/>
        <v>PR_CULEBRA</v>
      </c>
      <c r="D170" s="136" t="s">
        <v>68</v>
      </c>
      <c r="E170" s="262" t="s">
        <v>2430</v>
      </c>
      <c r="F170" s="136" t="s">
        <v>2322</v>
      </c>
      <c r="G170" s="246">
        <v>22656</v>
      </c>
      <c r="H170" s="254">
        <f t="shared" si="12"/>
        <v>22656</v>
      </c>
      <c r="I170" s="246">
        <v>26432</v>
      </c>
      <c r="J170" s="254">
        <f t="shared" si="13"/>
        <v>26432</v>
      </c>
      <c r="K170" s="254">
        <f t="shared" si="13"/>
        <v>26432</v>
      </c>
      <c r="L170" s="254">
        <f t="shared" si="13"/>
        <v>26432</v>
      </c>
      <c r="M170" s="254">
        <f t="shared" si="13"/>
        <v>26432</v>
      </c>
      <c r="N170" s="254">
        <f t="shared" si="10"/>
        <v>26432</v>
      </c>
    </row>
    <row r="171" spans="1:14" ht="21.95" customHeight="1" x14ac:dyDescent="0.25">
      <c r="A171" s="38"/>
      <c r="B171" s="38"/>
      <c r="C171" s="139" t="str">
        <f t="shared" si="9"/>
        <v>PR_DORADO</v>
      </c>
      <c r="D171" s="136" t="s">
        <v>68</v>
      </c>
      <c r="E171" s="262" t="s">
        <v>2431</v>
      </c>
      <c r="F171" s="136" t="s">
        <v>2322</v>
      </c>
      <c r="G171" s="246">
        <v>31968</v>
      </c>
      <c r="H171" s="254">
        <f t="shared" si="12"/>
        <v>31968</v>
      </c>
      <c r="I171" s="246">
        <v>37296</v>
      </c>
      <c r="J171" s="254">
        <f t="shared" si="13"/>
        <v>37296</v>
      </c>
      <c r="K171" s="254">
        <f t="shared" si="13"/>
        <v>37296</v>
      </c>
      <c r="L171" s="254">
        <f t="shared" si="13"/>
        <v>37296</v>
      </c>
      <c r="M171" s="254">
        <f t="shared" si="13"/>
        <v>37296</v>
      </c>
      <c r="N171" s="254">
        <f t="shared" si="10"/>
        <v>37296</v>
      </c>
    </row>
    <row r="172" spans="1:14" ht="21.95" customHeight="1" x14ac:dyDescent="0.25">
      <c r="A172" s="38"/>
      <c r="B172" s="38"/>
      <c r="C172" s="139" t="str">
        <f t="shared" si="9"/>
        <v>PR_FAJARDO</v>
      </c>
      <c r="D172" s="136" t="s">
        <v>68</v>
      </c>
      <c r="E172" s="262" t="s">
        <v>2432</v>
      </c>
      <c r="F172" s="136" t="s">
        <v>2322</v>
      </c>
      <c r="G172" s="246">
        <v>29088</v>
      </c>
      <c r="H172" s="254">
        <f t="shared" si="12"/>
        <v>29088</v>
      </c>
      <c r="I172" s="246">
        <v>33936</v>
      </c>
      <c r="J172" s="254">
        <f t="shared" si="13"/>
        <v>33936</v>
      </c>
      <c r="K172" s="254">
        <f t="shared" si="13"/>
        <v>33936</v>
      </c>
      <c r="L172" s="254">
        <f t="shared" si="13"/>
        <v>33936</v>
      </c>
      <c r="M172" s="254">
        <f t="shared" si="13"/>
        <v>33936</v>
      </c>
      <c r="N172" s="254">
        <f t="shared" si="10"/>
        <v>33936</v>
      </c>
    </row>
    <row r="173" spans="1:14" ht="21.95" customHeight="1" x14ac:dyDescent="0.25">
      <c r="A173" s="38"/>
      <c r="B173" s="38"/>
      <c r="C173" s="139" t="str">
        <f t="shared" si="9"/>
        <v>PR_FLORIDA</v>
      </c>
      <c r="D173" s="136" t="s">
        <v>68</v>
      </c>
      <c r="E173" s="262" t="s">
        <v>2433</v>
      </c>
      <c r="F173" s="136" t="s">
        <v>2322</v>
      </c>
      <c r="G173" s="246">
        <v>31968</v>
      </c>
      <c r="H173" s="254">
        <f t="shared" si="12"/>
        <v>31968</v>
      </c>
      <c r="I173" s="246">
        <v>37296</v>
      </c>
      <c r="J173" s="254">
        <f t="shared" si="13"/>
        <v>37296</v>
      </c>
      <c r="K173" s="254">
        <f t="shared" si="13"/>
        <v>37296</v>
      </c>
      <c r="L173" s="254">
        <f t="shared" si="13"/>
        <v>37296</v>
      </c>
      <c r="M173" s="254">
        <f t="shared" si="13"/>
        <v>37296</v>
      </c>
      <c r="N173" s="254">
        <f t="shared" si="10"/>
        <v>37296</v>
      </c>
    </row>
    <row r="174" spans="1:14" ht="21.95" customHeight="1" x14ac:dyDescent="0.25">
      <c r="A174" s="38"/>
      <c r="B174" s="38"/>
      <c r="C174" s="139" t="str">
        <f t="shared" si="9"/>
        <v>PR_GUANICA</v>
      </c>
      <c r="D174" s="136" t="s">
        <v>68</v>
      </c>
      <c r="E174" s="262" t="s">
        <v>2434</v>
      </c>
      <c r="F174" s="136" t="s">
        <v>2322</v>
      </c>
      <c r="G174" s="246">
        <v>22944</v>
      </c>
      <c r="H174" s="254">
        <f t="shared" si="12"/>
        <v>22944</v>
      </c>
      <c r="I174" s="246">
        <v>26768</v>
      </c>
      <c r="J174" s="254">
        <f t="shared" si="13"/>
        <v>26768</v>
      </c>
      <c r="K174" s="254">
        <f t="shared" si="13"/>
        <v>26768</v>
      </c>
      <c r="L174" s="254">
        <f t="shared" si="13"/>
        <v>26768</v>
      </c>
      <c r="M174" s="254">
        <f t="shared" si="13"/>
        <v>26768</v>
      </c>
      <c r="N174" s="254">
        <f t="shared" si="10"/>
        <v>26768</v>
      </c>
    </row>
    <row r="175" spans="1:14" ht="21.95" customHeight="1" x14ac:dyDescent="0.25">
      <c r="A175" s="38"/>
      <c r="B175" s="38"/>
      <c r="C175" s="139" t="str">
        <f t="shared" si="9"/>
        <v>PR_GUAYAMA</v>
      </c>
      <c r="D175" s="136" t="s">
        <v>68</v>
      </c>
      <c r="E175" s="262" t="s">
        <v>2435</v>
      </c>
      <c r="F175" s="136" t="s">
        <v>2322</v>
      </c>
      <c r="G175" s="246">
        <v>28512</v>
      </c>
      <c r="H175" s="254">
        <f t="shared" si="12"/>
        <v>28512</v>
      </c>
      <c r="I175" s="246">
        <v>33264</v>
      </c>
      <c r="J175" s="254">
        <f t="shared" si="13"/>
        <v>33264</v>
      </c>
      <c r="K175" s="254">
        <f t="shared" si="13"/>
        <v>33264</v>
      </c>
      <c r="L175" s="254">
        <f t="shared" si="13"/>
        <v>33264</v>
      </c>
      <c r="M175" s="254">
        <f t="shared" si="13"/>
        <v>33264</v>
      </c>
      <c r="N175" s="254">
        <f t="shared" si="10"/>
        <v>33264</v>
      </c>
    </row>
    <row r="176" spans="1:14" ht="21.95" customHeight="1" x14ac:dyDescent="0.25">
      <c r="A176" s="38"/>
      <c r="B176" s="38"/>
      <c r="C176" s="139" t="str">
        <f t="shared" si="9"/>
        <v>PR_GUAYANILLA</v>
      </c>
      <c r="D176" s="136" t="s">
        <v>68</v>
      </c>
      <c r="E176" s="262" t="s">
        <v>2436</v>
      </c>
      <c r="F176" s="136" t="s">
        <v>2322</v>
      </c>
      <c r="G176" s="246">
        <v>22944</v>
      </c>
      <c r="H176" s="254">
        <f t="shared" si="12"/>
        <v>22944</v>
      </c>
      <c r="I176" s="246">
        <v>26768</v>
      </c>
      <c r="J176" s="254">
        <f t="shared" si="13"/>
        <v>26768</v>
      </c>
      <c r="K176" s="254">
        <f t="shared" si="13"/>
        <v>26768</v>
      </c>
      <c r="L176" s="254">
        <f t="shared" si="13"/>
        <v>26768</v>
      </c>
      <c r="M176" s="254">
        <f t="shared" si="13"/>
        <v>26768</v>
      </c>
      <c r="N176" s="254">
        <f t="shared" si="10"/>
        <v>26768</v>
      </c>
    </row>
    <row r="177" spans="1:14" ht="21.95" customHeight="1" x14ac:dyDescent="0.25">
      <c r="A177" s="38"/>
      <c r="B177" s="38"/>
      <c r="C177" s="139" t="str">
        <f t="shared" si="9"/>
        <v>PR_GUAYNABO</v>
      </c>
      <c r="D177" s="136" t="s">
        <v>68</v>
      </c>
      <c r="E177" s="262" t="s">
        <v>2437</v>
      </c>
      <c r="F177" s="136" t="s">
        <v>2322</v>
      </c>
      <c r="G177" s="246">
        <v>31968</v>
      </c>
      <c r="H177" s="254">
        <f t="shared" si="12"/>
        <v>31968</v>
      </c>
      <c r="I177" s="246">
        <v>37296</v>
      </c>
      <c r="J177" s="254">
        <f t="shared" si="13"/>
        <v>37296</v>
      </c>
      <c r="K177" s="254">
        <f t="shared" si="13"/>
        <v>37296</v>
      </c>
      <c r="L177" s="254">
        <f t="shared" si="13"/>
        <v>37296</v>
      </c>
      <c r="M177" s="254">
        <f t="shared" si="13"/>
        <v>37296</v>
      </c>
      <c r="N177" s="254">
        <f t="shared" si="10"/>
        <v>37296</v>
      </c>
    </row>
    <row r="178" spans="1:14" ht="21.95" customHeight="1" x14ac:dyDescent="0.25">
      <c r="A178" s="38"/>
      <c r="B178" s="38"/>
      <c r="C178" s="139" t="str">
        <f t="shared" si="9"/>
        <v>PR_GURABO</v>
      </c>
      <c r="D178" s="136" t="s">
        <v>68</v>
      </c>
      <c r="E178" s="262" t="s">
        <v>2438</v>
      </c>
      <c r="F178" s="136" t="s">
        <v>2322</v>
      </c>
      <c r="G178" s="246">
        <v>29760</v>
      </c>
      <c r="H178" s="254">
        <f t="shared" si="12"/>
        <v>29760</v>
      </c>
      <c r="I178" s="246">
        <v>34720</v>
      </c>
      <c r="J178" s="254">
        <f t="shared" si="13"/>
        <v>34720</v>
      </c>
      <c r="K178" s="254">
        <f t="shared" si="13"/>
        <v>34720</v>
      </c>
      <c r="L178" s="254">
        <f t="shared" si="13"/>
        <v>34720</v>
      </c>
      <c r="M178" s="254">
        <f t="shared" si="13"/>
        <v>34720</v>
      </c>
      <c r="N178" s="254">
        <f t="shared" si="10"/>
        <v>34720</v>
      </c>
    </row>
    <row r="179" spans="1:14" ht="21.95" customHeight="1" x14ac:dyDescent="0.25">
      <c r="A179" s="38"/>
      <c r="B179" s="38"/>
      <c r="C179" s="139" t="str">
        <f t="shared" si="9"/>
        <v>PR_HATILLO</v>
      </c>
      <c r="D179" s="136" t="s">
        <v>68</v>
      </c>
      <c r="E179" s="262" t="s">
        <v>2439</v>
      </c>
      <c r="F179" s="136" t="s">
        <v>2322</v>
      </c>
      <c r="G179" s="246">
        <v>27072</v>
      </c>
      <c r="H179" s="254">
        <f t="shared" si="12"/>
        <v>27072</v>
      </c>
      <c r="I179" s="246">
        <v>31584</v>
      </c>
      <c r="J179" s="254">
        <f t="shared" si="13"/>
        <v>31584</v>
      </c>
      <c r="K179" s="254">
        <f t="shared" si="13"/>
        <v>31584</v>
      </c>
      <c r="L179" s="254">
        <f t="shared" si="13"/>
        <v>31584</v>
      </c>
      <c r="M179" s="254">
        <f t="shared" si="13"/>
        <v>31584</v>
      </c>
      <c r="N179" s="254">
        <f t="shared" si="10"/>
        <v>31584</v>
      </c>
    </row>
    <row r="180" spans="1:14" ht="21.95" customHeight="1" x14ac:dyDescent="0.25">
      <c r="A180" s="38"/>
      <c r="B180" s="38"/>
      <c r="C180" s="139" t="str">
        <f t="shared" si="9"/>
        <v>PR_HORMIGUEROS</v>
      </c>
      <c r="D180" s="136" t="s">
        <v>68</v>
      </c>
      <c r="E180" s="262" t="s">
        <v>2440</v>
      </c>
      <c r="F180" s="136" t="s">
        <v>2322</v>
      </c>
      <c r="G180" s="246">
        <v>25440</v>
      </c>
      <c r="H180" s="254">
        <f t="shared" si="12"/>
        <v>25440</v>
      </c>
      <c r="I180" s="246">
        <v>29680</v>
      </c>
      <c r="J180" s="254">
        <f t="shared" si="13"/>
        <v>29680</v>
      </c>
      <c r="K180" s="254">
        <f t="shared" si="13"/>
        <v>29680</v>
      </c>
      <c r="L180" s="254">
        <f t="shared" si="13"/>
        <v>29680</v>
      </c>
      <c r="M180" s="254">
        <f t="shared" si="13"/>
        <v>29680</v>
      </c>
      <c r="N180" s="254">
        <f t="shared" si="10"/>
        <v>29680</v>
      </c>
    </row>
    <row r="181" spans="1:14" ht="21.95" customHeight="1" x14ac:dyDescent="0.25">
      <c r="A181" s="38"/>
      <c r="B181" s="38"/>
      <c r="C181" s="139" t="str">
        <f t="shared" si="9"/>
        <v>PR_HUMACAO</v>
      </c>
      <c r="D181" s="136" t="s">
        <v>68</v>
      </c>
      <c r="E181" s="262" t="s">
        <v>2441</v>
      </c>
      <c r="F181" s="136" t="s">
        <v>2322</v>
      </c>
      <c r="G181" s="246">
        <v>31968</v>
      </c>
      <c r="H181" s="254">
        <f t="shared" si="12"/>
        <v>31968</v>
      </c>
      <c r="I181" s="246">
        <v>37296</v>
      </c>
      <c r="J181" s="254">
        <f t="shared" si="13"/>
        <v>37296</v>
      </c>
      <c r="K181" s="254">
        <f t="shared" si="13"/>
        <v>37296</v>
      </c>
      <c r="L181" s="254">
        <f t="shared" si="13"/>
        <v>37296</v>
      </c>
      <c r="M181" s="254">
        <f t="shared" si="13"/>
        <v>37296</v>
      </c>
      <c r="N181" s="254">
        <f t="shared" si="10"/>
        <v>37296</v>
      </c>
    </row>
    <row r="182" spans="1:14" ht="21.95" customHeight="1" x14ac:dyDescent="0.25">
      <c r="A182" s="38"/>
      <c r="B182" s="38"/>
      <c r="C182" s="139" t="str">
        <f t="shared" si="9"/>
        <v>PR_ISABELA</v>
      </c>
      <c r="D182" s="136" t="s">
        <v>68</v>
      </c>
      <c r="E182" s="262" t="s">
        <v>2442</v>
      </c>
      <c r="F182" s="136" t="s">
        <v>2322</v>
      </c>
      <c r="G182" s="246">
        <v>24480</v>
      </c>
      <c r="H182" s="254">
        <f t="shared" si="12"/>
        <v>24480</v>
      </c>
      <c r="I182" s="246">
        <v>28560</v>
      </c>
      <c r="J182" s="254">
        <f t="shared" si="13"/>
        <v>28560</v>
      </c>
      <c r="K182" s="254">
        <f t="shared" si="13"/>
        <v>28560</v>
      </c>
      <c r="L182" s="254">
        <f t="shared" si="13"/>
        <v>28560</v>
      </c>
      <c r="M182" s="254">
        <f t="shared" si="13"/>
        <v>28560</v>
      </c>
      <c r="N182" s="254">
        <f t="shared" si="10"/>
        <v>28560</v>
      </c>
    </row>
    <row r="183" spans="1:14" ht="21.95" customHeight="1" x14ac:dyDescent="0.25">
      <c r="A183" s="38"/>
      <c r="B183" s="38"/>
      <c r="C183" s="139" t="str">
        <f t="shared" si="9"/>
        <v>PR_JAYUYA</v>
      </c>
      <c r="D183" s="136" t="s">
        <v>68</v>
      </c>
      <c r="E183" s="262" t="s">
        <v>2443</v>
      </c>
      <c r="F183" s="136" t="s">
        <v>2322</v>
      </c>
      <c r="G183" s="246">
        <v>22656</v>
      </c>
      <c r="H183" s="254">
        <f t="shared" si="12"/>
        <v>22656</v>
      </c>
      <c r="I183" s="246">
        <v>26432</v>
      </c>
      <c r="J183" s="254">
        <f t="shared" si="13"/>
        <v>26432</v>
      </c>
      <c r="K183" s="254">
        <f t="shared" si="13"/>
        <v>26432</v>
      </c>
      <c r="L183" s="254">
        <f t="shared" si="13"/>
        <v>26432</v>
      </c>
      <c r="M183" s="254">
        <f t="shared" si="13"/>
        <v>26432</v>
      </c>
      <c r="N183" s="254">
        <f t="shared" si="10"/>
        <v>26432</v>
      </c>
    </row>
    <row r="184" spans="1:14" ht="21.95" customHeight="1" x14ac:dyDescent="0.25">
      <c r="A184" s="38"/>
      <c r="B184" s="38"/>
      <c r="C184" s="139" t="str">
        <f t="shared" si="9"/>
        <v>PR_JUANA DIAZ</v>
      </c>
      <c r="D184" s="136" t="s">
        <v>68</v>
      </c>
      <c r="E184" s="262" t="s">
        <v>2444</v>
      </c>
      <c r="F184" s="136" t="s">
        <v>2322</v>
      </c>
      <c r="G184" s="246">
        <v>27456</v>
      </c>
      <c r="H184" s="254">
        <f t="shared" si="12"/>
        <v>27456</v>
      </c>
      <c r="I184" s="246">
        <v>32032</v>
      </c>
      <c r="J184" s="254">
        <f t="shared" ref="J184:M203" si="14">I184</f>
        <v>32032</v>
      </c>
      <c r="K184" s="254">
        <f t="shared" si="14"/>
        <v>32032</v>
      </c>
      <c r="L184" s="254">
        <f t="shared" si="14"/>
        <v>32032</v>
      </c>
      <c r="M184" s="254">
        <f t="shared" si="14"/>
        <v>32032</v>
      </c>
      <c r="N184" s="254">
        <f t="shared" si="10"/>
        <v>32032</v>
      </c>
    </row>
    <row r="185" spans="1:14" ht="21.95" customHeight="1" x14ac:dyDescent="0.25">
      <c r="A185" s="38"/>
      <c r="B185" s="38"/>
      <c r="C185" s="139" t="str">
        <f t="shared" si="9"/>
        <v>PR_JUNCOS</v>
      </c>
      <c r="D185" s="136" t="s">
        <v>68</v>
      </c>
      <c r="E185" s="262" t="s">
        <v>2445</v>
      </c>
      <c r="F185" s="136" t="s">
        <v>2322</v>
      </c>
      <c r="G185" s="246">
        <v>31968</v>
      </c>
      <c r="H185" s="254">
        <f t="shared" si="12"/>
        <v>31968</v>
      </c>
      <c r="I185" s="246">
        <v>37296</v>
      </c>
      <c r="J185" s="254">
        <f t="shared" si="14"/>
        <v>37296</v>
      </c>
      <c r="K185" s="254">
        <f t="shared" si="14"/>
        <v>37296</v>
      </c>
      <c r="L185" s="254">
        <f t="shared" si="14"/>
        <v>37296</v>
      </c>
      <c r="M185" s="254">
        <f t="shared" si="14"/>
        <v>37296</v>
      </c>
      <c r="N185" s="254">
        <f t="shared" si="10"/>
        <v>37296</v>
      </c>
    </row>
    <row r="186" spans="1:14" ht="21.95" customHeight="1" x14ac:dyDescent="0.25">
      <c r="A186" s="38"/>
      <c r="B186" s="38"/>
      <c r="C186" s="139" t="str">
        <f t="shared" si="9"/>
        <v>PR_LAJAS</v>
      </c>
      <c r="D186" s="136" t="s">
        <v>68</v>
      </c>
      <c r="E186" s="262" t="s">
        <v>2446</v>
      </c>
      <c r="F186" s="136" t="s">
        <v>2322</v>
      </c>
      <c r="G186" s="246">
        <v>22656</v>
      </c>
      <c r="H186" s="254">
        <f t="shared" si="12"/>
        <v>22656</v>
      </c>
      <c r="I186" s="246">
        <v>26432</v>
      </c>
      <c r="J186" s="254">
        <f t="shared" si="14"/>
        <v>26432</v>
      </c>
      <c r="K186" s="254">
        <f t="shared" si="14"/>
        <v>26432</v>
      </c>
      <c r="L186" s="254">
        <f t="shared" si="14"/>
        <v>26432</v>
      </c>
      <c r="M186" s="254">
        <f t="shared" si="14"/>
        <v>26432</v>
      </c>
      <c r="N186" s="254">
        <f t="shared" si="10"/>
        <v>26432</v>
      </c>
    </row>
    <row r="187" spans="1:14" ht="21.95" customHeight="1" x14ac:dyDescent="0.25">
      <c r="A187" s="38"/>
      <c r="B187" s="38"/>
      <c r="C187" s="139" t="str">
        <f t="shared" si="9"/>
        <v>PR_LARES</v>
      </c>
      <c r="D187" s="136" t="s">
        <v>68</v>
      </c>
      <c r="E187" s="262" t="s">
        <v>2447</v>
      </c>
      <c r="F187" s="136" t="s">
        <v>2322</v>
      </c>
      <c r="G187" s="246">
        <v>24480</v>
      </c>
      <c r="H187" s="254">
        <f t="shared" si="12"/>
        <v>24480</v>
      </c>
      <c r="I187" s="246">
        <v>28560</v>
      </c>
      <c r="J187" s="254">
        <f t="shared" si="14"/>
        <v>28560</v>
      </c>
      <c r="K187" s="254">
        <f t="shared" si="14"/>
        <v>28560</v>
      </c>
      <c r="L187" s="254">
        <f t="shared" si="14"/>
        <v>28560</v>
      </c>
      <c r="M187" s="254">
        <f t="shared" si="14"/>
        <v>28560</v>
      </c>
      <c r="N187" s="254">
        <f t="shared" si="10"/>
        <v>28560</v>
      </c>
    </row>
    <row r="188" spans="1:14" ht="21.95" customHeight="1" x14ac:dyDescent="0.25">
      <c r="A188" s="38"/>
      <c r="B188" s="38"/>
      <c r="C188" s="139" t="str">
        <f t="shared" si="9"/>
        <v>PR_LAS MARIAS</v>
      </c>
      <c r="D188" s="136" t="s">
        <v>68</v>
      </c>
      <c r="E188" s="262" t="s">
        <v>2448</v>
      </c>
      <c r="F188" s="136" t="s">
        <v>2322</v>
      </c>
      <c r="G188" s="246">
        <v>22656</v>
      </c>
      <c r="H188" s="254">
        <f t="shared" si="12"/>
        <v>22656</v>
      </c>
      <c r="I188" s="246">
        <v>26432</v>
      </c>
      <c r="J188" s="254">
        <f t="shared" si="14"/>
        <v>26432</v>
      </c>
      <c r="K188" s="254">
        <f t="shared" si="14"/>
        <v>26432</v>
      </c>
      <c r="L188" s="254">
        <f t="shared" si="14"/>
        <v>26432</v>
      </c>
      <c r="M188" s="254">
        <f t="shared" si="14"/>
        <v>26432</v>
      </c>
      <c r="N188" s="254">
        <f t="shared" si="10"/>
        <v>26432</v>
      </c>
    </row>
    <row r="189" spans="1:14" ht="21.95" customHeight="1" x14ac:dyDescent="0.25">
      <c r="A189" s="38"/>
      <c r="B189" s="38"/>
      <c r="C189" s="139" t="str">
        <f t="shared" si="9"/>
        <v>PR_LAS PIEDRAS</v>
      </c>
      <c r="D189" s="136" t="s">
        <v>68</v>
      </c>
      <c r="E189" s="262" t="s">
        <v>2449</v>
      </c>
      <c r="F189" s="136" t="s">
        <v>2322</v>
      </c>
      <c r="G189" s="246">
        <v>31968</v>
      </c>
      <c r="H189" s="254">
        <f t="shared" si="12"/>
        <v>31968</v>
      </c>
      <c r="I189" s="246">
        <v>37296</v>
      </c>
      <c r="J189" s="254">
        <f t="shared" si="14"/>
        <v>37296</v>
      </c>
      <c r="K189" s="254">
        <f t="shared" si="14"/>
        <v>37296</v>
      </c>
      <c r="L189" s="254">
        <f t="shared" si="14"/>
        <v>37296</v>
      </c>
      <c r="M189" s="254">
        <f t="shared" si="14"/>
        <v>37296</v>
      </c>
      <c r="N189" s="254">
        <f t="shared" si="10"/>
        <v>37296</v>
      </c>
    </row>
    <row r="190" spans="1:14" ht="21.95" customHeight="1" x14ac:dyDescent="0.25">
      <c r="A190" s="38"/>
      <c r="B190" s="38"/>
      <c r="C190" s="139" t="str">
        <f t="shared" si="9"/>
        <v>PR_LOIZA</v>
      </c>
      <c r="D190" s="136" t="s">
        <v>68</v>
      </c>
      <c r="E190" s="262" t="s">
        <v>2450</v>
      </c>
      <c r="F190" s="136" t="s">
        <v>2322</v>
      </c>
      <c r="G190" s="246">
        <v>31968</v>
      </c>
      <c r="H190" s="254">
        <f t="shared" si="12"/>
        <v>31968</v>
      </c>
      <c r="I190" s="246">
        <v>37296</v>
      </c>
      <c r="J190" s="254">
        <f t="shared" si="14"/>
        <v>37296</v>
      </c>
      <c r="K190" s="254">
        <f t="shared" si="14"/>
        <v>37296</v>
      </c>
      <c r="L190" s="254">
        <f t="shared" si="14"/>
        <v>37296</v>
      </c>
      <c r="M190" s="254">
        <f t="shared" si="14"/>
        <v>37296</v>
      </c>
      <c r="N190" s="254">
        <f t="shared" si="10"/>
        <v>37296</v>
      </c>
    </row>
    <row r="191" spans="1:14" ht="21.95" customHeight="1" x14ac:dyDescent="0.25">
      <c r="A191" s="38"/>
      <c r="B191" s="38"/>
      <c r="C191" s="139" t="str">
        <f t="shared" si="9"/>
        <v>PR_LUQUILLO</v>
      </c>
      <c r="D191" s="136" t="s">
        <v>68</v>
      </c>
      <c r="E191" s="262" t="s">
        <v>2451</v>
      </c>
      <c r="F191" s="136" t="s">
        <v>2322</v>
      </c>
      <c r="G191" s="246">
        <v>29088</v>
      </c>
      <c r="H191" s="254">
        <f t="shared" ref="H191:H222" si="15">G191</f>
        <v>29088</v>
      </c>
      <c r="I191" s="246">
        <v>33936</v>
      </c>
      <c r="J191" s="254">
        <f t="shared" si="14"/>
        <v>33936</v>
      </c>
      <c r="K191" s="254">
        <f t="shared" si="14"/>
        <v>33936</v>
      </c>
      <c r="L191" s="254">
        <f t="shared" si="14"/>
        <v>33936</v>
      </c>
      <c r="M191" s="254">
        <f t="shared" si="14"/>
        <v>33936</v>
      </c>
      <c r="N191" s="254">
        <f t="shared" si="10"/>
        <v>33936</v>
      </c>
    </row>
    <row r="192" spans="1:14" ht="21.95" customHeight="1" x14ac:dyDescent="0.25">
      <c r="A192" s="38"/>
      <c r="B192" s="38"/>
      <c r="C192" s="139" t="str">
        <f t="shared" ref="C192:C255" si="16">TRIM(UPPER(D192))&amp;"_"&amp;TRIM(UPPER(E192))</f>
        <v>PR_MANATI</v>
      </c>
      <c r="D192" s="136" t="s">
        <v>68</v>
      </c>
      <c r="E192" s="262" t="s">
        <v>2104</v>
      </c>
      <c r="F192" s="136" t="s">
        <v>2322</v>
      </c>
      <c r="G192" s="246">
        <v>31968</v>
      </c>
      <c r="H192" s="254">
        <f t="shared" si="15"/>
        <v>31968</v>
      </c>
      <c r="I192" s="246">
        <v>37296</v>
      </c>
      <c r="J192" s="254">
        <f t="shared" si="14"/>
        <v>37296</v>
      </c>
      <c r="K192" s="254">
        <f t="shared" si="14"/>
        <v>37296</v>
      </c>
      <c r="L192" s="254">
        <f t="shared" si="14"/>
        <v>37296</v>
      </c>
      <c r="M192" s="254">
        <f t="shared" si="14"/>
        <v>37296</v>
      </c>
      <c r="N192" s="254">
        <f t="shared" ref="N192:N223" si="17">M192</f>
        <v>37296</v>
      </c>
    </row>
    <row r="193" spans="1:14" ht="21.95" customHeight="1" x14ac:dyDescent="0.25">
      <c r="A193" s="38"/>
      <c r="B193" s="38"/>
      <c r="C193" s="139" t="str">
        <f t="shared" si="16"/>
        <v>PR_MARICAO</v>
      </c>
      <c r="D193" s="136" t="s">
        <v>68</v>
      </c>
      <c r="E193" s="262" t="s">
        <v>2452</v>
      </c>
      <c r="F193" s="136" t="s">
        <v>2322</v>
      </c>
      <c r="G193" s="246">
        <v>22656</v>
      </c>
      <c r="H193" s="254">
        <f t="shared" si="15"/>
        <v>22656</v>
      </c>
      <c r="I193" s="246">
        <v>26432</v>
      </c>
      <c r="J193" s="254">
        <f t="shared" si="14"/>
        <v>26432</v>
      </c>
      <c r="K193" s="254">
        <f t="shared" si="14"/>
        <v>26432</v>
      </c>
      <c r="L193" s="254">
        <f t="shared" si="14"/>
        <v>26432</v>
      </c>
      <c r="M193" s="254">
        <f t="shared" si="14"/>
        <v>26432</v>
      </c>
      <c r="N193" s="254">
        <f t="shared" si="17"/>
        <v>26432</v>
      </c>
    </row>
    <row r="194" spans="1:14" ht="21.95" customHeight="1" x14ac:dyDescent="0.25">
      <c r="A194" s="38"/>
      <c r="B194" s="38"/>
      <c r="C194" s="139" t="str">
        <f t="shared" si="16"/>
        <v>PR_MAUNABO</v>
      </c>
      <c r="D194" s="136" t="s">
        <v>68</v>
      </c>
      <c r="E194" s="262" t="s">
        <v>2453</v>
      </c>
      <c r="F194" s="136" t="s">
        <v>2322</v>
      </c>
      <c r="G194" s="246">
        <v>22848</v>
      </c>
      <c r="H194" s="254">
        <f t="shared" si="15"/>
        <v>22848</v>
      </c>
      <c r="I194" s="246">
        <v>26656</v>
      </c>
      <c r="J194" s="254">
        <f t="shared" si="14"/>
        <v>26656</v>
      </c>
      <c r="K194" s="254">
        <f t="shared" si="14"/>
        <v>26656</v>
      </c>
      <c r="L194" s="254">
        <f t="shared" si="14"/>
        <v>26656</v>
      </c>
      <c r="M194" s="254">
        <f t="shared" si="14"/>
        <v>26656</v>
      </c>
      <c r="N194" s="254">
        <f t="shared" si="17"/>
        <v>26656</v>
      </c>
    </row>
    <row r="195" spans="1:14" ht="21.95" customHeight="1" x14ac:dyDescent="0.25">
      <c r="A195" s="38"/>
      <c r="B195" s="38"/>
      <c r="C195" s="139" t="str">
        <f t="shared" si="16"/>
        <v>PR_MAYAGUEZ</v>
      </c>
      <c r="D195" s="136" t="s">
        <v>68</v>
      </c>
      <c r="E195" s="262" t="s">
        <v>2454</v>
      </c>
      <c r="F195" s="136" t="s">
        <v>2322</v>
      </c>
      <c r="G195" s="246">
        <v>25440</v>
      </c>
      <c r="H195" s="254">
        <f t="shared" si="15"/>
        <v>25440</v>
      </c>
      <c r="I195" s="246">
        <v>29680</v>
      </c>
      <c r="J195" s="254">
        <f t="shared" si="14"/>
        <v>29680</v>
      </c>
      <c r="K195" s="254">
        <f t="shared" si="14"/>
        <v>29680</v>
      </c>
      <c r="L195" s="254">
        <f t="shared" si="14"/>
        <v>29680</v>
      </c>
      <c r="M195" s="254">
        <f t="shared" si="14"/>
        <v>29680</v>
      </c>
      <c r="N195" s="254">
        <f t="shared" si="17"/>
        <v>29680</v>
      </c>
    </row>
    <row r="196" spans="1:14" ht="21.95" customHeight="1" x14ac:dyDescent="0.25">
      <c r="A196" s="38"/>
      <c r="B196" s="38"/>
      <c r="C196" s="139" t="str">
        <f t="shared" si="16"/>
        <v>PR_MOCA</v>
      </c>
      <c r="D196" s="136" t="s">
        <v>68</v>
      </c>
      <c r="E196" s="262" t="s">
        <v>2455</v>
      </c>
      <c r="F196" s="136" t="s">
        <v>2322</v>
      </c>
      <c r="G196" s="246">
        <v>24480</v>
      </c>
      <c r="H196" s="254">
        <f t="shared" si="15"/>
        <v>24480</v>
      </c>
      <c r="I196" s="246">
        <v>28560</v>
      </c>
      <c r="J196" s="254">
        <f t="shared" si="14"/>
        <v>28560</v>
      </c>
      <c r="K196" s="254">
        <f t="shared" si="14"/>
        <v>28560</v>
      </c>
      <c r="L196" s="254">
        <f t="shared" si="14"/>
        <v>28560</v>
      </c>
      <c r="M196" s="254">
        <f t="shared" si="14"/>
        <v>28560</v>
      </c>
      <c r="N196" s="254">
        <f t="shared" si="17"/>
        <v>28560</v>
      </c>
    </row>
    <row r="197" spans="1:14" ht="21.95" customHeight="1" x14ac:dyDescent="0.25">
      <c r="A197" s="38"/>
      <c r="B197" s="38"/>
      <c r="C197" s="139" t="str">
        <f t="shared" si="16"/>
        <v>PR_MOROVIS</v>
      </c>
      <c r="D197" s="136" t="s">
        <v>68</v>
      </c>
      <c r="E197" s="262" t="s">
        <v>2456</v>
      </c>
      <c r="F197" s="136" t="s">
        <v>2322</v>
      </c>
      <c r="G197" s="246">
        <v>31968</v>
      </c>
      <c r="H197" s="254">
        <f t="shared" si="15"/>
        <v>31968</v>
      </c>
      <c r="I197" s="246">
        <v>37296</v>
      </c>
      <c r="J197" s="254">
        <f t="shared" si="14"/>
        <v>37296</v>
      </c>
      <c r="K197" s="254">
        <f t="shared" si="14"/>
        <v>37296</v>
      </c>
      <c r="L197" s="254">
        <f t="shared" si="14"/>
        <v>37296</v>
      </c>
      <c r="M197" s="254">
        <f t="shared" si="14"/>
        <v>37296</v>
      </c>
      <c r="N197" s="254">
        <f t="shared" si="17"/>
        <v>37296</v>
      </c>
    </row>
    <row r="198" spans="1:14" ht="21.95" customHeight="1" x14ac:dyDescent="0.25">
      <c r="A198" s="38"/>
      <c r="B198" s="38"/>
      <c r="C198" s="139" t="str">
        <f t="shared" si="16"/>
        <v>PR_NAGUABO</v>
      </c>
      <c r="D198" s="136" t="s">
        <v>68</v>
      </c>
      <c r="E198" s="262" t="s">
        <v>2457</v>
      </c>
      <c r="F198" s="136" t="s">
        <v>2322</v>
      </c>
      <c r="G198" s="246">
        <v>31968</v>
      </c>
      <c r="H198" s="254">
        <f t="shared" si="15"/>
        <v>31968</v>
      </c>
      <c r="I198" s="246">
        <v>37296</v>
      </c>
      <c r="J198" s="254">
        <f t="shared" si="14"/>
        <v>37296</v>
      </c>
      <c r="K198" s="254">
        <f t="shared" si="14"/>
        <v>37296</v>
      </c>
      <c r="L198" s="254">
        <f t="shared" si="14"/>
        <v>37296</v>
      </c>
      <c r="M198" s="254">
        <f t="shared" si="14"/>
        <v>37296</v>
      </c>
      <c r="N198" s="254">
        <f t="shared" si="17"/>
        <v>37296</v>
      </c>
    </row>
    <row r="199" spans="1:14" ht="21.95" customHeight="1" x14ac:dyDescent="0.25">
      <c r="A199" s="38"/>
      <c r="B199" s="38"/>
      <c r="C199" s="139" t="str">
        <f t="shared" si="16"/>
        <v>PR_NARANJITO</v>
      </c>
      <c r="D199" s="136" t="s">
        <v>68</v>
      </c>
      <c r="E199" s="262" t="s">
        <v>2458</v>
      </c>
      <c r="F199" s="136" t="s">
        <v>2322</v>
      </c>
      <c r="G199" s="246">
        <v>31968</v>
      </c>
      <c r="H199" s="254">
        <f t="shared" si="15"/>
        <v>31968</v>
      </c>
      <c r="I199" s="246">
        <v>37296</v>
      </c>
      <c r="J199" s="254">
        <f t="shared" si="14"/>
        <v>37296</v>
      </c>
      <c r="K199" s="254">
        <f t="shared" si="14"/>
        <v>37296</v>
      </c>
      <c r="L199" s="254">
        <f t="shared" si="14"/>
        <v>37296</v>
      </c>
      <c r="M199" s="254">
        <f t="shared" si="14"/>
        <v>37296</v>
      </c>
      <c r="N199" s="254">
        <f t="shared" si="17"/>
        <v>37296</v>
      </c>
    </row>
    <row r="200" spans="1:14" ht="21.95" customHeight="1" x14ac:dyDescent="0.25">
      <c r="A200" s="38"/>
      <c r="B200" s="38"/>
      <c r="C200" s="139" t="str">
        <f t="shared" si="16"/>
        <v>PR_OROCOVIS</v>
      </c>
      <c r="D200" s="136" t="s">
        <v>68</v>
      </c>
      <c r="E200" s="262" t="s">
        <v>2459</v>
      </c>
      <c r="F200" s="136" t="s">
        <v>2322</v>
      </c>
      <c r="G200" s="246">
        <v>22848</v>
      </c>
      <c r="H200" s="254">
        <f t="shared" si="15"/>
        <v>22848</v>
      </c>
      <c r="I200" s="246">
        <v>26656</v>
      </c>
      <c r="J200" s="254">
        <f t="shared" si="14"/>
        <v>26656</v>
      </c>
      <c r="K200" s="254">
        <f t="shared" si="14"/>
        <v>26656</v>
      </c>
      <c r="L200" s="254">
        <f t="shared" si="14"/>
        <v>26656</v>
      </c>
      <c r="M200" s="254">
        <f t="shared" si="14"/>
        <v>26656</v>
      </c>
      <c r="N200" s="254">
        <f t="shared" si="17"/>
        <v>26656</v>
      </c>
    </row>
    <row r="201" spans="1:14" ht="21.95" customHeight="1" x14ac:dyDescent="0.25">
      <c r="A201" s="38"/>
      <c r="B201" s="38"/>
      <c r="C201" s="139" t="str">
        <f t="shared" si="16"/>
        <v>PR_PATILLAS</v>
      </c>
      <c r="D201" s="136" t="s">
        <v>68</v>
      </c>
      <c r="E201" s="262" t="s">
        <v>2460</v>
      </c>
      <c r="F201" s="136" t="s">
        <v>2322</v>
      </c>
      <c r="G201" s="246">
        <v>28512</v>
      </c>
      <c r="H201" s="254">
        <f t="shared" si="15"/>
        <v>28512</v>
      </c>
      <c r="I201" s="246">
        <v>33264</v>
      </c>
      <c r="J201" s="254">
        <f t="shared" si="14"/>
        <v>33264</v>
      </c>
      <c r="K201" s="254">
        <f t="shared" si="14"/>
        <v>33264</v>
      </c>
      <c r="L201" s="254">
        <f t="shared" si="14"/>
        <v>33264</v>
      </c>
      <c r="M201" s="254">
        <f t="shared" si="14"/>
        <v>33264</v>
      </c>
      <c r="N201" s="254">
        <f t="shared" si="17"/>
        <v>33264</v>
      </c>
    </row>
    <row r="202" spans="1:14" ht="21.95" customHeight="1" x14ac:dyDescent="0.25">
      <c r="A202" s="38"/>
      <c r="B202" s="38"/>
      <c r="C202" s="139" t="str">
        <f t="shared" si="16"/>
        <v>PR_PENUELAS</v>
      </c>
      <c r="D202" s="136" t="s">
        <v>68</v>
      </c>
      <c r="E202" s="262" t="s">
        <v>2461</v>
      </c>
      <c r="F202" s="136" t="s">
        <v>2322</v>
      </c>
      <c r="G202" s="246">
        <v>22944</v>
      </c>
      <c r="H202" s="254">
        <f t="shared" si="15"/>
        <v>22944</v>
      </c>
      <c r="I202" s="246">
        <v>26768</v>
      </c>
      <c r="J202" s="254">
        <f t="shared" si="14"/>
        <v>26768</v>
      </c>
      <c r="K202" s="254">
        <f t="shared" si="14"/>
        <v>26768</v>
      </c>
      <c r="L202" s="254">
        <f t="shared" si="14"/>
        <v>26768</v>
      </c>
      <c r="M202" s="254">
        <f t="shared" si="14"/>
        <v>26768</v>
      </c>
      <c r="N202" s="254">
        <f t="shared" si="17"/>
        <v>26768</v>
      </c>
    </row>
    <row r="203" spans="1:14" ht="21.95" customHeight="1" x14ac:dyDescent="0.25">
      <c r="A203" s="38"/>
      <c r="B203" s="38"/>
      <c r="C203" s="139" t="str">
        <f t="shared" si="16"/>
        <v>PR_PONCE</v>
      </c>
      <c r="D203" s="136" t="s">
        <v>68</v>
      </c>
      <c r="E203" s="262" t="s">
        <v>2462</v>
      </c>
      <c r="F203" s="136" t="s">
        <v>2322</v>
      </c>
      <c r="G203" s="246">
        <v>27456</v>
      </c>
      <c r="H203" s="254">
        <f t="shared" si="15"/>
        <v>27456</v>
      </c>
      <c r="I203" s="246">
        <v>32032</v>
      </c>
      <c r="J203" s="254">
        <f t="shared" si="14"/>
        <v>32032</v>
      </c>
      <c r="K203" s="254">
        <f t="shared" si="14"/>
        <v>32032</v>
      </c>
      <c r="L203" s="254">
        <f t="shared" si="14"/>
        <v>32032</v>
      </c>
      <c r="M203" s="254">
        <f t="shared" si="14"/>
        <v>32032</v>
      </c>
      <c r="N203" s="254">
        <f t="shared" si="17"/>
        <v>32032</v>
      </c>
    </row>
    <row r="204" spans="1:14" ht="21.95" customHeight="1" x14ac:dyDescent="0.25">
      <c r="A204" s="38"/>
      <c r="B204" s="38"/>
      <c r="C204" s="139" t="str">
        <f t="shared" si="16"/>
        <v>PR_QUEBRADILLAS</v>
      </c>
      <c r="D204" s="136" t="s">
        <v>68</v>
      </c>
      <c r="E204" s="262" t="s">
        <v>2463</v>
      </c>
      <c r="F204" s="136" t="s">
        <v>2322</v>
      </c>
      <c r="G204" s="246">
        <v>22848</v>
      </c>
      <c r="H204" s="254">
        <f t="shared" si="15"/>
        <v>22848</v>
      </c>
      <c r="I204" s="246">
        <v>26656</v>
      </c>
      <c r="J204" s="254">
        <f t="shared" ref="J204:M223" si="18">I204</f>
        <v>26656</v>
      </c>
      <c r="K204" s="254">
        <f t="shared" si="18"/>
        <v>26656</v>
      </c>
      <c r="L204" s="254">
        <f t="shared" si="18"/>
        <v>26656</v>
      </c>
      <c r="M204" s="254">
        <f t="shared" si="18"/>
        <v>26656</v>
      </c>
      <c r="N204" s="254">
        <f t="shared" si="17"/>
        <v>26656</v>
      </c>
    </row>
    <row r="205" spans="1:14" ht="21.95" customHeight="1" x14ac:dyDescent="0.25">
      <c r="A205" s="38"/>
      <c r="B205" s="38"/>
      <c r="C205" s="139" t="str">
        <f t="shared" si="16"/>
        <v>PR_RINCON</v>
      </c>
      <c r="D205" s="136" t="s">
        <v>68</v>
      </c>
      <c r="E205" s="262" t="s">
        <v>2464</v>
      </c>
      <c r="F205" s="136" t="s">
        <v>2322</v>
      </c>
      <c r="G205" s="246">
        <v>24480</v>
      </c>
      <c r="H205" s="254">
        <f t="shared" si="15"/>
        <v>24480</v>
      </c>
      <c r="I205" s="246">
        <v>28560</v>
      </c>
      <c r="J205" s="254">
        <f t="shared" si="18"/>
        <v>28560</v>
      </c>
      <c r="K205" s="254">
        <f t="shared" si="18"/>
        <v>28560</v>
      </c>
      <c r="L205" s="254">
        <f t="shared" si="18"/>
        <v>28560</v>
      </c>
      <c r="M205" s="254">
        <f t="shared" si="18"/>
        <v>28560</v>
      </c>
      <c r="N205" s="254">
        <f t="shared" si="17"/>
        <v>28560</v>
      </c>
    </row>
    <row r="206" spans="1:14" ht="21.95" customHeight="1" x14ac:dyDescent="0.25">
      <c r="A206" s="38"/>
      <c r="B206" s="38"/>
      <c r="C206" s="139" t="str">
        <f t="shared" si="16"/>
        <v>PR_RIO GRANDE</v>
      </c>
      <c r="D206" s="136" t="s">
        <v>68</v>
      </c>
      <c r="E206" s="262" t="s">
        <v>2465</v>
      </c>
      <c r="F206" s="136" t="s">
        <v>2322</v>
      </c>
      <c r="G206" s="246">
        <v>31968</v>
      </c>
      <c r="H206" s="254">
        <f t="shared" si="15"/>
        <v>31968</v>
      </c>
      <c r="I206" s="246">
        <v>37296</v>
      </c>
      <c r="J206" s="254">
        <f t="shared" si="18"/>
        <v>37296</v>
      </c>
      <c r="K206" s="254">
        <f t="shared" si="18"/>
        <v>37296</v>
      </c>
      <c r="L206" s="254">
        <f t="shared" si="18"/>
        <v>37296</v>
      </c>
      <c r="M206" s="254">
        <f t="shared" si="18"/>
        <v>37296</v>
      </c>
      <c r="N206" s="254">
        <f t="shared" si="17"/>
        <v>37296</v>
      </c>
    </row>
    <row r="207" spans="1:14" ht="21.95" customHeight="1" x14ac:dyDescent="0.25">
      <c r="A207" s="38"/>
      <c r="B207" s="38"/>
      <c r="C207" s="139" t="str">
        <f t="shared" si="16"/>
        <v>PR_SABANA GRANDE</v>
      </c>
      <c r="D207" s="136" t="s">
        <v>68</v>
      </c>
      <c r="E207" s="262" t="s">
        <v>2466</v>
      </c>
      <c r="F207" s="136" t="s">
        <v>2322</v>
      </c>
      <c r="G207" s="246">
        <v>22656</v>
      </c>
      <c r="H207" s="254">
        <f t="shared" si="15"/>
        <v>22656</v>
      </c>
      <c r="I207" s="246">
        <v>26432</v>
      </c>
      <c r="J207" s="254">
        <f t="shared" si="18"/>
        <v>26432</v>
      </c>
      <c r="K207" s="254">
        <f t="shared" si="18"/>
        <v>26432</v>
      </c>
      <c r="L207" s="254">
        <f t="shared" si="18"/>
        <v>26432</v>
      </c>
      <c r="M207" s="254">
        <f t="shared" si="18"/>
        <v>26432</v>
      </c>
      <c r="N207" s="254">
        <f t="shared" si="17"/>
        <v>26432</v>
      </c>
    </row>
    <row r="208" spans="1:14" ht="21.95" customHeight="1" x14ac:dyDescent="0.25">
      <c r="A208" s="38"/>
      <c r="B208" s="38"/>
      <c r="C208" s="139" t="str">
        <f t="shared" si="16"/>
        <v>PR_SALINAS</v>
      </c>
      <c r="D208" s="136" t="s">
        <v>68</v>
      </c>
      <c r="E208" s="262" t="s">
        <v>2467</v>
      </c>
      <c r="F208" s="136" t="s">
        <v>2322</v>
      </c>
      <c r="G208" s="246">
        <v>22656</v>
      </c>
      <c r="H208" s="254">
        <f t="shared" si="15"/>
        <v>22656</v>
      </c>
      <c r="I208" s="246">
        <v>26432</v>
      </c>
      <c r="J208" s="254">
        <f t="shared" si="18"/>
        <v>26432</v>
      </c>
      <c r="K208" s="254">
        <f t="shared" si="18"/>
        <v>26432</v>
      </c>
      <c r="L208" s="254">
        <f t="shared" si="18"/>
        <v>26432</v>
      </c>
      <c r="M208" s="254">
        <f t="shared" si="18"/>
        <v>26432</v>
      </c>
      <c r="N208" s="254">
        <f t="shared" si="17"/>
        <v>26432</v>
      </c>
    </row>
    <row r="209" spans="1:14" ht="21.95" customHeight="1" x14ac:dyDescent="0.25">
      <c r="A209" s="38"/>
      <c r="B209" s="38"/>
      <c r="C209" s="139" t="str">
        <f t="shared" si="16"/>
        <v>PR_SAN GERMAN</v>
      </c>
      <c r="D209" s="136" t="s">
        <v>68</v>
      </c>
      <c r="E209" s="262" t="s">
        <v>2468</v>
      </c>
      <c r="F209" s="136" t="s">
        <v>2322</v>
      </c>
      <c r="G209" s="246">
        <v>22656</v>
      </c>
      <c r="H209" s="254">
        <f t="shared" si="15"/>
        <v>22656</v>
      </c>
      <c r="I209" s="246">
        <v>26432</v>
      </c>
      <c r="J209" s="254">
        <f t="shared" si="18"/>
        <v>26432</v>
      </c>
      <c r="K209" s="254">
        <f t="shared" si="18"/>
        <v>26432</v>
      </c>
      <c r="L209" s="254">
        <f t="shared" si="18"/>
        <v>26432</v>
      </c>
      <c r="M209" s="254">
        <f t="shared" si="18"/>
        <v>26432</v>
      </c>
      <c r="N209" s="254">
        <f t="shared" si="17"/>
        <v>26432</v>
      </c>
    </row>
    <row r="210" spans="1:14" ht="21.95" customHeight="1" x14ac:dyDescent="0.25">
      <c r="A210" s="38"/>
      <c r="B210" s="38"/>
      <c r="C210" s="139" t="str">
        <f t="shared" si="16"/>
        <v>PR_SAN JUAN</v>
      </c>
      <c r="D210" s="136" t="s">
        <v>68</v>
      </c>
      <c r="E210" s="262" t="s">
        <v>2469</v>
      </c>
      <c r="F210" s="136" t="s">
        <v>2322</v>
      </c>
      <c r="G210" s="246">
        <v>31968</v>
      </c>
      <c r="H210" s="254">
        <f t="shared" si="15"/>
        <v>31968</v>
      </c>
      <c r="I210" s="246">
        <v>37296</v>
      </c>
      <c r="J210" s="254">
        <f t="shared" si="18"/>
        <v>37296</v>
      </c>
      <c r="K210" s="254">
        <f t="shared" si="18"/>
        <v>37296</v>
      </c>
      <c r="L210" s="254">
        <f t="shared" si="18"/>
        <v>37296</v>
      </c>
      <c r="M210" s="254">
        <f t="shared" si="18"/>
        <v>37296</v>
      </c>
      <c r="N210" s="254">
        <f t="shared" si="17"/>
        <v>37296</v>
      </c>
    </row>
    <row r="211" spans="1:14" ht="21.95" customHeight="1" x14ac:dyDescent="0.25">
      <c r="A211" s="38"/>
      <c r="B211" s="38"/>
      <c r="C211" s="139" t="str">
        <f t="shared" si="16"/>
        <v>PR_SAN LORENZO</v>
      </c>
      <c r="D211" s="136" t="s">
        <v>68</v>
      </c>
      <c r="E211" s="262" t="s">
        <v>2470</v>
      </c>
      <c r="F211" s="136" t="s">
        <v>2322</v>
      </c>
      <c r="G211" s="246">
        <v>29760</v>
      </c>
      <c r="H211" s="254">
        <f t="shared" si="15"/>
        <v>29760</v>
      </c>
      <c r="I211" s="246">
        <v>34720</v>
      </c>
      <c r="J211" s="254">
        <f t="shared" si="18"/>
        <v>34720</v>
      </c>
      <c r="K211" s="254">
        <f t="shared" si="18"/>
        <v>34720</v>
      </c>
      <c r="L211" s="254">
        <f t="shared" si="18"/>
        <v>34720</v>
      </c>
      <c r="M211" s="254">
        <f t="shared" si="18"/>
        <v>34720</v>
      </c>
      <c r="N211" s="254">
        <f t="shared" si="17"/>
        <v>34720</v>
      </c>
    </row>
    <row r="212" spans="1:14" ht="21.95" customHeight="1" x14ac:dyDescent="0.25">
      <c r="A212" s="38"/>
      <c r="B212" s="38"/>
      <c r="C212" s="139" t="str">
        <f t="shared" si="16"/>
        <v>PR_SAN SEBASTIAN</v>
      </c>
      <c r="D212" s="136" t="s">
        <v>68</v>
      </c>
      <c r="E212" s="262" t="s">
        <v>2471</v>
      </c>
      <c r="F212" s="136" t="s">
        <v>2322</v>
      </c>
      <c r="G212" s="246">
        <v>24480</v>
      </c>
      <c r="H212" s="254">
        <f t="shared" si="15"/>
        <v>24480</v>
      </c>
      <c r="I212" s="246">
        <v>28560</v>
      </c>
      <c r="J212" s="254">
        <f t="shared" si="18"/>
        <v>28560</v>
      </c>
      <c r="K212" s="254">
        <f t="shared" si="18"/>
        <v>28560</v>
      </c>
      <c r="L212" s="254">
        <f t="shared" si="18"/>
        <v>28560</v>
      </c>
      <c r="M212" s="254">
        <f t="shared" si="18"/>
        <v>28560</v>
      </c>
      <c r="N212" s="254">
        <f t="shared" si="17"/>
        <v>28560</v>
      </c>
    </row>
    <row r="213" spans="1:14" ht="21.95" customHeight="1" x14ac:dyDescent="0.25">
      <c r="A213" s="38"/>
      <c r="B213" s="38"/>
      <c r="C213" s="139" t="str">
        <f t="shared" si="16"/>
        <v>PR_SANTA ISABEL</v>
      </c>
      <c r="D213" s="136" t="s">
        <v>68</v>
      </c>
      <c r="E213" s="262" t="s">
        <v>2472</v>
      </c>
      <c r="F213" s="136" t="s">
        <v>2322</v>
      </c>
      <c r="G213" s="246">
        <v>22656</v>
      </c>
      <c r="H213" s="254">
        <f t="shared" si="15"/>
        <v>22656</v>
      </c>
      <c r="I213" s="246">
        <v>26432</v>
      </c>
      <c r="J213" s="254">
        <f t="shared" si="18"/>
        <v>26432</v>
      </c>
      <c r="K213" s="254">
        <f t="shared" si="18"/>
        <v>26432</v>
      </c>
      <c r="L213" s="254">
        <f t="shared" si="18"/>
        <v>26432</v>
      </c>
      <c r="M213" s="254">
        <f t="shared" si="18"/>
        <v>26432</v>
      </c>
      <c r="N213" s="254">
        <f t="shared" si="17"/>
        <v>26432</v>
      </c>
    </row>
    <row r="214" spans="1:14" ht="21.95" customHeight="1" x14ac:dyDescent="0.25">
      <c r="A214" s="38"/>
      <c r="B214" s="38"/>
      <c r="C214" s="139" t="str">
        <f t="shared" si="16"/>
        <v>PR_TOA ALTA</v>
      </c>
      <c r="D214" s="136" t="s">
        <v>68</v>
      </c>
      <c r="E214" s="262" t="s">
        <v>2473</v>
      </c>
      <c r="F214" s="136" t="s">
        <v>2322</v>
      </c>
      <c r="G214" s="246">
        <v>31968</v>
      </c>
      <c r="H214" s="254">
        <f t="shared" si="15"/>
        <v>31968</v>
      </c>
      <c r="I214" s="246">
        <v>37296</v>
      </c>
      <c r="J214" s="254">
        <f t="shared" si="18"/>
        <v>37296</v>
      </c>
      <c r="K214" s="254">
        <f t="shared" si="18"/>
        <v>37296</v>
      </c>
      <c r="L214" s="254">
        <f t="shared" si="18"/>
        <v>37296</v>
      </c>
      <c r="M214" s="254">
        <f t="shared" si="18"/>
        <v>37296</v>
      </c>
      <c r="N214" s="254">
        <f t="shared" si="17"/>
        <v>37296</v>
      </c>
    </row>
    <row r="215" spans="1:14" ht="21.95" customHeight="1" x14ac:dyDescent="0.25">
      <c r="A215" s="38"/>
      <c r="B215" s="38"/>
      <c r="C215" s="139" t="str">
        <f t="shared" si="16"/>
        <v>PR_TOA BAJA</v>
      </c>
      <c r="D215" s="136" t="s">
        <v>68</v>
      </c>
      <c r="E215" s="262" t="s">
        <v>2474</v>
      </c>
      <c r="F215" s="136" t="s">
        <v>2322</v>
      </c>
      <c r="G215" s="246">
        <v>31968</v>
      </c>
      <c r="H215" s="254">
        <f t="shared" si="15"/>
        <v>31968</v>
      </c>
      <c r="I215" s="246">
        <v>37296</v>
      </c>
      <c r="J215" s="254">
        <f t="shared" si="18"/>
        <v>37296</v>
      </c>
      <c r="K215" s="254">
        <f t="shared" si="18"/>
        <v>37296</v>
      </c>
      <c r="L215" s="254">
        <f t="shared" si="18"/>
        <v>37296</v>
      </c>
      <c r="M215" s="254">
        <f t="shared" si="18"/>
        <v>37296</v>
      </c>
      <c r="N215" s="254">
        <f t="shared" si="17"/>
        <v>37296</v>
      </c>
    </row>
    <row r="216" spans="1:14" ht="21.95" customHeight="1" x14ac:dyDescent="0.25">
      <c r="A216" s="38"/>
      <c r="B216" s="38"/>
      <c r="C216" s="139" t="str">
        <f t="shared" si="16"/>
        <v>PR_TRUJILLO ALTO</v>
      </c>
      <c r="D216" s="136" t="s">
        <v>68</v>
      </c>
      <c r="E216" s="262" t="s">
        <v>2475</v>
      </c>
      <c r="F216" s="136" t="s">
        <v>2322</v>
      </c>
      <c r="G216" s="246">
        <v>31968</v>
      </c>
      <c r="H216" s="254">
        <f t="shared" si="15"/>
        <v>31968</v>
      </c>
      <c r="I216" s="246">
        <v>37296</v>
      </c>
      <c r="J216" s="254">
        <f t="shared" si="18"/>
        <v>37296</v>
      </c>
      <c r="K216" s="254">
        <f t="shared" si="18"/>
        <v>37296</v>
      </c>
      <c r="L216" s="254">
        <f t="shared" si="18"/>
        <v>37296</v>
      </c>
      <c r="M216" s="254">
        <f t="shared" si="18"/>
        <v>37296</v>
      </c>
      <c r="N216" s="254">
        <f t="shared" si="17"/>
        <v>37296</v>
      </c>
    </row>
    <row r="217" spans="1:14" ht="21.95" customHeight="1" x14ac:dyDescent="0.25">
      <c r="A217" s="38"/>
      <c r="B217" s="38"/>
      <c r="C217" s="139" t="str">
        <f t="shared" si="16"/>
        <v>PR_UTUADO</v>
      </c>
      <c r="D217" s="136" t="s">
        <v>68</v>
      </c>
      <c r="E217" s="262" t="s">
        <v>2476</v>
      </c>
      <c r="F217" s="136" t="s">
        <v>2322</v>
      </c>
      <c r="G217" s="246">
        <v>23616</v>
      </c>
      <c r="H217" s="254">
        <f t="shared" si="15"/>
        <v>23616</v>
      </c>
      <c r="I217" s="246">
        <v>27552</v>
      </c>
      <c r="J217" s="254">
        <f t="shared" si="18"/>
        <v>27552</v>
      </c>
      <c r="K217" s="254">
        <f t="shared" si="18"/>
        <v>27552</v>
      </c>
      <c r="L217" s="254">
        <f t="shared" si="18"/>
        <v>27552</v>
      </c>
      <c r="M217" s="254">
        <f t="shared" si="18"/>
        <v>27552</v>
      </c>
      <c r="N217" s="254">
        <f t="shared" si="17"/>
        <v>27552</v>
      </c>
    </row>
    <row r="218" spans="1:14" ht="21.95" customHeight="1" x14ac:dyDescent="0.25">
      <c r="A218" s="38"/>
      <c r="B218" s="38"/>
      <c r="C218" s="139" t="str">
        <f t="shared" si="16"/>
        <v>PR_VEGA ALTA</v>
      </c>
      <c r="D218" s="136" t="s">
        <v>68</v>
      </c>
      <c r="E218" s="262" t="s">
        <v>2477</v>
      </c>
      <c r="F218" s="136" t="s">
        <v>2322</v>
      </c>
      <c r="G218" s="246">
        <v>31968</v>
      </c>
      <c r="H218" s="254">
        <f t="shared" si="15"/>
        <v>31968</v>
      </c>
      <c r="I218" s="246">
        <v>37296</v>
      </c>
      <c r="J218" s="254">
        <f t="shared" si="18"/>
        <v>37296</v>
      </c>
      <c r="K218" s="254">
        <f t="shared" si="18"/>
        <v>37296</v>
      </c>
      <c r="L218" s="254">
        <f t="shared" si="18"/>
        <v>37296</v>
      </c>
      <c r="M218" s="254">
        <f t="shared" si="18"/>
        <v>37296</v>
      </c>
      <c r="N218" s="254">
        <f t="shared" si="17"/>
        <v>37296</v>
      </c>
    </row>
    <row r="219" spans="1:14" ht="21.95" customHeight="1" x14ac:dyDescent="0.25">
      <c r="A219" s="38"/>
      <c r="B219" s="38"/>
      <c r="C219" s="139" t="str">
        <f t="shared" si="16"/>
        <v>PR_VEGA BAJA</v>
      </c>
      <c r="D219" s="136" t="s">
        <v>68</v>
      </c>
      <c r="E219" s="262" t="s">
        <v>2478</v>
      </c>
      <c r="F219" s="136" t="s">
        <v>2322</v>
      </c>
      <c r="G219" s="246">
        <v>31968</v>
      </c>
      <c r="H219" s="254">
        <f t="shared" si="15"/>
        <v>31968</v>
      </c>
      <c r="I219" s="246">
        <v>37296</v>
      </c>
      <c r="J219" s="254">
        <f t="shared" si="18"/>
        <v>37296</v>
      </c>
      <c r="K219" s="254">
        <f t="shared" si="18"/>
        <v>37296</v>
      </c>
      <c r="L219" s="254">
        <f t="shared" si="18"/>
        <v>37296</v>
      </c>
      <c r="M219" s="254">
        <f t="shared" si="18"/>
        <v>37296</v>
      </c>
      <c r="N219" s="254">
        <f t="shared" si="17"/>
        <v>37296</v>
      </c>
    </row>
    <row r="220" spans="1:14" ht="21.95" customHeight="1" x14ac:dyDescent="0.25">
      <c r="A220" s="38"/>
      <c r="B220" s="38"/>
      <c r="C220" s="139" t="str">
        <f t="shared" si="16"/>
        <v>PR_VIEQUES</v>
      </c>
      <c r="D220" s="136" t="s">
        <v>68</v>
      </c>
      <c r="E220" s="262" t="s">
        <v>2479</v>
      </c>
      <c r="F220" s="136" t="s">
        <v>2322</v>
      </c>
      <c r="G220" s="246">
        <v>22656</v>
      </c>
      <c r="H220" s="254">
        <f t="shared" si="15"/>
        <v>22656</v>
      </c>
      <c r="I220" s="246">
        <v>26432</v>
      </c>
      <c r="J220" s="254">
        <f t="shared" si="18"/>
        <v>26432</v>
      </c>
      <c r="K220" s="254">
        <f t="shared" si="18"/>
        <v>26432</v>
      </c>
      <c r="L220" s="254">
        <f t="shared" si="18"/>
        <v>26432</v>
      </c>
      <c r="M220" s="254">
        <f t="shared" si="18"/>
        <v>26432</v>
      </c>
      <c r="N220" s="254">
        <f t="shared" si="17"/>
        <v>26432</v>
      </c>
    </row>
    <row r="221" spans="1:14" ht="21.95" customHeight="1" x14ac:dyDescent="0.25">
      <c r="A221" s="38"/>
      <c r="B221" s="38"/>
      <c r="C221" s="139" t="str">
        <f t="shared" si="16"/>
        <v>PR_VILLALBA</v>
      </c>
      <c r="D221" s="136" t="s">
        <v>68</v>
      </c>
      <c r="E221" s="262" t="s">
        <v>2480</v>
      </c>
      <c r="F221" s="136" t="s">
        <v>2322</v>
      </c>
      <c r="G221" s="246">
        <v>27456</v>
      </c>
      <c r="H221" s="254">
        <f t="shared" si="15"/>
        <v>27456</v>
      </c>
      <c r="I221" s="246">
        <v>32032</v>
      </c>
      <c r="J221" s="254">
        <f t="shared" si="18"/>
        <v>32032</v>
      </c>
      <c r="K221" s="254">
        <f t="shared" si="18"/>
        <v>32032</v>
      </c>
      <c r="L221" s="254">
        <f t="shared" si="18"/>
        <v>32032</v>
      </c>
      <c r="M221" s="254">
        <f t="shared" si="18"/>
        <v>32032</v>
      </c>
      <c r="N221" s="254">
        <f t="shared" si="17"/>
        <v>32032</v>
      </c>
    </row>
    <row r="222" spans="1:14" ht="21.95" customHeight="1" x14ac:dyDescent="0.25">
      <c r="A222" s="38"/>
      <c r="B222" s="38"/>
      <c r="C222" s="139" t="str">
        <f t="shared" si="16"/>
        <v>PR_YABUCOA</v>
      </c>
      <c r="D222" s="136" t="s">
        <v>68</v>
      </c>
      <c r="E222" s="262" t="s">
        <v>2481</v>
      </c>
      <c r="F222" s="136" t="s">
        <v>2322</v>
      </c>
      <c r="G222" s="246">
        <v>31968</v>
      </c>
      <c r="H222" s="254">
        <f t="shared" si="15"/>
        <v>31968</v>
      </c>
      <c r="I222" s="246">
        <v>37296</v>
      </c>
      <c r="J222" s="254">
        <f t="shared" si="18"/>
        <v>37296</v>
      </c>
      <c r="K222" s="254">
        <f t="shared" si="18"/>
        <v>37296</v>
      </c>
      <c r="L222" s="254">
        <f t="shared" si="18"/>
        <v>37296</v>
      </c>
      <c r="M222" s="254">
        <f t="shared" si="18"/>
        <v>37296</v>
      </c>
      <c r="N222" s="254">
        <f t="shared" si="17"/>
        <v>37296</v>
      </c>
    </row>
    <row r="223" spans="1:14" ht="21.95" customHeight="1" x14ac:dyDescent="0.25">
      <c r="A223" s="38"/>
      <c r="B223" s="38"/>
      <c r="C223" s="139" t="str">
        <f t="shared" si="16"/>
        <v>PR_YAUCO</v>
      </c>
      <c r="D223" s="136" t="s">
        <v>68</v>
      </c>
      <c r="E223" s="262" t="s">
        <v>2482</v>
      </c>
      <c r="F223" s="136" t="s">
        <v>2322</v>
      </c>
      <c r="G223" s="246">
        <v>22944</v>
      </c>
      <c r="H223" s="254">
        <f t="shared" ref="H223" si="19">G223</f>
        <v>22944</v>
      </c>
      <c r="I223" s="246">
        <v>26768</v>
      </c>
      <c r="J223" s="254">
        <f t="shared" si="18"/>
        <v>26768</v>
      </c>
      <c r="K223" s="254">
        <f t="shared" si="18"/>
        <v>26768</v>
      </c>
      <c r="L223" s="254">
        <f t="shared" si="18"/>
        <v>26768</v>
      </c>
      <c r="M223" s="254">
        <f t="shared" si="18"/>
        <v>26768</v>
      </c>
      <c r="N223" s="254">
        <f t="shared" si="17"/>
        <v>26768</v>
      </c>
    </row>
    <row r="224" spans="1:14" ht="21.95" customHeight="1" x14ac:dyDescent="0.25">
      <c r="A224" s="38"/>
      <c r="B224" s="38"/>
      <c r="C224" s="139" t="str">
        <f t="shared" si="16"/>
        <v>VI_ST. CROIX ISLAND, VI</v>
      </c>
      <c r="D224" s="136" t="s">
        <v>140</v>
      </c>
      <c r="E224" s="262" t="s">
        <v>2956</v>
      </c>
      <c r="F224" s="136" t="s">
        <v>183</v>
      </c>
      <c r="G224" s="246">
        <v>45300</v>
      </c>
      <c r="H224" s="246">
        <v>51750</v>
      </c>
      <c r="I224" s="246">
        <v>58200</v>
      </c>
      <c r="J224" s="246">
        <v>64650</v>
      </c>
      <c r="K224" s="246">
        <v>69850</v>
      </c>
      <c r="L224" s="246">
        <v>75000</v>
      </c>
      <c r="M224" s="246">
        <v>80200</v>
      </c>
      <c r="N224" s="246">
        <v>85350</v>
      </c>
    </row>
    <row r="225" spans="1:14" ht="21.95" customHeight="1" x14ac:dyDescent="0.25">
      <c r="A225" s="38"/>
      <c r="B225" s="38"/>
      <c r="C225" s="139" t="str">
        <f t="shared" si="16"/>
        <v>VI_ST. JOHN ISLAND, VI</v>
      </c>
      <c r="D225" s="136" t="s">
        <v>140</v>
      </c>
      <c r="E225" s="262" t="s">
        <v>2957</v>
      </c>
      <c r="F225" s="136" t="s">
        <v>183</v>
      </c>
      <c r="G225" s="246">
        <v>70500</v>
      </c>
      <c r="H225" s="246">
        <v>80600</v>
      </c>
      <c r="I225" s="246">
        <v>90650</v>
      </c>
      <c r="J225" s="246">
        <v>100700</v>
      </c>
      <c r="K225" s="246">
        <v>108800</v>
      </c>
      <c r="L225" s="246">
        <v>116850</v>
      </c>
      <c r="M225" s="246">
        <v>124900</v>
      </c>
      <c r="N225" s="246">
        <v>132950</v>
      </c>
    </row>
    <row r="226" spans="1:14" ht="21.95" customHeight="1" thickBot="1" x14ac:dyDescent="0.3">
      <c r="A226" s="38"/>
      <c r="B226" s="38"/>
      <c r="C226" s="139" t="str">
        <f t="shared" si="16"/>
        <v>VI_ST. THOMAS ISLAND, VI</v>
      </c>
      <c r="D226" s="259" t="s">
        <v>140</v>
      </c>
      <c r="E226" s="263" t="s">
        <v>2958</v>
      </c>
      <c r="F226" s="259" t="s">
        <v>183</v>
      </c>
      <c r="G226" s="260">
        <v>52000</v>
      </c>
      <c r="H226" s="260">
        <v>59400</v>
      </c>
      <c r="I226" s="260">
        <v>66850</v>
      </c>
      <c r="J226" s="260">
        <v>74250</v>
      </c>
      <c r="K226" s="260">
        <v>80200</v>
      </c>
      <c r="L226" s="260">
        <v>86150</v>
      </c>
      <c r="M226" s="260">
        <v>92100</v>
      </c>
      <c r="N226" s="260">
        <v>98050</v>
      </c>
    </row>
    <row r="227" spans="1:14" ht="21.95" customHeight="1" x14ac:dyDescent="0.25">
      <c r="A227" s="38"/>
      <c r="B227" s="38"/>
      <c r="C227" s="139" t="str">
        <f t="shared" si="16"/>
        <v>AK_ALEUTIANS EAST BOROUGH, AK</v>
      </c>
      <c r="D227" s="257" t="s">
        <v>102</v>
      </c>
      <c r="E227" s="264" t="s">
        <v>2959</v>
      </c>
      <c r="F227" s="257" t="s">
        <v>183</v>
      </c>
      <c r="G227" s="258">
        <v>53950</v>
      </c>
      <c r="H227" s="258">
        <v>61650</v>
      </c>
      <c r="I227" s="258">
        <v>69350</v>
      </c>
      <c r="J227" s="258">
        <v>77050</v>
      </c>
      <c r="K227" s="258">
        <v>83250</v>
      </c>
      <c r="L227" s="258">
        <v>89400</v>
      </c>
      <c r="M227" s="258">
        <v>95550</v>
      </c>
      <c r="N227" s="258">
        <v>101750</v>
      </c>
    </row>
    <row r="228" spans="1:14" ht="21.95" customHeight="1" x14ac:dyDescent="0.25">
      <c r="C228" s="139" t="str">
        <f t="shared" si="16"/>
        <v>AK_ALEUTIANS WEST CENSUS AREA, AK</v>
      </c>
      <c r="D228" s="136" t="s">
        <v>102</v>
      </c>
      <c r="E228" s="262" t="s">
        <v>2960</v>
      </c>
      <c r="F228" s="136" t="s">
        <v>183</v>
      </c>
      <c r="G228" s="246">
        <v>72450</v>
      </c>
      <c r="H228" s="246">
        <v>82800</v>
      </c>
      <c r="I228" s="246">
        <v>93150</v>
      </c>
      <c r="J228" s="246">
        <v>103500</v>
      </c>
      <c r="K228" s="246">
        <v>111800</v>
      </c>
      <c r="L228" s="246">
        <v>120100</v>
      </c>
      <c r="M228" s="246">
        <v>128350</v>
      </c>
      <c r="N228" s="246">
        <v>136650</v>
      </c>
    </row>
    <row r="229" spans="1:14" ht="21.95" customHeight="1" x14ac:dyDescent="0.25">
      <c r="C229" s="139" t="str">
        <f t="shared" si="16"/>
        <v>AK_ANCHORAGE, AK HUD METRO FMR AREA</v>
      </c>
      <c r="D229" s="136" t="s">
        <v>102</v>
      </c>
      <c r="E229" s="262" t="s">
        <v>2961</v>
      </c>
      <c r="F229" s="136" t="s">
        <v>183</v>
      </c>
      <c r="G229" s="246">
        <v>72250</v>
      </c>
      <c r="H229" s="246">
        <v>82600</v>
      </c>
      <c r="I229" s="246">
        <v>92900</v>
      </c>
      <c r="J229" s="246">
        <v>103200</v>
      </c>
      <c r="K229" s="246">
        <v>111500</v>
      </c>
      <c r="L229" s="246">
        <v>119750</v>
      </c>
      <c r="M229" s="246">
        <v>128000</v>
      </c>
      <c r="N229" s="246">
        <v>136250</v>
      </c>
    </row>
    <row r="230" spans="1:14" ht="21.95" customHeight="1" x14ac:dyDescent="0.25">
      <c r="C230" s="139" t="str">
        <f t="shared" si="16"/>
        <v>AK_BETHEL CENSUS AREA, AK</v>
      </c>
      <c r="D230" s="136" t="s">
        <v>102</v>
      </c>
      <c r="E230" s="262" t="s">
        <v>2962</v>
      </c>
      <c r="F230" s="136" t="s">
        <v>183</v>
      </c>
      <c r="G230" s="246">
        <v>62000</v>
      </c>
      <c r="H230" s="246">
        <v>70850</v>
      </c>
      <c r="I230" s="246">
        <v>79700</v>
      </c>
      <c r="J230" s="246">
        <v>88550</v>
      </c>
      <c r="K230" s="246">
        <v>95650</v>
      </c>
      <c r="L230" s="246">
        <v>102750</v>
      </c>
      <c r="M230" s="246">
        <v>109850</v>
      </c>
      <c r="N230" s="246">
        <v>116900</v>
      </c>
    </row>
    <row r="231" spans="1:14" ht="21.95" customHeight="1" x14ac:dyDescent="0.25">
      <c r="C231" s="139" t="str">
        <f t="shared" si="16"/>
        <v>AK_BRISTOL BAY BOROUGH, AK</v>
      </c>
      <c r="D231" s="136" t="s">
        <v>102</v>
      </c>
      <c r="E231" s="262" t="s">
        <v>2963</v>
      </c>
      <c r="F231" s="136" t="s">
        <v>183</v>
      </c>
      <c r="G231" s="246">
        <v>65650</v>
      </c>
      <c r="H231" s="246">
        <v>75000</v>
      </c>
      <c r="I231" s="246">
        <v>84400</v>
      </c>
      <c r="J231" s="246">
        <v>93750</v>
      </c>
      <c r="K231" s="246">
        <v>101250</v>
      </c>
      <c r="L231" s="246">
        <v>108750</v>
      </c>
      <c r="M231" s="246">
        <v>116250</v>
      </c>
      <c r="N231" s="246">
        <v>123750</v>
      </c>
    </row>
    <row r="232" spans="1:14" ht="21.95" customHeight="1" x14ac:dyDescent="0.25">
      <c r="C232" s="139" t="str">
        <f t="shared" si="16"/>
        <v>AK_CHUGACH CENSUS AREA, AK</v>
      </c>
      <c r="D232" s="136" t="s">
        <v>102</v>
      </c>
      <c r="E232" s="262" t="s">
        <v>2964</v>
      </c>
      <c r="F232" s="136" t="s">
        <v>183</v>
      </c>
      <c r="G232" s="246">
        <v>64050</v>
      </c>
      <c r="H232" s="246">
        <v>73200</v>
      </c>
      <c r="I232" s="246">
        <v>82350</v>
      </c>
      <c r="J232" s="246">
        <v>91450</v>
      </c>
      <c r="K232" s="246">
        <v>98800</v>
      </c>
      <c r="L232" s="246">
        <v>106100</v>
      </c>
      <c r="M232" s="246">
        <v>113400</v>
      </c>
      <c r="N232" s="246">
        <v>120750</v>
      </c>
    </row>
    <row r="233" spans="1:14" ht="21.95" customHeight="1" x14ac:dyDescent="0.25">
      <c r="C233" s="139" t="str">
        <f t="shared" si="16"/>
        <v>AK_COPPER RIVER CENSUS AREA, AK</v>
      </c>
      <c r="D233" s="136" t="s">
        <v>102</v>
      </c>
      <c r="E233" s="262" t="s">
        <v>2965</v>
      </c>
      <c r="F233" s="136" t="s">
        <v>183</v>
      </c>
      <c r="G233" s="246">
        <v>59750</v>
      </c>
      <c r="H233" s="246">
        <v>68250</v>
      </c>
      <c r="I233" s="246">
        <v>76800</v>
      </c>
      <c r="J233" s="246">
        <v>85300</v>
      </c>
      <c r="K233" s="246">
        <v>92150</v>
      </c>
      <c r="L233" s="246">
        <v>98950</v>
      </c>
      <c r="M233" s="246">
        <v>105800</v>
      </c>
      <c r="N233" s="246">
        <v>112600</v>
      </c>
    </row>
    <row r="234" spans="1:14" ht="21.95" customHeight="1" x14ac:dyDescent="0.25">
      <c r="C234" s="139" t="str">
        <f t="shared" si="16"/>
        <v>AK_DENALI BOROUGH, AK</v>
      </c>
      <c r="D234" s="136" t="s">
        <v>102</v>
      </c>
      <c r="E234" s="262" t="s">
        <v>2966</v>
      </c>
      <c r="F234" s="136" t="s">
        <v>183</v>
      </c>
      <c r="G234" s="246">
        <v>72950</v>
      </c>
      <c r="H234" s="246">
        <v>83400</v>
      </c>
      <c r="I234" s="246">
        <v>93800</v>
      </c>
      <c r="J234" s="246">
        <v>104200</v>
      </c>
      <c r="K234" s="246">
        <v>112550</v>
      </c>
      <c r="L234" s="246">
        <v>120900</v>
      </c>
      <c r="M234" s="246">
        <v>129250</v>
      </c>
      <c r="N234" s="246">
        <v>137550</v>
      </c>
    </row>
    <row r="235" spans="1:14" ht="21.95" customHeight="1" x14ac:dyDescent="0.25">
      <c r="C235" s="139" t="str">
        <f t="shared" si="16"/>
        <v>AK_DILLINGHAM CENSUS AREA, AK</v>
      </c>
      <c r="D235" s="136" t="s">
        <v>102</v>
      </c>
      <c r="E235" s="262" t="s">
        <v>2967</v>
      </c>
      <c r="F235" s="136" t="s">
        <v>183</v>
      </c>
      <c r="G235" s="246">
        <v>53950</v>
      </c>
      <c r="H235" s="246">
        <v>61650</v>
      </c>
      <c r="I235" s="246">
        <v>69350</v>
      </c>
      <c r="J235" s="246">
        <v>77050</v>
      </c>
      <c r="K235" s="246">
        <v>83250</v>
      </c>
      <c r="L235" s="246">
        <v>89400</v>
      </c>
      <c r="M235" s="246">
        <v>95550</v>
      </c>
      <c r="N235" s="246">
        <v>101750</v>
      </c>
    </row>
    <row r="236" spans="1:14" ht="21.95" customHeight="1" x14ac:dyDescent="0.25">
      <c r="C236" s="139" t="str">
        <f t="shared" si="16"/>
        <v>AK_FAIRBANKS-COLLEGE, AK MSA</v>
      </c>
      <c r="D236" s="136" t="s">
        <v>102</v>
      </c>
      <c r="E236" s="262" t="s">
        <v>9080</v>
      </c>
      <c r="F236" s="136" t="s">
        <v>183</v>
      </c>
      <c r="G236" s="246">
        <v>64350</v>
      </c>
      <c r="H236" s="246">
        <v>73550</v>
      </c>
      <c r="I236" s="246">
        <v>82750</v>
      </c>
      <c r="J236" s="246">
        <v>91900</v>
      </c>
      <c r="K236" s="246">
        <v>99300</v>
      </c>
      <c r="L236" s="246">
        <v>106650</v>
      </c>
      <c r="M236" s="246">
        <v>114000</v>
      </c>
      <c r="N236" s="246">
        <v>121350</v>
      </c>
    </row>
    <row r="237" spans="1:14" ht="21.95" customHeight="1" x14ac:dyDescent="0.25">
      <c r="C237" s="139" t="str">
        <f t="shared" si="16"/>
        <v>AK_HAINES BOROUGH, AK</v>
      </c>
      <c r="D237" s="136" t="s">
        <v>102</v>
      </c>
      <c r="E237" s="262" t="s">
        <v>2968</v>
      </c>
      <c r="F237" s="136" t="s">
        <v>183</v>
      </c>
      <c r="G237" s="246">
        <v>61800</v>
      </c>
      <c r="H237" s="246">
        <v>70600</v>
      </c>
      <c r="I237" s="246">
        <v>79450</v>
      </c>
      <c r="J237" s="246">
        <v>88250</v>
      </c>
      <c r="K237" s="246">
        <v>95350</v>
      </c>
      <c r="L237" s="246">
        <v>102400</v>
      </c>
      <c r="M237" s="246">
        <v>109450</v>
      </c>
      <c r="N237" s="246">
        <v>116500</v>
      </c>
    </row>
    <row r="238" spans="1:14" ht="21.95" customHeight="1" x14ac:dyDescent="0.25">
      <c r="C238" s="139" t="str">
        <f t="shared" si="16"/>
        <v>AK_HOONAH-ANGOON CENSUS AREA, AK</v>
      </c>
      <c r="D238" s="136" t="s">
        <v>102</v>
      </c>
      <c r="E238" s="262" t="s">
        <v>2969</v>
      </c>
      <c r="F238" s="136" t="s">
        <v>183</v>
      </c>
      <c r="G238" s="246">
        <v>53950</v>
      </c>
      <c r="H238" s="246">
        <v>61650</v>
      </c>
      <c r="I238" s="246">
        <v>69350</v>
      </c>
      <c r="J238" s="246">
        <v>77050</v>
      </c>
      <c r="K238" s="246">
        <v>83250</v>
      </c>
      <c r="L238" s="246">
        <v>89400</v>
      </c>
      <c r="M238" s="246">
        <v>95550</v>
      </c>
      <c r="N238" s="246">
        <v>101750</v>
      </c>
    </row>
    <row r="239" spans="1:14" ht="21.95" customHeight="1" x14ac:dyDescent="0.25">
      <c r="C239" s="139" t="str">
        <f t="shared" si="16"/>
        <v>AK_JUNEAU CITY AND BOROUGH, AK</v>
      </c>
      <c r="D239" s="136" t="s">
        <v>102</v>
      </c>
      <c r="E239" s="262" t="s">
        <v>2970</v>
      </c>
      <c r="F239" s="136" t="s">
        <v>183</v>
      </c>
      <c r="G239" s="246">
        <v>72100</v>
      </c>
      <c r="H239" s="246">
        <v>82400</v>
      </c>
      <c r="I239" s="246">
        <v>92700</v>
      </c>
      <c r="J239" s="246">
        <v>102950</v>
      </c>
      <c r="K239" s="246">
        <v>111200</v>
      </c>
      <c r="L239" s="246">
        <v>119450</v>
      </c>
      <c r="M239" s="246">
        <v>127700</v>
      </c>
      <c r="N239" s="246">
        <v>135900</v>
      </c>
    </row>
    <row r="240" spans="1:14" ht="21.95" customHeight="1" x14ac:dyDescent="0.25">
      <c r="C240" s="139" t="str">
        <f t="shared" si="16"/>
        <v>AK_KENAI PENINSULA BOROUGH, AK</v>
      </c>
      <c r="D240" s="136" t="s">
        <v>102</v>
      </c>
      <c r="E240" s="262" t="s">
        <v>2971</v>
      </c>
      <c r="F240" s="136" t="s">
        <v>183</v>
      </c>
      <c r="G240" s="246">
        <v>62550</v>
      </c>
      <c r="H240" s="246">
        <v>71450</v>
      </c>
      <c r="I240" s="246">
        <v>80400</v>
      </c>
      <c r="J240" s="246">
        <v>89300</v>
      </c>
      <c r="K240" s="246">
        <v>96450</v>
      </c>
      <c r="L240" s="246">
        <v>103600</v>
      </c>
      <c r="M240" s="246">
        <v>110750</v>
      </c>
      <c r="N240" s="246">
        <v>117900</v>
      </c>
    </row>
    <row r="241" spans="3:14" ht="21.95" customHeight="1" x14ac:dyDescent="0.25">
      <c r="C241" s="139" t="str">
        <f t="shared" si="16"/>
        <v>AK_KETCHIKAN GATEWAY BOROUGH, AK</v>
      </c>
      <c r="D241" s="136" t="s">
        <v>102</v>
      </c>
      <c r="E241" s="262" t="s">
        <v>2972</v>
      </c>
      <c r="F241" s="136" t="s">
        <v>183</v>
      </c>
      <c r="G241" s="246">
        <v>66850</v>
      </c>
      <c r="H241" s="246">
        <v>76400</v>
      </c>
      <c r="I241" s="246">
        <v>85950</v>
      </c>
      <c r="J241" s="246">
        <v>95450</v>
      </c>
      <c r="K241" s="246">
        <v>103100</v>
      </c>
      <c r="L241" s="246">
        <v>110750</v>
      </c>
      <c r="M241" s="246">
        <v>118400</v>
      </c>
      <c r="N241" s="246">
        <v>126000</v>
      </c>
    </row>
    <row r="242" spans="3:14" ht="21.95" customHeight="1" x14ac:dyDescent="0.25">
      <c r="C242" s="139" t="str">
        <f t="shared" si="16"/>
        <v>AK_KODIAK ISLAND BOROUGH, AK</v>
      </c>
      <c r="D242" s="136" t="s">
        <v>102</v>
      </c>
      <c r="E242" s="262" t="s">
        <v>2973</v>
      </c>
      <c r="F242" s="136" t="s">
        <v>183</v>
      </c>
      <c r="G242" s="246">
        <v>63350</v>
      </c>
      <c r="H242" s="246">
        <v>72400</v>
      </c>
      <c r="I242" s="246">
        <v>81450</v>
      </c>
      <c r="J242" s="246">
        <v>90500</v>
      </c>
      <c r="K242" s="246">
        <v>97750</v>
      </c>
      <c r="L242" s="246">
        <v>105000</v>
      </c>
      <c r="M242" s="246">
        <v>112250</v>
      </c>
      <c r="N242" s="246">
        <v>119500</v>
      </c>
    </row>
    <row r="243" spans="3:14" ht="21.95" customHeight="1" x14ac:dyDescent="0.25">
      <c r="C243" s="139" t="str">
        <f t="shared" si="16"/>
        <v>AK_KUSILVAK CENSUS AREA</v>
      </c>
      <c r="D243" s="136" t="s">
        <v>102</v>
      </c>
      <c r="E243" s="262" t="s">
        <v>2974</v>
      </c>
      <c r="F243" s="136" t="s">
        <v>183</v>
      </c>
      <c r="G243" s="246">
        <v>53950</v>
      </c>
      <c r="H243" s="246">
        <v>61650</v>
      </c>
      <c r="I243" s="246">
        <v>69350</v>
      </c>
      <c r="J243" s="246">
        <v>77050</v>
      </c>
      <c r="K243" s="246">
        <v>83250</v>
      </c>
      <c r="L243" s="246">
        <v>89400</v>
      </c>
      <c r="M243" s="246">
        <v>95550</v>
      </c>
      <c r="N243" s="246">
        <v>101750</v>
      </c>
    </row>
    <row r="244" spans="3:14" ht="21.95" customHeight="1" x14ac:dyDescent="0.25">
      <c r="C244" s="139" t="str">
        <f t="shared" si="16"/>
        <v>AK_LAKE AND PENINSULA BOROUGH, AK</v>
      </c>
      <c r="D244" s="136" t="s">
        <v>102</v>
      </c>
      <c r="E244" s="262" t="s">
        <v>2975</v>
      </c>
      <c r="F244" s="136" t="s">
        <v>183</v>
      </c>
      <c r="G244" s="246">
        <v>53950</v>
      </c>
      <c r="H244" s="246">
        <v>61650</v>
      </c>
      <c r="I244" s="246">
        <v>69350</v>
      </c>
      <c r="J244" s="246">
        <v>77050</v>
      </c>
      <c r="K244" s="246">
        <v>83250</v>
      </c>
      <c r="L244" s="246">
        <v>89400</v>
      </c>
      <c r="M244" s="246">
        <v>95550</v>
      </c>
      <c r="N244" s="246">
        <v>101750</v>
      </c>
    </row>
    <row r="245" spans="3:14" ht="21.95" customHeight="1" x14ac:dyDescent="0.25">
      <c r="C245" s="139" t="str">
        <f t="shared" si="16"/>
        <v>AK_MATANUSKA-SUSITNA BOROUGH, AK HUD METRO FMR AREA</v>
      </c>
      <c r="D245" s="136" t="s">
        <v>102</v>
      </c>
      <c r="E245" s="262" t="s">
        <v>2976</v>
      </c>
      <c r="F245" s="136" t="s">
        <v>183</v>
      </c>
      <c r="G245" s="246">
        <v>63700</v>
      </c>
      <c r="H245" s="246">
        <v>72800</v>
      </c>
      <c r="I245" s="246">
        <v>81900</v>
      </c>
      <c r="J245" s="246">
        <v>90950</v>
      </c>
      <c r="K245" s="246">
        <v>98250</v>
      </c>
      <c r="L245" s="246">
        <v>105550</v>
      </c>
      <c r="M245" s="246">
        <v>112800</v>
      </c>
      <c r="N245" s="246">
        <v>120100</v>
      </c>
    </row>
    <row r="246" spans="3:14" ht="21.95" customHeight="1" x14ac:dyDescent="0.25">
      <c r="C246" s="139" t="str">
        <f t="shared" si="16"/>
        <v>AK_NOME CENSUS AREA, AK</v>
      </c>
      <c r="D246" s="136" t="s">
        <v>102</v>
      </c>
      <c r="E246" s="262" t="s">
        <v>2977</v>
      </c>
      <c r="F246" s="136" t="s">
        <v>183</v>
      </c>
      <c r="G246" s="246">
        <v>53950</v>
      </c>
      <c r="H246" s="246">
        <v>61650</v>
      </c>
      <c r="I246" s="246">
        <v>69350</v>
      </c>
      <c r="J246" s="246">
        <v>77050</v>
      </c>
      <c r="K246" s="246">
        <v>83250</v>
      </c>
      <c r="L246" s="246">
        <v>89400</v>
      </c>
      <c r="M246" s="246">
        <v>95550</v>
      </c>
      <c r="N246" s="246">
        <v>101750</v>
      </c>
    </row>
    <row r="247" spans="3:14" ht="21.95" customHeight="1" x14ac:dyDescent="0.25">
      <c r="C247" s="139" t="str">
        <f t="shared" si="16"/>
        <v>AK_NORTH SLOPE BOROUGH, AK</v>
      </c>
      <c r="D247" s="136" t="s">
        <v>102</v>
      </c>
      <c r="E247" s="262" t="s">
        <v>2978</v>
      </c>
      <c r="F247" s="136" t="s">
        <v>183</v>
      </c>
      <c r="G247" s="246">
        <v>58950</v>
      </c>
      <c r="H247" s="246">
        <v>67350</v>
      </c>
      <c r="I247" s="246">
        <v>75750</v>
      </c>
      <c r="J247" s="246">
        <v>84150</v>
      </c>
      <c r="K247" s="246">
        <v>90900</v>
      </c>
      <c r="L247" s="246">
        <v>97650</v>
      </c>
      <c r="M247" s="246">
        <v>104350</v>
      </c>
      <c r="N247" s="246">
        <v>111100</v>
      </c>
    </row>
    <row r="248" spans="3:14" ht="21.95" customHeight="1" x14ac:dyDescent="0.25">
      <c r="C248" s="139" t="str">
        <f t="shared" si="16"/>
        <v>AK_NORTHWEST ARCTIC BOROUGH, AK</v>
      </c>
      <c r="D248" s="136" t="s">
        <v>102</v>
      </c>
      <c r="E248" s="262" t="s">
        <v>2979</v>
      </c>
      <c r="F248" s="136" t="s">
        <v>183</v>
      </c>
      <c r="G248" s="246">
        <v>61400</v>
      </c>
      <c r="H248" s="246">
        <v>70200</v>
      </c>
      <c r="I248" s="246">
        <v>78950</v>
      </c>
      <c r="J248" s="246">
        <v>87700</v>
      </c>
      <c r="K248" s="246">
        <v>94750</v>
      </c>
      <c r="L248" s="246">
        <v>101750</v>
      </c>
      <c r="M248" s="246">
        <v>108750</v>
      </c>
      <c r="N248" s="246">
        <v>115800</v>
      </c>
    </row>
    <row r="249" spans="3:14" ht="21.95" customHeight="1" x14ac:dyDescent="0.25">
      <c r="C249" s="139" t="str">
        <f t="shared" si="16"/>
        <v>AK_PETERSBURG BOROUGH</v>
      </c>
      <c r="D249" s="136" t="s">
        <v>102</v>
      </c>
      <c r="E249" s="262" t="s">
        <v>2980</v>
      </c>
      <c r="F249" s="136" t="s">
        <v>183</v>
      </c>
      <c r="G249" s="246">
        <v>57350</v>
      </c>
      <c r="H249" s="246">
        <v>65550</v>
      </c>
      <c r="I249" s="246">
        <v>73750</v>
      </c>
      <c r="J249" s="246">
        <v>81900</v>
      </c>
      <c r="K249" s="246">
        <v>88500</v>
      </c>
      <c r="L249" s="246">
        <v>95050</v>
      </c>
      <c r="M249" s="246">
        <v>101600</v>
      </c>
      <c r="N249" s="246">
        <v>108150</v>
      </c>
    </row>
    <row r="250" spans="3:14" ht="21.95" customHeight="1" x14ac:dyDescent="0.25">
      <c r="C250" s="139" t="str">
        <f t="shared" si="16"/>
        <v>AK_PRINCE OF WALES-HYDER CENSUS AREA, AK</v>
      </c>
      <c r="D250" s="136" t="s">
        <v>102</v>
      </c>
      <c r="E250" s="262" t="s">
        <v>2981</v>
      </c>
      <c r="F250" s="136" t="s">
        <v>183</v>
      </c>
      <c r="G250" s="246">
        <v>53950</v>
      </c>
      <c r="H250" s="246">
        <v>61650</v>
      </c>
      <c r="I250" s="246">
        <v>69350</v>
      </c>
      <c r="J250" s="246">
        <v>77050</v>
      </c>
      <c r="K250" s="246">
        <v>83250</v>
      </c>
      <c r="L250" s="246">
        <v>89400</v>
      </c>
      <c r="M250" s="246">
        <v>95550</v>
      </c>
      <c r="N250" s="246">
        <v>101750</v>
      </c>
    </row>
    <row r="251" spans="3:14" ht="21.95" customHeight="1" x14ac:dyDescent="0.25">
      <c r="C251" s="139" t="str">
        <f t="shared" si="16"/>
        <v>AK_SITKA CITY AND BOROUGH, AK</v>
      </c>
      <c r="D251" s="136" t="s">
        <v>102</v>
      </c>
      <c r="E251" s="262" t="s">
        <v>2982</v>
      </c>
      <c r="F251" s="136" t="s">
        <v>183</v>
      </c>
      <c r="G251" s="246">
        <v>68350</v>
      </c>
      <c r="H251" s="246">
        <v>78100</v>
      </c>
      <c r="I251" s="246">
        <v>87850</v>
      </c>
      <c r="J251" s="246">
        <v>97600</v>
      </c>
      <c r="K251" s="246">
        <v>105450</v>
      </c>
      <c r="L251" s="246">
        <v>113250</v>
      </c>
      <c r="M251" s="246">
        <v>121050</v>
      </c>
      <c r="N251" s="246">
        <v>128850</v>
      </c>
    </row>
    <row r="252" spans="3:14" ht="21.95" customHeight="1" x14ac:dyDescent="0.25">
      <c r="C252" s="139" t="str">
        <f t="shared" si="16"/>
        <v>AK_SKAGWAY MUNICIPALITY, AK</v>
      </c>
      <c r="D252" s="136" t="s">
        <v>102</v>
      </c>
      <c r="E252" s="262" t="s">
        <v>2983</v>
      </c>
      <c r="F252" s="136" t="s">
        <v>183</v>
      </c>
      <c r="G252" s="246">
        <v>65800</v>
      </c>
      <c r="H252" s="246">
        <v>75200</v>
      </c>
      <c r="I252" s="246">
        <v>84600</v>
      </c>
      <c r="J252" s="246">
        <v>94000</v>
      </c>
      <c r="K252" s="246">
        <v>101550</v>
      </c>
      <c r="L252" s="246">
        <v>109050</v>
      </c>
      <c r="M252" s="246">
        <v>116600</v>
      </c>
      <c r="N252" s="246">
        <v>124100</v>
      </c>
    </row>
    <row r="253" spans="3:14" ht="21.95" customHeight="1" x14ac:dyDescent="0.25">
      <c r="C253" s="139" t="str">
        <f t="shared" si="16"/>
        <v>AK_SOUTHEAST FAIRBANKS CENSUS AREA, AK</v>
      </c>
      <c r="D253" s="136" t="s">
        <v>102</v>
      </c>
      <c r="E253" s="262" t="s">
        <v>2984</v>
      </c>
      <c r="F253" s="136" t="s">
        <v>183</v>
      </c>
      <c r="G253" s="246">
        <v>53950</v>
      </c>
      <c r="H253" s="246">
        <v>61650</v>
      </c>
      <c r="I253" s="246">
        <v>69350</v>
      </c>
      <c r="J253" s="246">
        <v>77050</v>
      </c>
      <c r="K253" s="246">
        <v>83250</v>
      </c>
      <c r="L253" s="246">
        <v>89400</v>
      </c>
      <c r="M253" s="246">
        <v>95550</v>
      </c>
      <c r="N253" s="246">
        <v>101750</v>
      </c>
    </row>
    <row r="254" spans="3:14" ht="21.95" customHeight="1" x14ac:dyDescent="0.25">
      <c r="C254" s="139" t="str">
        <f t="shared" si="16"/>
        <v>AK_WRANGELL CITY AND BOROUGH, AK</v>
      </c>
      <c r="D254" s="136" t="s">
        <v>102</v>
      </c>
      <c r="E254" s="262" t="s">
        <v>2985</v>
      </c>
      <c r="F254" s="136" t="s">
        <v>183</v>
      </c>
      <c r="G254" s="246">
        <v>53950</v>
      </c>
      <c r="H254" s="246">
        <v>61650</v>
      </c>
      <c r="I254" s="246">
        <v>69350</v>
      </c>
      <c r="J254" s="246">
        <v>77050</v>
      </c>
      <c r="K254" s="246">
        <v>83250</v>
      </c>
      <c r="L254" s="246">
        <v>89400</v>
      </c>
      <c r="M254" s="246">
        <v>95550</v>
      </c>
      <c r="N254" s="246">
        <v>101750</v>
      </c>
    </row>
    <row r="255" spans="3:14" ht="21.95" customHeight="1" x14ac:dyDescent="0.25">
      <c r="C255" s="139" t="str">
        <f t="shared" si="16"/>
        <v>AK_YAKUTAT CITY AND BOROUGH, AK</v>
      </c>
      <c r="D255" s="136" t="s">
        <v>102</v>
      </c>
      <c r="E255" s="262" t="s">
        <v>2986</v>
      </c>
      <c r="F255" s="136" t="s">
        <v>183</v>
      </c>
      <c r="G255" s="246">
        <v>61500</v>
      </c>
      <c r="H255" s="246">
        <v>70300</v>
      </c>
      <c r="I255" s="246">
        <v>79100</v>
      </c>
      <c r="J255" s="246">
        <v>87850</v>
      </c>
      <c r="K255" s="246">
        <v>94900</v>
      </c>
      <c r="L255" s="246">
        <v>101950</v>
      </c>
      <c r="M255" s="246">
        <v>108950</v>
      </c>
      <c r="N255" s="246">
        <v>116000</v>
      </c>
    </row>
    <row r="256" spans="3:14" ht="21.95" customHeight="1" x14ac:dyDescent="0.25">
      <c r="C256" s="139" t="str">
        <f t="shared" ref="C256:C319" si="20">TRIM(UPPER(D256))&amp;"_"&amp;TRIM(UPPER(E256))</f>
        <v>AK_YUKON-KOYUKUK CENSUS AREA, AK</v>
      </c>
      <c r="D256" s="136" t="s">
        <v>102</v>
      </c>
      <c r="E256" s="262" t="s">
        <v>2987</v>
      </c>
      <c r="F256" s="136" t="s">
        <v>183</v>
      </c>
      <c r="G256" s="246">
        <v>53950</v>
      </c>
      <c r="H256" s="246">
        <v>61650</v>
      </c>
      <c r="I256" s="246">
        <v>69350</v>
      </c>
      <c r="J256" s="246">
        <v>77050</v>
      </c>
      <c r="K256" s="246">
        <v>83250</v>
      </c>
      <c r="L256" s="246">
        <v>89400</v>
      </c>
      <c r="M256" s="246">
        <v>95550</v>
      </c>
      <c r="N256" s="246">
        <v>101750</v>
      </c>
    </row>
    <row r="257" spans="3:14" ht="21.95" customHeight="1" x14ac:dyDescent="0.25">
      <c r="C257" s="139" t="str">
        <f t="shared" si="20"/>
        <v>AL_ANNISTON-OXFORD, AL MSA</v>
      </c>
      <c r="D257" s="136" t="s">
        <v>103</v>
      </c>
      <c r="E257" s="262" t="s">
        <v>9081</v>
      </c>
      <c r="F257" s="136" t="s">
        <v>183</v>
      </c>
      <c r="G257" s="246">
        <v>41450</v>
      </c>
      <c r="H257" s="246">
        <v>47400</v>
      </c>
      <c r="I257" s="246">
        <v>53300</v>
      </c>
      <c r="J257" s="246">
        <v>59200</v>
      </c>
      <c r="K257" s="246">
        <v>63950</v>
      </c>
      <c r="L257" s="246">
        <v>68700</v>
      </c>
      <c r="M257" s="246">
        <v>73450</v>
      </c>
      <c r="N257" s="246">
        <v>78150</v>
      </c>
    </row>
    <row r="258" spans="3:14" ht="21.95" customHeight="1" x14ac:dyDescent="0.25">
      <c r="C258" s="139" t="str">
        <f t="shared" si="20"/>
        <v>AL_AUBURN-OPELIKA, AL HUD METRO FMR AREA</v>
      </c>
      <c r="D258" s="136" t="s">
        <v>103</v>
      </c>
      <c r="E258" s="262" t="s">
        <v>9082</v>
      </c>
      <c r="F258" s="136" t="s">
        <v>183</v>
      </c>
      <c r="G258" s="246">
        <v>53400</v>
      </c>
      <c r="H258" s="246">
        <v>61000</v>
      </c>
      <c r="I258" s="246">
        <v>68650</v>
      </c>
      <c r="J258" s="246">
        <v>76250</v>
      </c>
      <c r="K258" s="246">
        <v>82350</v>
      </c>
      <c r="L258" s="246">
        <v>88450</v>
      </c>
      <c r="M258" s="246">
        <v>94550</v>
      </c>
      <c r="N258" s="246">
        <v>100650</v>
      </c>
    </row>
    <row r="259" spans="3:14" ht="21.95" customHeight="1" x14ac:dyDescent="0.25">
      <c r="C259" s="139" t="str">
        <f t="shared" si="20"/>
        <v>AL_BARBOUR COUNTY, AL</v>
      </c>
      <c r="D259" s="136" t="s">
        <v>103</v>
      </c>
      <c r="E259" s="262" t="s">
        <v>2988</v>
      </c>
      <c r="F259" s="136" t="s">
        <v>183</v>
      </c>
      <c r="G259" s="246">
        <v>40450</v>
      </c>
      <c r="H259" s="246">
        <v>46200</v>
      </c>
      <c r="I259" s="246">
        <v>52000</v>
      </c>
      <c r="J259" s="246">
        <v>57750</v>
      </c>
      <c r="K259" s="246">
        <v>62400</v>
      </c>
      <c r="L259" s="246">
        <v>67000</v>
      </c>
      <c r="M259" s="246">
        <v>71650</v>
      </c>
      <c r="N259" s="246">
        <v>76250</v>
      </c>
    </row>
    <row r="260" spans="3:14" ht="21.95" customHeight="1" x14ac:dyDescent="0.25">
      <c r="C260" s="139" t="str">
        <f t="shared" si="20"/>
        <v>AL_BIRMINGHAM-HOOVER, AL HUD METRO FMR AREA</v>
      </c>
      <c r="D260" s="136" t="s">
        <v>103</v>
      </c>
      <c r="E260" s="262" t="s">
        <v>2989</v>
      </c>
      <c r="F260" s="136" t="s">
        <v>183</v>
      </c>
      <c r="G260" s="246">
        <v>53700</v>
      </c>
      <c r="H260" s="246">
        <v>61400</v>
      </c>
      <c r="I260" s="246">
        <v>69050</v>
      </c>
      <c r="J260" s="246">
        <v>76700</v>
      </c>
      <c r="K260" s="246">
        <v>82850</v>
      </c>
      <c r="L260" s="246">
        <v>89000</v>
      </c>
      <c r="M260" s="246">
        <v>95150</v>
      </c>
      <c r="N260" s="246">
        <v>101250</v>
      </c>
    </row>
    <row r="261" spans="3:14" ht="21.95" customHeight="1" x14ac:dyDescent="0.25">
      <c r="C261" s="139" t="str">
        <f t="shared" si="20"/>
        <v>AL_BULLOCK COUNTY, AL</v>
      </c>
      <c r="D261" s="136" t="s">
        <v>103</v>
      </c>
      <c r="E261" s="262" t="s">
        <v>2990</v>
      </c>
      <c r="F261" s="136" t="s">
        <v>183</v>
      </c>
      <c r="G261" s="246">
        <v>40450</v>
      </c>
      <c r="H261" s="246">
        <v>46200</v>
      </c>
      <c r="I261" s="246">
        <v>52000</v>
      </c>
      <c r="J261" s="246">
        <v>57750</v>
      </c>
      <c r="K261" s="246">
        <v>62400</v>
      </c>
      <c r="L261" s="246">
        <v>67000</v>
      </c>
      <c r="M261" s="246">
        <v>71650</v>
      </c>
      <c r="N261" s="246">
        <v>76250</v>
      </c>
    </row>
    <row r="262" spans="3:14" ht="21.95" customHeight="1" x14ac:dyDescent="0.25">
      <c r="C262" s="139" t="str">
        <f t="shared" si="20"/>
        <v>AL_BUTLER COUNTY, AL</v>
      </c>
      <c r="D262" s="136" t="s">
        <v>103</v>
      </c>
      <c r="E262" s="262" t="s">
        <v>2991</v>
      </c>
      <c r="F262" s="136" t="s">
        <v>183</v>
      </c>
      <c r="G262" s="246">
        <v>40450</v>
      </c>
      <c r="H262" s="246">
        <v>46200</v>
      </c>
      <c r="I262" s="246">
        <v>52000</v>
      </c>
      <c r="J262" s="246">
        <v>57750</v>
      </c>
      <c r="K262" s="246">
        <v>62400</v>
      </c>
      <c r="L262" s="246">
        <v>67000</v>
      </c>
      <c r="M262" s="246">
        <v>71650</v>
      </c>
      <c r="N262" s="246">
        <v>76250</v>
      </c>
    </row>
    <row r="263" spans="3:14" ht="21.95" customHeight="1" x14ac:dyDescent="0.25">
      <c r="C263" s="139" t="str">
        <f t="shared" si="20"/>
        <v>AL_CHAMBERS COUNTY, AL</v>
      </c>
      <c r="D263" s="136" t="s">
        <v>103</v>
      </c>
      <c r="E263" s="262" t="s">
        <v>2992</v>
      </c>
      <c r="F263" s="136" t="s">
        <v>183</v>
      </c>
      <c r="G263" s="246">
        <v>40450</v>
      </c>
      <c r="H263" s="246">
        <v>46200</v>
      </c>
      <c r="I263" s="246">
        <v>52000</v>
      </c>
      <c r="J263" s="246">
        <v>57750</v>
      </c>
      <c r="K263" s="246">
        <v>62400</v>
      </c>
      <c r="L263" s="246">
        <v>67000</v>
      </c>
      <c r="M263" s="246">
        <v>71650</v>
      </c>
      <c r="N263" s="246">
        <v>76250</v>
      </c>
    </row>
    <row r="264" spans="3:14" ht="21.95" customHeight="1" x14ac:dyDescent="0.25">
      <c r="C264" s="139" t="str">
        <f t="shared" si="20"/>
        <v>AL_CHEROKEE COUNTY, AL</v>
      </c>
      <c r="D264" s="136" t="s">
        <v>103</v>
      </c>
      <c r="E264" s="262" t="s">
        <v>2993</v>
      </c>
      <c r="F264" s="136" t="s">
        <v>183</v>
      </c>
      <c r="G264" s="246">
        <v>40700</v>
      </c>
      <c r="H264" s="246">
        <v>46500</v>
      </c>
      <c r="I264" s="246">
        <v>52300</v>
      </c>
      <c r="J264" s="246">
        <v>58100</v>
      </c>
      <c r="K264" s="246">
        <v>62750</v>
      </c>
      <c r="L264" s="246">
        <v>67400</v>
      </c>
      <c r="M264" s="246">
        <v>72050</v>
      </c>
      <c r="N264" s="246">
        <v>76700</v>
      </c>
    </row>
    <row r="265" spans="3:14" ht="21.95" customHeight="1" x14ac:dyDescent="0.25">
      <c r="C265" s="139" t="str">
        <f t="shared" si="20"/>
        <v>AL_CHILTON COUNTY, AL HUD METRO FMR AREA</v>
      </c>
      <c r="D265" s="136" t="s">
        <v>103</v>
      </c>
      <c r="E265" s="262" t="s">
        <v>2994</v>
      </c>
      <c r="F265" s="136" t="s">
        <v>183</v>
      </c>
      <c r="G265" s="246">
        <v>44900</v>
      </c>
      <c r="H265" s="246">
        <v>51300</v>
      </c>
      <c r="I265" s="246">
        <v>57700</v>
      </c>
      <c r="J265" s="246">
        <v>64100</v>
      </c>
      <c r="K265" s="246">
        <v>69250</v>
      </c>
      <c r="L265" s="246">
        <v>74400</v>
      </c>
      <c r="M265" s="246">
        <v>79500</v>
      </c>
      <c r="N265" s="246">
        <v>84650</v>
      </c>
    </row>
    <row r="266" spans="3:14" ht="21.95" customHeight="1" x14ac:dyDescent="0.25">
      <c r="C266" s="139" t="str">
        <f t="shared" si="20"/>
        <v>AL_CHOCTAW COUNTY, AL</v>
      </c>
      <c r="D266" s="136" t="s">
        <v>103</v>
      </c>
      <c r="E266" s="262" t="s">
        <v>2995</v>
      </c>
      <c r="F266" s="136" t="s">
        <v>183</v>
      </c>
      <c r="G266" s="246">
        <v>40700</v>
      </c>
      <c r="H266" s="246">
        <v>46500</v>
      </c>
      <c r="I266" s="246">
        <v>52300</v>
      </c>
      <c r="J266" s="246">
        <v>58100</v>
      </c>
      <c r="K266" s="246">
        <v>62750</v>
      </c>
      <c r="L266" s="246">
        <v>67400</v>
      </c>
      <c r="M266" s="246">
        <v>72050</v>
      </c>
      <c r="N266" s="246">
        <v>76700</v>
      </c>
    </row>
    <row r="267" spans="3:14" ht="21.95" customHeight="1" x14ac:dyDescent="0.25">
      <c r="C267" s="139" t="str">
        <f t="shared" si="20"/>
        <v>AL_CLARKE COUNTY, AL</v>
      </c>
      <c r="D267" s="136" t="s">
        <v>103</v>
      </c>
      <c r="E267" s="262" t="s">
        <v>2996</v>
      </c>
      <c r="F267" s="136" t="s">
        <v>183</v>
      </c>
      <c r="G267" s="246">
        <v>42000</v>
      </c>
      <c r="H267" s="246">
        <v>48000</v>
      </c>
      <c r="I267" s="246">
        <v>54000</v>
      </c>
      <c r="J267" s="246">
        <v>60000</v>
      </c>
      <c r="K267" s="246">
        <v>64800</v>
      </c>
      <c r="L267" s="246">
        <v>69600</v>
      </c>
      <c r="M267" s="246">
        <v>74400</v>
      </c>
      <c r="N267" s="246">
        <v>79200</v>
      </c>
    </row>
    <row r="268" spans="3:14" ht="21.95" customHeight="1" x14ac:dyDescent="0.25">
      <c r="C268" s="139" t="str">
        <f t="shared" si="20"/>
        <v>AL_CLAY COUNTY, AL</v>
      </c>
      <c r="D268" s="136" t="s">
        <v>103</v>
      </c>
      <c r="E268" s="262" t="s">
        <v>2997</v>
      </c>
      <c r="F268" s="136" t="s">
        <v>183</v>
      </c>
      <c r="G268" s="246">
        <v>40450</v>
      </c>
      <c r="H268" s="246">
        <v>46200</v>
      </c>
      <c r="I268" s="246">
        <v>52000</v>
      </c>
      <c r="J268" s="246">
        <v>57750</v>
      </c>
      <c r="K268" s="246">
        <v>62400</v>
      </c>
      <c r="L268" s="246">
        <v>67000</v>
      </c>
      <c r="M268" s="246">
        <v>71650</v>
      </c>
      <c r="N268" s="246">
        <v>76250</v>
      </c>
    </row>
    <row r="269" spans="3:14" ht="21.95" customHeight="1" x14ac:dyDescent="0.25">
      <c r="C269" s="139" t="str">
        <f t="shared" si="20"/>
        <v>AL_CLEBURNE COUNTY, AL</v>
      </c>
      <c r="D269" s="136" t="s">
        <v>103</v>
      </c>
      <c r="E269" s="262" t="s">
        <v>2998</v>
      </c>
      <c r="F269" s="136" t="s">
        <v>183</v>
      </c>
      <c r="G269" s="246">
        <v>44450</v>
      </c>
      <c r="H269" s="246">
        <v>50800</v>
      </c>
      <c r="I269" s="246">
        <v>57150</v>
      </c>
      <c r="J269" s="246">
        <v>63500</v>
      </c>
      <c r="K269" s="246">
        <v>68600</v>
      </c>
      <c r="L269" s="246">
        <v>73700</v>
      </c>
      <c r="M269" s="246">
        <v>78750</v>
      </c>
      <c r="N269" s="246">
        <v>83850</v>
      </c>
    </row>
    <row r="270" spans="3:14" ht="21.95" customHeight="1" x14ac:dyDescent="0.25">
      <c r="C270" s="139" t="str">
        <f t="shared" si="20"/>
        <v>AL_COFFEE COUNTY, AL</v>
      </c>
      <c r="D270" s="136" t="s">
        <v>103</v>
      </c>
      <c r="E270" s="262" t="s">
        <v>2999</v>
      </c>
      <c r="F270" s="136" t="s">
        <v>183</v>
      </c>
      <c r="G270" s="246">
        <v>48400</v>
      </c>
      <c r="H270" s="246">
        <v>55300</v>
      </c>
      <c r="I270" s="246">
        <v>62200</v>
      </c>
      <c r="J270" s="246">
        <v>69100</v>
      </c>
      <c r="K270" s="246">
        <v>74650</v>
      </c>
      <c r="L270" s="246">
        <v>80200</v>
      </c>
      <c r="M270" s="246">
        <v>85700</v>
      </c>
      <c r="N270" s="246">
        <v>91250</v>
      </c>
    </row>
    <row r="271" spans="3:14" ht="21.95" customHeight="1" x14ac:dyDescent="0.25">
      <c r="C271" s="139" t="str">
        <f t="shared" si="20"/>
        <v>AL_COLUMBUS, GA-AL HUD METRO FMR AREA</v>
      </c>
      <c r="D271" s="136" t="s">
        <v>103</v>
      </c>
      <c r="E271" s="262" t="s">
        <v>3000</v>
      </c>
      <c r="F271" s="136" t="s">
        <v>183</v>
      </c>
      <c r="G271" s="246">
        <v>43150</v>
      </c>
      <c r="H271" s="246">
        <v>49300</v>
      </c>
      <c r="I271" s="246">
        <v>55450</v>
      </c>
      <c r="J271" s="246">
        <v>61600</v>
      </c>
      <c r="K271" s="246">
        <v>66550</v>
      </c>
      <c r="L271" s="246">
        <v>71500</v>
      </c>
      <c r="M271" s="246">
        <v>76400</v>
      </c>
      <c r="N271" s="246">
        <v>81350</v>
      </c>
    </row>
    <row r="272" spans="3:14" ht="21.95" customHeight="1" x14ac:dyDescent="0.25">
      <c r="C272" s="139" t="str">
        <f t="shared" si="20"/>
        <v>AL_CONECUH COUNTY, AL</v>
      </c>
      <c r="D272" s="136" t="s">
        <v>103</v>
      </c>
      <c r="E272" s="262" t="s">
        <v>3001</v>
      </c>
      <c r="F272" s="136" t="s">
        <v>183</v>
      </c>
      <c r="G272" s="246">
        <v>40450</v>
      </c>
      <c r="H272" s="246">
        <v>46200</v>
      </c>
      <c r="I272" s="246">
        <v>52000</v>
      </c>
      <c r="J272" s="246">
        <v>57750</v>
      </c>
      <c r="K272" s="246">
        <v>62400</v>
      </c>
      <c r="L272" s="246">
        <v>67000</v>
      </c>
      <c r="M272" s="246">
        <v>71650</v>
      </c>
      <c r="N272" s="246">
        <v>76250</v>
      </c>
    </row>
    <row r="273" spans="3:14" ht="21.95" customHeight="1" x14ac:dyDescent="0.25">
      <c r="C273" s="139" t="str">
        <f t="shared" si="20"/>
        <v>AL_COOSA COUNTY, AL</v>
      </c>
      <c r="D273" s="136" t="s">
        <v>103</v>
      </c>
      <c r="E273" s="262" t="s">
        <v>3002</v>
      </c>
      <c r="F273" s="136" t="s">
        <v>183</v>
      </c>
      <c r="G273" s="246">
        <v>41400</v>
      </c>
      <c r="H273" s="246">
        <v>47300</v>
      </c>
      <c r="I273" s="246">
        <v>53200</v>
      </c>
      <c r="J273" s="246">
        <v>59100</v>
      </c>
      <c r="K273" s="246">
        <v>63850</v>
      </c>
      <c r="L273" s="246">
        <v>68600</v>
      </c>
      <c r="M273" s="246">
        <v>73300</v>
      </c>
      <c r="N273" s="246">
        <v>78050</v>
      </c>
    </row>
    <row r="274" spans="3:14" ht="21.95" customHeight="1" x14ac:dyDescent="0.25">
      <c r="C274" s="139" t="str">
        <f t="shared" si="20"/>
        <v>AL_COVINGTON COUNTY, AL</v>
      </c>
      <c r="D274" s="136" t="s">
        <v>103</v>
      </c>
      <c r="E274" s="262" t="s">
        <v>3003</v>
      </c>
      <c r="F274" s="136" t="s">
        <v>183</v>
      </c>
      <c r="G274" s="246">
        <v>40700</v>
      </c>
      <c r="H274" s="246">
        <v>46500</v>
      </c>
      <c r="I274" s="246">
        <v>52300</v>
      </c>
      <c r="J274" s="246">
        <v>58100</v>
      </c>
      <c r="K274" s="246">
        <v>62750</v>
      </c>
      <c r="L274" s="246">
        <v>67400</v>
      </c>
      <c r="M274" s="246">
        <v>72050</v>
      </c>
      <c r="N274" s="246">
        <v>76700</v>
      </c>
    </row>
    <row r="275" spans="3:14" ht="21.95" customHeight="1" x14ac:dyDescent="0.25">
      <c r="C275" s="139" t="str">
        <f t="shared" si="20"/>
        <v>AL_CRENSHAW COUNTY, AL</v>
      </c>
      <c r="D275" s="136" t="s">
        <v>103</v>
      </c>
      <c r="E275" s="262" t="s">
        <v>3004</v>
      </c>
      <c r="F275" s="136" t="s">
        <v>183</v>
      </c>
      <c r="G275" s="246">
        <v>40700</v>
      </c>
      <c r="H275" s="246">
        <v>46500</v>
      </c>
      <c r="I275" s="246">
        <v>52300</v>
      </c>
      <c r="J275" s="246">
        <v>58100</v>
      </c>
      <c r="K275" s="246">
        <v>62750</v>
      </c>
      <c r="L275" s="246">
        <v>67400</v>
      </c>
      <c r="M275" s="246">
        <v>72050</v>
      </c>
      <c r="N275" s="246">
        <v>76700</v>
      </c>
    </row>
    <row r="276" spans="3:14" ht="21.95" customHeight="1" x14ac:dyDescent="0.25">
      <c r="C276" s="139" t="str">
        <f t="shared" si="20"/>
        <v>AL_CULLMAN COUNTY, AL</v>
      </c>
      <c r="D276" s="136" t="s">
        <v>103</v>
      </c>
      <c r="E276" s="262" t="s">
        <v>3005</v>
      </c>
      <c r="F276" s="136" t="s">
        <v>183</v>
      </c>
      <c r="G276" s="246">
        <v>45550</v>
      </c>
      <c r="H276" s="246">
        <v>52050</v>
      </c>
      <c r="I276" s="246">
        <v>58550</v>
      </c>
      <c r="J276" s="246">
        <v>65050</v>
      </c>
      <c r="K276" s="246">
        <v>70300</v>
      </c>
      <c r="L276" s="246">
        <v>75500</v>
      </c>
      <c r="M276" s="246">
        <v>80700</v>
      </c>
      <c r="N276" s="246">
        <v>85900</v>
      </c>
    </row>
    <row r="277" spans="3:14" ht="21.95" customHeight="1" x14ac:dyDescent="0.25">
      <c r="C277" s="139" t="str">
        <f t="shared" si="20"/>
        <v>AL_DALE COUNTY, AL</v>
      </c>
      <c r="D277" s="136" t="s">
        <v>103</v>
      </c>
      <c r="E277" s="262" t="s">
        <v>3006</v>
      </c>
      <c r="F277" s="136" t="s">
        <v>183</v>
      </c>
      <c r="G277" s="246">
        <v>42250</v>
      </c>
      <c r="H277" s="246">
        <v>48250</v>
      </c>
      <c r="I277" s="246">
        <v>54300</v>
      </c>
      <c r="J277" s="246">
        <v>60300</v>
      </c>
      <c r="K277" s="246">
        <v>65150</v>
      </c>
      <c r="L277" s="246">
        <v>69950</v>
      </c>
      <c r="M277" s="246">
        <v>74800</v>
      </c>
      <c r="N277" s="246">
        <v>79600</v>
      </c>
    </row>
    <row r="278" spans="3:14" ht="21.95" customHeight="1" x14ac:dyDescent="0.25">
      <c r="C278" s="139" t="str">
        <f t="shared" si="20"/>
        <v>AL_DALLAS COUNTY, AL</v>
      </c>
      <c r="D278" s="136" t="s">
        <v>103</v>
      </c>
      <c r="E278" s="262" t="s">
        <v>3007</v>
      </c>
      <c r="F278" s="136" t="s">
        <v>183</v>
      </c>
      <c r="G278" s="246">
        <v>40450</v>
      </c>
      <c r="H278" s="246">
        <v>46200</v>
      </c>
      <c r="I278" s="246">
        <v>52000</v>
      </c>
      <c r="J278" s="246">
        <v>57750</v>
      </c>
      <c r="K278" s="246">
        <v>62400</v>
      </c>
      <c r="L278" s="246">
        <v>67000</v>
      </c>
      <c r="M278" s="246">
        <v>71650</v>
      </c>
      <c r="N278" s="246">
        <v>76250</v>
      </c>
    </row>
    <row r="279" spans="3:14" ht="21.95" customHeight="1" x14ac:dyDescent="0.25">
      <c r="C279" s="139" t="str">
        <f t="shared" si="20"/>
        <v>AL_DAPHNE-FAIRHOPE-FOLEY, AL MSA</v>
      </c>
      <c r="D279" s="136" t="s">
        <v>103</v>
      </c>
      <c r="E279" s="262" t="s">
        <v>3008</v>
      </c>
      <c r="F279" s="136" t="s">
        <v>183</v>
      </c>
      <c r="G279" s="246">
        <v>52100</v>
      </c>
      <c r="H279" s="246">
        <v>59550</v>
      </c>
      <c r="I279" s="246">
        <v>67000</v>
      </c>
      <c r="J279" s="246">
        <v>74400</v>
      </c>
      <c r="K279" s="246">
        <v>80400</v>
      </c>
      <c r="L279" s="246">
        <v>86350</v>
      </c>
      <c r="M279" s="246">
        <v>92300</v>
      </c>
      <c r="N279" s="246">
        <v>98250</v>
      </c>
    </row>
    <row r="280" spans="3:14" ht="21.95" customHeight="1" x14ac:dyDescent="0.25">
      <c r="C280" s="139" t="str">
        <f t="shared" si="20"/>
        <v>AL_DECATUR, AL MSA</v>
      </c>
      <c r="D280" s="136" t="s">
        <v>103</v>
      </c>
      <c r="E280" s="262" t="s">
        <v>3009</v>
      </c>
      <c r="F280" s="136" t="s">
        <v>183</v>
      </c>
      <c r="G280" s="246">
        <v>50200</v>
      </c>
      <c r="H280" s="246">
        <v>57400</v>
      </c>
      <c r="I280" s="246">
        <v>64550</v>
      </c>
      <c r="J280" s="246">
        <v>71700</v>
      </c>
      <c r="K280" s="246">
        <v>77450</v>
      </c>
      <c r="L280" s="246">
        <v>83200</v>
      </c>
      <c r="M280" s="246">
        <v>88950</v>
      </c>
      <c r="N280" s="246">
        <v>94650</v>
      </c>
    </row>
    <row r="281" spans="3:14" ht="21.95" customHeight="1" x14ac:dyDescent="0.25">
      <c r="C281" s="139" t="str">
        <f t="shared" si="20"/>
        <v>AL_DEKALB COUNTY, AL</v>
      </c>
      <c r="D281" s="136" t="s">
        <v>103</v>
      </c>
      <c r="E281" s="262" t="s">
        <v>3010</v>
      </c>
      <c r="F281" s="136" t="s">
        <v>183</v>
      </c>
      <c r="G281" s="246">
        <v>40450</v>
      </c>
      <c r="H281" s="246">
        <v>46200</v>
      </c>
      <c r="I281" s="246">
        <v>52000</v>
      </c>
      <c r="J281" s="246">
        <v>57750</v>
      </c>
      <c r="K281" s="246">
        <v>62400</v>
      </c>
      <c r="L281" s="246">
        <v>67000</v>
      </c>
      <c r="M281" s="246">
        <v>71650</v>
      </c>
      <c r="N281" s="246">
        <v>76250</v>
      </c>
    </row>
    <row r="282" spans="3:14" ht="21.95" customHeight="1" x14ac:dyDescent="0.25">
      <c r="C282" s="139" t="str">
        <f t="shared" si="20"/>
        <v>AL_DOTHAN, AL HUD METRO FMR AREA</v>
      </c>
      <c r="D282" s="136" t="s">
        <v>103</v>
      </c>
      <c r="E282" s="262" t="s">
        <v>3011</v>
      </c>
      <c r="F282" s="136" t="s">
        <v>183</v>
      </c>
      <c r="G282" s="246">
        <v>43800</v>
      </c>
      <c r="H282" s="246">
        <v>50050</v>
      </c>
      <c r="I282" s="246">
        <v>56300</v>
      </c>
      <c r="J282" s="246">
        <v>62550</v>
      </c>
      <c r="K282" s="246">
        <v>67600</v>
      </c>
      <c r="L282" s="246">
        <v>72600</v>
      </c>
      <c r="M282" s="246">
        <v>77600</v>
      </c>
      <c r="N282" s="246">
        <v>82600</v>
      </c>
    </row>
    <row r="283" spans="3:14" ht="21.95" customHeight="1" x14ac:dyDescent="0.25">
      <c r="C283" s="139" t="str">
        <f t="shared" si="20"/>
        <v>AL_ESCAMBIA COUNTY, AL</v>
      </c>
      <c r="D283" s="136" t="s">
        <v>103</v>
      </c>
      <c r="E283" s="262" t="s">
        <v>3012</v>
      </c>
      <c r="F283" s="136" t="s">
        <v>183</v>
      </c>
      <c r="G283" s="246">
        <v>40450</v>
      </c>
      <c r="H283" s="246">
        <v>46200</v>
      </c>
      <c r="I283" s="246">
        <v>52000</v>
      </c>
      <c r="J283" s="246">
        <v>57750</v>
      </c>
      <c r="K283" s="246">
        <v>62400</v>
      </c>
      <c r="L283" s="246">
        <v>67000</v>
      </c>
      <c r="M283" s="246">
        <v>71650</v>
      </c>
      <c r="N283" s="246">
        <v>76250</v>
      </c>
    </row>
    <row r="284" spans="3:14" ht="21.95" customHeight="1" x14ac:dyDescent="0.25">
      <c r="C284" s="139" t="str">
        <f t="shared" si="20"/>
        <v>AL_FAYETTE COUNTY, AL</v>
      </c>
      <c r="D284" s="136" t="s">
        <v>103</v>
      </c>
      <c r="E284" s="262" t="s">
        <v>3013</v>
      </c>
      <c r="F284" s="136" t="s">
        <v>183</v>
      </c>
      <c r="G284" s="246">
        <v>40500</v>
      </c>
      <c r="H284" s="246">
        <v>46250</v>
      </c>
      <c r="I284" s="246">
        <v>52050</v>
      </c>
      <c r="J284" s="246">
        <v>57800</v>
      </c>
      <c r="K284" s="246">
        <v>62450</v>
      </c>
      <c r="L284" s="246">
        <v>67050</v>
      </c>
      <c r="M284" s="246">
        <v>71700</v>
      </c>
      <c r="N284" s="246">
        <v>76300</v>
      </c>
    </row>
    <row r="285" spans="3:14" ht="21.95" customHeight="1" x14ac:dyDescent="0.25">
      <c r="C285" s="139" t="str">
        <f t="shared" si="20"/>
        <v>AL_FLORENCE-MUSCLE SHOALS, AL MSA</v>
      </c>
      <c r="D285" s="136" t="s">
        <v>103</v>
      </c>
      <c r="E285" s="262" t="s">
        <v>3014</v>
      </c>
      <c r="F285" s="136" t="s">
        <v>183</v>
      </c>
      <c r="G285" s="246">
        <v>46150</v>
      </c>
      <c r="H285" s="246">
        <v>52750</v>
      </c>
      <c r="I285" s="246">
        <v>59350</v>
      </c>
      <c r="J285" s="246">
        <v>65900</v>
      </c>
      <c r="K285" s="246">
        <v>71200</v>
      </c>
      <c r="L285" s="246">
        <v>76450</v>
      </c>
      <c r="M285" s="246">
        <v>81750</v>
      </c>
      <c r="N285" s="246">
        <v>87000</v>
      </c>
    </row>
    <row r="286" spans="3:14" ht="21.95" customHeight="1" x14ac:dyDescent="0.25">
      <c r="C286" s="139" t="str">
        <f t="shared" si="20"/>
        <v>AL_FRANKLIN COUNTY, AL</v>
      </c>
      <c r="D286" s="136" t="s">
        <v>103</v>
      </c>
      <c r="E286" s="262" t="s">
        <v>3015</v>
      </c>
      <c r="F286" s="136" t="s">
        <v>183</v>
      </c>
      <c r="G286" s="246">
        <v>40450</v>
      </c>
      <c r="H286" s="246">
        <v>46200</v>
      </c>
      <c r="I286" s="246">
        <v>52000</v>
      </c>
      <c r="J286" s="246">
        <v>57750</v>
      </c>
      <c r="K286" s="246">
        <v>62400</v>
      </c>
      <c r="L286" s="246">
        <v>67000</v>
      </c>
      <c r="M286" s="246">
        <v>71650</v>
      </c>
      <c r="N286" s="246">
        <v>76250</v>
      </c>
    </row>
    <row r="287" spans="3:14" ht="21.95" customHeight="1" x14ac:dyDescent="0.25">
      <c r="C287" s="139" t="str">
        <f t="shared" si="20"/>
        <v>AL_GADSDEN, AL MSA</v>
      </c>
      <c r="D287" s="136" t="s">
        <v>103</v>
      </c>
      <c r="E287" s="262" t="s">
        <v>3016</v>
      </c>
      <c r="F287" s="136" t="s">
        <v>183</v>
      </c>
      <c r="G287" s="246">
        <v>40700</v>
      </c>
      <c r="H287" s="246">
        <v>46500</v>
      </c>
      <c r="I287" s="246">
        <v>52300</v>
      </c>
      <c r="J287" s="246">
        <v>58100</v>
      </c>
      <c r="K287" s="246">
        <v>62750</v>
      </c>
      <c r="L287" s="246">
        <v>67400</v>
      </c>
      <c r="M287" s="246">
        <v>72050</v>
      </c>
      <c r="N287" s="246">
        <v>76700</v>
      </c>
    </row>
    <row r="288" spans="3:14" ht="21.95" customHeight="1" x14ac:dyDescent="0.25">
      <c r="C288" s="139" t="str">
        <f t="shared" si="20"/>
        <v>AL_GREENE COUNTY, AL HUD METRO FMR AREA</v>
      </c>
      <c r="D288" s="136" t="s">
        <v>103</v>
      </c>
      <c r="E288" s="262" t="s">
        <v>3017</v>
      </c>
      <c r="F288" s="136" t="s">
        <v>183</v>
      </c>
      <c r="G288" s="246">
        <v>40450</v>
      </c>
      <c r="H288" s="246">
        <v>46200</v>
      </c>
      <c r="I288" s="246">
        <v>52000</v>
      </c>
      <c r="J288" s="246">
        <v>57750</v>
      </c>
      <c r="K288" s="246">
        <v>62400</v>
      </c>
      <c r="L288" s="246">
        <v>67000</v>
      </c>
      <c r="M288" s="246">
        <v>71650</v>
      </c>
      <c r="N288" s="246">
        <v>76250</v>
      </c>
    </row>
    <row r="289" spans="3:14" ht="21.95" customHeight="1" x14ac:dyDescent="0.25">
      <c r="C289" s="139" t="str">
        <f t="shared" si="20"/>
        <v>AL_HENRY COUNTY, AL HUD METRO FMR AREA</v>
      </c>
      <c r="D289" s="136" t="s">
        <v>103</v>
      </c>
      <c r="E289" s="262" t="s">
        <v>3018</v>
      </c>
      <c r="F289" s="136" t="s">
        <v>183</v>
      </c>
      <c r="G289" s="246">
        <v>47900</v>
      </c>
      <c r="H289" s="246">
        <v>54750</v>
      </c>
      <c r="I289" s="246">
        <v>61600</v>
      </c>
      <c r="J289" s="246">
        <v>68400</v>
      </c>
      <c r="K289" s="246">
        <v>73900</v>
      </c>
      <c r="L289" s="246">
        <v>79350</v>
      </c>
      <c r="M289" s="246">
        <v>84850</v>
      </c>
      <c r="N289" s="246">
        <v>90300</v>
      </c>
    </row>
    <row r="290" spans="3:14" ht="21.95" customHeight="1" x14ac:dyDescent="0.25">
      <c r="C290" s="139" t="str">
        <f t="shared" si="20"/>
        <v>AL_HUNTSVILLE, AL MSA</v>
      </c>
      <c r="D290" s="136" t="s">
        <v>103</v>
      </c>
      <c r="E290" s="262" t="s">
        <v>3019</v>
      </c>
      <c r="F290" s="136" t="s">
        <v>183</v>
      </c>
      <c r="G290" s="246">
        <v>64700</v>
      </c>
      <c r="H290" s="246">
        <v>73950</v>
      </c>
      <c r="I290" s="246">
        <v>83200</v>
      </c>
      <c r="J290" s="246">
        <v>92400</v>
      </c>
      <c r="K290" s="246">
        <v>99800</v>
      </c>
      <c r="L290" s="246">
        <v>107200</v>
      </c>
      <c r="M290" s="246">
        <v>114600</v>
      </c>
      <c r="N290" s="246">
        <v>122000</v>
      </c>
    </row>
    <row r="291" spans="3:14" ht="21.95" customHeight="1" x14ac:dyDescent="0.25">
      <c r="C291" s="139" t="str">
        <f t="shared" si="20"/>
        <v>AL_JACKSON COUNTY, AL</v>
      </c>
      <c r="D291" s="136" t="s">
        <v>103</v>
      </c>
      <c r="E291" s="262" t="s">
        <v>3020</v>
      </c>
      <c r="F291" s="136" t="s">
        <v>183</v>
      </c>
      <c r="G291" s="246">
        <v>40450</v>
      </c>
      <c r="H291" s="246">
        <v>46200</v>
      </c>
      <c r="I291" s="246">
        <v>52000</v>
      </c>
      <c r="J291" s="246">
        <v>57750</v>
      </c>
      <c r="K291" s="246">
        <v>62400</v>
      </c>
      <c r="L291" s="246">
        <v>67000</v>
      </c>
      <c r="M291" s="246">
        <v>71650</v>
      </c>
      <c r="N291" s="246">
        <v>76250</v>
      </c>
    </row>
    <row r="292" spans="3:14" ht="21.95" customHeight="1" x14ac:dyDescent="0.25">
      <c r="C292" s="139" t="str">
        <f t="shared" si="20"/>
        <v>AL_LAMAR COUNTY, AL</v>
      </c>
      <c r="D292" s="136" t="s">
        <v>103</v>
      </c>
      <c r="E292" s="262" t="s">
        <v>3021</v>
      </c>
      <c r="F292" s="136" t="s">
        <v>183</v>
      </c>
      <c r="G292" s="246">
        <v>40700</v>
      </c>
      <c r="H292" s="246">
        <v>46500</v>
      </c>
      <c r="I292" s="246">
        <v>52300</v>
      </c>
      <c r="J292" s="246">
        <v>58100</v>
      </c>
      <c r="K292" s="246">
        <v>62750</v>
      </c>
      <c r="L292" s="246">
        <v>67400</v>
      </c>
      <c r="M292" s="246">
        <v>72050</v>
      </c>
      <c r="N292" s="246">
        <v>76700</v>
      </c>
    </row>
    <row r="293" spans="3:14" ht="21.95" customHeight="1" x14ac:dyDescent="0.25">
      <c r="C293" s="139" t="str">
        <f t="shared" si="20"/>
        <v>AL_MACON COUNTY, AL HUD METRO FMR AREA</v>
      </c>
      <c r="D293" s="136" t="s">
        <v>103</v>
      </c>
      <c r="E293" s="262" t="s">
        <v>9083</v>
      </c>
      <c r="F293" s="136" t="s">
        <v>183</v>
      </c>
      <c r="G293" s="246">
        <v>40450</v>
      </c>
      <c r="H293" s="246">
        <v>46200</v>
      </c>
      <c r="I293" s="246">
        <v>52000</v>
      </c>
      <c r="J293" s="246">
        <v>57750</v>
      </c>
      <c r="K293" s="246">
        <v>62400</v>
      </c>
      <c r="L293" s="246">
        <v>67000</v>
      </c>
      <c r="M293" s="246">
        <v>71650</v>
      </c>
      <c r="N293" s="246">
        <v>76250</v>
      </c>
    </row>
    <row r="294" spans="3:14" ht="21.95" customHeight="1" x14ac:dyDescent="0.25">
      <c r="C294" s="139" t="str">
        <f t="shared" si="20"/>
        <v>AL_MARENGO COUNTY, AL</v>
      </c>
      <c r="D294" s="136" t="s">
        <v>103</v>
      </c>
      <c r="E294" s="262" t="s">
        <v>3022</v>
      </c>
      <c r="F294" s="136" t="s">
        <v>183</v>
      </c>
      <c r="G294" s="246">
        <v>43550</v>
      </c>
      <c r="H294" s="246">
        <v>49750</v>
      </c>
      <c r="I294" s="246">
        <v>55950</v>
      </c>
      <c r="J294" s="246">
        <v>62150</v>
      </c>
      <c r="K294" s="246">
        <v>67150</v>
      </c>
      <c r="L294" s="246">
        <v>72100</v>
      </c>
      <c r="M294" s="246">
        <v>77100</v>
      </c>
      <c r="N294" s="246">
        <v>82050</v>
      </c>
    </row>
    <row r="295" spans="3:14" ht="21.95" customHeight="1" x14ac:dyDescent="0.25">
      <c r="C295" s="139" t="str">
        <f t="shared" si="20"/>
        <v>AL_MARION COUNTY, AL</v>
      </c>
      <c r="D295" s="136" t="s">
        <v>103</v>
      </c>
      <c r="E295" s="262" t="s">
        <v>3023</v>
      </c>
      <c r="F295" s="136" t="s">
        <v>183</v>
      </c>
      <c r="G295" s="246">
        <v>40700</v>
      </c>
      <c r="H295" s="246">
        <v>46500</v>
      </c>
      <c r="I295" s="246">
        <v>52300</v>
      </c>
      <c r="J295" s="246">
        <v>58100</v>
      </c>
      <c r="K295" s="246">
        <v>62750</v>
      </c>
      <c r="L295" s="246">
        <v>67400</v>
      </c>
      <c r="M295" s="246">
        <v>72050</v>
      </c>
      <c r="N295" s="246">
        <v>76700</v>
      </c>
    </row>
    <row r="296" spans="3:14" ht="21.95" customHeight="1" x14ac:dyDescent="0.25">
      <c r="C296" s="139" t="str">
        <f t="shared" si="20"/>
        <v>AL_MARSHALL COUNTY, AL</v>
      </c>
      <c r="D296" s="136" t="s">
        <v>103</v>
      </c>
      <c r="E296" s="262" t="s">
        <v>3024</v>
      </c>
      <c r="F296" s="136" t="s">
        <v>183</v>
      </c>
      <c r="G296" s="246">
        <v>41650</v>
      </c>
      <c r="H296" s="246">
        <v>47600</v>
      </c>
      <c r="I296" s="246">
        <v>53550</v>
      </c>
      <c r="J296" s="246">
        <v>59500</v>
      </c>
      <c r="K296" s="246">
        <v>64300</v>
      </c>
      <c r="L296" s="246">
        <v>69050</v>
      </c>
      <c r="M296" s="246">
        <v>73800</v>
      </c>
      <c r="N296" s="246">
        <v>78550</v>
      </c>
    </row>
    <row r="297" spans="3:14" ht="21.95" customHeight="1" x14ac:dyDescent="0.25">
      <c r="C297" s="139" t="str">
        <f t="shared" si="20"/>
        <v>AL_MOBILE, AL MSA</v>
      </c>
      <c r="D297" s="136" t="s">
        <v>103</v>
      </c>
      <c r="E297" s="262" t="s">
        <v>9084</v>
      </c>
      <c r="F297" s="136" t="s">
        <v>183</v>
      </c>
      <c r="G297" s="246">
        <v>45650</v>
      </c>
      <c r="H297" s="246">
        <v>52200</v>
      </c>
      <c r="I297" s="246">
        <v>58700</v>
      </c>
      <c r="J297" s="246">
        <v>65200</v>
      </c>
      <c r="K297" s="246">
        <v>70450</v>
      </c>
      <c r="L297" s="246">
        <v>75650</v>
      </c>
      <c r="M297" s="246">
        <v>80850</v>
      </c>
      <c r="N297" s="246">
        <v>86100</v>
      </c>
    </row>
    <row r="298" spans="3:14" ht="21.95" customHeight="1" x14ac:dyDescent="0.25">
      <c r="C298" s="139" t="str">
        <f t="shared" si="20"/>
        <v>AL_MONROE COUNTY, AL</v>
      </c>
      <c r="D298" s="136" t="s">
        <v>103</v>
      </c>
      <c r="E298" s="262" t="s">
        <v>3025</v>
      </c>
      <c r="F298" s="136" t="s">
        <v>183</v>
      </c>
      <c r="G298" s="246">
        <v>40450</v>
      </c>
      <c r="H298" s="246">
        <v>46200</v>
      </c>
      <c r="I298" s="246">
        <v>52000</v>
      </c>
      <c r="J298" s="246">
        <v>57750</v>
      </c>
      <c r="K298" s="246">
        <v>62400</v>
      </c>
      <c r="L298" s="246">
        <v>67000</v>
      </c>
      <c r="M298" s="246">
        <v>71650</v>
      </c>
      <c r="N298" s="246">
        <v>76250</v>
      </c>
    </row>
    <row r="299" spans="3:14" ht="21.95" customHeight="1" x14ac:dyDescent="0.25">
      <c r="C299" s="139" t="str">
        <f t="shared" si="20"/>
        <v>AL_MONTGOMERY, AL MSA</v>
      </c>
      <c r="D299" s="136" t="s">
        <v>103</v>
      </c>
      <c r="E299" s="262" t="s">
        <v>3026</v>
      </c>
      <c r="F299" s="136" t="s">
        <v>183</v>
      </c>
      <c r="G299" s="246">
        <v>46850</v>
      </c>
      <c r="H299" s="246">
        <v>53550</v>
      </c>
      <c r="I299" s="246">
        <v>60250</v>
      </c>
      <c r="J299" s="246">
        <v>66900</v>
      </c>
      <c r="K299" s="246">
        <v>72300</v>
      </c>
      <c r="L299" s="246">
        <v>77650</v>
      </c>
      <c r="M299" s="246">
        <v>83000</v>
      </c>
      <c r="N299" s="246">
        <v>88350</v>
      </c>
    </row>
    <row r="300" spans="3:14" ht="21.95" customHeight="1" x14ac:dyDescent="0.25">
      <c r="C300" s="139" t="str">
        <f t="shared" si="20"/>
        <v>AL_PERRY COUNTY, AL</v>
      </c>
      <c r="D300" s="136" t="s">
        <v>103</v>
      </c>
      <c r="E300" s="262" t="s">
        <v>3027</v>
      </c>
      <c r="F300" s="136" t="s">
        <v>183</v>
      </c>
      <c r="G300" s="246">
        <v>40450</v>
      </c>
      <c r="H300" s="246">
        <v>46200</v>
      </c>
      <c r="I300" s="246">
        <v>52000</v>
      </c>
      <c r="J300" s="246">
        <v>57750</v>
      </c>
      <c r="K300" s="246">
        <v>62400</v>
      </c>
      <c r="L300" s="246">
        <v>67000</v>
      </c>
      <c r="M300" s="246">
        <v>71650</v>
      </c>
      <c r="N300" s="246">
        <v>76250</v>
      </c>
    </row>
    <row r="301" spans="3:14" ht="21.95" customHeight="1" x14ac:dyDescent="0.25">
      <c r="C301" s="139" t="str">
        <f t="shared" si="20"/>
        <v>AL_PICKENS COUNTY, AL HUD METRO FMR AREA</v>
      </c>
      <c r="D301" s="136" t="s">
        <v>103</v>
      </c>
      <c r="E301" s="262" t="s">
        <v>3028</v>
      </c>
      <c r="F301" s="136" t="s">
        <v>183</v>
      </c>
      <c r="G301" s="246">
        <v>40450</v>
      </c>
      <c r="H301" s="246">
        <v>46200</v>
      </c>
      <c r="I301" s="246">
        <v>52000</v>
      </c>
      <c r="J301" s="246">
        <v>57750</v>
      </c>
      <c r="K301" s="246">
        <v>62400</v>
      </c>
      <c r="L301" s="246">
        <v>67000</v>
      </c>
      <c r="M301" s="246">
        <v>71650</v>
      </c>
      <c r="N301" s="246">
        <v>76250</v>
      </c>
    </row>
    <row r="302" spans="3:14" ht="21.95" customHeight="1" x14ac:dyDescent="0.25">
      <c r="C302" s="139" t="str">
        <f t="shared" si="20"/>
        <v>AL_PIKE COUNTY, AL</v>
      </c>
      <c r="D302" s="136" t="s">
        <v>103</v>
      </c>
      <c r="E302" s="262" t="s">
        <v>3029</v>
      </c>
      <c r="F302" s="136" t="s">
        <v>183</v>
      </c>
      <c r="G302" s="246">
        <v>43550</v>
      </c>
      <c r="H302" s="246">
        <v>49750</v>
      </c>
      <c r="I302" s="246">
        <v>55950</v>
      </c>
      <c r="J302" s="246">
        <v>62150</v>
      </c>
      <c r="K302" s="246">
        <v>67150</v>
      </c>
      <c r="L302" s="246">
        <v>72100</v>
      </c>
      <c r="M302" s="246">
        <v>77100</v>
      </c>
      <c r="N302" s="246">
        <v>82050</v>
      </c>
    </row>
    <row r="303" spans="3:14" ht="21.95" customHeight="1" x14ac:dyDescent="0.25">
      <c r="C303" s="139" t="str">
        <f t="shared" si="20"/>
        <v>AL_RANDOLPH COUNTY, AL</v>
      </c>
      <c r="D303" s="136" t="s">
        <v>103</v>
      </c>
      <c r="E303" s="262" t="s">
        <v>3030</v>
      </c>
      <c r="F303" s="136" t="s">
        <v>183</v>
      </c>
      <c r="G303" s="246">
        <v>40500</v>
      </c>
      <c r="H303" s="246">
        <v>46250</v>
      </c>
      <c r="I303" s="246">
        <v>52050</v>
      </c>
      <c r="J303" s="246">
        <v>57800</v>
      </c>
      <c r="K303" s="246">
        <v>62450</v>
      </c>
      <c r="L303" s="246">
        <v>67050</v>
      </c>
      <c r="M303" s="246">
        <v>71700</v>
      </c>
      <c r="N303" s="246">
        <v>76300</v>
      </c>
    </row>
    <row r="304" spans="3:14" ht="21.95" customHeight="1" x14ac:dyDescent="0.25">
      <c r="C304" s="139" t="str">
        <f t="shared" si="20"/>
        <v>AL_SUMTER COUNTY, AL</v>
      </c>
      <c r="D304" s="136" t="s">
        <v>103</v>
      </c>
      <c r="E304" s="262" t="s">
        <v>3031</v>
      </c>
      <c r="F304" s="136" t="s">
        <v>183</v>
      </c>
      <c r="G304" s="246">
        <v>40450</v>
      </c>
      <c r="H304" s="246">
        <v>46200</v>
      </c>
      <c r="I304" s="246">
        <v>52000</v>
      </c>
      <c r="J304" s="246">
        <v>57750</v>
      </c>
      <c r="K304" s="246">
        <v>62400</v>
      </c>
      <c r="L304" s="246">
        <v>67000</v>
      </c>
      <c r="M304" s="246">
        <v>71650</v>
      </c>
      <c r="N304" s="246">
        <v>76250</v>
      </c>
    </row>
    <row r="305" spans="3:14" ht="21.95" customHeight="1" x14ac:dyDescent="0.25">
      <c r="C305" s="139" t="str">
        <f t="shared" si="20"/>
        <v>AL_TALLADEGA COUNTY, AL</v>
      </c>
      <c r="D305" s="136" t="s">
        <v>103</v>
      </c>
      <c r="E305" s="262" t="s">
        <v>3032</v>
      </c>
      <c r="F305" s="136" t="s">
        <v>183</v>
      </c>
      <c r="G305" s="246">
        <v>41100</v>
      </c>
      <c r="H305" s="246">
        <v>47000</v>
      </c>
      <c r="I305" s="246">
        <v>52850</v>
      </c>
      <c r="J305" s="246">
        <v>58700</v>
      </c>
      <c r="K305" s="246">
        <v>63400</v>
      </c>
      <c r="L305" s="246">
        <v>68100</v>
      </c>
      <c r="M305" s="246">
        <v>72800</v>
      </c>
      <c r="N305" s="246">
        <v>77500</v>
      </c>
    </row>
    <row r="306" spans="3:14" ht="21.95" customHeight="1" x14ac:dyDescent="0.25">
      <c r="C306" s="139" t="str">
        <f t="shared" si="20"/>
        <v>AL_TALLAPOOSA COUNTY, AL</v>
      </c>
      <c r="D306" s="136" t="s">
        <v>103</v>
      </c>
      <c r="E306" s="262" t="s">
        <v>3033</v>
      </c>
      <c r="F306" s="136" t="s">
        <v>183</v>
      </c>
      <c r="G306" s="246">
        <v>41200</v>
      </c>
      <c r="H306" s="246">
        <v>47050</v>
      </c>
      <c r="I306" s="246">
        <v>52950</v>
      </c>
      <c r="J306" s="246">
        <v>58800</v>
      </c>
      <c r="K306" s="246">
        <v>63550</v>
      </c>
      <c r="L306" s="246">
        <v>68250</v>
      </c>
      <c r="M306" s="246">
        <v>72950</v>
      </c>
      <c r="N306" s="246">
        <v>77650</v>
      </c>
    </row>
    <row r="307" spans="3:14" ht="21.95" customHeight="1" x14ac:dyDescent="0.25">
      <c r="C307" s="139" t="str">
        <f t="shared" si="20"/>
        <v>AL_TUSCALOOSA, AL HUD METRO FMR AREA</v>
      </c>
      <c r="D307" s="136" t="s">
        <v>103</v>
      </c>
      <c r="E307" s="262" t="s">
        <v>3034</v>
      </c>
      <c r="F307" s="136" t="s">
        <v>183</v>
      </c>
      <c r="G307" s="246">
        <v>51050</v>
      </c>
      <c r="H307" s="246">
        <v>58350</v>
      </c>
      <c r="I307" s="246">
        <v>65650</v>
      </c>
      <c r="J307" s="246">
        <v>72900</v>
      </c>
      <c r="K307" s="246">
        <v>78750</v>
      </c>
      <c r="L307" s="246">
        <v>84600</v>
      </c>
      <c r="M307" s="246">
        <v>90400</v>
      </c>
      <c r="N307" s="246">
        <v>96250</v>
      </c>
    </row>
    <row r="308" spans="3:14" ht="21.95" customHeight="1" x14ac:dyDescent="0.25">
      <c r="C308" s="139" t="str">
        <f t="shared" si="20"/>
        <v>AL_WALKER COUNTY, AL HUD METRO FMR AREA</v>
      </c>
      <c r="D308" s="136" t="s">
        <v>103</v>
      </c>
      <c r="E308" s="262" t="s">
        <v>9085</v>
      </c>
      <c r="F308" s="136" t="s">
        <v>183</v>
      </c>
      <c r="G308" s="246">
        <v>43650</v>
      </c>
      <c r="H308" s="246">
        <v>49850</v>
      </c>
      <c r="I308" s="246">
        <v>56100</v>
      </c>
      <c r="J308" s="246">
        <v>62300</v>
      </c>
      <c r="K308" s="246">
        <v>67300</v>
      </c>
      <c r="L308" s="246">
        <v>72300</v>
      </c>
      <c r="M308" s="246">
        <v>77300</v>
      </c>
      <c r="N308" s="246">
        <v>82250</v>
      </c>
    </row>
    <row r="309" spans="3:14" ht="21.95" customHeight="1" x14ac:dyDescent="0.25">
      <c r="C309" s="139" t="str">
        <f t="shared" si="20"/>
        <v>AL_WASHINGTON COUNTY, AL</v>
      </c>
      <c r="D309" s="136" t="s">
        <v>103</v>
      </c>
      <c r="E309" s="262" t="s">
        <v>9086</v>
      </c>
      <c r="F309" s="136" t="s">
        <v>183</v>
      </c>
      <c r="G309" s="246">
        <v>43850</v>
      </c>
      <c r="H309" s="246">
        <v>50100</v>
      </c>
      <c r="I309" s="246">
        <v>56350</v>
      </c>
      <c r="J309" s="246">
        <v>62600</v>
      </c>
      <c r="K309" s="246">
        <v>67650</v>
      </c>
      <c r="L309" s="246">
        <v>72650</v>
      </c>
      <c r="M309" s="246">
        <v>77650</v>
      </c>
      <c r="N309" s="246">
        <v>82650</v>
      </c>
    </row>
    <row r="310" spans="3:14" ht="21.95" customHeight="1" x14ac:dyDescent="0.25">
      <c r="C310" s="139" t="str">
        <f t="shared" si="20"/>
        <v>AL_WILCOX COUNTY, AL</v>
      </c>
      <c r="D310" s="136" t="s">
        <v>103</v>
      </c>
      <c r="E310" s="262" t="s">
        <v>3035</v>
      </c>
      <c r="F310" s="136" t="s">
        <v>183</v>
      </c>
      <c r="G310" s="246">
        <v>40450</v>
      </c>
      <c r="H310" s="246">
        <v>46200</v>
      </c>
      <c r="I310" s="246">
        <v>52000</v>
      </c>
      <c r="J310" s="246">
        <v>57750</v>
      </c>
      <c r="K310" s="246">
        <v>62400</v>
      </c>
      <c r="L310" s="246">
        <v>67000</v>
      </c>
      <c r="M310" s="246">
        <v>71650</v>
      </c>
      <c r="N310" s="246">
        <v>76250</v>
      </c>
    </row>
    <row r="311" spans="3:14" ht="21.95" customHeight="1" x14ac:dyDescent="0.25">
      <c r="C311" s="139" t="str">
        <f t="shared" si="20"/>
        <v>AL_WINSTON COUNTY, AL</v>
      </c>
      <c r="D311" s="136" t="s">
        <v>103</v>
      </c>
      <c r="E311" s="262" t="s">
        <v>3036</v>
      </c>
      <c r="F311" s="136" t="s">
        <v>183</v>
      </c>
      <c r="G311" s="246">
        <v>40450</v>
      </c>
      <c r="H311" s="246">
        <v>46200</v>
      </c>
      <c r="I311" s="246">
        <v>52000</v>
      </c>
      <c r="J311" s="246">
        <v>57750</v>
      </c>
      <c r="K311" s="246">
        <v>62400</v>
      </c>
      <c r="L311" s="246">
        <v>67000</v>
      </c>
      <c r="M311" s="246">
        <v>71650</v>
      </c>
      <c r="N311" s="246">
        <v>76250</v>
      </c>
    </row>
    <row r="312" spans="3:14" ht="21.95" customHeight="1" x14ac:dyDescent="0.25">
      <c r="C312" s="139" t="str">
        <f t="shared" si="20"/>
        <v>AR_ARKANSAS COUNTY, AR</v>
      </c>
      <c r="D312" s="136" t="s">
        <v>100</v>
      </c>
      <c r="E312" s="262" t="s">
        <v>3037</v>
      </c>
      <c r="F312" s="136" t="s">
        <v>183</v>
      </c>
      <c r="G312" s="246">
        <v>43250</v>
      </c>
      <c r="H312" s="246">
        <v>49400</v>
      </c>
      <c r="I312" s="246">
        <v>55600</v>
      </c>
      <c r="J312" s="246">
        <v>61750</v>
      </c>
      <c r="K312" s="246">
        <v>66700</v>
      </c>
      <c r="L312" s="246">
        <v>71650</v>
      </c>
      <c r="M312" s="246">
        <v>76600</v>
      </c>
      <c r="N312" s="246">
        <v>81550</v>
      </c>
    </row>
    <row r="313" spans="3:14" ht="21.95" customHeight="1" x14ac:dyDescent="0.25">
      <c r="C313" s="139" t="str">
        <f t="shared" si="20"/>
        <v>AR_ASHLEY COUNTY, AR</v>
      </c>
      <c r="D313" s="136" t="s">
        <v>100</v>
      </c>
      <c r="E313" s="262" t="s">
        <v>3038</v>
      </c>
      <c r="F313" s="136" t="s">
        <v>183</v>
      </c>
      <c r="G313" s="246">
        <v>37600</v>
      </c>
      <c r="H313" s="246">
        <v>43000</v>
      </c>
      <c r="I313" s="246">
        <v>48350</v>
      </c>
      <c r="J313" s="246">
        <v>53700</v>
      </c>
      <c r="K313" s="246">
        <v>58000</v>
      </c>
      <c r="L313" s="246">
        <v>62300</v>
      </c>
      <c r="M313" s="246">
        <v>66600</v>
      </c>
      <c r="N313" s="246">
        <v>70900</v>
      </c>
    </row>
    <row r="314" spans="3:14" ht="21.95" customHeight="1" x14ac:dyDescent="0.25">
      <c r="C314" s="139" t="str">
        <f t="shared" si="20"/>
        <v>AR_BAXTER COUNTY, AR</v>
      </c>
      <c r="D314" s="136" t="s">
        <v>100</v>
      </c>
      <c r="E314" s="262" t="s">
        <v>3039</v>
      </c>
      <c r="F314" s="136" t="s">
        <v>183</v>
      </c>
      <c r="G314" s="246">
        <v>37600</v>
      </c>
      <c r="H314" s="246">
        <v>43000</v>
      </c>
      <c r="I314" s="246">
        <v>48350</v>
      </c>
      <c r="J314" s="246">
        <v>53700</v>
      </c>
      <c r="K314" s="246">
        <v>58000</v>
      </c>
      <c r="L314" s="246">
        <v>62300</v>
      </c>
      <c r="M314" s="246">
        <v>66600</v>
      </c>
      <c r="N314" s="246">
        <v>70900</v>
      </c>
    </row>
    <row r="315" spans="3:14" ht="21.95" customHeight="1" x14ac:dyDescent="0.25">
      <c r="C315" s="139" t="str">
        <f t="shared" si="20"/>
        <v>AR_BOONE COUNTY, AR</v>
      </c>
      <c r="D315" s="136" t="s">
        <v>100</v>
      </c>
      <c r="E315" s="262" t="s">
        <v>3040</v>
      </c>
      <c r="F315" s="136" t="s">
        <v>183</v>
      </c>
      <c r="G315" s="246">
        <v>42000</v>
      </c>
      <c r="H315" s="246">
        <v>48000</v>
      </c>
      <c r="I315" s="246">
        <v>54000</v>
      </c>
      <c r="J315" s="246">
        <v>60000</v>
      </c>
      <c r="K315" s="246">
        <v>64800</v>
      </c>
      <c r="L315" s="246">
        <v>69600</v>
      </c>
      <c r="M315" s="246">
        <v>74400</v>
      </c>
      <c r="N315" s="246">
        <v>79200</v>
      </c>
    </row>
    <row r="316" spans="3:14" ht="21.95" customHeight="1" x14ac:dyDescent="0.25">
      <c r="C316" s="139" t="str">
        <f t="shared" si="20"/>
        <v>AR_BRADLEY COUNTY, AR</v>
      </c>
      <c r="D316" s="136" t="s">
        <v>100</v>
      </c>
      <c r="E316" s="262" t="s">
        <v>3041</v>
      </c>
      <c r="F316" s="136" t="s">
        <v>183</v>
      </c>
      <c r="G316" s="246">
        <v>38050</v>
      </c>
      <c r="H316" s="246">
        <v>43450</v>
      </c>
      <c r="I316" s="246">
        <v>48900</v>
      </c>
      <c r="J316" s="246">
        <v>54300</v>
      </c>
      <c r="K316" s="246">
        <v>58650</v>
      </c>
      <c r="L316" s="246">
        <v>63000</v>
      </c>
      <c r="M316" s="246">
        <v>67350</v>
      </c>
      <c r="N316" s="246">
        <v>71700</v>
      </c>
    </row>
    <row r="317" spans="3:14" ht="21.95" customHeight="1" x14ac:dyDescent="0.25">
      <c r="C317" s="139" t="str">
        <f t="shared" si="20"/>
        <v>AR_CALHOUN COUNTY, AR</v>
      </c>
      <c r="D317" s="136" t="s">
        <v>100</v>
      </c>
      <c r="E317" s="262" t="s">
        <v>3042</v>
      </c>
      <c r="F317" s="136" t="s">
        <v>183</v>
      </c>
      <c r="G317" s="246">
        <v>42750</v>
      </c>
      <c r="H317" s="246">
        <v>48850</v>
      </c>
      <c r="I317" s="246">
        <v>54950</v>
      </c>
      <c r="J317" s="246">
        <v>61050</v>
      </c>
      <c r="K317" s="246">
        <v>65950</v>
      </c>
      <c r="L317" s="246">
        <v>70850</v>
      </c>
      <c r="M317" s="246">
        <v>75750</v>
      </c>
      <c r="N317" s="246">
        <v>80600</v>
      </c>
    </row>
    <row r="318" spans="3:14" ht="21.95" customHeight="1" x14ac:dyDescent="0.25">
      <c r="C318" s="139" t="str">
        <f t="shared" si="20"/>
        <v>AR_CARROLL COUNTY, AR</v>
      </c>
      <c r="D318" s="136" t="s">
        <v>100</v>
      </c>
      <c r="E318" s="262" t="s">
        <v>3043</v>
      </c>
      <c r="F318" s="136" t="s">
        <v>183</v>
      </c>
      <c r="G318" s="246">
        <v>44700</v>
      </c>
      <c r="H318" s="246">
        <v>51100</v>
      </c>
      <c r="I318" s="246">
        <v>57500</v>
      </c>
      <c r="J318" s="246">
        <v>63850</v>
      </c>
      <c r="K318" s="246">
        <v>69000</v>
      </c>
      <c r="L318" s="246">
        <v>74100</v>
      </c>
      <c r="M318" s="246">
        <v>79200</v>
      </c>
      <c r="N318" s="246">
        <v>84300</v>
      </c>
    </row>
    <row r="319" spans="3:14" ht="21.95" customHeight="1" x14ac:dyDescent="0.25">
      <c r="C319" s="139" t="str">
        <f t="shared" si="20"/>
        <v>AR_CHICOT COUNTY, AR</v>
      </c>
      <c r="D319" s="136" t="s">
        <v>100</v>
      </c>
      <c r="E319" s="262" t="s">
        <v>3044</v>
      </c>
      <c r="F319" s="136" t="s">
        <v>183</v>
      </c>
      <c r="G319" s="246">
        <v>37600</v>
      </c>
      <c r="H319" s="246">
        <v>43000</v>
      </c>
      <c r="I319" s="246">
        <v>48350</v>
      </c>
      <c r="J319" s="246">
        <v>53700</v>
      </c>
      <c r="K319" s="246">
        <v>58000</v>
      </c>
      <c r="L319" s="246">
        <v>62300</v>
      </c>
      <c r="M319" s="246">
        <v>66600</v>
      </c>
      <c r="N319" s="246">
        <v>70900</v>
      </c>
    </row>
    <row r="320" spans="3:14" ht="21.95" customHeight="1" x14ac:dyDescent="0.25">
      <c r="C320" s="139" t="str">
        <f t="shared" ref="C320:C383" si="21">TRIM(UPPER(D320))&amp;"_"&amp;TRIM(UPPER(E320))</f>
        <v>AR_CLARK COUNTY, AR</v>
      </c>
      <c r="D320" s="136" t="s">
        <v>100</v>
      </c>
      <c r="E320" s="262" t="s">
        <v>3045</v>
      </c>
      <c r="F320" s="136" t="s">
        <v>183</v>
      </c>
      <c r="G320" s="246">
        <v>40900</v>
      </c>
      <c r="H320" s="246">
        <v>46750</v>
      </c>
      <c r="I320" s="246">
        <v>52600</v>
      </c>
      <c r="J320" s="246">
        <v>58400</v>
      </c>
      <c r="K320" s="246">
        <v>63100</v>
      </c>
      <c r="L320" s="246">
        <v>67750</v>
      </c>
      <c r="M320" s="246">
        <v>72450</v>
      </c>
      <c r="N320" s="246">
        <v>77100</v>
      </c>
    </row>
    <row r="321" spans="3:14" ht="21.95" customHeight="1" x14ac:dyDescent="0.25">
      <c r="C321" s="139" t="str">
        <f t="shared" si="21"/>
        <v>AR_CLAY COUNTY, AR</v>
      </c>
      <c r="D321" s="136" t="s">
        <v>100</v>
      </c>
      <c r="E321" s="262" t="s">
        <v>3046</v>
      </c>
      <c r="F321" s="136" t="s">
        <v>183</v>
      </c>
      <c r="G321" s="246">
        <v>37600</v>
      </c>
      <c r="H321" s="246">
        <v>43000</v>
      </c>
      <c r="I321" s="246">
        <v>48350</v>
      </c>
      <c r="J321" s="246">
        <v>53700</v>
      </c>
      <c r="K321" s="246">
        <v>58000</v>
      </c>
      <c r="L321" s="246">
        <v>62300</v>
      </c>
      <c r="M321" s="246">
        <v>66600</v>
      </c>
      <c r="N321" s="246">
        <v>70900</v>
      </c>
    </row>
    <row r="322" spans="3:14" ht="21.95" customHeight="1" x14ac:dyDescent="0.25">
      <c r="C322" s="139" t="str">
        <f t="shared" si="21"/>
        <v>AR_CLEBURNE COUNTY, AR</v>
      </c>
      <c r="D322" s="136" t="s">
        <v>100</v>
      </c>
      <c r="E322" s="262" t="s">
        <v>3047</v>
      </c>
      <c r="F322" s="136" t="s">
        <v>183</v>
      </c>
      <c r="G322" s="246">
        <v>41550</v>
      </c>
      <c r="H322" s="246">
        <v>47500</v>
      </c>
      <c r="I322" s="246">
        <v>53450</v>
      </c>
      <c r="J322" s="246">
        <v>59350</v>
      </c>
      <c r="K322" s="246">
        <v>64100</v>
      </c>
      <c r="L322" s="246">
        <v>68850</v>
      </c>
      <c r="M322" s="246">
        <v>73600</v>
      </c>
      <c r="N322" s="246">
        <v>78350</v>
      </c>
    </row>
    <row r="323" spans="3:14" ht="21.95" customHeight="1" x14ac:dyDescent="0.25">
      <c r="C323" s="139" t="str">
        <f t="shared" si="21"/>
        <v>AR_CLEVELAND COUNTY, AR</v>
      </c>
      <c r="D323" s="136" t="s">
        <v>100</v>
      </c>
      <c r="E323" s="262" t="s">
        <v>9087</v>
      </c>
      <c r="F323" s="136" t="s">
        <v>183</v>
      </c>
      <c r="G323" s="246">
        <v>39900</v>
      </c>
      <c r="H323" s="246">
        <v>45600</v>
      </c>
      <c r="I323" s="246">
        <v>51300</v>
      </c>
      <c r="J323" s="246">
        <v>56950</v>
      </c>
      <c r="K323" s="246">
        <v>61550</v>
      </c>
      <c r="L323" s="246">
        <v>66100</v>
      </c>
      <c r="M323" s="246">
        <v>70650</v>
      </c>
      <c r="N323" s="246">
        <v>75200</v>
      </c>
    </row>
    <row r="324" spans="3:14" ht="21.95" customHeight="1" x14ac:dyDescent="0.25">
      <c r="C324" s="139" t="str">
        <f t="shared" si="21"/>
        <v>AR_COLUMBIA COUNTY, AR</v>
      </c>
      <c r="D324" s="136" t="s">
        <v>100</v>
      </c>
      <c r="E324" s="262" t="s">
        <v>3048</v>
      </c>
      <c r="F324" s="136" t="s">
        <v>183</v>
      </c>
      <c r="G324" s="246">
        <v>38850</v>
      </c>
      <c r="H324" s="246">
        <v>44400</v>
      </c>
      <c r="I324" s="246">
        <v>49950</v>
      </c>
      <c r="J324" s="246">
        <v>55450</v>
      </c>
      <c r="K324" s="246">
        <v>59900</v>
      </c>
      <c r="L324" s="246">
        <v>64350</v>
      </c>
      <c r="M324" s="246">
        <v>68800</v>
      </c>
      <c r="N324" s="246">
        <v>73200</v>
      </c>
    </row>
    <row r="325" spans="3:14" ht="21.95" customHeight="1" x14ac:dyDescent="0.25">
      <c r="C325" s="139" t="str">
        <f t="shared" si="21"/>
        <v>AR_CONWAY COUNTY, AR</v>
      </c>
      <c r="D325" s="136" t="s">
        <v>100</v>
      </c>
      <c r="E325" s="262" t="s">
        <v>3049</v>
      </c>
      <c r="F325" s="136" t="s">
        <v>183</v>
      </c>
      <c r="G325" s="246">
        <v>37600</v>
      </c>
      <c r="H325" s="246">
        <v>43000</v>
      </c>
      <c r="I325" s="246">
        <v>48350</v>
      </c>
      <c r="J325" s="246">
        <v>53700</v>
      </c>
      <c r="K325" s="246">
        <v>58000</v>
      </c>
      <c r="L325" s="246">
        <v>62300</v>
      </c>
      <c r="M325" s="246">
        <v>66600</v>
      </c>
      <c r="N325" s="246">
        <v>70900</v>
      </c>
    </row>
    <row r="326" spans="3:14" ht="21.95" customHeight="1" x14ac:dyDescent="0.25">
      <c r="C326" s="139" t="str">
        <f t="shared" si="21"/>
        <v>AR_CROSS COUNTY, AR</v>
      </c>
      <c r="D326" s="136" t="s">
        <v>100</v>
      </c>
      <c r="E326" s="262" t="s">
        <v>3050</v>
      </c>
      <c r="F326" s="136" t="s">
        <v>183</v>
      </c>
      <c r="G326" s="246">
        <v>37600</v>
      </c>
      <c r="H326" s="246">
        <v>43000</v>
      </c>
      <c r="I326" s="246">
        <v>48350</v>
      </c>
      <c r="J326" s="246">
        <v>53700</v>
      </c>
      <c r="K326" s="246">
        <v>58000</v>
      </c>
      <c r="L326" s="246">
        <v>62300</v>
      </c>
      <c r="M326" s="246">
        <v>66600</v>
      </c>
      <c r="N326" s="246">
        <v>70900</v>
      </c>
    </row>
    <row r="327" spans="3:14" ht="21.95" customHeight="1" x14ac:dyDescent="0.25">
      <c r="C327" s="139" t="str">
        <f t="shared" si="21"/>
        <v>AR_DALLAS COUNTY, AR</v>
      </c>
      <c r="D327" s="136" t="s">
        <v>100</v>
      </c>
      <c r="E327" s="262" t="s">
        <v>3051</v>
      </c>
      <c r="F327" s="136" t="s">
        <v>183</v>
      </c>
      <c r="G327" s="246">
        <v>42750</v>
      </c>
      <c r="H327" s="246">
        <v>48850</v>
      </c>
      <c r="I327" s="246">
        <v>54950</v>
      </c>
      <c r="J327" s="246">
        <v>61050</v>
      </c>
      <c r="K327" s="246">
        <v>65950</v>
      </c>
      <c r="L327" s="246">
        <v>70850</v>
      </c>
      <c r="M327" s="246">
        <v>75750</v>
      </c>
      <c r="N327" s="246">
        <v>80600</v>
      </c>
    </row>
    <row r="328" spans="3:14" ht="21.95" customHeight="1" x14ac:dyDescent="0.25">
      <c r="C328" s="139" t="str">
        <f t="shared" si="21"/>
        <v>AR_DESHA COUNTY, AR</v>
      </c>
      <c r="D328" s="136" t="s">
        <v>100</v>
      </c>
      <c r="E328" s="262" t="s">
        <v>3052</v>
      </c>
      <c r="F328" s="136" t="s">
        <v>183</v>
      </c>
      <c r="G328" s="246">
        <v>37600</v>
      </c>
      <c r="H328" s="246">
        <v>43000</v>
      </c>
      <c r="I328" s="246">
        <v>48350</v>
      </c>
      <c r="J328" s="246">
        <v>53700</v>
      </c>
      <c r="K328" s="246">
        <v>58000</v>
      </c>
      <c r="L328" s="246">
        <v>62300</v>
      </c>
      <c r="M328" s="246">
        <v>66600</v>
      </c>
      <c r="N328" s="246">
        <v>70900</v>
      </c>
    </row>
    <row r="329" spans="3:14" ht="21.95" customHeight="1" x14ac:dyDescent="0.25">
      <c r="C329" s="139" t="str">
        <f t="shared" si="21"/>
        <v>AR_DREW COUNTY, AR</v>
      </c>
      <c r="D329" s="136" t="s">
        <v>100</v>
      </c>
      <c r="E329" s="262" t="s">
        <v>3053</v>
      </c>
      <c r="F329" s="136" t="s">
        <v>183</v>
      </c>
      <c r="G329" s="246">
        <v>37600</v>
      </c>
      <c r="H329" s="246">
        <v>43000</v>
      </c>
      <c r="I329" s="246">
        <v>48350</v>
      </c>
      <c r="J329" s="246">
        <v>53700</v>
      </c>
      <c r="K329" s="246">
        <v>58000</v>
      </c>
      <c r="L329" s="246">
        <v>62300</v>
      </c>
      <c r="M329" s="246">
        <v>66600</v>
      </c>
      <c r="N329" s="246">
        <v>70900</v>
      </c>
    </row>
    <row r="330" spans="3:14" ht="21.95" customHeight="1" x14ac:dyDescent="0.25">
      <c r="C330" s="139" t="str">
        <f t="shared" si="21"/>
        <v>AR_FAYETTEVILLE-SPRINGDALE-ROGERS, AR MSA</v>
      </c>
      <c r="D330" s="136" t="s">
        <v>100</v>
      </c>
      <c r="E330" s="262" t="s">
        <v>3054</v>
      </c>
      <c r="F330" s="136" t="s">
        <v>183</v>
      </c>
      <c r="G330" s="246">
        <v>57050</v>
      </c>
      <c r="H330" s="246">
        <v>65200</v>
      </c>
      <c r="I330" s="246">
        <v>73350</v>
      </c>
      <c r="J330" s="246">
        <v>81450</v>
      </c>
      <c r="K330" s="246">
        <v>88000</v>
      </c>
      <c r="L330" s="246">
        <v>94500</v>
      </c>
      <c r="M330" s="246">
        <v>101000</v>
      </c>
      <c r="N330" s="246">
        <v>107550</v>
      </c>
    </row>
    <row r="331" spans="3:14" ht="21.95" customHeight="1" x14ac:dyDescent="0.25">
      <c r="C331" s="139" t="str">
        <f t="shared" si="21"/>
        <v>AR_FORT SMITH, AR-OK MSA</v>
      </c>
      <c r="D331" s="136" t="s">
        <v>100</v>
      </c>
      <c r="E331" s="262" t="s">
        <v>9088</v>
      </c>
      <c r="F331" s="136" t="s">
        <v>183</v>
      </c>
      <c r="G331" s="246">
        <v>40700</v>
      </c>
      <c r="H331" s="246">
        <v>46500</v>
      </c>
      <c r="I331" s="246">
        <v>52300</v>
      </c>
      <c r="J331" s="246">
        <v>58100</v>
      </c>
      <c r="K331" s="246">
        <v>62750</v>
      </c>
      <c r="L331" s="246">
        <v>67400</v>
      </c>
      <c r="M331" s="246">
        <v>72050</v>
      </c>
      <c r="N331" s="246">
        <v>76700</v>
      </c>
    </row>
    <row r="332" spans="3:14" ht="21.95" customHeight="1" x14ac:dyDescent="0.25">
      <c r="C332" s="139" t="str">
        <f t="shared" si="21"/>
        <v>AR_FRANKLIN COUNTY, AR</v>
      </c>
      <c r="D332" s="136" t="s">
        <v>100</v>
      </c>
      <c r="E332" s="262" t="s">
        <v>9089</v>
      </c>
      <c r="F332" s="136" t="s">
        <v>183</v>
      </c>
      <c r="G332" s="246">
        <v>38400</v>
      </c>
      <c r="H332" s="246">
        <v>43850</v>
      </c>
      <c r="I332" s="246">
        <v>49350</v>
      </c>
      <c r="J332" s="246">
        <v>54800</v>
      </c>
      <c r="K332" s="246">
        <v>59200</v>
      </c>
      <c r="L332" s="246">
        <v>63600</v>
      </c>
      <c r="M332" s="246">
        <v>68000</v>
      </c>
      <c r="N332" s="246">
        <v>72350</v>
      </c>
    </row>
    <row r="333" spans="3:14" ht="21.95" customHeight="1" x14ac:dyDescent="0.25">
      <c r="C333" s="139" t="str">
        <f t="shared" si="21"/>
        <v>AR_FULTON COUNTY, AR</v>
      </c>
      <c r="D333" s="136" t="s">
        <v>100</v>
      </c>
      <c r="E333" s="262" t="s">
        <v>3055</v>
      </c>
      <c r="F333" s="136" t="s">
        <v>183</v>
      </c>
      <c r="G333" s="246">
        <v>37600</v>
      </c>
      <c r="H333" s="246">
        <v>43000</v>
      </c>
      <c r="I333" s="246">
        <v>48350</v>
      </c>
      <c r="J333" s="246">
        <v>53700</v>
      </c>
      <c r="K333" s="246">
        <v>58000</v>
      </c>
      <c r="L333" s="246">
        <v>62300</v>
      </c>
      <c r="M333" s="246">
        <v>66600</v>
      </c>
      <c r="N333" s="246">
        <v>70900</v>
      </c>
    </row>
    <row r="334" spans="3:14" ht="21.95" customHeight="1" x14ac:dyDescent="0.25">
      <c r="C334" s="139" t="str">
        <f t="shared" si="21"/>
        <v>AR_GRANT COUNTY, AR HUD METRO FMR AREA</v>
      </c>
      <c r="D334" s="136" t="s">
        <v>100</v>
      </c>
      <c r="E334" s="262" t="s">
        <v>3056</v>
      </c>
      <c r="F334" s="136" t="s">
        <v>183</v>
      </c>
      <c r="G334" s="246">
        <v>50900</v>
      </c>
      <c r="H334" s="246">
        <v>58200</v>
      </c>
      <c r="I334" s="246">
        <v>65450</v>
      </c>
      <c r="J334" s="246">
        <v>72700</v>
      </c>
      <c r="K334" s="246">
        <v>78550</v>
      </c>
      <c r="L334" s="246">
        <v>84350</v>
      </c>
      <c r="M334" s="246">
        <v>90150</v>
      </c>
      <c r="N334" s="246">
        <v>96000</v>
      </c>
    </row>
    <row r="335" spans="3:14" ht="21.95" customHeight="1" x14ac:dyDescent="0.25">
      <c r="C335" s="139" t="str">
        <f t="shared" si="21"/>
        <v>AR_GREENE COUNTY, AR</v>
      </c>
      <c r="D335" s="136" t="s">
        <v>100</v>
      </c>
      <c r="E335" s="262" t="s">
        <v>3057</v>
      </c>
      <c r="F335" s="136" t="s">
        <v>183</v>
      </c>
      <c r="G335" s="246">
        <v>40450</v>
      </c>
      <c r="H335" s="246">
        <v>46200</v>
      </c>
      <c r="I335" s="246">
        <v>52000</v>
      </c>
      <c r="J335" s="246">
        <v>57750</v>
      </c>
      <c r="K335" s="246">
        <v>62400</v>
      </c>
      <c r="L335" s="246">
        <v>67000</v>
      </c>
      <c r="M335" s="246">
        <v>71650</v>
      </c>
      <c r="N335" s="246">
        <v>76250</v>
      </c>
    </row>
    <row r="336" spans="3:14" ht="21.95" customHeight="1" x14ac:dyDescent="0.25">
      <c r="C336" s="139" t="str">
        <f t="shared" si="21"/>
        <v>AR_HEMPSTEAD COUNTY, AR</v>
      </c>
      <c r="D336" s="136" t="s">
        <v>100</v>
      </c>
      <c r="E336" s="262" t="s">
        <v>3058</v>
      </c>
      <c r="F336" s="136" t="s">
        <v>183</v>
      </c>
      <c r="G336" s="246">
        <v>39300</v>
      </c>
      <c r="H336" s="246">
        <v>44900</v>
      </c>
      <c r="I336" s="246">
        <v>50500</v>
      </c>
      <c r="J336" s="246">
        <v>56100</v>
      </c>
      <c r="K336" s="246">
        <v>60600</v>
      </c>
      <c r="L336" s="246">
        <v>65100</v>
      </c>
      <c r="M336" s="246">
        <v>69600</v>
      </c>
      <c r="N336" s="246">
        <v>74100</v>
      </c>
    </row>
    <row r="337" spans="3:14" ht="21.95" customHeight="1" x14ac:dyDescent="0.25">
      <c r="C337" s="139" t="str">
        <f t="shared" si="21"/>
        <v>AR_HOT SPRING COUNTY, AR</v>
      </c>
      <c r="D337" s="136" t="s">
        <v>100</v>
      </c>
      <c r="E337" s="262" t="s">
        <v>3059</v>
      </c>
      <c r="F337" s="136" t="s">
        <v>183</v>
      </c>
      <c r="G337" s="246">
        <v>39300</v>
      </c>
      <c r="H337" s="246">
        <v>44900</v>
      </c>
      <c r="I337" s="246">
        <v>50500</v>
      </c>
      <c r="J337" s="246">
        <v>56100</v>
      </c>
      <c r="K337" s="246">
        <v>60600</v>
      </c>
      <c r="L337" s="246">
        <v>65100</v>
      </c>
      <c r="M337" s="246">
        <v>69600</v>
      </c>
      <c r="N337" s="246">
        <v>74100</v>
      </c>
    </row>
    <row r="338" spans="3:14" ht="21.95" customHeight="1" x14ac:dyDescent="0.25">
      <c r="C338" s="139" t="str">
        <f t="shared" si="21"/>
        <v>AR_HOT SPRINGS, AR MSA</v>
      </c>
      <c r="D338" s="136" t="s">
        <v>100</v>
      </c>
      <c r="E338" s="262" t="s">
        <v>3060</v>
      </c>
      <c r="F338" s="136" t="s">
        <v>183</v>
      </c>
      <c r="G338" s="246">
        <v>40950</v>
      </c>
      <c r="H338" s="246">
        <v>46800</v>
      </c>
      <c r="I338" s="246">
        <v>52650</v>
      </c>
      <c r="J338" s="246">
        <v>58500</v>
      </c>
      <c r="K338" s="246">
        <v>63200</v>
      </c>
      <c r="L338" s="246">
        <v>67900</v>
      </c>
      <c r="M338" s="246">
        <v>72550</v>
      </c>
      <c r="N338" s="246">
        <v>77250</v>
      </c>
    </row>
    <row r="339" spans="3:14" ht="21.95" customHeight="1" x14ac:dyDescent="0.25">
      <c r="C339" s="139" t="str">
        <f t="shared" si="21"/>
        <v>AR_HOWARD COUNTY, AR</v>
      </c>
      <c r="D339" s="136" t="s">
        <v>100</v>
      </c>
      <c r="E339" s="262" t="s">
        <v>3061</v>
      </c>
      <c r="F339" s="136" t="s">
        <v>183</v>
      </c>
      <c r="G339" s="246">
        <v>37600</v>
      </c>
      <c r="H339" s="246">
        <v>43000</v>
      </c>
      <c r="I339" s="246">
        <v>48350</v>
      </c>
      <c r="J339" s="246">
        <v>53700</v>
      </c>
      <c r="K339" s="246">
        <v>58000</v>
      </c>
      <c r="L339" s="246">
        <v>62300</v>
      </c>
      <c r="M339" s="246">
        <v>66600</v>
      </c>
      <c r="N339" s="246">
        <v>70900</v>
      </c>
    </row>
    <row r="340" spans="3:14" ht="21.95" customHeight="1" x14ac:dyDescent="0.25">
      <c r="C340" s="139" t="str">
        <f t="shared" si="21"/>
        <v>AR_INDEPENDENCE COUNTY, AR</v>
      </c>
      <c r="D340" s="136" t="s">
        <v>100</v>
      </c>
      <c r="E340" s="262" t="s">
        <v>3062</v>
      </c>
      <c r="F340" s="136" t="s">
        <v>183</v>
      </c>
      <c r="G340" s="246">
        <v>39850</v>
      </c>
      <c r="H340" s="246">
        <v>45550</v>
      </c>
      <c r="I340" s="246">
        <v>51250</v>
      </c>
      <c r="J340" s="246">
        <v>56900</v>
      </c>
      <c r="K340" s="246">
        <v>61500</v>
      </c>
      <c r="L340" s="246">
        <v>66050</v>
      </c>
      <c r="M340" s="246">
        <v>70600</v>
      </c>
      <c r="N340" s="246">
        <v>75150</v>
      </c>
    </row>
    <row r="341" spans="3:14" ht="21.95" customHeight="1" x14ac:dyDescent="0.25">
      <c r="C341" s="139" t="str">
        <f t="shared" si="21"/>
        <v>AR_IZARD COUNTY, AR</v>
      </c>
      <c r="D341" s="136" t="s">
        <v>100</v>
      </c>
      <c r="E341" s="262" t="s">
        <v>3063</v>
      </c>
      <c r="F341" s="136" t="s">
        <v>183</v>
      </c>
      <c r="G341" s="246">
        <v>37600</v>
      </c>
      <c r="H341" s="246">
        <v>43000</v>
      </c>
      <c r="I341" s="246">
        <v>48350</v>
      </c>
      <c r="J341" s="246">
        <v>53700</v>
      </c>
      <c r="K341" s="246">
        <v>58000</v>
      </c>
      <c r="L341" s="246">
        <v>62300</v>
      </c>
      <c r="M341" s="246">
        <v>66600</v>
      </c>
      <c r="N341" s="246">
        <v>70900</v>
      </c>
    </row>
    <row r="342" spans="3:14" ht="21.95" customHeight="1" x14ac:dyDescent="0.25">
      <c r="C342" s="139" t="str">
        <f t="shared" si="21"/>
        <v>AR_JACKSON COUNTY, AR</v>
      </c>
      <c r="D342" s="136" t="s">
        <v>100</v>
      </c>
      <c r="E342" s="262" t="s">
        <v>3064</v>
      </c>
      <c r="F342" s="136" t="s">
        <v>183</v>
      </c>
      <c r="G342" s="246">
        <v>37600</v>
      </c>
      <c r="H342" s="246">
        <v>43000</v>
      </c>
      <c r="I342" s="246">
        <v>48350</v>
      </c>
      <c r="J342" s="246">
        <v>53700</v>
      </c>
      <c r="K342" s="246">
        <v>58000</v>
      </c>
      <c r="L342" s="246">
        <v>62300</v>
      </c>
      <c r="M342" s="246">
        <v>66600</v>
      </c>
      <c r="N342" s="246">
        <v>70900</v>
      </c>
    </row>
    <row r="343" spans="3:14" ht="21.95" customHeight="1" x14ac:dyDescent="0.25">
      <c r="C343" s="139" t="str">
        <f t="shared" si="21"/>
        <v>AR_JEFFERSON COUNTY, AR</v>
      </c>
      <c r="D343" s="136" t="s">
        <v>100</v>
      </c>
      <c r="E343" s="262" t="s">
        <v>9090</v>
      </c>
      <c r="F343" s="136" t="s">
        <v>183</v>
      </c>
      <c r="G343" s="246">
        <v>37600</v>
      </c>
      <c r="H343" s="246">
        <v>43000</v>
      </c>
      <c r="I343" s="246">
        <v>48350</v>
      </c>
      <c r="J343" s="246">
        <v>53700</v>
      </c>
      <c r="K343" s="246">
        <v>58000</v>
      </c>
      <c r="L343" s="246">
        <v>62300</v>
      </c>
      <c r="M343" s="246">
        <v>66600</v>
      </c>
      <c r="N343" s="246">
        <v>70900</v>
      </c>
    </row>
    <row r="344" spans="3:14" ht="21.95" customHeight="1" x14ac:dyDescent="0.25">
      <c r="C344" s="139" t="str">
        <f t="shared" si="21"/>
        <v>AR_JOHNSON COUNTY, AR</v>
      </c>
      <c r="D344" s="136" t="s">
        <v>100</v>
      </c>
      <c r="E344" s="262" t="s">
        <v>3065</v>
      </c>
      <c r="F344" s="136" t="s">
        <v>183</v>
      </c>
      <c r="G344" s="246">
        <v>37600</v>
      </c>
      <c r="H344" s="246">
        <v>43000</v>
      </c>
      <c r="I344" s="246">
        <v>48350</v>
      </c>
      <c r="J344" s="246">
        <v>53700</v>
      </c>
      <c r="K344" s="246">
        <v>58000</v>
      </c>
      <c r="L344" s="246">
        <v>62300</v>
      </c>
      <c r="M344" s="246">
        <v>66600</v>
      </c>
      <c r="N344" s="246">
        <v>70900</v>
      </c>
    </row>
    <row r="345" spans="3:14" ht="21.95" customHeight="1" x14ac:dyDescent="0.25">
      <c r="C345" s="139" t="str">
        <f t="shared" si="21"/>
        <v>AR_JONESBORO, AR HUD METRO FMR AREA</v>
      </c>
      <c r="D345" s="136" t="s">
        <v>100</v>
      </c>
      <c r="E345" s="262" t="s">
        <v>3066</v>
      </c>
      <c r="F345" s="136" t="s">
        <v>183</v>
      </c>
      <c r="G345" s="246">
        <v>44450</v>
      </c>
      <c r="H345" s="246">
        <v>50800</v>
      </c>
      <c r="I345" s="246">
        <v>57150</v>
      </c>
      <c r="J345" s="246">
        <v>63450</v>
      </c>
      <c r="K345" s="246">
        <v>68550</v>
      </c>
      <c r="L345" s="246">
        <v>73650</v>
      </c>
      <c r="M345" s="246">
        <v>78700</v>
      </c>
      <c r="N345" s="246">
        <v>83800</v>
      </c>
    </row>
    <row r="346" spans="3:14" ht="21.95" customHeight="1" x14ac:dyDescent="0.25">
      <c r="C346" s="139" t="str">
        <f t="shared" si="21"/>
        <v>AR_LAFAYETTE COUNTY, AR</v>
      </c>
      <c r="D346" s="136" t="s">
        <v>100</v>
      </c>
      <c r="E346" s="262" t="s">
        <v>3067</v>
      </c>
      <c r="F346" s="136" t="s">
        <v>183</v>
      </c>
      <c r="G346" s="246">
        <v>37600</v>
      </c>
      <c r="H346" s="246">
        <v>43000</v>
      </c>
      <c r="I346" s="246">
        <v>48350</v>
      </c>
      <c r="J346" s="246">
        <v>53700</v>
      </c>
      <c r="K346" s="246">
        <v>58000</v>
      </c>
      <c r="L346" s="246">
        <v>62300</v>
      </c>
      <c r="M346" s="246">
        <v>66600</v>
      </c>
      <c r="N346" s="246">
        <v>70900</v>
      </c>
    </row>
    <row r="347" spans="3:14" ht="21.95" customHeight="1" x14ac:dyDescent="0.25">
      <c r="C347" s="139" t="str">
        <f t="shared" si="21"/>
        <v>AR_LAWRENCE COUNTY, AR</v>
      </c>
      <c r="D347" s="136" t="s">
        <v>100</v>
      </c>
      <c r="E347" s="262" t="s">
        <v>3068</v>
      </c>
      <c r="F347" s="136" t="s">
        <v>183</v>
      </c>
      <c r="G347" s="246">
        <v>37600</v>
      </c>
      <c r="H347" s="246">
        <v>43000</v>
      </c>
      <c r="I347" s="246">
        <v>48350</v>
      </c>
      <c r="J347" s="246">
        <v>53700</v>
      </c>
      <c r="K347" s="246">
        <v>58000</v>
      </c>
      <c r="L347" s="246">
        <v>62300</v>
      </c>
      <c r="M347" s="246">
        <v>66600</v>
      </c>
      <c r="N347" s="246">
        <v>70900</v>
      </c>
    </row>
    <row r="348" spans="3:14" ht="21.95" customHeight="1" x14ac:dyDescent="0.25">
      <c r="C348" s="139" t="str">
        <f t="shared" si="21"/>
        <v>AR_LEE COUNTY, AR</v>
      </c>
      <c r="D348" s="136" t="s">
        <v>100</v>
      </c>
      <c r="E348" s="262" t="s">
        <v>3069</v>
      </c>
      <c r="F348" s="136" t="s">
        <v>183</v>
      </c>
      <c r="G348" s="246">
        <v>37600</v>
      </c>
      <c r="H348" s="246">
        <v>43000</v>
      </c>
      <c r="I348" s="246">
        <v>48350</v>
      </c>
      <c r="J348" s="246">
        <v>53700</v>
      </c>
      <c r="K348" s="246">
        <v>58000</v>
      </c>
      <c r="L348" s="246">
        <v>62300</v>
      </c>
      <c r="M348" s="246">
        <v>66600</v>
      </c>
      <c r="N348" s="246">
        <v>70900</v>
      </c>
    </row>
    <row r="349" spans="3:14" ht="21.95" customHeight="1" x14ac:dyDescent="0.25">
      <c r="C349" s="139" t="str">
        <f t="shared" si="21"/>
        <v>AR_LINCOLN COUNTY, AR</v>
      </c>
      <c r="D349" s="136" t="s">
        <v>100</v>
      </c>
      <c r="E349" s="262" t="s">
        <v>9091</v>
      </c>
      <c r="F349" s="136" t="s">
        <v>183</v>
      </c>
      <c r="G349" s="246">
        <v>37600</v>
      </c>
      <c r="H349" s="246">
        <v>43000</v>
      </c>
      <c r="I349" s="246">
        <v>48350</v>
      </c>
      <c r="J349" s="246">
        <v>53700</v>
      </c>
      <c r="K349" s="246">
        <v>58000</v>
      </c>
      <c r="L349" s="246">
        <v>62300</v>
      </c>
      <c r="M349" s="246">
        <v>66600</v>
      </c>
      <c r="N349" s="246">
        <v>70900</v>
      </c>
    </row>
    <row r="350" spans="3:14" ht="21.95" customHeight="1" x14ac:dyDescent="0.25">
      <c r="C350" s="139" t="str">
        <f t="shared" si="21"/>
        <v>AR_LITTLE RIVER COUNTY, AR HUD METRO FMR AREA</v>
      </c>
      <c r="D350" s="136" t="s">
        <v>100</v>
      </c>
      <c r="E350" s="262" t="s">
        <v>3070</v>
      </c>
      <c r="F350" s="136" t="s">
        <v>183</v>
      </c>
      <c r="G350" s="246">
        <v>44550</v>
      </c>
      <c r="H350" s="246">
        <v>50900</v>
      </c>
      <c r="I350" s="246">
        <v>57250</v>
      </c>
      <c r="J350" s="246">
        <v>63600</v>
      </c>
      <c r="K350" s="246">
        <v>68700</v>
      </c>
      <c r="L350" s="246">
        <v>73800</v>
      </c>
      <c r="M350" s="246">
        <v>78900</v>
      </c>
      <c r="N350" s="246">
        <v>84000</v>
      </c>
    </row>
    <row r="351" spans="3:14" ht="21.95" customHeight="1" x14ac:dyDescent="0.25">
      <c r="C351" s="139" t="str">
        <f t="shared" si="21"/>
        <v>AR_LITTLE ROCK-NORTH LITTLE ROCK-CONWAY, AR HUD METRO FMR AREA</v>
      </c>
      <c r="D351" s="136" t="s">
        <v>100</v>
      </c>
      <c r="E351" s="262" t="s">
        <v>3071</v>
      </c>
      <c r="F351" s="136" t="s">
        <v>183</v>
      </c>
      <c r="G351" s="246">
        <v>51950</v>
      </c>
      <c r="H351" s="246">
        <v>59350</v>
      </c>
      <c r="I351" s="246">
        <v>66750</v>
      </c>
      <c r="J351" s="246">
        <v>74150</v>
      </c>
      <c r="K351" s="246">
        <v>80100</v>
      </c>
      <c r="L351" s="246">
        <v>86050</v>
      </c>
      <c r="M351" s="246">
        <v>91950</v>
      </c>
      <c r="N351" s="246">
        <v>97900</v>
      </c>
    </row>
    <row r="352" spans="3:14" ht="21.95" customHeight="1" x14ac:dyDescent="0.25">
      <c r="C352" s="139" t="str">
        <f t="shared" si="21"/>
        <v>AR_LOGAN COUNTY, AR</v>
      </c>
      <c r="D352" s="136" t="s">
        <v>100</v>
      </c>
      <c r="E352" s="262" t="s">
        <v>3072</v>
      </c>
      <c r="F352" s="136" t="s">
        <v>183</v>
      </c>
      <c r="G352" s="246">
        <v>42150</v>
      </c>
      <c r="H352" s="246">
        <v>48150</v>
      </c>
      <c r="I352" s="246">
        <v>54150</v>
      </c>
      <c r="J352" s="246">
        <v>60150</v>
      </c>
      <c r="K352" s="246">
        <v>65000</v>
      </c>
      <c r="L352" s="246">
        <v>69800</v>
      </c>
      <c r="M352" s="246">
        <v>74600</v>
      </c>
      <c r="N352" s="246">
        <v>79400</v>
      </c>
    </row>
    <row r="353" spans="3:14" ht="21.95" customHeight="1" x14ac:dyDescent="0.25">
      <c r="C353" s="139" t="str">
        <f t="shared" si="21"/>
        <v>AR_MARION COUNTY, AR</v>
      </c>
      <c r="D353" s="136" t="s">
        <v>100</v>
      </c>
      <c r="E353" s="262" t="s">
        <v>3073</v>
      </c>
      <c r="F353" s="136" t="s">
        <v>183</v>
      </c>
      <c r="G353" s="246">
        <v>37600</v>
      </c>
      <c r="H353" s="246">
        <v>43000</v>
      </c>
      <c r="I353" s="246">
        <v>48350</v>
      </c>
      <c r="J353" s="246">
        <v>53700</v>
      </c>
      <c r="K353" s="246">
        <v>58000</v>
      </c>
      <c r="L353" s="246">
        <v>62300</v>
      </c>
      <c r="M353" s="246">
        <v>66600</v>
      </c>
      <c r="N353" s="246">
        <v>70900</v>
      </c>
    </row>
    <row r="354" spans="3:14" ht="21.95" customHeight="1" x14ac:dyDescent="0.25">
      <c r="C354" s="139" t="str">
        <f t="shared" si="21"/>
        <v>AR_MEMPHIS, TN-MS-AR HUD METRO FMR AREA</v>
      </c>
      <c r="D354" s="136" t="s">
        <v>100</v>
      </c>
      <c r="E354" s="262" t="s">
        <v>3074</v>
      </c>
      <c r="F354" s="136" t="s">
        <v>183</v>
      </c>
      <c r="G354" s="246">
        <v>51050</v>
      </c>
      <c r="H354" s="246">
        <v>58350</v>
      </c>
      <c r="I354" s="246">
        <v>65650</v>
      </c>
      <c r="J354" s="246">
        <v>72900</v>
      </c>
      <c r="K354" s="246">
        <v>78750</v>
      </c>
      <c r="L354" s="246">
        <v>84600</v>
      </c>
      <c r="M354" s="246">
        <v>90400</v>
      </c>
      <c r="N354" s="246">
        <v>96250</v>
      </c>
    </row>
    <row r="355" spans="3:14" ht="21.95" customHeight="1" x14ac:dyDescent="0.25">
      <c r="C355" s="139" t="str">
        <f t="shared" si="21"/>
        <v>AR_MISSISSIPPI COUNTY, AR</v>
      </c>
      <c r="D355" s="136" t="s">
        <v>100</v>
      </c>
      <c r="E355" s="262" t="s">
        <v>3075</v>
      </c>
      <c r="F355" s="136" t="s">
        <v>183</v>
      </c>
      <c r="G355" s="246">
        <v>38050</v>
      </c>
      <c r="H355" s="246">
        <v>43450</v>
      </c>
      <c r="I355" s="246">
        <v>48900</v>
      </c>
      <c r="J355" s="246">
        <v>54300</v>
      </c>
      <c r="K355" s="246">
        <v>58650</v>
      </c>
      <c r="L355" s="246">
        <v>63000</v>
      </c>
      <c r="M355" s="246">
        <v>67350</v>
      </c>
      <c r="N355" s="246">
        <v>71700</v>
      </c>
    </row>
    <row r="356" spans="3:14" ht="21.95" customHeight="1" x14ac:dyDescent="0.25">
      <c r="C356" s="139" t="str">
        <f t="shared" si="21"/>
        <v>AR_MONROE COUNTY, AR</v>
      </c>
      <c r="D356" s="136" t="s">
        <v>100</v>
      </c>
      <c r="E356" s="262" t="s">
        <v>3076</v>
      </c>
      <c r="F356" s="136" t="s">
        <v>183</v>
      </c>
      <c r="G356" s="246">
        <v>41550</v>
      </c>
      <c r="H356" s="246">
        <v>47500</v>
      </c>
      <c r="I356" s="246">
        <v>53450</v>
      </c>
      <c r="J356" s="246">
        <v>59350</v>
      </c>
      <c r="K356" s="246">
        <v>64100</v>
      </c>
      <c r="L356" s="246">
        <v>68850</v>
      </c>
      <c r="M356" s="246">
        <v>73600</v>
      </c>
      <c r="N356" s="246">
        <v>78350</v>
      </c>
    </row>
    <row r="357" spans="3:14" ht="21.95" customHeight="1" x14ac:dyDescent="0.25">
      <c r="C357" s="139" t="str">
        <f t="shared" si="21"/>
        <v>AR_MONTGOMERY COUNTY, AR</v>
      </c>
      <c r="D357" s="136" t="s">
        <v>100</v>
      </c>
      <c r="E357" s="262" t="s">
        <v>3077</v>
      </c>
      <c r="F357" s="136" t="s">
        <v>183</v>
      </c>
      <c r="G357" s="246">
        <v>37600</v>
      </c>
      <c r="H357" s="246">
        <v>43000</v>
      </c>
      <c r="I357" s="246">
        <v>48350</v>
      </c>
      <c r="J357" s="246">
        <v>53700</v>
      </c>
      <c r="K357" s="246">
        <v>58000</v>
      </c>
      <c r="L357" s="246">
        <v>62300</v>
      </c>
      <c r="M357" s="246">
        <v>66600</v>
      </c>
      <c r="N357" s="246">
        <v>70900</v>
      </c>
    </row>
    <row r="358" spans="3:14" ht="21.95" customHeight="1" x14ac:dyDescent="0.25">
      <c r="C358" s="139" t="str">
        <f t="shared" si="21"/>
        <v>AR_NEVADA COUNTY, AR</v>
      </c>
      <c r="D358" s="136" t="s">
        <v>100</v>
      </c>
      <c r="E358" s="262" t="s">
        <v>3078</v>
      </c>
      <c r="F358" s="136" t="s">
        <v>183</v>
      </c>
      <c r="G358" s="246">
        <v>37600</v>
      </c>
      <c r="H358" s="246">
        <v>43000</v>
      </c>
      <c r="I358" s="246">
        <v>48350</v>
      </c>
      <c r="J358" s="246">
        <v>53700</v>
      </c>
      <c r="K358" s="246">
        <v>58000</v>
      </c>
      <c r="L358" s="246">
        <v>62300</v>
      </c>
      <c r="M358" s="246">
        <v>66600</v>
      </c>
      <c r="N358" s="246">
        <v>70900</v>
      </c>
    </row>
    <row r="359" spans="3:14" ht="21.95" customHeight="1" x14ac:dyDescent="0.25">
      <c r="C359" s="139" t="str">
        <f t="shared" si="21"/>
        <v>AR_NEWTON COUNTY, AR</v>
      </c>
      <c r="D359" s="136" t="s">
        <v>100</v>
      </c>
      <c r="E359" s="262" t="s">
        <v>3079</v>
      </c>
      <c r="F359" s="136" t="s">
        <v>183</v>
      </c>
      <c r="G359" s="246">
        <v>39600</v>
      </c>
      <c r="H359" s="246">
        <v>45250</v>
      </c>
      <c r="I359" s="246">
        <v>50900</v>
      </c>
      <c r="J359" s="246">
        <v>56550</v>
      </c>
      <c r="K359" s="246">
        <v>61100</v>
      </c>
      <c r="L359" s="246">
        <v>65600</v>
      </c>
      <c r="M359" s="246">
        <v>70150</v>
      </c>
      <c r="N359" s="246">
        <v>74650</v>
      </c>
    </row>
    <row r="360" spans="3:14" ht="21.95" customHeight="1" x14ac:dyDescent="0.25">
      <c r="C360" s="139" t="str">
        <f t="shared" si="21"/>
        <v>AR_OUACHITA COUNTY, AR</v>
      </c>
      <c r="D360" s="136" t="s">
        <v>100</v>
      </c>
      <c r="E360" s="262" t="s">
        <v>3080</v>
      </c>
      <c r="F360" s="136" t="s">
        <v>183</v>
      </c>
      <c r="G360" s="246">
        <v>38750</v>
      </c>
      <c r="H360" s="246">
        <v>44250</v>
      </c>
      <c r="I360" s="246">
        <v>49800</v>
      </c>
      <c r="J360" s="246">
        <v>55300</v>
      </c>
      <c r="K360" s="246">
        <v>59750</v>
      </c>
      <c r="L360" s="246">
        <v>64150</v>
      </c>
      <c r="M360" s="246">
        <v>68600</v>
      </c>
      <c r="N360" s="246">
        <v>73000</v>
      </c>
    </row>
    <row r="361" spans="3:14" ht="21.95" customHeight="1" x14ac:dyDescent="0.25">
      <c r="C361" s="139" t="str">
        <f t="shared" si="21"/>
        <v>AR_PHILLIPS COUNTY, AR</v>
      </c>
      <c r="D361" s="136" t="s">
        <v>100</v>
      </c>
      <c r="E361" s="262" t="s">
        <v>3081</v>
      </c>
      <c r="F361" s="136" t="s">
        <v>183</v>
      </c>
      <c r="G361" s="246">
        <v>37600</v>
      </c>
      <c r="H361" s="246">
        <v>43000</v>
      </c>
      <c r="I361" s="246">
        <v>48350</v>
      </c>
      <c r="J361" s="246">
        <v>53700</v>
      </c>
      <c r="K361" s="246">
        <v>58000</v>
      </c>
      <c r="L361" s="246">
        <v>62300</v>
      </c>
      <c r="M361" s="246">
        <v>66600</v>
      </c>
      <c r="N361" s="246">
        <v>70900</v>
      </c>
    </row>
    <row r="362" spans="3:14" ht="21.95" customHeight="1" x14ac:dyDescent="0.25">
      <c r="C362" s="139" t="str">
        <f t="shared" si="21"/>
        <v>AR_PIKE COUNTY, AR</v>
      </c>
      <c r="D362" s="136" t="s">
        <v>100</v>
      </c>
      <c r="E362" s="262" t="s">
        <v>3082</v>
      </c>
      <c r="F362" s="136" t="s">
        <v>183</v>
      </c>
      <c r="G362" s="246">
        <v>40900</v>
      </c>
      <c r="H362" s="246">
        <v>46750</v>
      </c>
      <c r="I362" s="246">
        <v>52600</v>
      </c>
      <c r="J362" s="246">
        <v>58400</v>
      </c>
      <c r="K362" s="246">
        <v>63100</v>
      </c>
      <c r="L362" s="246">
        <v>67750</v>
      </c>
      <c r="M362" s="246">
        <v>72450</v>
      </c>
      <c r="N362" s="246">
        <v>77100</v>
      </c>
    </row>
    <row r="363" spans="3:14" ht="21.95" customHeight="1" x14ac:dyDescent="0.25">
      <c r="C363" s="139" t="str">
        <f t="shared" si="21"/>
        <v>AR_POINSETT COUNTY, AR HUD METRO FMR AREA</v>
      </c>
      <c r="D363" s="136" t="s">
        <v>100</v>
      </c>
      <c r="E363" s="262" t="s">
        <v>3083</v>
      </c>
      <c r="F363" s="136" t="s">
        <v>183</v>
      </c>
      <c r="G363" s="246">
        <v>37600</v>
      </c>
      <c r="H363" s="246">
        <v>43000</v>
      </c>
      <c r="I363" s="246">
        <v>48350</v>
      </c>
      <c r="J363" s="246">
        <v>53700</v>
      </c>
      <c r="K363" s="246">
        <v>58000</v>
      </c>
      <c r="L363" s="246">
        <v>62300</v>
      </c>
      <c r="M363" s="246">
        <v>66600</v>
      </c>
      <c r="N363" s="246">
        <v>70900</v>
      </c>
    </row>
    <row r="364" spans="3:14" ht="21.95" customHeight="1" x14ac:dyDescent="0.25">
      <c r="C364" s="139" t="str">
        <f t="shared" si="21"/>
        <v>AR_POLK COUNTY, AR</v>
      </c>
      <c r="D364" s="136" t="s">
        <v>100</v>
      </c>
      <c r="E364" s="262" t="s">
        <v>3084</v>
      </c>
      <c r="F364" s="136" t="s">
        <v>183</v>
      </c>
      <c r="G364" s="246">
        <v>37600</v>
      </c>
      <c r="H364" s="246">
        <v>43000</v>
      </c>
      <c r="I364" s="246">
        <v>48350</v>
      </c>
      <c r="J364" s="246">
        <v>53700</v>
      </c>
      <c r="K364" s="246">
        <v>58000</v>
      </c>
      <c r="L364" s="246">
        <v>62300</v>
      </c>
      <c r="M364" s="246">
        <v>66600</v>
      </c>
      <c r="N364" s="246">
        <v>70900</v>
      </c>
    </row>
    <row r="365" spans="3:14" ht="21.95" customHeight="1" x14ac:dyDescent="0.25">
      <c r="C365" s="139" t="str">
        <f t="shared" si="21"/>
        <v>AR_POPE COUNTY, AR</v>
      </c>
      <c r="D365" s="136" t="s">
        <v>100</v>
      </c>
      <c r="E365" s="262" t="s">
        <v>3085</v>
      </c>
      <c r="F365" s="136" t="s">
        <v>183</v>
      </c>
      <c r="G365" s="246">
        <v>41650</v>
      </c>
      <c r="H365" s="246">
        <v>47600</v>
      </c>
      <c r="I365" s="246">
        <v>53550</v>
      </c>
      <c r="J365" s="246">
        <v>59450</v>
      </c>
      <c r="K365" s="246">
        <v>64250</v>
      </c>
      <c r="L365" s="246">
        <v>69000</v>
      </c>
      <c r="M365" s="246">
        <v>73750</v>
      </c>
      <c r="N365" s="246">
        <v>78500</v>
      </c>
    </row>
    <row r="366" spans="3:14" ht="21.95" customHeight="1" x14ac:dyDescent="0.25">
      <c r="C366" s="139" t="str">
        <f t="shared" si="21"/>
        <v>AR_PRAIRIE COUNTY, AR</v>
      </c>
      <c r="D366" s="136" t="s">
        <v>100</v>
      </c>
      <c r="E366" s="262" t="s">
        <v>3086</v>
      </c>
      <c r="F366" s="136" t="s">
        <v>183</v>
      </c>
      <c r="G366" s="246">
        <v>43050</v>
      </c>
      <c r="H366" s="246">
        <v>49200</v>
      </c>
      <c r="I366" s="246">
        <v>55350</v>
      </c>
      <c r="J366" s="246">
        <v>61450</v>
      </c>
      <c r="K366" s="246">
        <v>66400</v>
      </c>
      <c r="L366" s="246">
        <v>71300</v>
      </c>
      <c r="M366" s="246">
        <v>76200</v>
      </c>
      <c r="N366" s="246">
        <v>81150</v>
      </c>
    </row>
    <row r="367" spans="3:14" ht="21.95" customHeight="1" x14ac:dyDescent="0.25">
      <c r="C367" s="139" t="str">
        <f t="shared" si="21"/>
        <v>AR_RANDOLPH COUNTY, AR</v>
      </c>
      <c r="D367" s="136" t="s">
        <v>100</v>
      </c>
      <c r="E367" s="262" t="s">
        <v>3087</v>
      </c>
      <c r="F367" s="136" t="s">
        <v>183</v>
      </c>
      <c r="G367" s="246">
        <v>39300</v>
      </c>
      <c r="H367" s="246">
        <v>44900</v>
      </c>
      <c r="I367" s="246">
        <v>50500</v>
      </c>
      <c r="J367" s="246">
        <v>56100</v>
      </c>
      <c r="K367" s="246">
        <v>60600</v>
      </c>
      <c r="L367" s="246">
        <v>65100</v>
      </c>
      <c r="M367" s="246">
        <v>69600</v>
      </c>
      <c r="N367" s="246">
        <v>74100</v>
      </c>
    </row>
    <row r="368" spans="3:14" ht="21.95" customHeight="1" x14ac:dyDescent="0.25">
      <c r="C368" s="139" t="str">
        <f t="shared" si="21"/>
        <v>AR_SCOTT COUNTY, AR</v>
      </c>
      <c r="D368" s="136" t="s">
        <v>100</v>
      </c>
      <c r="E368" s="262" t="s">
        <v>3088</v>
      </c>
      <c r="F368" s="136" t="s">
        <v>183</v>
      </c>
      <c r="G368" s="246">
        <v>37600</v>
      </c>
      <c r="H368" s="246">
        <v>43000</v>
      </c>
      <c r="I368" s="246">
        <v>48350</v>
      </c>
      <c r="J368" s="246">
        <v>53700</v>
      </c>
      <c r="K368" s="246">
        <v>58000</v>
      </c>
      <c r="L368" s="246">
        <v>62300</v>
      </c>
      <c r="M368" s="246">
        <v>66600</v>
      </c>
      <c r="N368" s="246">
        <v>70900</v>
      </c>
    </row>
    <row r="369" spans="3:14" ht="21.95" customHeight="1" x14ac:dyDescent="0.25">
      <c r="C369" s="139" t="str">
        <f t="shared" si="21"/>
        <v>AR_SEARCY COUNTY, AR</v>
      </c>
      <c r="D369" s="136" t="s">
        <v>100</v>
      </c>
      <c r="E369" s="262" t="s">
        <v>3089</v>
      </c>
      <c r="F369" s="136" t="s">
        <v>183</v>
      </c>
      <c r="G369" s="246">
        <v>37600</v>
      </c>
      <c r="H369" s="246">
        <v>43000</v>
      </c>
      <c r="I369" s="246">
        <v>48350</v>
      </c>
      <c r="J369" s="246">
        <v>53700</v>
      </c>
      <c r="K369" s="246">
        <v>58000</v>
      </c>
      <c r="L369" s="246">
        <v>62300</v>
      </c>
      <c r="M369" s="246">
        <v>66600</v>
      </c>
      <c r="N369" s="246">
        <v>70900</v>
      </c>
    </row>
    <row r="370" spans="3:14" ht="21.95" customHeight="1" x14ac:dyDescent="0.25">
      <c r="C370" s="139" t="str">
        <f t="shared" si="21"/>
        <v>AR_SEVIER COUNTY, AR</v>
      </c>
      <c r="D370" s="136" t="s">
        <v>100</v>
      </c>
      <c r="E370" s="262" t="s">
        <v>3090</v>
      </c>
      <c r="F370" s="136" t="s">
        <v>183</v>
      </c>
      <c r="G370" s="246">
        <v>37600</v>
      </c>
      <c r="H370" s="246">
        <v>43000</v>
      </c>
      <c r="I370" s="246">
        <v>48350</v>
      </c>
      <c r="J370" s="246">
        <v>53700</v>
      </c>
      <c r="K370" s="246">
        <v>58000</v>
      </c>
      <c r="L370" s="246">
        <v>62300</v>
      </c>
      <c r="M370" s="246">
        <v>66600</v>
      </c>
      <c r="N370" s="246">
        <v>70900</v>
      </c>
    </row>
    <row r="371" spans="3:14" ht="21.95" customHeight="1" x14ac:dyDescent="0.25">
      <c r="C371" s="139" t="str">
        <f t="shared" si="21"/>
        <v>AR_SHARP COUNTY, AR</v>
      </c>
      <c r="D371" s="136" t="s">
        <v>100</v>
      </c>
      <c r="E371" s="262" t="s">
        <v>3091</v>
      </c>
      <c r="F371" s="136" t="s">
        <v>183</v>
      </c>
      <c r="G371" s="246">
        <v>37600</v>
      </c>
      <c r="H371" s="246">
        <v>43000</v>
      </c>
      <c r="I371" s="246">
        <v>48350</v>
      </c>
      <c r="J371" s="246">
        <v>53700</v>
      </c>
      <c r="K371" s="246">
        <v>58000</v>
      </c>
      <c r="L371" s="246">
        <v>62300</v>
      </c>
      <c r="M371" s="246">
        <v>66600</v>
      </c>
      <c r="N371" s="246">
        <v>70900</v>
      </c>
    </row>
    <row r="372" spans="3:14" ht="21.95" customHeight="1" x14ac:dyDescent="0.25">
      <c r="C372" s="139" t="str">
        <f t="shared" si="21"/>
        <v>AR_ST. FRANCIS COUNTY, AR</v>
      </c>
      <c r="D372" s="136" t="s">
        <v>100</v>
      </c>
      <c r="E372" s="262" t="s">
        <v>3092</v>
      </c>
      <c r="F372" s="136" t="s">
        <v>183</v>
      </c>
      <c r="G372" s="246">
        <v>37600</v>
      </c>
      <c r="H372" s="246">
        <v>43000</v>
      </c>
      <c r="I372" s="246">
        <v>48350</v>
      </c>
      <c r="J372" s="246">
        <v>53700</v>
      </c>
      <c r="K372" s="246">
        <v>58000</v>
      </c>
      <c r="L372" s="246">
        <v>62300</v>
      </c>
      <c r="M372" s="246">
        <v>66600</v>
      </c>
      <c r="N372" s="246">
        <v>70900</v>
      </c>
    </row>
    <row r="373" spans="3:14" ht="21.95" customHeight="1" x14ac:dyDescent="0.25">
      <c r="C373" s="139" t="str">
        <f t="shared" si="21"/>
        <v>AR_STONE COUNTY, AR</v>
      </c>
      <c r="D373" s="136" t="s">
        <v>100</v>
      </c>
      <c r="E373" s="262" t="s">
        <v>3093</v>
      </c>
      <c r="F373" s="136" t="s">
        <v>183</v>
      </c>
      <c r="G373" s="246">
        <v>37600</v>
      </c>
      <c r="H373" s="246">
        <v>43000</v>
      </c>
      <c r="I373" s="246">
        <v>48350</v>
      </c>
      <c r="J373" s="246">
        <v>53700</v>
      </c>
      <c r="K373" s="246">
        <v>58000</v>
      </c>
      <c r="L373" s="246">
        <v>62300</v>
      </c>
      <c r="M373" s="246">
        <v>66600</v>
      </c>
      <c r="N373" s="246">
        <v>70900</v>
      </c>
    </row>
    <row r="374" spans="3:14" ht="21.95" customHeight="1" x14ac:dyDescent="0.25">
      <c r="C374" s="139" t="str">
        <f t="shared" si="21"/>
        <v>AR_TEXARKANA, TX-TEXARKANA, AR HUD METRO FMR AREA</v>
      </c>
      <c r="D374" s="136" t="s">
        <v>100</v>
      </c>
      <c r="E374" s="262" t="s">
        <v>3094</v>
      </c>
      <c r="F374" s="136" t="s">
        <v>183</v>
      </c>
      <c r="G374" s="246">
        <v>44450</v>
      </c>
      <c r="H374" s="246">
        <v>50800</v>
      </c>
      <c r="I374" s="246">
        <v>57150</v>
      </c>
      <c r="J374" s="246">
        <v>63500</v>
      </c>
      <c r="K374" s="246">
        <v>68600</v>
      </c>
      <c r="L374" s="246">
        <v>73700</v>
      </c>
      <c r="M374" s="246">
        <v>78750</v>
      </c>
      <c r="N374" s="246">
        <v>83850</v>
      </c>
    </row>
    <row r="375" spans="3:14" ht="21.95" customHeight="1" x14ac:dyDescent="0.25">
      <c r="C375" s="139" t="str">
        <f t="shared" si="21"/>
        <v>AR_UNION COUNTY, AR</v>
      </c>
      <c r="D375" s="136" t="s">
        <v>100</v>
      </c>
      <c r="E375" s="262" t="s">
        <v>3095</v>
      </c>
      <c r="F375" s="136" t="s">
        <v>183</v>
      </c>
      <c r="G375" s="246">
        <v>40500</v>
      </c>
      <c r="H375" s="246">
        <v>46300</v>
      </c>
      <c r="I375" s="246">
        <v>52100</v>
      </c>
      <c r="J375" s="246">
        <v>57850</v>
      </c>
      <c r="K375" s="246">
        <v>62500</v>
      </c>
      <c r="L375" s="246">
        <v>67150</v>
      </c>
      <c r="M375" s="246">
        <v>71750</v>
      </c>
      <c r="N375" s="246">
        <v>76400</v>
      </c>
    </row>
    <row r="376" spans="3:14" ht="21.95" customHeight="1" x14ac:dyDescent="0.25">
      <c r="C376" s="139" t="str">
        <f t="shared" si="21"/>
        <v>AR_VAN BUREN COUNTY, AR</v>
      </c>
      <c r="D376" s="136" t="s">
        <v>100</v>
      </c>
      <c r="E376" s="262" t="s">
        <v>3096</v>
      </c>
      <c r="F376" s="136" t="s">
        <v>183</v>
      </c>
      <c r="G376" s="246">
        <v>37600</v>
      </c>
      <c r="H376" s="246">
        <v>43000</v>
      </c>
      <c r="I376" s="246">
        <v>48350</v>
      </c>
      <c r="J376" s="246">
        <v>53700</v>
      </c>
      <c r="K376" s="246">
        <v>58000</v>
      </c>
      <c r="L376" s="246">
        <v>62300</v>
      </c>
      <c r="M376" s="246">
        <v>66600</v>
      </c>
      <c r="N376" s="246">
        <v>70900</v>
      </c>
    </row>
    <row r="377" spans="3:14" ht="21.95" customHeight="1" x14ac:dyDescent="0.25">
      <c r="C377" s="139" t="str">
        <f t="shared" si="21"/>
        <v>AR_WHITE COUNTY, AR</v>
      </c>
      <c r="D377" s="136" t="s">
        <v>100</v>
      </c>
      <c r="E377" s="262" t="s">
        <v>3097</v>
      </c>
      <c r="F377" s="136" t="s">
        <v>183</v>
      </c>
      <c r="G377" s="246">
        <v>42950</v>
      </c>
      <c r="H377" s="246">
        <v>49050</v>
      </c>
      <c r="I377" s="246">
        <v>55200</v>
      </c>
      <c r="J377" s="246">
        <v>61300</v>
      </c>
      <c r="K377" s="246">
        <v>66250</v>
      </c>
      <c r="L377" s="246">
        <v>71150</v>
      </c>
      <c r="M377" s="246">
        <v>76050</v>
      </c>
      <c r="N377" s="246">
        <v>80950</v>
      </c>
    </row>
    <row r="378" spans="3:14" ht="21.95" customHeight="1" x14ac:dyDescent="0.25">
      <c r="C378" s="139" t="str">
        <f t="shared" si="21"/>
        <v>AR_WOODRUFF COUNTY, AR</v>
      </c>
      <c r="D378" s="136" t="s">
        <v>100</v>
      </c>
      <c r="E378" s="262" t="s">
        <v>3098</v>
      </c>
      <c r="F378" s="136" t="s">
        <v>183</v>
      </c>
      <c r="G378" s="246">
        <v>38400</v>
      </c>
      <c r="H378" s="246">
        <v>43850</v>
      </c>
      <c r="I378" s="246">
        <v>49350</v>
      </c>
      <c r="J378" s="246">
        <v>54800</v>
      </c>
      <c r="K378" s="246">
        <v>59200</v>
      </c>
      <c r="L378" s="246">
        <v>63600</v>
      </c>
      <c r="M378" s="246">
        <v>68000</v>
      </c>
      <c r="N378" s="246">
        <v>72350</v>
      </c>
    </row>
    <row r="379" spans="3:14" ht="21.95" customHeight="1" x14ac:dyDescent="0.25">
      <c r="C379" s="139" t="str">
        <f t="shared" si="21"/>
        <v>AR_YELL COUNTY, AR</v>
      </c>
      <c r="D379" s="136" t="s">
        <v>100</v>
      </c>
      <c r="E379" s="262" t="s">
        <v>3099</v>
      </c>
      <c r="F379" s="136" t="s">
        <v>183</v>
      </c>
      <c r="G379" s="246">
        <v>41900</v>
      </c>
      <c r="H379" s="246">
        <v>47900</v>
      </c>
      <c r="I379" s="246">
        <v>53900</v>
      </c>
      <c r="J379" s="246">
        <v>59850</v>
      </c>
      <c r="K379" s="246">
        <v>64650</v>
      </c>
      <c r="L379" s="246">
        <v>69450</v>
      </c>
      <c r="M379" s="246">
        <v>74250</v>
      </c>
      <c r="N379" s="246">
        <v>79050</v>
      </c>
    </row>
    <row r="380" spans="3:14" ht="21.95" customHeight="1" x14ac:dyDescent="0.25">
      <c r="C380" s="139" t="str">
        <f t="shared" si="21"/>
        <v>AS_AMERICAN SAMOA</v>
      </c>
      <c r="D380" s="136" t="s">
        <v>2912</v>
      </c>
      <c r="E380" s="262" t="s">
        <v>3100</v>
      </c>
      <c r="F380" s="136" t="s">
        <v>183</v>
      </c>
      <c r="G380" s="246">
        <v>33050</v>
      </c>
      <c r="H380" s="246">
        <v>37800</v>
      </c>
      <c r="I380" s="246">
        <v>42500</v>
      </c>
      <c r="J380" s="246">
        <v>47200</v>
      </c>
      <c r="K380" s="246">
        <v>51000</v>
      </c>
      <c r="L380" s="246">
        <v>54800</v>
      </c>
      <c r="M380" s="246">
        <v>58550</v>
      </c>
      <c r="N380" s="246">
        <v>62350</v>
      </c>
    </row>
    <row r="381" spans="3:14" ht="21.95" customHeight="1" x14ac:dyDescent="0.25">
      <c r="C381" s="139" t="str">
        <f t="shared" si="21"/>
        <v>AZ_APACHE COUNTY, AZ</v>
      </c>
      <c r="D381" s="136" t="s">
        <v>101</v>
      </c>
      <c r="E381" s="262" t="s">
        <v>3101</v>
      </c>
      <c r="F381" s="136" t="s">
        <v>183</v>
      </c>
      <c r="G381" s="246">
        <v>39200</v>
      </c>
      <c r="H381" s="246">
        <v>44800</v>
      </c>
      <c r="I381" s="246">
        <v>50400</v>
      </c>
      <c r="J381" s="246">
        <v>56000</v>
      </c>
      <c r="K381" s="246">
        <v>60500</v>
      </c>
      <c r="L381" s="246">
        <v>65000</v>
      </c>
      <c r="M381" s="246">
        <v>69450</v>
      </c>
      <c r="N381" s="246">
        <v>73950</v>
      </c>
    </row>
    <row r="382" spans="3:14" ht="21.95" customHeight="1" x14ac:dyDescent="0.25">
      <c r="C382" s="139" t="str">
        <f t="shared" si="21"/>
        <v>AZ_FLAGSTAFF, AZ MSA</v>
      </c>
      <c r="D382" s="136" t="s">
        <v>101</v>
      </c>
      <c r="E382" s="262" t="s">
        <v>3102</v>
      </c>
      <c r="F382" s="136" t="s">
        <v>183</v>
      </c>
      <c r="G382" s="246">
        <v>61100</v>
      </c>
      <c r="H382" s="246">
        <v>69800</v>
      </c>
      <c r="I382" s="246">
        <v>78550</v>
      </c>
      <c r="J382" s="246">
        <v>87250</v>
      </c>
      <c r="K382" s="246">
        <v>94250</v>
      </c>
      <c r="L382" s="246">
        <v>101250</v>
      </c>
      <c r="M382" s="246">
        <v>108200</v>
      </c>
      <c r="N382" s="246">
        <v>115200</v>
      </c>
    </row>
    <row r="383" spans="3:14" ht="21.95" customHeight="1" x14ac:dyDescent="0.25">
      <c r="C383" s="139" t="str">
        <f t="shared" si="21"/>
        <v>AZ_GILA COUNTY, AZ</v>
      </c>
      <c r="D383" s="136" t="s">
        <v>101</v>
      </c>
      <c r="E383" s="262" t="s">
        <v>3103</v>
      </c>
      <c r="F383" s="136" t="s">
        <v>183</v>
      </c>
      <c r="G383" s="246">
        <v>42800</v>
      </c>
      <c r="H383" s="246">
        <v>48900</v>
      </c>
      <c r="I383" s="246">
        <v>55000</v>
      </c>
      <c r="J383" s="246">
        <v>61100</v>
      </c>
      <c r="K383" s="246">
        <v>66000</v>
      </c>
      <c r="L383" s="246">
        <v>70900</v>
      </c>
      <c r="M383" s="246">
        <v>75800</v>
      </c>
      <c r="N383" s="246">
        <v>80700</v>
      </c>
    </row>
    <row r="384" spans="3:14" ht="21.95" customHeight="1" x14ac:dyDescent="0.25">
      <c r="C384" s="139" t="str">
        <f t="shared" ref="C384:C447" si="22">TRIM(UPPER(D384))&amp;"_"&amp;TRIM(UPPER(E384))</f>
        <v>AZ_GRAHAM COUNTY, AZ</v>
      </c>
      <c r="D384" s="136" t="s">
        <v>101</v>
      </c>
      <c r="E384" s="262" t="s">
        <v>3104</v>
      </c>
      <c r="F384" s="136" t="s">
        <v>183</v>
      </c>
      <c r="G384" s="246">
        <v>45450</v>
      </c>
      <c r="H384" s="246">
        <v>51950</v>
      </c>
      <c r="I384" s="246">
        <v>58450</v>
      </c>
      <c r="J384" s="246">
        <v>64900</v>
      </c>
      <c r="K384" s="246">
        <v>70100</v>
      </c>
      <c r="L384" s="246">
        <v>75300</v>
      </c>
      <c r="M384" s="246">
        <v>80500</v>
      </c>
      <c r="N384" s="246">
        <v>85700</v>
      </c>
    </row>
    <row r="385" spans="3:14" ht="21.95" customHeight="1" x14ac:dyDescent="0.25">
      <c r="C385" s="139" t="str">
        <f t="shared" si="22"/>
        <v>AZ_GREENLEE COUNTY, AZ</v>
      </c>
      <c r="D385" s="136" t="s">
        <v>101</v>
      </c>
      <c r="E385" s="262" t="s">
        <v>3105</v>
      </c>
      <c r="F385" s="136" t="s">
        <v>183</v>
      </c>
      <c r="G385" s="246">
        <v>49500</v>
      </c>
      <c r="H385" s="246">
        <v>56600</v>
      </c>
      <c r="I385" s="246">
        <v>63650</v>
      </c>
      <c r="J385" s="246">
        <v>70700</v>
      </c>
      <c r="K385" s="246">
        <v>76400</v>
      </c>
      <c r="L385" s="246">
        <v>82050</v>
      </c>
      <c r="M385" s="246">
        <v>87700</v>
      </c>
      <c r="N385" s="246">
        <v>93350</v>
      </c>
    </row>
    <row r="386" spans="3:14" ht="21.95" customHeight="1" x14ac:dyDescent="0.25">
      <c r="C386" s="139" t="str">
        <f t="shared" si="22"/>
        <v>AZ_LAKE HAVASU CITY-KINGMAN, AZ MSA</v>
      </c>
      <c r="D386" s="136" t="s">
        <v>101</v>
      </c>
      <c r="E386" s="262" t="s">
        <v>3107</v>
      </c>
      <c r="F386" s="136" t="s">
        <v>183</v>
      </c>
      <c r="G386" s="246">
        <v>43200</v>
      </c>
      <c r="H386" s="246">
        <v>49400</v>
      </c>
      <c r="I386" s="246">
        <v>55550</v>
      </c>
      <c r="J386" s="246">
        <v>61700</v>
      </c>
      <c r="K386" s="246">
        <v>66650</v>
      </c>
      <c r="L386" s="246">
        <v>71600</v>
      </c>
      <c r="M386" s="246">
        <v>76550</v>
      </c>
      <c r="N386" s="246">
        <v>81450</v>
      </c>
    </row>
    <row r="387" spans="3:14" ht="21.95" customHeight="1" x14ac:dyDescent="0.25">
      <c r="C387" s="139" t="str">
        <f t="shared" si="22"/>
        <v>AZ_LA PAZ COUNTY, AZ</v>
      </c>
      <c r="D387" s="136" t="s">
        <v>101</v>
      </c>
      <c r="E387" s="262" t="s">
        <v>3106</v>
      </c>
      <c r="F387" s="136" t="s">
        <v>183</v>
      </c>
      <c r="G387" s="246">
        <v>39200</v>
      </c>
      <c r="H387" s="246">
        <v>44800</v>
      </c>
      <c r="I387" s="246">
        <v>50400</v>
      </c>
      <c r="J387" s="246">
        <v>56000</v>
      </c>
      <c r="K387" s="246">
        <v>60500</v>
      </c>
      <c r="L387" s="246">
        <v>65000</v>
      </c>
      <c r="M387" s="246">
        <v>69450</v>
      </c>
      <c r="N387" s="246">
        <v>73950</v>
      </c>
    </row>
    <row r="388" spans="3:14" ht="21.95" customHeight="1" x14ac:dyDescent="0.25">
      <c r="C388" s="139" t="str">
        <f t="shared" si="22"/>
        <v>AZ_NAVAJO COUNTY, AZ</v>
      </c>
      <c r="D388" s="136" t="s">
        <v>101</v>
      </c>
      <c r="E388" s="262" t="s">
        <v>3108</v>
      </c>
      <c r="F388" s="136" t="s">
        <v>183</v>
      </c>
      <c r="G388" s="246">
        <v>39400</v>
      </c>
      <c r="H388" s="246">
        <v>45000</v>
      </c>
      <c r="I388" s="246">
        <v>50650</v>
      </c>
      <c r="J388" s="246">
        <v>56250</v>
      </c>
      <c r="K388" s="246">
        <v>60750</v>
      </c>
      <c r="L388" s="246">
        <v>65250</v>
      </c>
      <c r="M388" s="246">
        <v>69750</v>
      </c>
      <c r="N388" s="246">
        <v>74250</v>
      </c>
    </row>
    <row r="389" spans="3:14" ht="21.95" customHeight="1" x14ac:dyDescent="0.25">
      <c r="C389" s="139" t="str">
        <f t="shared" si="22"/>
        <v>AZ_PHOENIX-MESA-CHANDLER, AZ MSA</v>
      </c>
      <c r="D389" s="136" t="s">
        <v>101</v>
      </c>
      <c r="E389" s="262" t="s">
        <v>9092</v>
      </c>
      <c r="F389" s="136" t="s">
        <v>183</v>
      </c>
      <c r="G389" s="246">
        <v>62850</v>
      </c>
      <c r="H389" s="246">
        <v>71800</v>
      </c>
      <c r="I389" s="246">
        <v>80800</v>
      </c>
      <c r="J389" s="246">
        <v>89750</v>
      </c>
      <c r="K389" s="246">
        <v>96950</v>
      </c>
      <c r="L389" s="246">
        <v>104150</v>
      </c>
      <c r="M389" s="246">
        <v>111300</v>
      </c>
      <c r="N389" s="246">
        <v>118500</v>
      </c>
    </row>
    <row r="390" spans="3:14" ht="21.95" customHeight="1" x14ac:dyDescent="0.25">
      <c r="C390" s="139" t="str">
        <f t="shared" si="22"/>
        <v>AZ_PRESCOTT VALLEY-PRESCOTT, AZ MSA</v>
      </c>
      <c r="D390" s="136" t="s">
        <v>101</v>
      </c>
      <c r="E390" s="262" t="s">
        <v>3109</v>
      </c>
      <c r="F390" s="136" t="s">
        <v>183</v>
      </c>
      <c r="G390" s="246">
        <v>50750</v>
      </c>
      <c r="H390" s="246">
        <v>58000</v>
      </c>
      <c r="I390" s="246">
        <v>65250</v>
      </c>
      <c r="J390" s="246">
        <v>72500</v>
      </c>
      <c r="K390" s="246">
        <v>78300</v>
      </c>
      <c r="L390" s="246">
        <v>84100</v>
      </c>
      <c r="M390" s="246">
        <v>89900</v>
      </c>
      <c r="N390" s="246">
        <v>95700</v>
      </c>
    </row>
    <row r="391" spans="3:14" ht="21.95" customHeight="1" x14ac:dyDescent="0.25">
      <c r="C391" s="139" t="str">
        <f t="shared" si="22"/>
        <v>AZ_SANTA CRUZ COUNTY, AZ</v>
      </c>
      <c r="D391" s="136" t="s">
        <v>101</v>
      </c>
      <c r="E391" s="262" t="s">
        <v>3110</v>
      </c>
      <c r="F391" s="136" t="s">
        <v>183</v>
      </c>
      <c r="G391" s="246">
        <v>39200</v>
      </c>
      <c r="H391" s="246">
        <v>44800</v>
      </c>
      <c r="I391" s="246">
        <v>50400</v>
      </c>
      <c r="J391" s="246">
        <v>56000</v>
      </c>
      <c r="K391" s="246">
        <v>60500</v>
      </c>
      <c r="L391" s="246">
        <v>65000</v>
      </c>
      <c r="M391" s="246">
        <v>69450</v>
      </c>
      <c r="N391" s="246">
        <v>73950</v>
      </c>
    </row>
    <row r="392" spans="3:14" ht="21.95" customHeight="1" x14ac:dyDescent="0.25">
      <c r="C392" s="139" t="str">
        <f t="shared" si="22"/>
        <v>AZ_SIERRA VISTA-DOUGLAS, AZ MSA</v>
      </c>
      <c r="D392" s="136" t="s">
        <v>101</v>
      </c>
      <c r="E392" s="262" t="s">
        <v>3111</v>
      </c>
      <c r="F392" s="136" t="s">
        <v>183</v>
      </c>
      <c r="G392" s="246">
        <v>39900</v>
      </c>
      <c r="H392" s="246">
        <v>45600</v>
      </c>
      <c r="I392" s="246">
        <v>51300</v>
      </c>
      <c r="J392" s="246">
        <v>56950</v>
      </c>
      <c r="K392" s="246">
        <v>61550</v>
      </c>
      <c r="L392" s="246">
        <v>66100</v>
      </c>
      <c r="M392" s="246">
        <v>70650</v>
      </c>
      <c r="N392" s="246">
        <v>75200</v>
      </c>
    </row>
    <row r="393" spans="3:14" ht="21.95" customHeight="1" x14ac:dyDescent="0.25">
      <c r="C393" s="139" t="str">
        <f t="shared" si="22"/>
        <v>AZ_TUCSON, AZ MSA</v>
      </c>
      <c r="D393" s="136" t="s">
        <v>101</v>
      </c>
      <c r="E393" s="262" t="s">
        <v>3112</v>
      </c>
      <c r="F393" s="136" t="s">
        <v>183</v>
      </c>
      <c r="G393" s="246">
        <v>53850</v>
      </c>
      <c r="H393" s="246">
        <v>61550</v>
      </c>
      <c r="I393" s="246">
        <v>69250</v>
      </c>
      <c r="J393" s="246">
        <v>76900</v>
      </c>
      <c r="K393" s="246">
        <v>83100</v>
      </c>
      <c r="L393" s="246">
        <v>89250</v>
      </c>
      <c r="M393" s="246">
        <v>95400</v>
      </c>
      <c r="N393" s="246">
        <v>101550</v>
      </c>
    </row>
    <row r="394" spans="3:14" ht="21.95" customHeight="1" x14ac:dyDescent="0.25">
      <c r="C394" s="139" t="str">
        <f t="shared" si="22"/>
        <v>AZ_YUMA, AZ MSA</v>
      </c>
      <c r="D394" s="136" t="s">
        <v>101</v>
      </c>
      <c r="E394" s="262" t="s">
        <v>3113</v>
      </c>
      <c r="F394" s="136" t="s">
        <v>183</v>
      </c>
      <c r="G394" s="246">
        <v>40700</v>
      </c>
      <c r="H394" s="246">
        <v>46500</v>
      </c>
      <c r="I394" s="246">
        <v>52300</v>
      </c>
      <c r="J394" s="246">
        <v>58100</v>
      </c>
      <c r="K394" s="246">
        <v>62750</v>
      </c>
      <c r="L394" s="246">
        <v>67400</v>
      </c>
      <c r="M394" s="246">
        <v>72050</v>
      </c>
      <c r="N394" s="246">
        <v>76700</v>
      </c>
    </row>
    <row r="395" spans="3:14" ht="21.95" customHeight="1" x14ac:dyDescent="0.25">
      <c r="C395" s="139" t="str">
        <f t="shared" si="22"/>
        <v>CA_ALPINE COUNTY, CA</v>
      </c>
      <c r="D395" s="136" t="s">
        <v>99</v>
      </c>
      <c r="E395" s="262" t="s">
        <v>3114</v>
      </c>
      <c r="F395" s="136" t="s">
        <v>183</v>
      </c>
      <c r="G395" s="246">
        <v>64650</v>
      </c>
      <c r="H395" s="246">
        <v>73850</v>
      </c>
      <c r="I395" s="246">
        <v>83100</v>
      </c>
      <c r="J395" s="246">
        <v>92300</v>
      </c>
      <c r="K395" s="246">
        <v>99700</v>
      </c>
      <c r="L395" s="246">
        <v>107100</v>
      </c>
      <c r="M395" s="246">
        <v>114500</v>
      </c>
      <c r="N395" s="246">
        <v>121850</v>
      </c>
    </row>
    <row r="396" spans="3:14" ht="21.95" customHeight="1" x14ac:dyDescent="0.25">
      <c r="C396" s="139" t="str">
        <f t="shared" si="22"/>
        <v>CA_AMADOR COUNTY, CA</v>
      </c>
      <c r="D396" s="136" t="s">
        <v>99</v>
      </c>
      <c r="E396" s="262" t="s">
        <v>3115</v>
      </c>
      <c r="F396" s="136" t="s">
        <v>183</v>
      </c>
      <c r="G396" s="246">
        <v>61550</v>
      </c>
      <c r="H396" s="246">
        <v>70350</v>
      </c>
      <c r="I396" s="246">
        <v>79150</v>
      </c>
      <c r="J396" s="246">
        <v>87900</v>
      </c>
      <c r="K396" s="246">
        <v>94950</v>
      </c>
      <c r="L396" s="246">
        <v>102000</v>
      </c>
      <c r="M396" s="246">
        <v>109000</v>
      </c>
      <c r="N396" s="246">
        <v>116050</v>
      </c>
    </row>
    <row r="397" spans="3:14" ht="21.95" customHeight="1" x14ac:dyDescent="0.25">
      <c r="C397" s="139" t="str">
        <f t="shared" si="22"/>
        <v>CA_BAKERSFIELD-DELANO, CA MSA</v>
      </c>
      <c r="D397" s="136" t="s">
        <v>99</v>
      </c>
      <c r="E397" s="262" t="s">
        <v>9094</v>
      </c>
      <c r="F397" s="136" t="s">
        <v>183</v>
      </c>
      <c r="G397" s="246">
        <v>52600</v>
      </c>
      <c r="H397" s="246">
        <v>60100</v>
      </c>
      <c r="I397" s="246">
        <v>67600</v>
      </c>
      <c r="J397" s="246">
        <v>75100</v>
      </c>
      <c r="K397" s="246">
        <v>81150</v>
      </c>
      <c r="L397" s="246">
        <v>87150</v>
      </c>
      <c r="M397" s="246">
        <v>93150</v>
      </c>
      <c r="N397" s="246">
        <v>99150</v>
      </c>
    </row>
    <row r="398" spans="3:14" ht="21.95" customHeight="1" x14ac:dyDescent="0.25">
      <c r="C398" s="139" t="str">
        <f t="shared" si="22"/>
        <v>CA_CALAVERAS COUNTY, CA</v>
      </c>
      <c r="D398" s="136" t="s">
        <v>99</v>
      </c>
      <c r="E398" s="262" t="s">
        <v>3116</v>
      </c>
      <c r="F398" s="136" t="s">
        <v>183</v>
      </c>
      <c r="G398" s="246">
        <v>56850</v>
      </c>
      <c r="H398" s="246">
        <v>65000</v>
      </c>
      <c r="I398" s="246">
        <v>73100</v>
      </c>
      <c r="J398" s="246">
        <v>81200</v>
      </c>
      <c r="K398" s="246">
        <v>87700</v>
      </c>
      <c r="L398" s="246">
        <v>94200</v>
      </c>
      <c r="M398" s="246">
        <v>100700</v>
      </c>
      <c r="N398" s="246">
        <v>107200</v>
      </c>
    </row>
    <row r="399" spans="3:14" ht="21.95" customHeight="1" x14ac:dyDescent="0.25">
      <c r="C399" s="139" t="str">
        <f t="shared" si="22"/>
        <v>CA_CHICO, CA MSA</v>
      </c>
      <c r="D399" s="136" t="s">
        <v>99</v>
      </c>
      <c r="E399" s="262" t="s">
        <v>3117</v>
      </c>
      <c r="F399" s="136" t="s">
        <v>183</v>
      </c>
      <c r="G399" s="246">
        <v>52600</v>
      </c>
      <c r="H399" s="246">
        <v>60100</v>
      </c>
      <c r="I399" s="246">
        <v>67600</v>
      </c>
      <c r="J399" s="246">
        <v>75100</v>
      </c>
      <c r="K399" s="246">
        <v>81150</v>
      </c>
      <c r="L399" s="246">
        <v>87150</v>
      </c>
      <c r="M399" s="246">
        <v>93150</v>
      </c>
      <c r="N399" s="246">
        <v>99150</v>
      </c>
    </row>
    <row r="400" spans="3:14" ht="21.95" customHeight="1" x14ac:dyDescent="0.25">
      <c r="C400" s="139" t="str">
        <f t="shared" si="22"/>
        <v>CA_COLUSA COUNTY, CA</v>
      </c>
      <c r="D400" s="136" t="s">
        <v>99</v>
      </c>
      <c r="E400" s="262" t="s">
        <v>3118</v>
      </c>
      <c r="F400" s="136" t="s">
        <v>183</v>
      </c>
      <c r="G400" s="246">
        <v>53750</v>
      </c>
      <c r="H400" s="246">
        <v>61400</v>
      </c>
      <c r="I400" s="246">
        <v>69100</v>
      </c>
      <c r="J400" s="246">
        <v>76750</v>
      </c>
      <c r="K400" s="246">
        <v>82900</v>
      </c>
      <c r="L400" s="246">
        <v>89050</v>
      </c>
      <c r="M400" s="246">
        <v>95200</v>
      </c>
      <c r="N400" s="246">
        <v>101350</v>
      </c>
    </row>
    <row r="401" spans="3:14" ht="21.95" customHeight="1" x14ac:dyDescent="0.25">
      <c r="C401" s="139" t="str">
        <f t="shared" si="22"/>
        <v>CA_DEL NORTE COUNTY, CA</v>
      </c>
      <c r="D401" s="136" t="s">
        <v>99</v>
      </c>
      <c r="E401" s="262" t="s">
        <v>3119</v>
      </c>
      <c r="F401" s="136" t="s">
        <v>183</v>
      </c>
      <c r="G401" s="246">
        <v>52600</v>
      </c>
      <c r="H401" s="246">
        <v>60100</v>
      </c>
      <c r="I401" s="246">
        <v>67600</v>
      </c>
      <c r="J401" s="246">
        <v>75100</v>
      </c>
      <c r="K401" s="246">
        <v>81150</v>
      </c>
      <c r="L401" s="246">
        <v>87150</v>
      </c>
      <c r="M401" s="246">
        <v>93150</v>
      </c>
      <c r="N401" s="246">
        <v>99150</v>
      </c>
    </row>
    <row r="402" spans="3:14" ht="21.95" customHeight="1" x14ac:dyDescent="0.25">
      <c r="C402" s="139" t="str">
        <f t="shared" si="22"/>
        <v>CA_EL CENTRO, CA MSA</v>
      </c>
      <c r="D402" s="136" t="s">
        <v>99</v>
      </c>
      <c r="E402" s="262" t="s">
        <v>3120</v>
      </c>
      <c r="F402" s="136" t="s">
        <v>183</v>
      </c>
      <c r="G402" s="246">
        <v>52600</v>
      </c>
      <c r="H402" s="246">
        <v>60100</v>
      </c>
      <c r="I402" s="246">
        <v>67600</v>
      </c>
      <c r="J402" s="246">
        <v>75100</v>
      </c>
      <c r="K402" s="246">
        <v>81150</v>
      </c>
      <c r="L402" s="246">
        <v>87150</v>
      </c>
      <c r="M402" s="246">
        <v>93150</v>
      </c>
      <c r="N402" s="246">
        <v>99150</v>
      </c>
    </row>
    <row r="403" spans="3:14" ht="21.95" customHeight="1" x14ac:dyDescent="0.25">
      <c r="C403" s="139" t="str">
        <f t="shared" si="22"/>
        <v>CA_FRESNO, CA HUD METRO FMR AREA</v>
      </c>
      <c r="D403" s="136" t="s">
        <v>99</v>
      </c>
      <c r="E403" s="262" t="s">
        <v>9093</v>
      </c>
      <c r="F403" s="136" t="s">
        <v>183</v>
      </c>
      <c r="G403" s="246">
        <v>52600</v>
      </c>
      <c r="H403" s="246">
        <v>60100</v>
      </c>
      <c r="I403" s="246">
        <v>67600</v>
      </c>
      <c r="J403" s="246">
        <v>75100</v>
      </c>
      <c r="K403" s="246">
        <v>81150</v>
      </c>
      <c r="L403" s="246">
        <v>87150</v>
      </c>
      <c r="M403" s="246">
        <v>93150</v>
      </c>
      <c r="N403" s="246">
        <v>99150</v>
      </c>
    </row>
    <row r="404" spans="3:14" ht="21.95" customHeight="1" x14ac:dyDescent="0.25">
      <c r="C404" s="139" t="str">
        <f t="shared" si="22"/>
        <v>CA_GLENN COUNTY, CA</v>
      </c>
      <c r="D404" s="136" t="s">
        <v>99</v>
      </c>
      <c r="E404" s="262" t="s">
        <v>3121</v>
      </c>
      <c r="F404" s="136" t="s">
        <v>183</v>
      </c>
      <c r="G404" s="246">
        <v>52600</v>
      </c>
      <c r="H404" s="246">
        <v>60100</v>
      </c>
      <c r="I404" s="246">
        <v>67600</v>
      </c>
      <c r="J404" s="246">
        <v>75100</v>
      </c>
      <c r="K404" s="246">
        <v>81150</v>
      </c>
      <c r="L404" s="246">
        <v>87150</v>
      </c>
      <c r="M404" s="246">
        <v>93150</v>
      </c>
      <c r="N404" s="246">
        <v>99150</v>
      </c>
    </row>
    <row r="405" spans="3:14" ht="21.95" customHeight="1" x14ac:dyDescent="0.25">
      <c r="C405" s="139" t="str">
        <f t="shared" si="22"/>
        <v>CA_HANFORD-CORCORAN, CA MSA</v>
      </c>
      <c r="D405" s="136" t="s">
        <v>99</v>
      </c>
      <c r="E405" s="262" t="s">
        <v>3122</v>
      </c>
      <c r="F405" s="136" t="s">
        <v>183</v>
      </c>
      <c r="G405" s="246">
        <v>52600</v>
      </c>
      <c r="H405" s="246">
        <v>60100</v>
      </c>
      <c r="I405" s="246">
        <v>67600</v>
      </c>
      <c r="J405" s="246">
        <v>75100</v>
      </c>
      <c r="K405" s="246">
        <v>81150</v>
      </c>
      <c r="L405" s="246">
        <v>87150</v>
      </c>
      <c r="M405" s="246">
        <v>93150</v>
      </c>
      <c r="N405" s="246">
        <v>99150</v>
      </c>
    </row>
    <row r="406" spans="3:14" ht="21.95" customHeight="1" x14ac:dyDescent="0.25">
      <c r="C406" s="139" t="str">
        <f t="shared" si="22"/>
        <v>CA_HUMBOLDT COUNTY, CA</v>
      </c>
      <c r="D406" s="136" t="s">
        <v>99</v>
      </c>
      <c r="E406" s="262" t="s">
        <v>3123</v>
      </c>
      <c r="F406" s="136" t="s">
        <v>183</v>
      </c>
      <c r="G406" s="246">
        <v>52600</v>
      </c>
      <c r="H406" s="246">
        <v>60100</v>
      </c>
      <c r="I406" s="246">
        <v>67600</v>
      </c>
      <c r="J406" s="246">
        <v>75100</v>
      </c>
      <c r="K406" s="246">
        <v>81150</v>
      </c>
      <c r="L406" s="246">
        <v>87150</v>
      </c>
      <c r="M406" s="246">
        <v>93150</v>
      </c>
      <c r="N406" s="246">
        <v>99150</v>
      </c>
    </row>
    <row r="407" spans="3:14" ht="21.95" customHeight="1" x14ac:dyDescent="0.25">
      <c r="C407" s="139" t="str">
        <f t="shared" si="22"/>
        <v>CA_INYO COUNTY, CA</v>
      </c>
      <c r="D407" s="136" t="s">
        <v>99</v>
      </c>
      <c r="E407" s="262" t="s">
        <v>3124</v>
      </c>
      <c r="F407" s="136" t="s">
        <v>183</v>
      </c>
      <c r="G407" s="246">
        <v>53750</v>
      </c>
      <c r="H407" s="246">
        <v>61400</v>
      </c>
      <c r="I407" s="246">
        <v>69100</v>
      </c>
      <c r="J407" s="246">
        <v>76750</v>
      </c>
      <c r="K407" s="246">
        <v>82900</v>
      </c>
      <c r="L407" s="246">
        <v>89050</v>
      </c>
      <c r="M407" s="246">
        <v>95200</v>
      </c>
      <c r="N407" s="246">
        <v>101350</v>
      </c>
    </row>
    <row r="408" spans="3:14" ht="21.95" customHeight="1" x14ac:dyDescent="0.25">
      <c r="C408" s="139" t="str">
        <f t="shared" si="22"/>
        <v>CA_LAKE COUNTY, CA</v>
      </c>
      <c r="D408" s="136" t="s">
        <v>99</v>
      </c>
      <c r="E408" s="262" t="s">
        <v>3125</v>
      </c>
      <c r="F408" s="136" t="s">
        <v>183</v>
      </c>
      <c r="G408" s="246">
        <v>52600</v>
      </c>
      <c r="H408" s="246">
        <v>60100</v>
      </c>
      <c r="I408" s="246">
        <v>67600</v>
      </c>
      <c r="J408" s="246">
        <v>75100</v>
      </c>
      <c r="K408" s="246">
        <v>81150</v>
      </c>
      <c r="L408" s="246">
        <v>87150</v>
      </c>
      <c r="M408" s="246">
        <v>93150</v>
      </c>
      <c r="N408" s="246">
        <v>99150</v>
      </c>
    </row>
    <row r="409" spans="3:14" ht="21.95" customHeight="1" x14ac:dyDescent="0.25">
      <c r="C409" s="139" t="str">
        <f t="shared" si="22"/>
        <v>CA_LASSEN COUNTY, CA</v>
      </c>
      <c r="D409" s="136" t="s">
        <v>99</v>
      </c>
      <c r="E409" s="262" t="s">
        <v>3126</v>
      </c>
      <c r="F409" s="136" t="s">
        <v>183</v>
      </c>
      <c r="G409" s="246">
        <v>52600</v>
      </c>
      <c r="H409" s="246">
        <v>60100</v>
      </c>
      <c r="I409" s="246">
        <v>67600</v>
      </c>
      <c r="J409" s="246">
        <v>75100</v>
      </c>
      <c r="K409" s="246">
        <v>81150</v>
      </c>
      <c r="L409" s="246">
        <v>87150</v>
      </c>
      <c r="M409" s="246">
        <v>93150</v>
      </c>
      <c r="N409" s="246">
        <v>99150</v>
      </c>
    </row>
    <row r="410" spans="3:14" ht="21.95" customHeight="1" x14ac:dyDescent="0.25">
      <c r="C410" s="139" t="str">
        <f t="shared" si="22"/>
        <v>CA_LOS ANGELES-LONG BEACH-GLENDALE, CA HUD METRO FMR AREA</v>
      </c>
      <c r="D410" s="136" t="s">
        <v>99</v>
      </c>
      <c r="E410" s="262" t="s">
        <v>3127</v>
      </c>
      <c r="F410" s="136" t="s">
        <v>183</v>
      </c>
      <c r="G410" s="246">
        <v>84850</v>
      </c>
      <c r="H410" s="246">
        <v>96950</v>
      </c>
      <c r="I410" s="246">
        <v>109050</v>
      </c>
      <c r="J410" s="246">
        <v>121150</v>
      </c>
      <c r="K410" s="246">
        <v>130850</v>
      </c>
      <c r="L410" s="246">
        <v>140550</v>
      </c>
      <c r="M410" s="246">
        <v>150250</v>
      </c>
      <c r="N410" s="246">
        <v>159950</v>
      </c>
    </row>
    <row r="411" spans="3:14" ht="21.95" customHeight="1" x14ac:dyDescent="0.25">
      <c r="C411" s="139" t="str">
        <f t="shared" si="22"/>
        <v>CA_MADERA COUNTY, CA HUD METRO FMR AREA</v>
      </c>
      <c r="D411" s="136" t="s">
        <v>99</v>
      </c>
      <c r="E411" s="262" t="s">
        <v>9095</v>
      </c>
      <c r="F411" s="136" t="s">
        <v>183</v>
      </c>
      <c r="G411" s="246">
        <v>52600</v>
      </c>
      <c r="H411" s="246">
        <v>60100</v>
      </c>
      <c r="I411" s="246">
        <v>67600</v>
      </c>
      <c r="J411" s="246">
        <v>75100</v>
      </c>
      <c r="K411" s="246">
        <v>81150</v>
      </c>
      <c r="L411" s="246">
        <v>87150</v>
      </c>
      <c r="M411" s="246">
        <v>93150</v>
      </c>
      <c r="N411" s="246">
        <v>99150</v>
      </c>
    </row>
    <row r="412" spans="3:14" ht="21.95" customHeight="1" x14ac:dyDescent="0.25">
      <c r="C412" s="139" t="str">
        <f t="shared" si="22"/>
        <v>CA_MARIPOSA COUNTY, CA</v>
      </c>
      <c r="D412" s="136" t="s">
        <v>99</v>
      </c>
      <c r="E412" s="262" t="s">
        <v>3128</v>
      </c>
      <c r="F412" s="136" t="s">
        <v>183</v>
      </c>
      <c r="G412" s="246">
        <v>52600</v>
      </c>
      <c r="H412" s="246">
        <v>60100</v>
      </c>
      <c r="I412" s="246">
        <v>67600</v>
      </c>
      <c r="J412" s="246">
        <v>75100</v>
      </c>
      <c r="K412" s="246">
        <v>81150</v>
      </c>
      <c r="L412" s="246">
        <v>87150</v>
      </c>
      <c r="M412" s="246">
        <v>93150</v>
      </c>
      <c r="N412" s="246">
        <v>99150</v>
      </c>
    </row>
    <row r="413" spans="3:14" ht="21.95" customHeight="1" x14ac:dyDescent="0.25">
      <c r="C413" s="139" t="str">
        <f t="shared" si="22"/>
        <v>CA_MENDOCINO COUNTY, CA</v>
      </c>
      <c r="D413" s="136" t="s">
        <v>99</v>
      </c>
      <c r="E413" s="262" t="s">
        <v>3129</v>
      </c>
      <c r="F413" s="136" t="s">
        <v>183</v>
      </c>
      <c r="G413" s="246">
        <v>52600</v>
      </c>
      <c r="H413" s="246">
        <v>60100</v>
      </c>
      <c r="I413" s="246">
        <v>67600</v>
      </c>
      <c r="J413" s="246">
        <v>75100</v>
      </c>
      <c r="K413" s="246">
        <v>81150</v>
      </c>
      <c r="L413" s="246">
        <v>87150</v>
      </c>
      <c r="M413" s="246">
        <v>93150</v>
      </c>
      <c r="N413" s="246">
        <v>99150</v>
      </c>
    </row>
    <row r="414" spans="3:14" ht="21.95" customHeight="1" x14ac:dyDescent="0.25">
      <c r="C414" s="139" t="str">
        <f t="shared" si="22"/>
        <v>CA_MERCED, CA MSA</v>
      </c>
      <c r="D414" s="136" t="s">
        <v>99</v>
      </c>
      <c r="E414" s="262" t="s">
        <v>3130</v>
      </c>
      <c r="F414" s="136" t="s">
        <v>183</v>
      </c>
      <c r="G414" s="246">
        <v>52600</v>
      </c>
      <c r="H414" s="246">
        <v>60100</v>
      </c>
      <c r="I414" s="246">
        <v>67600</v>
      </c>
      <c r="J414" s="246">
        <v>75100</v>
      </c>
      <c r="K414" s="246">
        <v>81150</v>
      </c>
      <c r="L414" s="246">
        <v>87150</v>
      </c>
      <c r="M414" s="246">
        <v>93150</v>
      </c>
      <c r="N414" s="246">
        <v>99150</v>
      </c>
    </row>
    <row r="415" spans="3:14" ht="21.95" customHeight="1" x14ac:dyDescent="0.25">
      <c r="C415" s="139" t="str">
        <f t="shared" si="22"/>
        <v>CA_MODESTO, CA MSA</v>
      </c>
      <c r="D415" s="136" t="s">
        <v>99</v>
      </c>
      <c r="E415" s="262" t="s">
        <v>3131</v>
      </c>
      <c r="F415" s="136" t="s">
        <v>183</v>
      </c>
      <c r="G415" s="246">
        <v>55200</v>
      </c>
      <c r="H415" s="246">
        <v>63050</v>
      </c>
      <c r="I415" s="246">
        <v>70950</v>
      </c>
      <c r="J415" s="246">
        <v>78800</v>
      </c>
      <c r="K415" s="246">
        <v>85150</v>
      </c>
      <c r="L415" s="246">
        <v>91450</v>
      </c>
      <c r="M415" s="246">
        <v>97750</v>
      </c>
      <c r="N415" s="246">
        <v>104050</v>
      </c>
    </row>
    <row r="416" spans="3:14" ht="21.95" customHeight="1" x14ac:dyDescent="0.25">
      <c r="C416" s="139" t="str">
        <f t="shared" si="22"/>
        <v>CA_MODOC COUNTY, CA</v>
      </c>
      <c r="D416" s="136" t="s">
        <v>99</v>
      </c>
      <c r="E416" s="262" t="s">
        <v>3132</v>
      </c>
      <c r="F416" s="136" t="s">
        <v>183</v>
      </c>
      <c r="G416" s="246">
        <v>52600</v>
      </c>
      <c r="H416" s="246">
        <v>60100</v>
      </c>
      <c r="I416" s="246">
        <v>67600</v>
      </c>
      <c r="J416" s="246">
        <v>75100</v>
      </c>
      <c r="K416" s="246">
        <v>81150</v>
      </c>
      <c r="L416" s="246">
        <v>87150</v>
      </c>
      <c r="M416" s="246">
        <v>93150</v>
      </c>
      <c r="N416" s="246">
        <v>99150</v>
      </c>
    </row>
    <row r="417" spans="3:14" ht="21.95" customHeight="1" x14ac:dyDescent="0.25">
      <c r="C417" s="139" t="str">
        <f t="shared" si="22"/>
        <v>CA_MONO COUNTY, CA</v>
      </c>
      <c r="D417" s="136" t="s">
        <v>99</v>
      </c>
      <c r="E417" s="262" t="s">
        <v>3133</v>
      </c>
      <c r="F417" s="136" t="s">
        <v>183</v>
      </c>
      <c r="G417" s="246">
        <v>57200</v>
      </c>
      <c r="H417" s="246">
        <v>65400</v>
      </c>
      <c r="I417" s="246">
        <v>73550</v>
      </c>
      <c r="J417" s="246">
        <v>81700</v>
      </c>
      <c r="K417" s="246">
        <v>88250</v>
      </c>
      <c r="L417" s="246">
        <v>94800</v>
      </c>
      <c r="M417" s="246">
        <v>101350</v>
      </c>
      <c r="N417" s="246">
        <v>107850</v>
      </c>
    </row>
    <row r="418" spans="3:14" ht="21.95" customHeight="1" x14ac:dyDescent="0.25">
      <c r="C418" s="139" t="str">
        <f t="shared" si="22"/>
        <v>CA_NAPA, CA MSA</v>
      </c>
      <c r="D418" s="136" t="s">
        <v>99</v>
      </c>
      <c r="E418" s="262" t="s">
        <v>3134</v>
      </c>
      <c r="F418" s="136" t="s">
        <v>183</v>
      </c>
      <c r="G418" s="246">
        <v>89750</v>
      </c>
      <c r="H418" s="246">
        <v>102550</v>
      </c>
      <c r="I418" s="246">
        <v>115350</v>
      </c>
      <c r="J418" s="246">
        <v>128150</v>
      </c>
      <c r="K418" s="246">
        <v>138450</v>
      </c>
      <c r="L418" s="246">
        <v>148700</v>
      </c>
      <c r="M418" s="246">
        <v>158950</v>
      </c>
      <c r="N418" s="246">
        <v>169200</v>
      </c>
    </row>
    <row r="419" spans="3:14" ht="21.95" customHeight="1" x14ac:dyDescent="0.25">
      <c r="C419" s="139" t="str">
        <f t="shared" si="22"/>
        <v>CA_NEVADA COUNTY, CA</v>
      </c>
      <c r="D419" s="136" t="s">
        <v>99</v>
      </c>
      <c r="E419" s="262" t="s">
        <v>3135</v>
      </c>
      <c r="F419" s="136" t="s">
        <v>183</v>
      </c>
      <c r="G419" s="246">
        <v>63700</v>
      </c>
      <c r="H419" s="246">
        <v>72800</v>
      </c>
      <c r="I419" s="246">
        <v>81900</v>
      </c>
      <c r="J419" s="246">
        <v>91000</v>
      </c>
      <c r="K419" s="246">
        <v>98300</v>
      </c>
      <c r="L419" s="246">
        <v>105600</v>
      </c>
      <c r="M419" s="246">
        <v>112850</v>
      </c>
      <c r="N419" s="246">
        <v>120150</v>
      </c>
    </row>
    <row r="420" spans="3:14" ht="21.95" customHeight="1" x14ac:dyDescent="0.25">
      <c r="C420" s="139" t="str">
        <f t="shared" si="22"/>
        <v>CA_OAKLAND-FREMONT, CA HUD METRO FMR AREA</v>
      </c>
      <c r="D420" s="136" t="s">
        <v>99</v>
      </c>
      <c r="E420" s="262" t="s">
        <v>3136</v>
      </c>
      <c r="F420" s="136" t="s">
        <v>183</v>
      </c>
      <c r="G420" s="246">
        <v>87550</v>
      </c>
      <c r="H420" s="246">
        <v>100050</v>
      </c>
      <c r="I420" s="246">
        <v>112550</v>
      </c>
      <c r="J420" s="246">
        <v>125050</v>
      </c>
      <c r="K420" s="246">
        <v>135100</v>
      </c>
      <c r="L420" s="246">
        <v>145100</v>
      </c>
      <c r="M420" s="246">
        <v>155100</v>
      </c>
      <c r="N420" s="246">
        <v>165100</v>
      </c>
    </row>
    <row r="421" spans="3:14" ht="21.95" customHeight="1" x14ac:dyDescent="0.25">
      <c r="C421" s="139" t="str">
        <f t="shared" si="22"/>
        <v>CA_OXNARD-THOUSAND OAKS-VENTURA, CA MSA</v>
      </c>
      <c r="D421" s="136" t="s">
        <v>99</v>
      </c>
      <c r="E421" s="262" t="s">
        <v>3137</v>
      </c>
      <c r="F421" s="136" t="s">
        <v>183</v>
      </c>
      <c r="G421" s="246">
        <v>83850</v>
      </c>
      <c r="H421" s="246">
        <v>95800</v>
      </c>
      <c r="I421" s="246">
        <v>107800</v>
      </c>
      <c r="J421" s="246">
        <v>119750</v>
      </c>
      <c r="K421" s="246">
        <v>129350</v>
      </c>
      <c r="L421" s="246">
        <v>138950</v>
      </c>
      <c r="M421" s="246">
        <v>148500</v>
      </c>
      <c r="N421" s="246">
        <v>158100</v>
      </c>
    </row>
    <row r="422" spans="3:14" ht="21.95" customHeight="1" x14ac:dyDescent="0.25">
      <c r="C422" s="139" t="str">
        <f t="shared" si="22"/>
        <v>CA_PLUMAS COUNTY, CA</v>
      </c>
      <c r="D422" s="136" t="s">
        <v>99</v>
      </c>
      <c r="E422" s="262" t="s">
        <v>3138</v>
      </c>
      <c r="F422" s="136" t="s">
        <v>183</v>
      </c>
      <c r="G422" s="246">
        <v>53400</v>
      </c>
      <c r="H422" s="246">
        <v>61000</v>
      </c>
      <c r="I422" s="246">
        <v>68650</v>
      </c>
      <c r="J422" s="246">
        <v>76250</v>
      </c>
      <c r="K422" s="246">
        <v>82350</v>
      </c>
      <c r="L422" s="246">
        <v>88450</v>
      </c>
      <c r="M422" s="246">
        <v>94550</v>
      </c>
      <c r="N422" s="246">
        <v>100650</v>
      </c>
    </row>
    <row r="423" spans="3:14" ht="21.95" customHeight="1" x14ac:dyDescent="0.25">
      <c r="C423" s="139" t="str">
        <f t="shared" si="22"/>
        <v>CA_REDDING, CA MSA</v>
      </c>
      <c r="D423" s="136" t="s">
        <v>99</v>
      </c>
      <c r="E423" s="262" t="s">
        <v>3139</v>
      </c>
      <c r="F423" s="136" t="s">
        <v>183</v>
      </c>
      <c r="G423" s="246">
        <v>54500</v>
      </c>
      <c r="H423" s="246">
        <v>62300</v>
      </c>
      <c r="I423" s="246">
        <v>70100</v>
      </c>
      <c r="J423" s="246">
        <v>77850</v>
      </c>
      <c r="K423" s="246">
        <v>84100</v>
      </c>
      <c r="L423" s="246">
        <v>90350</v>
      </c>
      <c r="M423" s="246">
        <v>96550</v>
      </c>
      <c r="N423" s="246">
        <v>102800</v>
      </c>
    </row>
    <row r="424" spans="3:14" ht="21.95" customHeight="1" x14ac:dyDescent="0.25">
      <c r="C424" s="139" t="str">
        <f t="shared" si="22"/>
        <v>CA_RIVERSIDE-SAN BERNARDINO-ONTARIO, CA MSA</v>
      </c>
      <c r="D424" s="136" t="s">
        <v>99</v>
      </c>
      <c r="E424" s="262" t="s">
        <v>3140</v>
      </c>
      <c r="F424" s="136" t="s">
        <v>183</v>
      </c>
      <c r="G424" s="246">
        <v>62650</v>
      </c>
      <c r="H424" s="246">
        <v>71600</v>
      </c>
      <c r="I424" s="246">
        <v>80550</v>
      </c>
      <c r="J424" s="246">
        <v>89500</v>
      </c>
      <c r="K424" s="246">
        <v>96700</v>
      </c>
      <c r="L424" s="246">
        <v>103850</v>
      </c>
      <c r="M424" s="246">
        <v>111000</v>
      </c>
      <c r="N424" s="246">
        <v>118150</v>
      </c>
    </row>
    <row r="425" spans="3:14" ht="21.95" customHeight="1" x14ac:dyDescent="0.25">
      <c r="C425" s="139" t="str">
        <f t="shared" si="22"/>
        <v>CA_SACRAMENTO--ROSEVILLE--ARDEN-ARCADE, CA HUD METRO FMR AREA</v>
      </c>
      <c r="D425" s="136" t="s">
        <v>99</v>
      </c>
      <c r="E425" s="262" t="s">
        <v>3141</v>
      </c>
      <c r="F425" s="136" t="s">
        <v>183</v>
      </c>
      <c r="G425" s="246">
        <v>72050</v>
      </c>
      <c r="H425" s="246">
        <v>82350</v>
      </c>
      <c r="I425" s="246">
        <v>92650</v>
      </c>
      <c r="J425" s="246">
        <v>102900</v>
      </c>
      <c r="K425" s="246">
        <v>111150</v>
      </c>
      <c r="L425" s="246">
        <v>119400</v>
      </c>
      <c r="M425" s="246">
        <v>127600</v>
      </c>
      <c r="N425" s="246">
        <v>135850</v>
      </c>
    </row>
    <row r="426" spans="3:14" ht="21.95" customHeight="1" x14ac:dyDescent="0.25">
      <c r="C426" s="139" t="str">
        <f t="shared" si="22"/>
        <v>CA_SALINAS, CA MSA</v>
      </c>
      <c r="D426" s="136" t="s">
        <v>99</v>
      </c>
      <c r="E426" s="262" t="s">
        <v>3142</v>
      </c>
      <c r="F426" s="136" t="s">
        <v>183</v>
      </c>
      <c r="G426" s="246">
        <v>81000</v>
      </c>
      <c r="H426" s="246">
        <v>92600</v>
      </c>
      <c r="I426" s="246">
        <v>104150</v>
      </c>
      <c r="J426" s="246">
        <v>115700</v>
      </c>
      <c r="K426" s="246">
        <v>125000</v>
      </c>
      <c r="L426" s="246">
        <v>134250</v>
      </c>
      <c r="M426" s="246">
        <v>143500</v>
      </c>
      <c r="N426" s="246">
        <v>152750</v>
      </c>
    </row>
    <row r="427" spans="3:14" ht="21.95" customHeight="1" x14ac:dyDescent="0.25">
      <c r="C427" s="139" t="str">
        <f t="shared" si="22"/>
        <v>CA_SAN BENITO COUNTY, CA HUD METRO FMR AREA</v>
      </c>
      <c r="D427" s="136" t="s">
        <v>99</v>
      </c>
      <c r="E427" s="262" t="s">
        <v>3143</v>
      </c>
      <c r="F427" s="136" t="s">
        <v>183</v>
      </c>
      <c r="G427" s="246">
        <v>74900</v>
      </c>
      <c r="H427" s="246">
        <v>85600</v>
      </c>
      <c r="I427" s="246">
        <v>96300</v>
      </c>
      <c r="J427" s="246">
        <v>106950</v>
      </c>
      <c r="K427" s="246">
        <v>115550</v>
      </c>
      <c r="L427" s="246">
        <v>124100</v>
      </c>
      <c r="M427" s="246">
        <v>132650</v>
      </c>
      <c r="N427" s="246">
        <v>141200</v>
      </c>
    </row>
    <row r="428" spans="3:14" ht="21.95" customHeight="1" x14ac:dyDescent="0.25">
      <c r="C428" s="139" t="str">
        <f t="shared" si="22"/>
        <v>CA_SAN DIEGO-CHULA VISTA-CARLSBAD, CA MSA</v>
      </c>
      <c r="D428" s="136" t="s">
        <v>99</v>
      </c>
      <c r="E428" s="262" t="s">
        <v>9096</v>
      </c>
      <c r="F428" s="136" t="s">
        <v>183</v>
      </c>
      <c r="G428" s="246">
        <v>92700</v>
      </c>
      <c r="H428" s="246">
        <v>105950</v>
      </c>
      <c r="I428" s="246">
        <v>119200</v>
      </c>
      <c r="J428" s="246">
        <v>132400</v>
      </c>
      <c r="K428" s="246">
        <v>143000</v>
      </c>
      <c r="L428" s="246">
        <v>153600</v>
      </c>
      <c r="M428" s="246">
        <v>164200</v>
      </c>
      <c r="N428" s="246">
        <v>174800</v>
      </c>
    </row>
    <row r="429" spans="3:14" ht="21.95" customHeight="1" x14ac:dyDescent="0.25">
      <c r="C429" s="139" t="str">
        <f t="shared" si="22"/>
        <v>CA_SAN FRANCISCO, CA HUD METRO FMR AREA</v>
      </c>
      <c r="D429" s="136" t="s">
        <v>99</v>
      </c>
      <c r="E429" s="262" t="s">
        <v>3144</v>
      </c>
      <c r="F429" s="136" t="s">
        <v>183</v>
      </c>
      <c r="G429" s="246">
        <v>108300</v>
      </c>
      <c r="H429" s="246">
        <v>123800</v>
      </c>
      <c r="I429" s="246">
        <v>139250</v>
      </c>
      <c r="J429" s="246">
        <v>154700</v>
      </c>
      <c r="K429" s="246">
        <v>167100</v>
      </c>
      <c r="L429" s="246">
        <v>179500</v>
      </c>
      <c r="M429" s="246">
        <v>191850</v>
      </c>
      <c r="N429" s="246">
        <v>204250</v>
      </c>
    </row>
    <row r="430" spans="3:14" ht="21.95" customHeight="1" x14ac:dyDescent="0.25">
      <c r="C430" s="139" t="str">
        <f t="shared" si="22"/>
        <v>CA_SAN JOSE-SUNNYVALE-SANTA CLARA, CA HUD METRO FMR AREA</v>
      </c>
      <c r="D430" s="136" t="s">
        <v>99</v>
      </c>
      <c r="E430" s="262" t="s">
        <v>3145</v>
      </c>
      <c r="F430" s="136" t="s">
        <v>183</v>
      </c>
      <c r="G430" s="246">
        <v>111700</v>
      </c>
      <c r="H430" s="246">
        <v>127650</v>
      </c>
      <c r="I430" s="246">
        <v>143600</v>
      </c>
      <c r="J430" s="246">
        <v>159550</v>
      </c>
      <c r="K430" s="246">
        <v>172350</v>
      </c>
      <c r="L430" s="246">
        <v>185100</v>
      </c>
      <c r="M430" s="246">
        <v>197850</v>
      </c>
      <c r="N430" s="246">
        <v>210650</v>
      </c>
    </row>
    <row r="431" spans="3:14" ht="21.95" customHeight="1" x14ac:dyDescent="0.25">
      <c r="C431" s="139" t="str">
        <f t="shared" si="22"/>
        <v>CA_SAN LUIS OBISPO-PASO ROBLES, CA MSA</v>
      </c>
      <c r="D431" s="136" t="s">
        <v>99</v>
      </c>
      <c r="E431" s="262" t="s">
        <v>9097</v>
      </c>
      <c r="F431" s="136" t="s">
        <v>183</v>
      </c>
      <c r="G431" s="246">
        <v>77950</v>
      </c>
      <c r="H431" s="246">
        <v>89050</v>
      </c>
      <c r="I431" s="246">
        <v>100200</v>
      </c>
      <c r="J431" s="246">
        <v>111300</v>
      </c>
      <c r="K431" s="246">
        <v>120250</v>
      </c>
      <c r="L431" s="246">
        <v>129150</v>
      </c>
      <c r="M431" s="246">
        <v>138050</v>
      </c>
      <c r="N431" s="246">
        <v>146950</v>
      </c>
    </row>
    <row r="432" spans="3:14" ht="21.95" customHeight="1" x14ac:dyDescent="0.25">
      <c r="C432" s="139" t="str">
        <f t="shared" si="22"/>
        <v>CA_SANTA ANA-ANAHEIM-IRVINE, CA HUD METRO FMR AREA</v>
      </c>
      <c r="D432" s="136" t="s">
        <v>99</v>
      </c>
      <c r="E432" s="262" t="s">
        <v>3146</v>
      </c>
      <c r="F432" s="136" t="s">
        <v>183</v>
      </c>
      <c r="G432" s="246">
        <v>94750</v>
      </c>
      <c r="H432" s="246">
        <v>108300</v>
      </c>
      <c r="I432" s="246">
        <v>121850</v>
      </c>
      <c r="J432" s="246">
        <v>135350</v>
      </c>
      <c r="K432" s="246">
        <v>146200</v>
      </c>
      <c r="L432" s="246">
        <v>157050</v>
      </c>
      <c r="M432" s="246">
        <v>167850</v>
      </c>
      <c r="N432" s="246">
        <v>178700</v>
      </c>
    </row>
    <row r="433" spans="3:14" ht="21.95" customHeight="1" x14ac:dyDescent="0.25">
      <c r="C433" s="139" t="str">
        <f t="shared" si="22"/>
        <v>CA_SANTA CRUZ-WATSONVILLE, CA MSA</v>
      </c>
      <c r="D433" s="136" t="s">
        <v>99</v>
      </c>
      <c r="E433" s="262" t="s">
        <v>3147</v>
      </c>
      <c r="F433" s="136" t="s">
        <v>183</v>
      </c>
      <c r="G433" s="246">
        <v>111100</v>
      </c>
      <c r="H433" s="246">
        <v>127000</v>
      </c>
      <c r="I433" s="246">
        <v>142850</v>
      </c>
      <c r="J433" s="246">
        <v>158700</v>
      </c>
      <c r="K433" s="246">
        <v>171400</v>
      </c>
      <c r="L433" s="246">
        <v>184100</v>
      </c>
      <c r="M433" s="246">
        <v>196800</v>
      </c>
      <c r="N433" s="246">
        <v>209500</v>
      </c>
    </row>
    <row r="434" spans="3:14" ht="21.95" customHeight="1" x14ac:dyDescent="0.25">
      <c r="C434" s="139" t="str">
        <f t="shared" si="22"/>
        <v>CA_SANTA MARIA-SANTA BARBARA, CA MSA</v>
      </c>
      <c r="D434" s="136" t="s">
        <v>99</v>
      </c>
      <c r="E434" s="262" t="s">
        <v>3148</v>
      </c>
      <c r="F434" s="136" t="s">
        <v>183</v>
      </c>
      <c r="G434" s="246">
        <v>98850</v>
      </c>
      <c r="H434" s="246">
        <v>113000</v>
      </c>
      <c r="I434" s="246">
        <v>127100</v>
      </c>
      <c r="J434" s="246">
        <v>141200</v>
      </c>
      <c r="K434" s="246">
        <v>152500</v>
      </c>
      <c r="L434" s="246">
        <v>163800</v>
      </c>
      <c r="M434" s="246">
        <v>175100</v>
      </c>
      <c r="N434" s="246">
        <v>186400</v>
      </c>
    </row>
    <row r="435" spans="3:14" ht="21.95" customHeight="1" x14ac:dyDescent="0.25">
      <c r="C435" s="139" t="str">
        <f t="shared" si="22"/>
        <v>CA_SANTA ROSA-PETALUMA, CA MSA</v>
      </c>
      <c r="D435" s="136" t="s">
        <v>99</v>
      </c>
      <c r="E435" s="262" t="s">
        <v>9099</v>
      </c>
      <c r="F435" s="136" t="s">
        <v>183</v>
      </c>
      <c r="G435" s="246">
        <v>84650</v>
      </c>
      <c r="H435" s="246">
        <v>96750</v>
      </c>
      <c r="I435" s="246">
        <v>108850</v>
      </c>
      <c r="J435" s="246">
        <v>120900</v>
      </c>
      <c r="K435" s="246">
        <v>130600</v>
      </c>
      <c r="L435" s="246">
        <v>140250</v>
      </c>
      <c r="M435" s="246">
        <v>149950</v>
      </c>
      <c r="N435" s="246">
        <v>159600</v>
      </c>
    </row>
    <row r="436" spans="3:14" ht="21.95" customHeight="1" x14ac:dyDescent="0.25">
      <c r="C436" s="139" t="str">
        <f t="shared" si="22"/>
        <v>CA_SIERRA COUNTY, CA</v>
      </c>
      <c r="D436" s="136" t="s">
        <v>99</v>
      </c>
      <c r="E436" s="262" t="s">
        <v>3149</v>
      </c>
      <c r="F436" s="136" t="s">
        <v>183</v>
      </c>
      <c r="G436" s="246">
        <v>52600</v>
      </c>
      <c r="H436" s="246">
        <v>60100</v>
      </c>
      <c r="I436" s="246">
        <v>67600</v>
      </c>
      <c r="J436" s="246">
        <v>75100</v>
      </c>
      <c r="K436" s="246">
        <v>81150</v>
      </c>
      <c r="L436" s="246">
        <v>87150</v>
      </c>
      <c r="M436" s="246">
        <v>93150</v>
      </c>
      <c r="N436" s="246">
        <v>99150</v>
      </c>
    </row>
    <row r="437" spans="3:14" ht="21.95" customHeight="1" x14ac:dyDescent="0.25">
      <c r="C437" s="139" t="str">
        <f t="shared" si="22"/>
        <v>CA_SISKIYOU COUNTY, CA</v>
      </c>
      <c r="D437" s="136" t="s">
        <v>99</v>
      </c>
      <c r="E437" s="262" t="s">
        <v>3150</v>
      </c>
      <c r="F437" s="136" t="s">
        <v>183</v>
      </c>
      <c r="G437" s="246">
        <v>52600</v>
      </c>
      <c r="H437" s="246">
        <v>60100</v>
      </c>
      <c r="I437" s="246">
        <v>67600</v>
      </c>
      <c r="J437" s="246">
        <v>75100</v>
      </c>
      <c r="K437" s="246">
        <v>81150</v>
      </c>
      <c r="L437" s="246">
        <v>87150</v>
      </c>
      <c r="M437" s="246">
        <v>93150</v>
      </c>
      <c r="N437" s="246">
        <v>99150</v>
      </c>
    </row>
    <row r="438" spans="3:14" ht="21.95" customHeight="1" x14ac:dyDescent="0.25">
      <c r="C438" s="139" t="str">
        <f t="shared" si="22"/>
        <v>CA_STOCKTON-LODI, CA MSA</v>
      </c>
      <c r="D438" s="136" t="s">
        <v>99</v>
      </c>
      <c r="E438" s="262" t="s">
        <v>3151</v>
      </c>
      <c r="F438" s="136" t="s">
        <v>183</v>
      </c>
      <c r="G438" s="246">
        <v>58600</v>
      </c>
      <c r="H438" s="246">
        <v>67000</v>
      </c>
      <c r="I438" s="246">
        <v>75350</v>
      </c>
      <c r="J438" s="246">
        <v>83700</v>
      </c>
      <c r="K438" s="246">
        <v>90400</v>
      </c>
      <c r="L438" s="246">
        <v>97100</v>
      </c>
      <c r="M438" s="246">
        <v>103800</v>
      </c>
      <c r="N438" s="246">
        <v>110500</v>
      </c>
    </row>
    <row r="439" spans="3:14" ht="21.95" customHeight="1" x14ac:dyDescent="0.25">
      <c r="C439" s="139" t="str">
        <f t="shared" si="22"/>
        <v>CA_TEHAMA COUNTY, CA</v>
      </c>
      <c r="D439" s="136" t="s">
        <v>99</v>
      </c>
      <c r="E439" s="262" t="s">
        <v>3152</v>
      </c>
      <c r="F439" s="136" t="s">
        <v>183</v>
      </c>
      <c r="G439" s="246">
        <v>52600</v>
      </c>
      <c r="H439" s="246">
        <v>60100</v>
      </c>
      <c r="I439" s="246">
        <v>67600</v>
      </c>
      <c r="J439" s="246">
        <v>75100</v>
      </c>
      <c r="K439" s="246">
        <v>81150</v>
      </c>
      <c r="L439" s="246">
        <v>87150</v>
      </c>
      <c r="M439" s="246">
        <v>93150</v>
      </c>
      <c r="N439" s="246">
        <v>99150</v>
      </c>
    </row>
    <row r="440" spans="3:14" ht="21.95" customHeight="1" x14ac:dyDescent="0.25">
      <c r="C440" s="139" t="str">
        <f t="shared" si="22"/>
        <v>CA_TRINITY COUNTY, CA</v>
      </c>
      <c r="D440" s="136" t="s">
        <v>99</v>
      </c>
      <c r="E440" s="262" t="s">
        <v>3153</v>
      </c>
      <c r="F440" s="136" t="s">
        <v>183</v>
      </c>
      <c r="G440" s="246">
        <v>52600</v>
      </c>
      <c r="H440" s="246">
        <v>60100</v>
      </c>
      <c r="I440" s="246">
        <v>67600</v>
      </c>
      <c r="J440" s="246">
        <v>75100</v>
      </c>
      <c r="K440" s="246">
        <v>81150</v>
      </c>
      <c r="L440" s="246">
        <v>87150</v>
      </c>
      <c r="M440" s="246">
        <v>93150</v>
      </c>
      <c r="N440" s="246">
        <v>99150</v>
      </c>
    </row>
    <row r="441" spans="3:14" ht="21.95" customHeight="1" x14ac:dyDescent="0.25">
      <c r="C441" s="139" t="str">
        <f t="shared" si="22"/>
        <v>CA_TUOLUMNE COUNTY, CA</v>
      </c>
      <c r="D441" s="136" t="s">
        <v>99</v>
      </c>
      <c r="E441" s="262" t="s">
        <v>3154</v>
      </c>
      <c r="F441" s="136" t="s">
        <v>183</v>
      </c>
      <c r="G441" s="246">
        <v>56950</v>
      </c>
      <c r="H441" s="246">
        <v>65050</v>
      </c>
      <c r="I441" s="246">
        <v>73200</v>
      </c>
      <c r="J441" s="246">
        <v>81300</v>
      </c>
      <c r="K441" s="246">
        <v>87850</v>
      </c>
      <c r="L441" s="246">
        <v>94350</v>
      </c>
      <c r="M441" s="246">
        <v>100850</v>
      </c>
      <c r="N441" s="246">
        <v>107350</v>
      </c>
    </row>
    <row r="442" spans="3:14" ht="21.95" customHeight="1" x14ac:dyDescent="0.25">
      <c r="C442" s="139" t="str">
        <f t="shared" si="22"/>
        <v>CA_VALLEJO, CA MSA</v>
      </c>
      <c r="D442" s="136" t="s">
        <v>99</v>
      </c>
      <c r="E442" s="262" t="s">
        <v>9098</v>
      </c>
      <c r="F442" s="136" t="s">
        <v>183</v>
      </c>
      <c r="G442" s="246">
        <v>76950</v>
      </c>
      <c r="H442" s="246">
        <v>87950</v>
      </c>
      <c r="I442" s="246">
        <v>98950</v>
      </c>
      <c r="J442" s="246">
        <v>109900</v>
      </c>
      <c r="K442" s="246">
        <v>118700</v>
      </c>
      <c r="L442" s="246">
        <v>127500</v>
      </c>
      <c r="M442" s="246">
        <v>136300</v>
      </c>
      <c r="N442" s="246">
        <v>145100</v>
      </c>
    </row>
    <row r="443" spans="3:14" ht="21.95" customHeight="1" x14ac:dyDescent="0.25">
      <c r="C443" s="139" t="str">
        <f t="shared" si="22"/>
        <v>CA_VISALIA, CA MSA</v>
      </c>
      <c r="D443" s="136" t="s">
        <v>99</v>
      </c>
      <c r="E443" s="262" t="s">
        <v>9100</v>
      </c>
      <c r="F443" s="136" t="s">
        <v>183</v>
      </c>
      <c r="G443" s="246">
        <v>52600</v>
      </c>
      <c r="H443" s="246">
        <v>60100</v>
      </c>
      <c r="I443" s="246">
        <v>67600</v>
      </c>
      <c r="J443" s="246">
        <v>75100</v>
      </c>
      <c r="K443" s="246">
        <v>81150</v>
      </c>
      <c r="L443" s="246">
        <v>87150</v>
      </c>
      <c r="M443" s="246">
        <v>93150</v>
      </c>
      <c r="N443" s="246">
        <v>99150</v>
      </c>
    </row>
    <row r="444" spans="3:14" ht="21.95" customHeight="1" x14ac:dyDescent="0.25">
      <c r="C444" s="139" t="str">
        <f t="shared" si="22"/>
        <v>CA_YOLO, CA HUD METRO FMR AREA</v>
      </c>
      <c r="D444" s="136" t="s">
        <v>99</v>
      </c>
      <c r="E444" s="262" t="s">
        <v>3155</v>
      </c>
      <c r="F444" s="136" t="s">
        <v>183</v>
      </c>
      <c r="G444" s="246">
        <v>70500</v>
      </c>
      <c r="H444" s="246">
        <v>80600</v>
      </c>
      <c r="I444" s="246">
        <v>90650</v>
      </c>
      <c r="J444" s="246">
        <v>100700</v>
      </c>
      <c r="K444" s="246">
        <v>108800</v>
      </c>
      <c r="L444" s="246">
        <v>116850</v>
      </c>
      <c r="M444" s="246">
        <v>124900</v>
      </c>
      <c r="N444" s="246">
        <v>132950</v>
      </c>
    </row>
    <row r="445" spans="3:14" ht="21.95" customHeight="1" x14ac:dyDescent="0.25">
      <c r="C445" s="139" t="str">
        <f t="shared" si="22"/>
        <v>CA_YUBA CITY, CA MSA</v>
      </c>
      <c r="D445" s="136" t="s">
        <v>99</v>
      </c>
      <c r="E445" s="262" t="s">
        <v>3156</v>
      </c>
      <c r="F445" s="136" t="s">
        <v>183</v>
      </c>
      <c r="G445" s="246">
        <v>53750</v>
      </c>
      <c r="H445" s="246">
        <v>61400</v>
      </c>
      <c r="I445" s="246">
        <v>69100</v>
      </c>
      <c r="J445" s="246">
        <v>76750</v>
      </c>
      <c r="K445" s="246">
        <v>82900</v>
      </c>
      <c r="L445" s="246">
        <v>89050</v>
      </c>
      <c r="M445" s="246">
        <v>95200</v>
      </c>
      <c r="N445" s="246">
        <v>101350</v>
      </c>
    </row>
    <row r="446" spans="3:14" ht="21.95" customHeight="1" x14ac:dyDescent="0.25">
      <c r="C446" s="139" t="str">
        <f t="shared" si="22"/>
        <v>CO_ALAMOSA COUNTY, CO</v>
      </c>
      <c r="D446" s="136" t="s">
        <v>98</v>
      </c>
      <c r="E446" s="262" t="s">
        <v>3157</v>
      </c>
      <c r="F446" s="136" t="s">
        <v>183</v>
      </c>
      <c r="G446" s="246">
        <v>57150</v>
      </c>
      <c r="H446" s="246">
        <v>65300</v>
      </c>
      <c r="I446" s="246">
        <v>73450</v>
      </c>
      <c r="J446" s="246">
        <v>81600</v>
      </c>
      <c r="K446" s="246">
        <v>88150</v>
      </c>
      <c r="L446" s="246">
        <v>94700</v>
      </c>
      <c r="M446" s="246">
        <v>101200</v>
      </c>
      <c r="N446" s="246">
        <v>107750</v>
      </c>
    </row>
    <row r="447" spans="3:14" ht="21.95" customHeight="1" x14ac:dyDescent="0.25">
      <c r="C447" s="139" t="str">
        <f t="shared" si="22"/>
        <v>CO_ARCHULETA COUNTY, CO</v>
      </c>
      <c r="D447" s="136" t="s">
        <v>98</v>
      </c>
      <c r="E447" s="262" t="s">
        <v>3158</v>
      </c>
      <c r="F447" s="136" t="s">
        <v>183</v>
      </c>
      <c r="G447" s="246">
        <v>57150</v>
      </c>
      <c r="H447" s="246">
        <v>65300</v>
      </c>
      <c r="I447" s="246">
        <v>73450</v>
      </c>
      <c r="J447" s="246">
        <v>81600</v>
      </c>
      <c r="K447" s="246">
        <v>88150</v>
      </c>
      <c r="L447" s="246">
        <v>94700</v>
      </c>
      <c r="M447" s="246">
        <v>101200</v>
      </c>
      <c r="N447" s="246">
        <v>107750</v>
      </c>
    </row>
    <row r="448" spans="3:14" ht="21.95" customHeight="1" x14ac:dyDescent="0.25">
      <c r="C448" s="139" t="str">
        <f t="shared" ref="C448:C511" si="23">TRIM(UPPER(D448))&amp;"_"&amp;TRIM(UPPER(E448))</f>
        <v>CO_BACA COUNTY, CO</v>
      </c>
      <c r="D448" s="136" t="s">
        <v>98</v>
      </c>
      <c r="E448" s="262" t="s">
        <v>3159</v>
      </c>
      <c r="F448" s="136" t="s">
        <v>183</v>
      </c>
      <c r="G448" s="246">
        <v>57150</v>
      </c>
      <c r="H448" s="246">
        <v>65300</v>
      </c>
      <c r="I448" s="246">
        <v>73450</v>
      </c>
      <c r="J448" s="246">
        <v>81600</v>
      </c>
      <c r="K448" s="246">
        <v>88150</v>
      </c>
      <c r="L448" s="246">
        <v>94700</v>
      </c>
      <c r="M448" s="246">
        <v>101200</v>
      </c>
      <c r="N448" s="246">
        <v>107750</v>
      </c>
    </row>
    <row r="449" spans="3:14" ht="21.95" customHeight="1" x14ac:dyDescent="0.25">
      <c r="C449" s="139" t="str">
        <f t="shared" si="23"/>
        <v>CO_BENT COUNTY, CO</v>
      </c>
      <c r="D449" s="136" t="s">
        <v>98</v>
      </c>
      <c r="E449" s="262" t="s">
        <v>3160</v>
      </c>
      <c r="F449" s="136" t="s">
        <v>183</v>
      </c>
      <c r="G449" s="246">
        <v>57150</v>
      </c>
      <c r="H449" s="246">
        <v>65300</v>
      </c>
      <c r="I449" s="246">
        <v>73450</v>
      </c>
      <c r="J449" s="246">
        <v>81600</v>
      </c>
      <c r="K449" s="246">
        <v>88150</v>
      </c>
      <c r="L449" s="246">
        <v>94700</v>
      </c>
      <c r="M449" s="246">
        <v>101200</v>
      </c>
      <c r="N449" s="246">
        <v>107750</v>
      </c>
    </row>
    <row r="450" spans="3:14" ht="21.95" customHeight="1" x14ac:dyDescent="0.25">
      <c r="C450" s="139" t="str">
        <f t="shared" si="23"/>
        <v>CO_BOULDER, CO MSA</v>
      </c>
      <c r="D450" s="136" t="s">
        <v>98</v>
      </c>
      <c r="E450" s="262" t="s">
        <v>3161</v>
      </c>
      <c r="F450" s="136" t="s">
        <v>183</v>
      </c>
      <c r="G450" s="246">
        <v>72950</v>
      </c>
      <c r="H450" s="246">
        <v>83400</v>
      </c>
      <c r="I450" s="246">
        <v>93800</v>
      </c>
      <c r="J450" s="246">
        <v>104200</v>
      </c>
      <c r="K450" s="246">
        <v>112550</v>
      </c>
      <c r="L450" s="246">
        <v>120900</v>
      </c>
      <c r="M450" s="246">
        <v>129250</v>
      </c>
      <c r="N450" s="246">
        <v>137550</v>
      </c>
    </row>
    <row r="451" spans="3:14" ht="21.95" customHeight="1" x14ac:dyDescent="0.25">
      <c r="C451" s="139" t="str">
        <f t="shared" si="23"/>
        <v>CO_CHAFFEE COUNTY, CO</v>
      </c>
      <c r="D451" s="136" t="s">
        <v>98</v>
      </c>
      <c r="E451" s="262" t="s">
        <v>3162</v>
      </c>
      <c r="F451" s="136" t="s">
        <v>183</v>
      </c>
      <c r="G451" s="246">
        <v>57600</v>
      </c>
      <c r="H451" s="246">
        <v>65800</v>
      </c>
      <c r="I451" s="246">
        <v>74050</v>
      </c>
      <c r="J451" s="246">
        <v>82250</v>
      </c>
      <c r="K451" s="246">
        <v>88850</v>
      </c>
      <c r="L451" s="246">
        <v>95450</v>
      </c>
      <c r="M451" s="246">
        <v>102000</v>
      </c>
      <c r="N451" s="246">
        <v>108600</v>
      </c>
    </row>
    <row r="452" spans="3:14" ht="21.95" customHeight="1" x14ac:dyDescent="0.25">
      <c r="C452" s="139" t="str">
        <f t="shared" si="23"/>
        <v>CO_CHEYENNE COUNTY, CO</v>
      </c>
      <c r="D452" s="136" t="s">
        <v>98</v>
      </c>
      <c r="E452" s="262" t="s">
        <v>3163</v>
      </c>
      <c r="F452" s="136" t="s">
        <v>183</v>
      </c>
      <c r="G452" s="246">
        <v>57150</v>
      </c>
      <c r="H452" s="246">
        <v>65300</v>
      </c>
      <c r="I452" s="246">
        <v>73450</v>
      </c>
      <c r="J452" s="246">
        <v>81600</v>
      </c>
      <c r="K452" s="246">
        <v>88150</v>
      </c>
      <c r="L452" s="246">
        <v>94700</v>
      </c>
      <c r="M452" s="246">
        <v>101200</v>
      </c>
      <c r="N452" s="246">
        <v>107750</v>
      </c>
    </row>
    <row r="453" spans="3:14" ht="21.95" customHeight="1" x14ac:dyDescent="0.25">
      <c r="C453" s="139" t="str">
        <f t="shared" si="23"/>
        <v>CO_COLORADO SPRINGS, CO HUD METRO FMR AREA</v>
      </c>
      <c r="D453" s="136" t="s">
        <v>98</v>
      </c>
      <c r="E453" s="262" t="s">
        <v>3164</v>
      </c>
      <c r="F453" s="136" t="s">
        <v>183</v>
      </c>
      <c r="G453" s="246">
        <v>63000</v>
      </c>
      <c r="H453" s="246">
        <v>72000</v>
      </c>
      <c r="I453" s="246">
        <v>81000</v>
      </c>
      <c r="J453" s="246">
        <v>90000</v>
      </c>
      <c r="K453" s="246">
        <v>97200</v>
      </c>
      <c r="L453" s="246">
        <v>104400</v>
      </c>
      <c r="M453" s="246">
        <v>111600</v>
      </c>
      <c r="N453" s="246">
        <v>118800</v>
      </c>
    </row>
    <row r="454" spans="3:14" ht="21.95" customHeight="1" x14ac:dyDescent="0.25">
      <c r="C454" s="139" t="str">
        <f t="shared" si="23"/>
        <v>CO_CONEJOS COUNTY, CO</v>
      </c>
      <c r="D454" s="136" t="s">
        <v>98</v>
      </c>
      <c r="E454" s="262" t="s">
        <v>3165</v>
      </c>
      <c r="F454" s="136" t="s">
        <v>183</v>
      </c>
      <c r="G454" s="246">
        <v>57150</v>
      </c>
      <c r="H454" s="246">
        <v>65300</v>
      </c>
      <c r="I454" s="246">
        <v>73450</v>
      </c>
      <c r="J454" s="246">
        <v>81600</v>
      </c>
      <c r="K454" s="246">
        <v>88150</v>
      </c>
      <c r="L454" s="246">
        <v>94700</v>
      </c>
      <c r="M454" s="246">
        <v>101200</v>
      </c>
      <c r="N454" s="246">
        <v>107750</v>
      </c>
    </row>
    <row r="455" spans="3:14" ht="21.95" customHeight="1" x14ac:dyDescent="0.25">
      <c r="C455" s="139" t="str">
        <f t="shared" si="23"/>
        <v>CO_COSTILLA COUNTY, CO</v>
      </c>
      <c r="D455" s="136" t="s">
        <v>98</v>
      </c>
      <c r="E455" s="262" t="s">
        <v>3166</v>
      </c>
      <c r="F455" s="136" t="s">
        <v>183</v>
      </c>
      <c r="G455" s="246">
        <v>57150</v>
      </c>
      <c r="H455" s="246">
        <v>65300</v>
      </c>
      <c r="I455" s="246">
        <v>73450</v>
      </c>
      <c r="J455" s="246">
        <v>81600</v>
      </c>
      <c r="K455" s="246">
        <v>88150</v>
      </c>
      <c r="L455" s="246">
        <v>94700</v>
      </c>
      <c r="M455" s="246">
        <v>101200</v>
      </c>
      <c r="N455" s="246">
        <v>107750</v>
      </c>
    </row>
    <row r="456" spans="3:14" ht="21.95" customHeight="1" x14ac:dyDescent="0.25">
      <c r="C456" s="139" t="str">
        <f t="shared" si="23"/>
        <v>CO_CROWLEY COUNTY, CO</v>
      </c>
      <c r="D456" s="136" t="s">
        <v>98</v>
      </c>
      <c r="E456" s="262" t="s">
        <v>3167</v>
      </c>
      <c r="F456" s="136" t="s">
        <v>183</v>
      </c>
      <c r="G456" s="246">
        <v>57150</v>
      </c>
      <c r="H456" s="246">
        <v>65300</v>
      </c>
      <c r="I456" s="246">
        <v>73450</v>
      </c>
      <c r="J456" s="246">
        <v>81600</v>
      </c>
      <c r="K456" s="246">
        <v>88150</v>
      </c>
      <c r="L456" s="246">
        <v>94700</v>
      </c>
      <c r="M456" s="246">
        <v>101200</v>
      </c>
      <c r="N456" s="246">
        <v>107750</v>
      </c>
    </row>
    <row r="457" spans="3:14" ht="21.95" customHeight="1" x14ac:dyDescent="0.25">
      <c r="C457" s="139" t="str">
        <f t="shared" si="23"/>
        <v>CO_CUSTER COUNTY, CO</v>
      </c>
      <c r="D457" s="136" t="s">
        <v>98</v>
      </c>
      <c r="E457" s="262" t="s">
        <v>3168</v>
      </c>
      <c r="F457" s="136" t="s">
        <v>183</v>
      </c>
      <c r="G457" s="246">
        <v>57150</v>
      </c>
      <c r="H457" s="246">
        <v>65300</v>
      </c>
      <c r="I457" s="246">
        <v>73450</v>
      </c>
      <c r="J457" s="246">
        <v>81600</v>
      </c>
      <c r="K457" s="246">
        <v>88150</v>
      </c>
      <c r="L457" s="246">
        <v>94700</v>
      </c>
      <c r="M457" s="246">
        <v>101200</v>
      </c>
      <c r="N457" s="246">
        <v>107750</v>
      </c>
    </row>
    <row r="458" spans="3:14" ht="21.95" customHeight="1" x14ac:dyDescent="0.25">
      <c r="C458" s="139" t="str">
        <f t="shared" si="23"/>
        <v>CO_DELTA COUNTY, CO</v>
      </c>
      <c r="D458" s="136" t="s">
        <v>98</v>
      </c>
      <c r="E458" s="262" t="s">
        <v>3169</v>
      </c>
      <c r="F458" s="136" t="s">
        <v>183</v>
      </c>
      <c r="G458" s="246">
        <v>57150</v>
      </c>
      <c r="H458" s="246">
        <v>65300</v>
      </c>
      <c r="I458" s="246">
        <v>73450</v>
      </c>
      <c r="J458" s="246">
        <v>81600</v>
      </c>
      <c r="K458" s="246">
        <v>88150</v>
      </c>
      <c r="L458" s="246">
        <v>94700</v>
      </c>
      <c r="M458" s="246">
        <v>101200</v>
      </c>
      <c r="N458" s="246">
        <v>107750</v>
      </c>
    </row>
    <row r="459" spans="3:14" ht="21.95" customHeight="1" x14ac:dyDescent="0.25">
      <c r="C459" s="139" t="str">
        <f t="shared" si="23"/>
        <v>CO_DENVER-AURORA-CENTENNIAL, CO MSA</v>
      </c>
      <c r="D459" s="136" t="s">
        <v>98</v>
      </c>
      <c r="E459" s="262" t="s">
        <v>9101</v>
      </c>
      <c r="F459" s="136" t="s">
        <v>183</v>
      </c>
      <c r="G459" s="246">
        <v>72950</v>
      </c>
      <c r="H459" s="246">
        <v>83400</v>
      </c>
      <c r="I459" s="246">
        <v>93800</v>
      </c>
      <c r="J459" s="246">
        <v>104200</v>
      </c>
      <c r="K459" s="246">
        <v>112550</v>
      </c>
      <c r="L459" s="246">
        <v>120900</v>
      </c>
      <c r="M459" s="246">
        <v>129250</v>
      </c>
      <c r="N459" s="246">
        <v>137550</v>
      </c>
    </row>
    <row r="460" spans="3:14" ht="21.95" customHeight="1" x14ac:dyDescent="0.25">
      <c r="C460" s="139" t="str">
        <f t="shared" si="23"/>
        <v>CO_DOLORES COUNTY, CO</v>
      </c>
      <c r="D460" s="136" t="s">
        <v>98</v>
      </c>
      <c r="E460" s="262" t="s">
        <v>3170</v>
      </c>
      <c r="F460" s="136" t="s">
        <v>183</v>
      </c>
      <c r="G460" s="246">
        <v>57550</v>
      </c>
      <c r="H460" s="246">
        <v>65750</v>
      </c>
      <c r="I460" s="246">
        <v>73950</v>
      </c>
      <c r="J460" s="246">
        <v>82150</v>
      </c>
      <c r="K460" s="246">
        <v>88750</v>
      </c>
      <c r="L460" s="246">
        <v>95300</v>
      </c>
      <c r="M460" s="246">
        <v>101900</v>
      </c>
      <c r="N460" s="246">
        <v>108450</v>
      </c>
    </row>
    <row r="461" spans="3:14" ht="21.95" customHeight="1" x14ac:dyDescent="0.25">
      <c r="C461" s="139" t="str">
        <f t="shared" si="23"/>
        <v>CO_EAGLE COUNTY, CO</v>
      </c>
      <c r="D461" s="136" t="s">
        <v>98</v>
      </c>
      <c r="E461" s="262" t="s">
        <v>3171</v>
      </c>
      <c r="F461" s="136" t="s">
        <v>183</v>
      </c>
      <c r="G461" s="246">
        <v>72950</v>
      </c>
      <c r="H461" s="246">
        <v>83400</v>
      </c>
      <c r="I461" s="246">
        <v>93800</v>
      </c>
      <c r="J461" s="246">
        <v>104200</v>
      </c>
      <c r="K461" s="246">
        <v>112550</v>
      </c>
      <c r="L461" s="246">
        <v>120900</v>
      </c>
      <c r="M461" s="246">
        <v>129250</v>
      </c>
      <c r="N461" s="246">
        <v>137550</v>
      </c>
    </row>
    <row r="462" spans="3:14" ht="21.95" customHeight="1" x14ac:dyDescent="0.25">
      <c r="C462" s="139" t="str">
        <f t="shared" si="23"/>
        <v>CO_FORT COLLINS-LOVELAND, CO MSA</v>
      </c>
      <c r="D462" s="136" t="s">
        <v>98</v>
      </c>
      <c r="E462" s="262" t="s">
        <v>9102</v>
      </c>
      <c r="F462" s="136" t="s">
        <v>183</v>
      </c>
      <c r="G462" s="246">
        <v>71500</v>
      </c>
      <c r="H462" s="246">
        <v>81700</v>
      </c>
      <c r="I462" s="246">
        <v>91900</v>
      </c>
      <c r="J462" s="246">
        <v>102100</v>
      </c>
      <c r="K462" s="246">
        <v>110300</v>
      </c>
      <c r="L462" s="246">
        <v>118450</v>
      </c>
      <c r="M462" s="246">
        <v>126650</v>
      </c>
      <c r="N462" s="246">
        <v>134800</v>
      </c>
    </row>
    <row r="463" spans="3:14" ht="21.95" customHeight="1" x14ac:dyDescent="0.25">
      <c r="C463" s="139" t="str">
        <f t="shared" si="23"/>
        <v>CO_FREMONT COUNTY, CO</v>
      </c>
      <c r="D463" s="136" t="s">
        <v>98</v>
      </c>
      <c r="E463" s="262" t="s">
        <v>3172</v>
      </c>
      <c r="F463" s="136" t="s">
        <v>183</v>
      </c>
      <c r="G463" s="246">
        <v>57150</v>
      </c>
      <c r="H463" s="246">
        <v>65300</v>
      </c>
      <c r="I463" s="246">
        <v>73450</v>
      </c>
      <c r="J463" s="246">
        <v>81600</v>
      </c>
      <c r="K463" s="246">
        <v>88150</v>
      </c>
      <c r="L463" s="246">
        <v>94700</v>
      </c>
      <c r="M463" s="246">
        <v>101200</v>
      </c>
      <c r="N463" s="246">
        <v>107750</v>
      </c>
    </row>
    <row r="464" spans="3:14" ht="21.95" customHeight="1" x14ac:dyDescent="0.25">
      <c r="C464" s="139" t="str">
        <f t="shared" si="23"/>
        <v>CO_GARFIELD COUNTY, CO</v>
      </c>
      <c r="D464" s="136" t="s">
        <v>98</v>
      </c>
      <c r="E464" s="262" t="s">
        <v>3173</v>
      </c>
      <c r="F464" s="136" t="s">
        <v>183</v>
      </c>
      <c r="G464" s="246">
        <v>59150</v>
      </c>
      <c r="H464" s="246">
        <v>67600</v>
      </c>
      <c r="I464" s="246">
        <v>76050</v>
      </c>
      <c r="J464" s="246">
        <v>84500</v>
      </c>
      <c r="K464" s="246">
        <v>91300</v>
      </c>
      <c r="L464" s="246">
        <v>98050</v>
      </c>
      <c r="M464" s="246">
        <v>104800</v>
      </c>
      <c r="N464" s="246">
        <v>111550</v>
      </c>
    </row>
    <row r="465" spans="3:14" ht="21.95" customHeight="1" x14ac:dyDescent="0.25">
      <c r="C465" s="139" t="str">
        <f t="shared" si="23"/>
        <v>CO_GRAND COUNTY, CO</v>
      </c>
      <c r="D465" s="136" t="s">
        <v>98</v>
      </c>
      <c r="E465" s="262" t="s">
        <v>3174</v>
      </c>
      <c r="F465" s="136" t="s">
        <v>183</v>
      </c>
      <c r="G465" s="246">
        <v>62750</v>
      </c>
      <c r="H465" s="246">
        <v>71700</v>
      </c>
      <c r="I465" s="246">
        <v>80650</v>
      </c>
      <c r="J465" s="246">
        <v>89600</v>
      </c>
      <c r="K465" s="246">
        <v>96800</v>
      </c>
      <c r="L465" s="246">
        <v>103950</v>
      </c>
      <c r="M465" s="246">
        <v>111150</v>
      </c>
      <c r="N465" s="246">
        <v>118300</v>
      </c>
    </row>
    <row r="466" spans="3:14" ht="21.95" customHeight="1" x14ac:dyDescent="0.25">
      <c r="C466" s="139" t="str">
        <f t="shared" si="23"/>
        <v>CO_GRAND JUNCTION, CO MSA</v>
      </c>
      <c r="D466" s="136" t="s">
        <v>98</v>
      </c>
      <c r="E466" s="262" t="s">
        <v>3175</v>
      </c>
      <c r="F466" s="136" t="s">
        <v>183</v>
      </c>
      <c r="G466" s="246">
        <v>57150</v>
      </c>
      <c r="H466" s="246">
        <v>65300</v>
      </c>
      <c r="I466" s="246">
        <v>73450</v>
      </c>
      <c r="J466" s="246">
        <v>81600</v>
      </c>
      <c r="K466" s="246">
        <v>88150</v>
      </c>
      <c r="L466" s="246">
        <v>94700</v>
      </c>
      <c r="M466" s="246">
        <v>101200</v>
      </c>
      <c r="N466" s="246">
        <v>107750</v>
      </c>
    </row>
    <row r="467" spans="3:14" ht="21.95" customHeight="1" x14ac:dyDescent="0.25">
      <c r="C467" s="139" t="str">
        <f t="shared" si="23"/>
        <v>CO_GREELEY, CO MSA</v>
      </c>
      <c r="D467" s="136" t="s">
        <v>98</v>
      </c>
      <c r="E467" s="262" t="s">
        <v>3176</v>
      </c>
      <c r="F467" s="136" t="s">
        <v>183</v>
      </c>
      <c r="G467" s="246">
        <v>63650</v>
      </c>
      <c r="H467" s="246">
        <v>72750</v>
      </c>
      <c r="I467" s="246">
        <v>81850</v>
      </c>
      <c r="J467" s="246">
        <v>90900</v>
      </c>
      <c r="K467" s="246">
        <v>98200</v>
      </c>
      <c r="L467" s="246">
        <v>105450</v>
      </c>
      <c r="M467" s="246">
        <v>112750</v>
      </c>
      <c r="N467" s="246">
        <v>120000</v>
      </c>
    </row>
    <row r="468" spans="3:14" ht="21.95" customHeight="1" x14ac:dyDescent="0.25">
      <c r="C468" s="139" t="str">
        <f t="shared" si="23"/>
        <v>CO_GUNNISON COUNTY, CO</v>
      </c>
      <c r="D468" s="136" t="s">
        <v>98</v>
      </c>
      <c r="E468" s="262" t="s">
        <v>3177</v>
      </c>
      <c r="F468" s="136" t="s">
        <v>183</v>
      </c>
      <c r="G468" s="246">
        <v>63000</v>
      </c>
      <c r="H468" s="246">
        <v>72000</v>
      </c>
      <c r="I468" s="246">
        <v>81000</v>
      </c>
      <c r="J468" s="246">
        <v>90000</v>
      </c>
      <c r="K468" s="246">
        <v>97200</v>
      </c>
      <c r="L468" s="246">
        <v>104400</v>
      </c>
      <c r="M468" s="246">
        <v>111600</v>
      </c>
      <c r="N468" s="246">
        <v>118800</v>
      </c>
    </row>
    <row r="469" spans="3:14" ht="21.95" customHeight="1" x14ac:dyDescent="0.25">
      <c r="C469" s="139" t="str">
        <f t="shared" si="23"/>
        <v>CO_HINSDALE COUNTY, CO</v>
      </c>
      <c r="D469" s="136" t="s">
        <v>98</v>
      </c>
      <c r="E469" s="262" t="s">
        <v>3178</v>
      </c>
      <c r="F469" s="136" t="s">
        <v>183</v>
      </c>
      <c r="G469" s="246">
        <v>57150</v>
      </c>
      <c r="H469" s="246">
        <v>65300</v>
      </c>
      <c r="I469" s="246">
        <v>73450</v>
      </c>
      <c r="J469" s="246">
        <v>81600</v>
      </c>
      <c r="K469" s="246">
        <v>88150</v>
      </c>
      <c r="L469" s="246">
        <v>94700</v>
      </c>
      <c r="M469" s="246">
        <v>101200</v>
      </c>
      <c r="N469" s="246">
        <v>107750</v>
      </c>
    </row>
    <row r="470" spans="3:14" ht="21.95" customHeight="1" x14ac:dyDescent="0.25">
      <c r="C470" s="139" t="str">
        <f t="shared" si="23"/>
        <v>CO_HUERFANO COUNTY, CO</v>
      </c>
      <c r="D470" s="136" t="s">
        <v>98</v>
      </c>
      <c r="E470" s="262" t="s">
        <v>3179</v>
      </c>
      <c r="F470" s="136" t="s">
        <v>183</v>
      </c>
      <c r="G470" s="246">
        <v>57150</v>
      </c>
      <c r="H470" s="246">
        <v>65300</v>
      </c>
      <c r="I470" s="246">
        <v>73450</v>
      </c>
      <c r="J470" s="246">
        <v>81600</v>
      </c>
      <c r="K470" s="246">
        <v>88150</v>
      </c>
      <c r="L470" s="246">
        <v>94700</v>
      </c>
      <c r="M470" s="246">
        <v>101200</v>
      </c>
      <c r="N470" s="246">
        <v>107750</v>
      </c>
    </row>
    <row r="471" spans="3:14" ht="21.95" customHeight="1" x14ac:dyDescent="0.25">
      <c r="C471" s="139" t="str">
        <f t="shared" si="23"/>
        <v>CO_JACKSON COUNTY, CO</v>
      </c>
      <c r="D471" s="136" t="s">
        <v>98</v>
      </c>
      <c r="E471" s="262" t="s">
        <v>3180</v>
      </c>
      <c r="F471" s="136" t="s">
        <v>183</v>
      </c>
      <c r="G471" s="246">
        <v>57150</v>
      </c>
      <c r="H471" s="246">
        <v>65300</v>
      </c>
      <c r="I471" s="246">
        <v>73450</v>
      </c>
      <c r="J471" s="246">
        <v>81600</v>
      </c>
      <c r="K471" s="246">
        <v>88150</v>
      </c>
      <c r="L471" s="246">
        <v>94700</v>
      </c>
      <c r="M471" s="246">
        <v>101200</v>
      </c>
      <c r="N471" s="246">
        <v>107750</v>
      </c>
    </row>
    <row r="472" spans="3:14" ht="21.95" customHeight="1" x14ac:dyDescent="0.25">
      <c r="C472" s="139" t="str">
        <f t="shared" si="23"/>
        <v>CO_KIOWA COUNTY, CO</v>
      </c>
      <c r="D472" s="136" t="s">
        <v>98</v>
      </c>
      <c r="E472" s="262" t="s">
        <v>3181</v>
      </c>
      <c r="F472" s="136" t="s">
        <v>183</v>
      </c>
      <c r="G472" s="246">
        <v>57150</v>
      </c>
      <c r="H472" s="246">
        <v>65300</v>
      </c>
      <c r="I472" s="246">
        <v>73450</v>
      </c>
      <c r="J472" s="246">
        <v>81600</v>
      </c>
      <c r="K472" s="246">
        <v>88150</v>
      </c>
      <c r="L472" s="246">
        <v>94700</v>
      </c>
      <c r="M472" s="246">
        <v>101200</v>
      </c>
      <c r="N472" s="246">
        <v>107750</v>
      </c>
    </row>
    <row r="473" spans="3:14" ht="21.95" customHeight="1" x14ac:dyDescent="0.25">
      <c r="C473" s="139" t="str">
        <f t="shared" si="23"/>
        <v>CO_KIT CARSON COUNTY, CO</v>
      </c>
      <c r="D473" s="136" t="s">
        <v>98</v>
      </c>
      <c r="E473" s="262" t="s">
        <v>3182</v>
      </c>
      <c r="F473" s="136" t="s">
        <v>183</v>
      </c>
      <c r="G473" s="246">
        <v>57150</v>
      </c>
      <c r="H473" s="246">
        <v>65300</v>
      </c>
      <c r="I473" s="246">
        <v>73450</v>
      </c>
      <c r="J473" s="246">
        <v>81600</v>
      </c>
      <c r="K473" s="246">
        <v>88150</v>
      </c>
      <c r="L473" s="246">
        <v>94700</v>
      </c>
      <c r="M473" s="246">
        <v>101200</v>
      </c>
      <c r="N473" s="246">
        <v>107750</v>
      </c>
    </row>
    <row r="474" spans="3:14" ht="21.95" customHeight="1" x14ac:dyDescent="0.25">
      <c r="C474" s="139" t="str">
        <f t="shared" si="23"/>
        <v>CO_LAKE COUNTY, CO</v>
      </c>
      <c r="D474" s="136" t="s">
        <v>98</v>
      </c>
      <c r="E474" s="262" t="s">
        <v>3184</v>
      </c>
      <c r="F474" s="136" t="s">
        <v>183</v>
      </c>
      <c r="G474" s="246">
        <v>58550</v>
      </c>
      <c r="H474" s="246">
        <v>66900</v>
      </c>
      <c r="I474" s="246">
        <v>75250</v>
      </c>
      <c r="J474" s="246">
        <v>83600</v>
      </c>
      <c r="K474" s="246">
        <v>90300</v>
      </c>
      <c r="L474" s="246">
        <v>97000</v>
      </c>
      <c r="M474" s="246">
        <v>103700</v>
      </c>
      <c r="N474" s="246">
        <v>110400</v>
      </c>
    </row>
    <row r="475" spans="3:14" ht="21.95" customHeight="1" x14ac:dyDescent="0.25">
      <c r="C475" s="139" t="str">
        <f t="shared" si="23"/>
        <v>CO_LA PLATA COUNTY, CO</v>
      </c>
      <c r="D475" s="136" t="s">
        <v>98</v>
      </c>
      <c r="E475" s="262" t="s">
        <v>3183</v>
      </c>
      <c r="F475" s="136" t="s">
        <v>183</v>
      </c>
      <c r="G475" s="246">
        <v>65800</v>
      </c>
      <c r="H475" s="246">
        <v>75200</v>
      </c>
      <c r="I475" s="246">
        <v>84600</v>
      </c>
      <c r="J475" s="246">
        <v>94000</v>
      </c>
      <c r="K475" s="246">
        <v>101550</v>
      </c>
      <c r="L475" s="246">
        <v>109050</v>
      </c>
      <c r="M475" s="246">
        <v>116600</v>
      </c>
      <c r="N475" s="246">
        <v>124100</v>
      </c>
    </row>
    <row r="476" spans="3:14" ht="21.95" customHeight="1" x14ac:dyDescent="0.25">
      <c r="C476" s="139" t="str">
        <f t="shared" si="23"/>
        <v>CO_LAS ANIMAS COUNTY, CO</v>
      </c>
      <c r="D476" s="136" t="s">
        <v>98</v>
      </c>
      <c r="E476" s="262" t="s">
        <v>3185</v>
      </c>
      <c r="F476" s="136" t="s">
        <v>183</v>
      </c>
      <c r="G476" s="246">
        <v>57150</v>
      </c>
      <c r="H476" s="246">
        <v>65300</v>
      </c>
      <c r="I476" s="246">
        <v>73450</v>
      </c>
      <c r="J476" s="246">
        <v>81600</v>
      </c>
      <c r="K476" s="246">
        <v>88150</v>
      </c>
      <c r="L476" s="246">
        <v>94700</v>
      </c>
      <c r="M476" s="246">
        <v>101200</v>
      </c>
      <c r="N476" s="246">
        <v>107750</v>
      </c>
    </row>
    <row r="477" spans="3:14" ht="21.95" customHeight="1" x14ac:dyDescent="0.25">
      <c r="C477" s="139" t="str">
        <f t="shared" si="23"/>
        <v>CO_LINCOLN COUNTY, CO</v>
      </c>
      <c r="D477" s="136" t="s">
        <v>98</v>
      </c>
      <c r="E477" s="262" t="s">
        <v>3186</v>
      </c>
      <c r="F477" s="136" t="s">
        <v>183</v>
      </c>
      <c r="G477" s="246">
        <v>57150</v>
      </c>
      <c r="H477" s="246">
        <v>65300</v>
      </c>
      <c r="I477" s="246">
        <v>73450</v>
      </c>
      <c r="J477" s="246">
        <v>81600</v>
      </c>
      <c r="K477" s="246">
        <v>88150</v>
      </c>
      <c r="L477" s="246">
        <v>94700</v>
      </c>
      <c r="M477" s="246">
        <v>101200</v>
      </c>
      <c r="N477" s="246">
        <v>107750</v>
      </c>
    </row>
    <row r="478" spans="3:14" ht="21.95" customHeight="1" x14ac:dyDescent="0.25">
      <c r="C478" s="139" t="str">
        <f t="shared" si="23"/>
        <v>CO_LOGAN COUNTY, CO</v>
      </c>
      <c r="D478" s="136" t="s">
        <v>98</v>
      </c>
      <c r="E478" s="262" t="s">
        <v>3187</v>
      </c>
      <c r="F478" s="136" t="s">
        <v>183</v>
      </c>
      <c r="G478" s="246">
        <v>57150</v>
      </c>
      <c r="H478" s="246">
        <v>65300</v>
      </c>
      <c r="I478" s="246">
        <v>73450</v>
      </c>
      <c r="J478" s="246">
        <v>81600</v>
      </c>
      <c r="K478" s="246">
        <v>88150</v>
      </c>
      <c r="L478" s="246">
        <v>94700</v>
      </c>
      <c r="M478" s="246">
        <v>101200</v>
      </c>
      <c r="N478" s="246">
        <v>107750</v>
      </c>
    </row>
    <row r="479" spans="3:14" ht="21.95" customHeight="1" x14ac:dyDescent="0.25">
      <c r="C479" s="139" t="str">
        <f t="shared" si="23"/>
        <v>CO_MINERAL COUNTY, CO</v>
      </c>
      <c r="D479" s="136" t="s">
        <v>98</v>
      </c>
      <c r="E479" s="262" t="s">
        <v>3188</v>
      </c>
      <c r="F479" s="136" t="s">
        <v>183</v>
      </c>
      <c r="G479" s="246">
        <v>57150</v>
      </c>
      <c r="H479" s="246">
        <v>65300</v>
      </c>
      <c r="I479" s="246">
        <v>73450</v>
      </c>
      <c r="J479" s="246">
        <v>81600</v>
      </c>
      <c r="K479" s="246">
        <v>88150</v>
      </c>
      <c r="L479" s="246">
        <v>94700</v>
      </c>
      <c r="M479" s="246">
        <v>101200</v>
      </c>
      <c r="N479" s="246">
        <v>107750</v>
      </c>
    </row>
    <row r="480" spans="3:14" ht="21.95" customHeight="1" x14ac:dyDescent="0.25">
      <c r="C480" s="139" t="str">
        <f t="shared" si="23"/>
        <v>CO_MOFFAT COUNTY, CO</v>
      </c>
      <c r="D480" s="136" t="s">
        <v>98</v>
      </c>
      <c r="E480" s="262" t="s">
        <v>3189</v>
      </c>
      <c r="F480" s="136" t="s">
        <v>183</v>
      </c>
      <c r="G480" s="246">
        <v>57150</v>
      </c>
      <c r="H480" s="246">
        <v>65300</v>
      </c>
      <c r="I480" s="246">
        <v>73450</v>
      </c>
      <c r="J480" s="246">
        <v>81600</v>
      </c>
      <c r="K480" s="246">
        <v>88150</v>
      </c>
      <c r="L480" s="246">
        <v>94700</v>
      </c>
      <c r="M480" s="246">
        <v>101200</v>
      </c>
      <c r="N480" s="246">
        <v>107750</v>
      </c>
    </row>
    <row r="481" spans="3:14" ht="21.95" customHeight="1" x14ac:dyDescent="0.25">
      <c r="C481" s="139" t="str">
        <f t="shared" si="23"/>
        <v>CO_MONTEZUMA COUNTY, CO</v>
      </c>
      <c r="D481" s="136" t="s">
        <v>98</v>
      </c>
      <c r="E481" s="262" t="s">
        <v>3190</v>
      </c>
      <c r="F481" s="136" t="s">
        <v>183</v>
      </c>
      <c r="G481" s="246">
        <v>57150</v>
      </c>
      <c r="H481" s="246">
        <v>65300</v>
      </c>
      <c r="I481" s="246">
        <v>73450</v>
      </c>
      <c r="J481" s="246">
        <v>81600</v>
      </c>
      <c r="K481" s="246">
        <v>88150</v>
      </c>
      <c r="L481" s="246">
        <v>94700</v>
      </c>
      <c r="M481" s="246">
        <v>101200</v>
      </c>
      <c r="N481" s="246">
        <v>107750</v>
      </c>
    </row>
    <row r="482" spans="3:14" ht="21.95" customHeight="1" x14ac:dyDescent="0.25">
      <c r="C482" s="139" t="str">
        <f t="shared" si="23"/>
        <v>CO_MONTROSE COUNTY, CO</v>
      </c>
      <c r="D482" s="136" t="s">
        <v>98</v>
      </c>
      <c r="E482" s="262" t="s">
        <v>3191</v>
      </c>
      <c r="F482" s="136" t="s">
        <v>183</v>
      </c>
      <c r="G482" s="246">
        <v>57150</v>
      </c>
      <c r="H482" s="246">
        <v>65300</v>
      </c>
      <c r="I482" s="246">
        <v>73450</v>
      </c>
      <c r="J482" s="246">
        <v>81600</v>
      </c>
      <c r="K482" s="246">
        <v>88150</v>
      </c>
      <c r="L482" s="246">
        <v>94700</v>
      </c>
      <c r="M482" s="246">
        <v>101200</v>
      </c>
      <c r="N482" s="246">
        <v>107750</v>
      </c>
    </row>
    <row r="483" spans="3:14" ht="21.95" customHeight="1" x14ac:dyDescent="0.25">
      <c r="C483" s="139" t="str">
        <f t="shared" si="23"/>
        <v>CO_MORGAN COUNTY, CO</v>
      </c>
      <c r="D483" s="136" t="s">
        <v>98</v>
      </c>
      <c r="E483" s="262" t="s">
        <v>3192</v>
      </c>
      <c r="F483" s="136" t="s">
        <v>183</v>
      </c>
      <c r="G483" s="246">
        <v>57150</v>
      </c>
      <c r="H483" s="246">
        <v>65300</v>
      </c>
      <c r="I483" s="246">
        <v>73450</v>
      </c>
      <c r="J483" s="246">
        <v>81600</v>
      </c>
      <c r="K483" s="246">
        <v>88150</v>
      </c>
      <c r="L483" s="246">
        <v>94700</v>
      </c>
      <c r="M483" s="246">
        <v>101200</v>
      </c>
      <c r="N483" s="246">
        <v>107750</v>
      </c>
    </row>
    <row r="484" spans="3:14" ht="21.95" customHeight="1" x14ac:dyDescent="0.25">
      <c r="C484" s="139" t="str">
        <f t="shared" si="23"/>
        <v>CO_OTERO COUNTY, CO</v>
      </c>
      <c r="D484" s="136" t="s">
        <v>98</v>
      </c>
      <c r="E484" s="262" t="s">
        <v>3193</v>
      </c>
      <c r="F484" s="136" t="s">
        <v>183</v>
      </c>
      <c r="G484" s="246">
        <v>57150</v>
      </c>
      <c r="H484" s="246">
        <v>65300</v>
      </c>
      <c r="I484" s="246">
        <v>73450</v>
      </c>
      <c r="J484" s="246">
        <v>81600</v>
      </c>
      <c r="K484" s="246">
        <v>88150</v>
      </c>
      <c r="L484" s="246">
        <v>94700</v>
      </c>
      <c r="M484" s="246">
        <v>101200</v>
      </c>
      <c r="N484" s="246">
        <v>107750</v>
      </c>
    </row>
    <row r="485" spans="3:14" ht="21.95" customHeight="1" x14ac:dyDescent="0.25">
      <c r="C485" s="139" t="str">
        <f t="shared" si="23"/>
        <v>CO_OURAY COUNTY, CO</v>
      </c>
      <c r="D485" s="136" t="s">
        <v>98</v>
      </c>
      <c r="E485" s="262" t="s">
        <v>3194</v>
      </c>
      <c r="F485" s="136" t="s">
        <v>183</v>
      </c>
      <c r="G485" s="246">
        <v>58550</v>
      </c>
      <c r="H485" s="246">
        <v>66900</v>
      </c>
      <c r="I485" s="246">
        <v>75250</v>
      </c>
      <c r="J485" s="246">
        <v>83600</v>
      </c>
      <c r="K485" s="246">
        <v>90300</v>
      </c>
      <c r="L485" s="246">
        <v>97000</v>
      </c>
      <c r="M485" s="246">
        <v>103700</v>
      </c>
      <c r="N485" s="246">
        <v>110400</v>
      </c>
    </row>
    <row r="486" spans="3:14" ht="21.95" customHeight="1" x14ac:dyDescent="0.25">
      <c r="C486" s="139" t="str">
        <f t="shared" si="23"/>
        <v>CO_PHILLIPS COUNTY, CO</v>
      </c>
      <c r="D486" s="136" t="s">
        <v>98</v>
      </c>
      <c r="E486" s="262" t="s">
        <v>3195</v>
      </c>
      <c r="F486" s="136" t="s">
        <v>183</v>
      </c>
      <c r="G486" s="246">
        <v>57150</v>
      </c>
      <c r="H486" s="246">
        <v>65300</v>
      </c>
      <c r="I486" s="246">
        <v>73450</v>
      </c>
      <c r="J486" s="246">
        <v>81600</v>
      </c>
      <c r="K486" s="246">
        <v>88150</v>
      </c>
      <c r="L486" s="246">
        <v>94700</v>
      </c>
      <c r="M486" s="246">
        <v>101200</v>
      </c>
      <c r="N486" s="246">
        <v>107750</v>
      </c>
    </row>
    <row r="487" spans="3:14" ht="21.95" customHeight="1" x14ac:dyDescent="0.25">
      <c r="C487" s="139" t="str">
        <f t="shared" si="23"/>
        <v>CO_PITKIN COUNTY, CO</v>
      </c>
      <c r="D487" s="136" t="s">
        <v>98</v>
      </c>
      <c r="E487" s="262" t="s">
        <v>3196</v>
      </c>
      <c r="F487" s="136" t="s">
        <v>183</v>
      </c>
      <c r="G487" s="246">
        <v>72950</v>
      </c>
      <c r="H487" s="246">
        <v>83400</v>
      </c>
      <c r="I487" s="246">
        <v>93800</v>
      </c>
      <c r="J487" s="246">
        <v>104200</v>
      </c>
      <c r="K487" s="246">
        <v>112550</v>
      </c>
      <c r="L487" s="246">
        <v>120900</v>
      </c>
      <c r="M487" s="246">
        <v>129250</v>
      </c>
      <c r="N487" s="246">
        <v>137550</v>
      </c>
    </row>
    <row r="488" spans="3:14" ht="21.95" customHeight="1" x14ac:dyDescent="0.25">
      <c r="C488" s="139" t="str">
        <f t="shared" si="23"/>
        <v>CO_PROWERS COUNTY, CO</v>
      </c>
      <c r="D488" s="136" t="s">
        <v>98</v>
      </c>
      <c r="E488" s="262" t="s">
        <v>3197</v>
      </c>
      <c r="F488" s="136" t="s">
        <v>183</v>
      </c>
      <c r="G488" s="246">
        <v>57150</v>
      </c>
      <c r="H488" s="246">
        <v>65300</v>
      </c>
      <c r="I488" s="246">
        <v>73450</v>
      </c>
      <c r="J488" s="246">
        <v>81600</v>
      </c>
      <c r="K488" s="246">
        <v>88150</v>
      </c>
      <c r="L488" s="246">
        <v>94700</v>
      </c>
      <c r="M488" s="246">
        <v>101200</v>
      </c>
      <c r="N488" s="246">
        <v>107750</v>
      </c>
    </row>
    <row r="489" spans="3:14" ht="21.95" customHeight="1" x14ac:dyDescent="0.25">
      <c r="C489" s="139" t="str">
        <f t="shared" si="23"/>
        <v>CO_PUEBLO, CO MSA</v>
      </c>
      <c r="D489" s="136" t="s">
        <v>98</v>
      </c>
      <c r="E489" s="262" t="s">
        <v>3198</v>
      </c>
      <c r="F489" s="136" t="s">
        <v>183</v>
      </c>
      <c r="G489" s="246">
        <v>57150</v>
      </c>
      <c r="H489" s="246">
        <v>65300</v>
      </c>
      <c r="I489" s="246">
        <v>73450</v>
      </c>
      <c r="J489" s="246">
        <v>81600</v>
      </c>
      <c r="K489" s="246">
        <v>88150</v>
      </c>
      <c r="L489" s="246">
        <v>94700</v>
      </c>
      <c r="M489" s="246">
        <v>101200</v>
      </c>
      <c r="N489" s="246">
        <v>107750</v>
      </c>
    </row>
    <row r="490" spans="3:14" ht="21.95" customHeight="1" x14ac:dyDescent="0.25">
      <c r="C490" s="139" t="str">
        <f t="shared" si="23"/>
        <v>CO_RIO BLANCO COUNTY, CO</v>
      </c>
      <c r="D490" s="136" t="s">
        <v>98</v>
      </c>
      <c r="E490" s="262" t="s">
        <v>3199</v>
      </c>
      <c r="F490" s="136" t="s">
        <v>183</v>
      </c>
      <c r="G490" s="246">
        <v>57150</v>
      </c>
      <c r="H490" s="246">
        <v>65300</v>
      </c>
      <c r="I490" s="246">
        <v>73450</v>
      </c>
      <c r="J490" s="246">
        <v>81600</v>
      </c>
      <c r="K490" s="246">
        <v>88150</v>
      </c>
      <c r="L490" s="246">
        <v>94700</v>
      </c>
      <c r="M490" s="246">
        <v>101200</v>
      </c>
      <c r="N490" s="246">
        <v>107750</v>
      </c>
    </row>
    <row r="491" spans="3:14" ht="21.95" customHeight="1" x14ac:dyDescent="0.25">
      <c r="C491" s="139" t="str">
        <f t="shared" si="23"/>
        <v>CO_RIO GRANDE COUNTY, CO</v>
      </c>
      <c r="D491" s="136" t="s">
        <v>98</v>
      </c>
      <c r="E491" s="262" t="s">
        <v>3200</v>
      </c>
      <c r="F491" s="136" t="s">
        <v>183</v>
      </c>
      <c r="G491" s="246">
        <v>57150</v>
      </c>
      <c r="H491" s="246">
        <v>65300</v>
      </c>
      <c r="I491" s="246">
        <v>73450</v>
      </c>
      <c r="J491" s="246">
        <v>81600</v>
      </c>
      <c r="K491" s="246">
        <v>88150</v>
      </c>
      <c r="L491" s="246">
        <v>94700</v>
      </c>
      <c r="M491" s="246">
        <v>101200</v>
      </c>
      <c r="N491" s="246">
        <v>107750</v>
      </c>
    </row>
    <row r="492" spans="3:14" ht="21.95" customHeight="1" x14ac:dyDescent="0.25">
      <c r="C492" s="139" t="str">
        <f t="shared" si="23"/>
        <v>CO_ROUTT COUNTY, CO</v>
      </c>
      <c r="D492" s="136" t="s">
        <v>98</v>
      </c>
      <c r="E492" s="262" t="s">
        <v>3201</v>
      </c>
      <c r="F492" s="136" t="s">
        <v>183</v>
      </c>
      <c r="G492" s="246">
        <v>72800</v>
      </c>
      <c r="H492" s="246">
        <v>83200</v>
      </c>
      <c r="I492" s="246">
        <v>93600</v>
      </c>
      <c r="J492" s="246">
        <v>104000</v>
      </c>
      <c r="K492" s="246">
        <v>112350</v>
      </c>
      <c r="L492" s="246">
        <v>120650</v>
      </c>
      <c r="M492" s="246">
        <v>129000</v>
      </c>
      <c r="N492" s="246">
        <v>137300</v>
      </c>
    </row>
    <row r="493" spans="3:14" ht="21.95" customHeight="1" x14ac:dyDescent="0.25">
      <c r="C493" s="139" t="str">
        <f t="shared" si="23"/>
        <v>CO_SAGUACHE COUNTY, CO</v>
      </c>
      <c r="D493" s="136" t="s">
        <v>98</v>
      </c>
      <c r="E493" s="262" t="s">
        <v>3202</v>
      </c>
      <c r="F493" s="136" t="s">
        <v>183</v>
      </c>
      <c r="G493" s="246">
        <v>57150</v>
      </c>
      <c r="H493" s="246">
        <v>65300</v>
      </c>
      <c r="I493" s="246">
        <v>73450</v>
      </c>
      <c r="J493" s="246">
        <v>81600</v>
      </c>
      <c r="K493" s="246">
        <v>88150</v>
      </c>
      <c r="L493" s="246">
        <v>94700</v>
      </c>
      <c r="M493" s="246">
        <v>101200</v>
      </c>
      <c r="N493" s="246">
        <v>107750</v>
      </c>
    </row>
    <row r="494" spans="3:14" ht="21.95" customHeight="1" x14ac:dyDescent="0.25">
      <c r="C494" s="139" t="str">
        <f t="shared" si="23"/>
        <v>CO_SAN JUAN COUNTY, CO</v>
      </c>
      <c r="D494" s="136" t="s">
        <v>98</v>
      </c>
      <c r="E494" s="262" t="s">
        <v>3203</v>
      </c>
      <c r="F494" s="136" t="s">
        <v>183</v>
      </c>
      <c r="G494" s="246">
        <v>57150</v>
      </c>
      <c r="H494" s="246">
        <v>65300</v>
      </c>
      <c r="I494" s="246">
        <v>73450</v>
      </c>
      <c r="J494" s="246">
        <v>81600</v>
      </c>
      <c r="K494" s="246">
        <v>88150</v>
      </c>
      <c r="L494" s="246">
        <v>94700</v>
      </c>
      <c r="M494" s="246">
        <v>101200</v>
      </c>
      <c r="N494" s="246">
        <v>107750</v>
      </c>
    </row>
    <row r="495" spans="3:14" ht="21.95" customHeight="1" x14ac:dyDescent="0.25">
      <c r="C495" s="139" t="str">
        <f t="shared" si="23"/>
        <v>CO_SAN MIGUEL COUNTY, CO</v>
      </c>
      <c r="D495" s="136" t="s">
        <v>98</v>
      </c>
      <c r="E495" s="262" t="s">
        <v>3204</v>
      </c>
      <c r="F495" s="136" t="s">
        <v>183</v>
      </c>
      <c r="G495" s="246">
        <v>66950</v>
      </c>
      <c r="H495" s="246">
        <v>76500</v>
      </c>
      <c r="I495" s="246">
        <v>86050</v>
      </c>
      <c r="J495" s="246">
        <v>95600</v>
      </c>
      <c r="K495" s="246">
        <v>103250</v>
      </c>
      <c r="L495" s="246">
        <v>110900</v>
      </c>
      <c r="M495" s="246">
        <v>118550</v>
      </c>
      <c r="N495" s="246">
        <v>126200</v>
      </c>
    </row>
    <row r="496" spans="3:14" ht="21.95" customHeight="1" x14ac:dyDescent="0.25">
      <c r="C496" s="139" t="str">
        <f t="shared" si="23"/>
        <v>CO_SEDGWICK COUNTY, CO</v>
      </c>
      <c r="D496" s="136" t="s">
        <v>98</v>
      </c>
      <c r="E496" s="262" t="s">
        <v>3205</v>
      </c>
      <c r="F496" s="136" t="s">
        <v>183</v>
      </c>
      <c r="G496" s="246">
        <v>57150</v>
      </c>
      <c r="H496" s="246">
        <v>65300</v>
      </c>
      <c r="I496" s="246">
        <v>73450</v>
      </c>
      <c r="J496" s="246">
        <v>81600</v>
      </c>
      <c r="K496" s="246">
        <v>88150</v>
      </c>
      <c r="L496" s="246">
        <v>94700</v>
      </c>
      <c r="M496" s="246">
        <v>101200</v>
      </c>
      <c r="N496" s="246">
        <v>107750</v>
      </c>
    </row>
    <row r="497" spans="3:14" ht="21.95" customHeight="1" x14ac:dyDescent="0.25">
      <c r="C497" s="139" t="str">
        <f t="shared" si="23"/>
        <v>CO_SUMMIT COUNTY, CO</v>
      </c>
      <c r="D497" s="136" t="s">
        <v>98</v>
      </c>
      <c r="E497" s="262" t="s">
        <v>3206</v>
      </c>
      <c r="F497" s="136" t="s">
        <v>183</v>
      </c>
      <c r="G497" s="246">
        <v>74500</v>
      </c>
      <c r="H497" s="246">
        <v>85150</v>
      </c>
      <c r="I497" s="246">
        <v>95800</v>
      </c>
      <c r="J497" s="246">
        <v>106400</v>
      </c>
      <c r="K497" s="246">
        <v>114950</v>
      </c>
      <c r="L497" s="246">
        <v>123450</v>
      </c>
      <c r="M497" s="246">
        <v>131950</v>
      </c>
      <c r="N497" s="246">
        <v>140450</v>
      </c>
    </row>
    <row r="498" spans="3:14" ht="21.95" customHeight="1" x14ac:dyDescent="0.25">
      <c r="C498" s="139" t="str">
        <f t="shared" si="23"/>
        <v>CO_TELLER COUNTY, CO HUD METRO FMR AREA</v>
      </c>
      <c r="D498" s="136" t="s">
        <v>98</v>
      </c>
      <c r="E498" s="262" t="s">
        <v>3207</v>
      </c>
      <c r="F498" s="136" t="s">
        <v>183</v>
      </c>
      <c r="G498" s="246">
        <v>57700</v>
      </c>
      <c r="H498" s="246">
        <v>65950</v>
      </c>
      <c r="I498" s="246">
        <v>74200</v>
      </c>
      <c r="J498" s="246">
        <v>82400</v>
      </c>
      <c r="K498" s="246">
        <v>89000</v>
      </c>
      <c r="L498" s="246">
        <v>95600</v>
      </c>
      <c r="M498" s="246">
        <v>102200</v>
      </c>
      <c r="N498" s="246">
        <v>108800</v>
      </c>
    </row>
    <row r="499" spans="3:14" ht="21.95" customHeight="1" x14ac:dyDescent="0.25">
      <c r="C499" s="139" t="str">
        <f t="shared" si="23"/>
        <v>CO_WASHINGTON COUNTY, CO</v>
      </c>
      <c r="D499" s="136" t="s">
        <v>98</v>
      </c>
      <c r="E499" s="262" t="s">
        <v>3208</v>
      </c>
      <c r="F499" s="136" t="s">
        <v>183</v>
      </c>
      <c r="G499" s="246">
        <v>57150</v>
      </c>
      <c r="H499" s="246">
        <v>65300</v>
      </c>
      <c r="I499" s="246">
        <v>73450</v>
      </c>
      <c r="J499" s="246">
        <v>81600</v>
      </c>
      <c r="K499" s="246">
        <v>88150</v>
      </c>
      <c r="L499" s="246">
        <v>94700</v>
      </c>
      <c r="M499" s="246">
        <v>101200</v>
      </c>
      <c r="N499" s="246">
        <v>107750</v>
      </c>
    </row>
    <row r="500" spans="3:14" ht="21.95" customHeight="1" x14ac:dyDescent="0.25">
      <c r="C500" s="139" t="str">
        <f t="shared" si="23"/>
        <v>CO_YUMA COUNTY, CO</v>
      </c>
      <c r="D500" s="136" t="s">
        <v>98</v>
      </c>
      <c r="E500" s="262" t="s">
        <v>3209</v>
      </c>
      <c r="F500" s="136" t="s">
        <v>183</v>
      </c>
      <c r="G500" s="246">
        <v>57150</v>
      </c>
      <c r="H500" s="246">
        <v>65300</v>
      </c>
      <c r="I500" s="246">
        <v>73450</v>
      </c>
      <c r="J500" s="246">
        <v>81600</v>
      </c>
      <c r="K500" s="246">
        <v>88150</v>
      </c>
      <c r="L500" s="246">
        <v>94700</v>
      </c>
      <c r="M500" s="246">
        <v>101200</v>
      </c>
      <c r="N500" s="246">
        <v>107750</v>
      </c>
    </row>
    <row r="501" spans="3:14" ht="21.95" customHeight="1" x14ac:dyDescent="0.25">
      <c r="C501" s="139" t="str">
        <f t="shared" si="23"/>
        <v>CT_ANSONIA TOWN, CT EXCEPTION AREA</v>
      </c>
      <c r="D501" s="136" t="s">
        <v>55</v>
      </c>
      <c r="E501" s="262" t="s">
        <v>9130</v>
      </c>
      <c r="F501" s="136" t="s">
        <v>183</v>
      </c>
      <c r="G501" s="246">
        <v>69350</v>
      </c>
      <c r="H501" s="246">
        <v>79250</v>
      </c>
      <c r="I501" s="246">
        <v>89150</v>
      </c>
      <c r="J501" s="246">
        <v>99050</v>
      </c>
      <c r="K501" s="246">
        <v>107000</v>
      </c>
      <c r="L501" s="246">
        <v>114900</v>
      </c>
      <c r="M501" s="246">
        <v>122850</v>
      </c>
      <c r="N501" s="246">
        <v>130750</v>
      </c>
    </row>
    <row r="502" spans="3:14" ht="21.95" customHeight="1" x14ac:dyDescent="0.25">
      <c r="C502" s="139" t="str">
        <f t="shared" si="23"/>
        <v>CT_BEACON FALLS TOWN, CT EXCEPTION AREA</v>
      </c>
      <c r="D502" s="136" t="s">
        <v>55</v>
      </c>
      <c r="E502" s="262" t="s">
        <v>9136</v>
      </c>
      <c r="F502" s="136" t="s">
        <v>183</v>
      </c>
      <c r="G502" s="246">
        <v>69350</v>
      </c>
      <c r="H502" s="246">
        <v>79250</v>
      </c>
      <c r="I502" s="246">
        <v>89150</v>
      </c>
      <c r="J502" s="246">
        <v>99050</v>
      </c>
      <c r="K502" s="246">
        <v>107000</v>
      </c>
      <c r="L502" s="246">
        <v>114900</v>
      </c>
      <c r="M502" s="246">
        <v>122850</v>
      </c>
      <c r="N502" s="246">
        <v>130750</v>
      </c>
    </row>
    <row r="503" spans="3:14" ht="21.95" customHeight="1" x14ac:dyDescent="0.25">
      <c r="C503" s="139" t="str">
        <f t="shared" si="23"/>
        <v>CT_BRIDGEPORT-STAMFORD-DANBURY, CT MSA</v>
      </c>
      <c r="D503" s="136" t="s">
        <v>55</v>
      </c>
      <c r="E503" s="262" t="s">
        <v>9110</v>
      </c>
      <c r="F503" s="136" t="s">
        <v>183</v>
      </c>
      <c r="G503" s="246">
        <v>75500</v>
      </c>
      <c r="H503" s="246">
        <v>86300</v>
      </c>
      <c r="I503" s="246">
        <v>97100</v>
      </c>
      <c r="J503" s="246">
        <v>107850</v>
      </c>
      <c r="K503" s="246">
        <v>116500</v>
      </c>
      <c r="L503" s="246">
        <v>125150</v>
      </c>
      <c r="M503" s="246">
        <v>133750</v>
      </c>
      <c r="N503" s="246">
        <v>142400</v>
      </c>
    </row>
    <row r="504" spans="3:14" ht="21.95" customHeight="1" x14ac:dyDescent="0.25">
      <c r="C504" s="139" t="str">
        <f t="shared" si="23"/>
        <v>CT_BRIDGEPORT TOWN, CT EXCEPTION AREA</v>
      </c>
      <c r="D504" s="136" t="s">
        <v>55</v>
      </c>
      <c r="E504" s="262" t="s">
        <v>9104</v>
      </c>
      <c r="F504" s="136" t="s">
        <v>183</v>
      </c>
      <c r="G504" s="246">
        <v>71650</v>
      </c>
      <c r="H504" s="246">
        <v>81850</v>
      </c>
      <c r="I504" s="246">
        <v>92100</v>
      </c>
      <c r="J504" s="246">
        <v>102300</v>
      </c>
      <c r="K504" s="246">
        <v>110500</v>
      </c>
      <c r="L504" s="246">
        <v>118700</v>
      </c>
      <c r="M504" s="246">
        <v>126900</v>
      </c>
      <c r="N504" s="246">
        <v>135050</v>
      </c>
    </row>
    <row r="505" spans="3:14" ht="21.95" customHeight="1" x14ac:dyDescent="0.25">
      <c r="C505" s="139" t="str">
        <f t="shared" si="23"/>
        <v>CT_BRIDGEWATER TOWN, CT EXCEPTION AREA</v>
      </c>
      <c r="D505" s="136" t="s">
        <v>55</v>
      </c>
      <c r="E505" s="262" t="s">
        <v>9122</v>
      </c>
      <c r="F505" s="136" t="s">
        <v>183</v>
      </c>
      <c r="G505" s="246">
        <v>69850</v>
      </c>
      <c r="H505" s="246">
        <v>79800</v>
      </c>
      <c r="I505" s="246">
        <v>89800</v>
      </c>
      <c r="J505" s="246">
        <v>99750</v>
      </c>
      <c r="K505" s="246">
        <v>107750</v>
      </c>
      <c r="L505" s="246">
        <v>115750</v>
      </c>
      <c r="M505" s="246">
        <v>123700</v>
      </c>
      <c r="N505" s="246">
        <v>131700</v>
      </c>
    </row>
    <row r="506" spans="3:14" ht="21.95" customHeight="1" x14ac:dyDescent="0.25">
      <c r="C506" s="139" t="str">
        <f t="shared" si="23"/>
        <v>CT_BRISTOL TOWN, CT EXCEPTION AREA</v>
      </c>
      <c r="D506" s="136" t="s">
        <v>55</v>
      </c>
      <c r="E506" s="262" t="s">
        <v>9119</v>
      </c>
      <c r="F506" s="136" t="s">
        <v>183</v>
      </c>
      <c r="G506" s="246">
        <v>64900</v>
      </c>
      <c r="H506" s="246">
        <v>74150</v>
      </c>
      <c r="I506" s="246">
        <v>83400</v>
      </c>
      <c r="J506" s="246">
        <v>92650</v>
      </c>
      <c r="K506" s="246">
        <v>100100</v>
      </c>
      <c r="L506" s="246">
        <v>107500</v>
      </c>
      <c r="M506" s="246">
        <v>114900</v>
      </c>
      <c r="N506" s="246">
        <v>122300</v>
      </c>
    </row>
    <row r="507" spans="3:14" ht="21.95" customHeight="1" x14ac:dyDescent="0.25">
      <c r="C507" s="139" t="str">
        <f t="shared" si="23"/>
        <v>CT_CLINTON TOWN, CT EXCEPTION AREA</v>
      </c>
      <c r="D507" s="136" t="s">
        <v>55</v>
      </c>
      <c r="E507" s="262" t="s">
        <v>9125</v>
      </c>
      <c r="F507" s="136" t="s">
        <v>183</v>
      </c>
      <c r="G507" s="246">
        <v>72950</v>
      </c>
      <c r="H507" s="246">
        <v>83400</v>
      </c>
      <c r="I507" s="246">
        <v>93800</v>
      </c>
      <c r="J507" s="246">
        <v>104200</v>
      </c>
      <c r="K507" s="246">
        <v>112550</v>
      </c>
      <c r="L507" s="246">
        <v>120900</v>
      </c>
      <c r="M507" s="246">
        <v>129250</v>
      </c>
      <c r="N507" s="246">
        <v>137550</v>
      </c>
    </row>
    <row r="508" spans="3:14" ht="21.95" customHeight="1" x14ac:dyDescent="0.25">
      <c r="C508" s="139" t="str">
        <f t="shared" si="23"/>
        <v>CT_COLCHESTER TOWN, CT EXCEPTION AREA</v>
      </c>
      <c r="D508" s="136" t="s">
        <v>55</v>
      </c>
      <c r="E508" s="262" t="s">
        <v>9137</v>
      </c>
      <c r="F508" s="136" t="s">
        <v>183</v>
      </c>
      <c r="G508" s="246">
        <v>72950</v>
      </c>
      <c r="H508" s="246">
        <v>83400</v>
      </c>
      <c r="I508" s="246">
        <v>93800</v>
      </c>
      <c r="J508" s="246">
        <v>104200</v>
      </c>
      <c r="K508" s="246">
        <v>112550</v>
      </c>
      <c r="L508" s="246">
        <v>120900</v>
      </c>
      <c r="M508" s="246">
        <v>129250</v>
      </c>
      <c r="N508" s="246">
        <v>137550</v>
      </c>
    </row>
    <row r="509" spans="3:14" ht="21.95" customHeight="1" x14ac:dyDescent="0.25">
      <c r="C509" s="139" t="str">
        <f t="shared" si="23"/>
        <v>CT_DARIEN TOWN, CT EXCEPTION AREA</v>
      </c>
      <c r="D509" s="136" t="s">
        <v>55</v>
      </c>
      <c r="E509" s="262" t="s">
        <v>9116</v>
      </c>
      <c r="F509" s="136" t="s">
        <v>183</v>
      </c>
      <c r="G509" s="246">
        <v>79150</v>
      </c>
      <c r="H509" s="246">
        <v>90450</v>
      </c>
      <c r="I509" s="246">
        <v>101750</v>
      </c>
      <c r="J509" s="246">
        <v>113050</v>
      </c>
      <c r="K509" s="246">
        <v>122100</v>
      </c>
      <c r="L509" s="246">
        <v>131150</v>
      </c>
      <c r="M509" s="246">
        <v>140200</v>
      </c>
      <c r="N509" s="246">
        <v>149250</v>
      </c>
    </row>
    <row r="510" spans="3:14" ht="21.95" customHeight="1" x14ac:dyDescent="0.25">
      <c r="C510" s="139" t="str">
        <f t="shared" si="23"/>
        <v>CT_DEEP RIVER TOWN, CT EXCEPTION AREA</v>
      </c>
      <c r="D510" s="136" t="s">
        <v>55</v>
      </c>
      <c r="E510" s="262" t="s">
        <v>9126</v>
      </c>
      <c r="F510" s="136" t="s">
        <v>183</v>
      </c>
      <c r="G510" s="246">
        <v>72950</v>
      </c>
      <c r="H510" s="246">
        <v>83400</v>
      </c>
      <c r="I510" s="246">
        <v>93800</v>
      </c>
      <c r="J510" s="246">
        <v>104200</v>
      </c>
      <c r="K510" s="246">
        <v>112550</v>
      </c>
      <c r="L510" s="246">
        <v>120900</v>
      </c>
      <c r="M510" s="246">
        <v>129250</v>
      </c>
      <c r="N510" s="246">
        <v>137550</v>
      </c>
    </row>
    <row r="511" spans="3:14" ht="21.95" customHeight="1" x14ac:dyDescent="0.25">
      <c r="C511" s="139" t="str">
        <f t="shared" si="23"/>
        <v>CT_DERBY TOWN, CT EXCEPTION AREA</v>
      </c>
      <c r="D511" s="136" t="s">
        <v>55</v>
      </c>
      <c r="E511" s="262" t="s">
        <v>9134</v>
      </c>
      <c r="F511" s="136" t="s">
        <v>183</v>
      </c>
      <c r="G511" s="246">
        <v>69350</v>
      </c>
      <c r="H511" s="246">
        <v>79250</v>
      </c>
      <c r="I511" s="246">
        <v>89150</v>
      </c>
      <c r="J511" s="246">
        <v>99050</v>
      </c>
      <c r="K511" s="246">
        <v>107000</v>
      </c>
      <c r="L511" s="246">
        <v>114900</v>
      </c>
      <c r="M511" s="246">
        <v>122850</v>
      </c>
      <c r="N511" s="246">
        <v>130750</v>
      </c>
    </row>
    <row r="512" spans="3:14" ht="21.95" customHeight="1" x14ac:dyDescent="0.25">
      <c r="C512" s="139" t="str">
        <f t="shared" ref="C512:C575" si="24">TRIM(UPPER(D512))&amp;"_"&amp;TRIM(UPPER(E512))</f>
        <v>CT_EASTON TOWN, CT EXCEPTION AREA</v>
      </c>
      <c r="D512" s="136" t="s">
        <v>55</v>
      </c>
      <c r="E512" s="262" t="s">
        <v>9105</v>
      </c>
      <c r="F512" s="136" t="s">
        <v>183</v>
      </c>
      <c r="G512" s="246">
        <v>71650</v>
      </c>
      <c r="H512" s="246">
        <v>81850</v>
      </c>
      <c r="I512" s="246">
        <v>92100</v>
      </c>
      <c r="J512" s="246">
        <v>102300</v>
      </c>
      <c r="K512" s="246">
        <v>110500</v>
      </c>
      <c r="L512" s="246">
        <v>118700</v>
      </c>
      <c r="M512" s="246">
        <v>126900</v>
      </c>
      <c r="N512" s="246">
        <v>135050</v>
      </c>
    </row>
    <row r="513" spans="3:14" ht="21.95" customHeight="1" x14ac:dyDescent="0.25">
      <c r="C513" s="139" t="str">
        <f t="shared" si="24"/>
        <v>CT_ESSEX TOWN, CT EXCEPTION AREA</v>
      </c>
      <c r="D513" s="136" t="s">
        <v>55</v>
      </c>
      <c r="E513" s="262" t="s">
        <v>9127</v>
      </c>
      <c r="F513" s="136" t="s">
        <v>183</v>
      </c>
      <c r="G513" s="246">
        <v>72950</v>
      </c>
      <c r="H513" s="246">
        <v>83400</v>
      </c>
      <c r="I513" s="246">
        <v>93800</v>
      </c>
      <c r="J513" s="246">
        <v>104200</v>
      </c>
      <c r="K513" s="246">
        <v>112550</v>
      </c>
      <c r="L513" s="246">
        <v>120900</v>
      </c>
      <c r="M513" s="246">
        <v>129250</v>
      </c>
      <c r="N513" s="246">
        <v>137550</v>
      </c>
    </row>
    <row r="514" spans="3:14" ht="21.95" customHeight="1" x14ac:dyDescent="0.25">
      <c r="C514" s="139" t="str">
        <f t="shared" si="24"/>
        <v>CT_FAIRFIELD TOWN, CT EXCEPTION AREA</v>
      </c>
      <c r="D514" s="136" t="s">
        <v>55</v>
      </c>
      <c r="E514" s="262" t="s">
        <v>9106</v>
      </c>
      <c r="F514" s="136" t="s">
        <v>183</v>
      </c>
      <c r="G514" s="246">
        <v>71650</v>
      </c>
      <c r="H514" s="246">
        <v>81850</v>
      </c>
      <c r="I514" s="246">
        <v>92100</v>
      </c>
      <c r="J514" s="246">
        <v>102300</v>
      </c>
      <c r="K514" s="246">
        <v>110500</v>
      </c>
      <c r="L514" s="246">
        <v>118700</v>
      </c>
      <c r="M514" s="246">
        <v>126900</v>
      </c>
      <c r="N514" s="246">
        <v>135050</v>
      </c>
    </row>
    <row r="515" spans="3:14" ht="21.95" customHeight="1" x14ac:dyDescent="0.25">
      <c r="C515" s="139" t="str">
        <f t="shared" si="24"/>
        <v>CT_GREENWICH TOWN, CT EXCEPTION AREA</v>
      </c>
      <c r="D515" s="136" t="s">
        <v>55</v>
      </c>
      <c r="E515" s="262" t="s">
        <v>9115</v>
      </c>
      <c r="F515" s="136" t="s">
        <v>183</v>
      </c>
      <c r="G515" s="246">
        <v>79150</v>
      </c>
      <c r="H515" s="246">
        <v>90450</v>
      </c>
      <c r="I515" s="246">
        <v>101750</v>
      </c>
      <c r="J515" s="246">
        <v>113050</v>
      </c>
      <c r="K515" s="246">
        <v>122100</v>
      </c>
      <c r="L515" s="246">
        <v>131150</v>
      </c>
      <c r="M515" s="246">
        <v>140200</v>
      </c>
      <c r="N515" s="246">
        <v>149250</v>
      </c>
    </row>
    <row r="516" spans="3:14" ht="21.95" customHeight="1" x14ac:dyDescent="0.25">
      <c r="C516" s="139" t="str">
        <f t="shared" si="24"/>
        <v>CT_HARTFORD-WEST HARTFORD-EAST HARTFORD, CT MSA</v>
      </c>
      <c r="D516" s="136" t="s">
        <v>55</v>
      </c>
      <c r="E516" s="262" t="s">
        <v>9120</v>
      </c>
      <c r="F516" s="136" t="s">
        <v>183</v>
      </c>
      <c r="G516" s="246">
        <v>70950</v>
      </c>
      <c r="H516" s="246">
        <v>81050</v>
      </c>
      <c r="I516" s="246">
        <v>91200</v>
      </c>
      <c r="J516" s="246">
        <v>101300</v>
      </c>
      <c r="K516" s="246">
        <v>109450</v>
      </c>
      <c r="L516" s="246">
        <v>117550</v>
      </c>
      <c r="M516" s="246">
        <v>125650</v>
      </c>
      <c r="N516" s="246">
        <v>133750</v>
      </c>
    </row>
    <row r="517" spans="3:14" ht="21.95" customHeight="1" x14ac:dyDescent="0.25">
      <c r="C517" s="139" t="str">
        <f t="shared" si="24"/>
        <v>CT_KILLINGWORTH TOWN, CT EXCEPTION AREA</v>
      </c>
      <c r="D517" s="136" t="s">
        <v>55</v>
      </c>
      <c r="E517" s="262" t="s">
        <v>9128</v>
      </c>
      <c r="F517" s="136" t="s">
        <v>183</v>
      </c>
      <c r="G517" s="246">
        <v>72950</v>
      </c>
      <c r="H517" s="246">
        <v>83400</v>
      </c>
      <c r="I517" s="246">
        <v>93800</v>
      </c>
      <c r="J517" s="246">
        <v>104200</v>
      </c>
      <c r="K517" s="246">
        <v>112550</v>
      </c>
      <c r="L517" s="246">
        <v>120900</v>
      </c>
      <c r="M517" s="246">
        <v>129250</v>
      </c>
      <c r="N517" s="246">
        <v>137550</v>
      </c>
    </row>
    <row r="518" spans="3:14" ht="21.95" customHeight="1" x14ac:dyDescent="0.25">
      <c r="C518" s="139" t="str">
        <f t="shared" si="24"/>
        <v>CT_LEBANON TOWN, CT EXCEPTION AREA</v>
      </c>
      <c r="D518" s="136" t="s">
        <v>55</v>
      </c>
      <c r="E518" s="262" t="s">
        <v>9142</v>
      </c>
      <c r="F518" s="136" t="s">
        <v>183</v>
      </c>
      <c r="G518" s="246">
        <v>72950</v>
      </c>
      <c r="H518" s="246">
        <v>83400</v>
      </c>
      <c r="I518" s="246">
        <v>93800</v>
      </c>
      <c r="J518" s="246">
        <v>104200</v>
      </c>
      <c r="K518" s="246">
        <v>112550</v>
      </c>
      <c r="L518" s="246">
        <v>120900</v>
      </c>
      <c r="M518" s="246">
        <v>129250</v>
      </c>
      <c r="N518" s="246">
        <v>137550</v>
      </c>
    </row>
    <row r="519" spans="3:14" ht="21.95" customHeight="1" x14ac:dyDescent="0.25">
      <c r="C519" s="139" t="str">
        <f t="shared" si="24"/>
        <v>CT_LYME TOWN, CT EXCEPTION AREA</v>
      </c>
      <c r="D519" s="136" t="s">
        <v>55</v>
      </c>
      <c r="E519" s="262" t="s">
        <v>9138</v>
      </c>
      <c r="F519" s="136" t="s">
        <v>183</v>
      </c>
      <c r="G519" s="246">
        <v>69850</v>
      </c>
      <c r="H519" s="246">
        <v>79800</v>
      </c>
      <c r="I519" s="246">
        <v>89800</v>
      </c>
      <c r="J519" s="246">
        <v>99750</v>
      </c>
      <c r="K519" s="246">
        <v>107750</v>
      </c>
      <c r="L519" s="246">
        <v>115750</v>
      </c>
      <c r="M519" s="246">
        <v>123700</v>
      </c>
      <c r="N519" s="246">
        <v>131700</v>
      </c>
    </row>
    <row r="520" spans="3:14" ht="21.95" customHeight="1" x14ac:dyDescent="0.25">
      <c r="C520" s="139" t="str">
        <f t="shared" si="24"/>
        <v>CT_MILFORD TOWN, CT EXCEPTION AREA</v>
      </c>
      <c r="D520" s="136" t="s">
        <v>55</v>
      </c>
      <c r="E520" s="262" t="s">
        <v>9135</v>
      </c>
      <c r="F520" s="136" t="s">
        <v>183</v>
      </c>
      <c r="G520" s="246">
        <v>69350</v>
      </c>
      <c r="H520" s="246">
        <v>79250</v>
      </c>
      <c r="I520" s="246">
        <v>89150</v>
      </c>
      <c r="J520" s="246">
        <v>99050</v>
      </c>
      <c r="K520" s="246">
        <v>107000</v>
      </c>
      <c r="L520" s="246">
        <v>114900</v>
      </c>
      <c r="M520" s="246">
        <v>122850</v>
      </c>
      <c r="N520" s="246">
        <v>130750</v>
      </c>
    </row>
    <row r="521" spans="3:14" ht="21.95" customHeight="1" x14ac:dyDescent="0.25">
      <c r="C521" s="139" t="str">
        <f t="shared" si="24"/>
        <v>CT_MONROE TOWN, CT EXCEPTION AREA</v>
      </c>
      <c r="D521" s="136" t="s">
        <v>55</v>
      </c>
      <c r="E521" s="262" t="s">
        <v>9107</v>
      </c>
      <c r="F521" s="136" t="s">
        <v>183</v>
      </c>
      <c r="G521" s="246">
        <v>71650</v>
      </c>
      <c r="H521" s="246">
        <v>81850</v>
      </c>
      <c r="I521" s="246">
        <v>92100</v>
      </c>
      <c r="J521" s="246">
        <v>102300</v>
      </c>
      <c r="K521" s="246">
        <v>110500</v>
      </c>
      <c r="L521" s="246">
        <v>118700</v>
      </c>
      <c r="M521" s="246">
        <v>126900</v>
      </c>
      <c r="N521" s="246">
        <v>135050</v>
      </c>
    </row>
    <row r="522" spans="3:14" ht="21.95" customHeight="1" x14ac:dyDescent="0.25">
      <c r="C522" s="139" t="str">
        <f t="shared" si="24"/>
        <v>CT_NEW CANAAN TOWN, CT EXCEPTION AREA</v>
      </c>
      <c r="D522" s="136" t="s">
        <v>55</v>
      </c>
      <c r="E522" s="262" t="s">
        <v>9112</v>
      </c>
      <c r="F522" s="136" t="s">
        <v>183</v>
      </c>
      <c r="G522" s="246">
        <v>79150</v>
      </c>
      <c r="H522" s="246">
        <v>90450</v>
      </c>
      <c r="I522" s="246">
        <v>101750</v>
      </c>
      <c r="J522" s="246">
        <v>113050</v>
      </c>
      <c r="K522" s="246">
        <v>122100</v>
      </c>
      <c r="L522" s="246">
        <v>131150</v>
      </c>
      <c r="M522" s="246">
        <v>140200</v>
      </c>
      <c r="N522" s="246">
        <v>149250</v>
      </c>
    </row>
    <row r="523" spans="3:14" ht="21.95" customHeight="1" x14ac:dyDescent="0.25">
      <c r="C523" s="139" t="str">
        <f t="shared" si="24"/>
        <v>CT_NEW HAVEN, CT MSA</v>
      </c>
      <c r="D523" s="136" t="s">
        <v>55</v>
      </c>
      <c r="E523" s="262" t="s">
        <v>9133</v>
      </c>
      <c r="F523" s="136" t="s">
        <v>183</v>
      </c>
      <c r="G523" s="246">
        <v>63700</v>
      </c>
      <c r="H523" s="246">
        <v>72800</v>
      </c>
      <c r="I523" s="246">
        <v>81900</v>
      </c>
      <c r="J523" s="246">
        <v>90950</v>
      </c>
      <c r="K523" s="246">
        <v>98250</v>
      </c>
      <c r="L523" s="246">
        <v>105550</v>
      </c>
      <c r="M523" s="246">
        <v>112800</v>
      </c>
      <c r="N523" s="246">
        <v>120100</v>
      </c>
    </row>
    <row r="524" spans="3:14" ht="21.95" customHeight="1" x14ac:dyDescent="0.25">
      <c r="C524" s="139" t="str">
        <f t="shared" si="24"/>
        <v>CT_NEW MILFORD TOWN, CT EXCEPTION AREA</v>
      </c>
      <c r="D524" s="136" t="s">
        <v>55</v>
      </c>
      <c r="E524" s="262" t="s">
        <v>9123</v>
      </c>
      <c r="F524" s="136" t="s">
        <v>183</v>
      </c>
      <c r="G524" s="246">
        <v>69850</v>
      </c>
      <c r="H524" s="246">
        <v>79800</v>
      </c>
      <c r="I524" s="246">
        <v>89800</v>
      </c>
      <c r="J524" s="246">
        <v>99750</v>
      </c>
      <c r="K524" s="246">
        <v>107750</v>
      </c>
      <c r="L524" s="246">
        <v>115750</v>
      </c>
      <c r="M524" s="246">
        <v>123700</v>
      </c>
      <c r="N524" s="246">
        <v>131700</v>
      </c>
    </row>
    <row r="525" spans="3:14" ht="21.95" customHeight="1" x14ac:dyDescent="0.25">
      <c r="C525" s="139" t="str">
        <f t="shared" si="24"/>
        <v>CT_NORTHEASTERN CONNECTICUT PLANNING REGION, CT</v>
      </c>
      <c r="D525" s="136" t="s">
        <v>55</v>
      </c>
      <c r="E525" s="262" t="s">
        <v>9140</v>
      </c>
      <c r="F525" s="136" t="s">
        <v>183</v>
      </c>
      <c r="G525" s="246">
        <v>63700</v>
      </c>
      <c r="H525" s="246">
        <v>72800</v>
      </c>
      <c r="I525" s="246">
        <v>81900</v>
      </c>
      <c r="J525" s="246">
        <v>90950</v>
      </c>
      <c r="K525" s="246">
        <v>98250</v>
      </c>
      <c r="L525" s="246">
        <v>105550</v>
      </c>
      <c r="M525" s="246">
        <v>112800</v>
      </c>
      <c r="N525" s="246">
        <v>120100</v>
      </c>
    </row>
    <row r="526" spans="3:14" ht="21.95" customHeight="1" x14ac:dyDescent="0.25">
      <c r="C526" s="139" t="str">
        <f t="shared" si="24"/>
        <v>CT_NORTHWEST HILLS PLANNING REGION, CT</v>
      </c>
      <c r="D526" s="136" t="s">
        <v>55</v>
      </c>
      <c r="E526" s="262" t="s">
        <v>9121</v>
      </c>
      <c r="F526" s="136" t="s">
        <v>183</v>
      </c>
      <c r="G526" s="246">
        <v>65200</v>
      </c>
      <c r="H526" s="246">
        <v>74500</v>
      </c>
      <c r="I526" s="246">
        <v>83800</v>
      </c>
      <c r="J526" s="246">
        <v>93100</v>
      </c>
      <c r="K526" s="246">
        <v>100550</v>
      </c>
      <c r="L526" s="246">
        <v>108000</v>
      </c>
      <c r="M526" s="246">
        <v>115450</v>
      </c>
      <c r="N526" s="246">
        <v>122900</v>
      </c>
    </row>
    <row r="527" spans="3:14" ht="21.95" customHeight="1" x14ac:dyDescent="0.25">
      <c r="C527" s="139" t="str">
        <f t="shared" si="24"/>
        <v>CT_NORWALK TOWN, CT EXCEPTION AREA</v>
      </c>
      <c r="D527" s="136" t="s">
        <v>55</v>
      </c>
      <c r="E527" s="262" t="s">
        <v>9118</v>
      </c>
      <c r="F527" s="136" t="s">
        <v>183</v>
      </c>
      <c r="G527" s="246">
        <v>79150</v>
      </c>
      <c r="H527" s="246">
        <v>90450</v>
      </c>
      <c r="I527" s="246">
        <v>101750</v>
      </c>
      <c r="J527" s="246">
        <v>113050</v>
      </c>
      <c r="K527" s="246">
        <v>122100</v>
      </c>
      <c r="L527" s="246">
        <v>131150</v>
      </c>
      <c r="M527" s="246">
        <v>140200</v>
      </c>
      <c r="N527" s="246">
        <v>149250</v>
      </c>
    </row>
    <row r="528" spans="3:14" ht="21.95" customHeight="1" x14ac:dyDescent="0.25">
      <c r="C528" s="139" t="str">
        <f t="shared" si="24"/>
        <v>CT_NORWICH-NEW LONDON-WILLIMANTIC, CT MSA</v>
      </c>
      <c r="D528" s="136" t="s">
        <v>55</v>
      </c>
      <c r="E528" s="262" t="s">
        <v>9141</v>
      </c>
      <c r="F528" s="136" t="s">
        <v>183</v>
      </c>
      <c r="G528" s="246">
        <v>63700</v>
      </c>
      <c r="H528" s="246">
        <v>72800</v>
      </c>
      <c r="I528" s="246">
        <v>81900</v>
      </c>
      <c r="J528" s="246">
        <v>90950</v>
      </c>
      <c r="K528" s="246">
        <v>98250</v>
      </c>
      <c r="L528" s="246">
        <v>105550</v>
      </c>
      <c r="M528" s="246">
        <v>112800</v>
      </c>
      <c r="N528" s="246">
        <v>120100</v>
      </c>
    </row>
    <row r="529" spans="3:14" ht="21.95" customHeight="1" x14ac:dyDescent="0.25">
      <c r="C529" s="139" t="str">
        <f t="shared" si="24"/>
        <v>CT_OLD LYME TOWN, CT EXCEPTION AREA</v>
      </c>
      <c r="D529" s="136" t="s">
        <v>55</v>
      </c>
      <c r="E529" s="262" t="s">
        <v>9139</v>
      </c>
      <c r="F529" s="136" t="s">
        <v>183</v>
      </c>
      <c r="G529" s="246">
        <v>69850</v>
      </c>
      <c r="H529" s="246">
        <v>79800</v>
      </c>
      <c r="I529" s="246">
        <v>89800</v>
      </c>
      <c r="J529" s="246">
        <v>99750</v>
      </c>
      <c r="K529" s="246">
        <v>107750</v>
      </c>
      <c r="L529" s="246">
        <v>115750</v>
      </c>
      <c r="M529" s="246">
        <v>123700</v>
      </c>
      <c r="N529" s="246">
        <v>131700</v>
      </c>
    </row>
    <row r="530" spans="3:14" ht="21.95" customHeight="1" x14ac:dyDescent="0.25">
      <c r="C530" s="139" t="str">
        <f t="shared" si="24"/>
        <v>CT_OLD SAYBROOK TOWN, CT EXCEPTION AREA</v>
      </c>
      <c r="D530" s="136" t="s">
        <v>55</v>
      </c>
      <c r="E530" s="262" t="s">
        <v>9129</v>
      </c>
      <c r="F530" s="136" t="s">
        <v>183</v>
      </c>
      <c r="G530" s="246">
        <v>72950</v>
      </c>
      <c r="H530" s="246">
        <v>83400</v>
      </c>
      <c r="I530" s="246">
        <v>93800</v>
      </c>
      <c r="J530" s="246">
        <v>104200</v>
      </c>
      <c r="K530" s="246">
        <v>112550</v>
      </c>
      <c r="L530" s="246">
        <v>120900</v>
      </c>
      <c r="M530" s="246">
        <v>129250</v>
      </c>
      <c r="N530" s="246">
        <v>137550</v>
      </c>
    </row>
    <row r="531" spans="3:14" ht="21.95" customHeight="1" x14ac:dyDescent="0.25">
      <c r="C531" s="139" t="str">
        <f t="shared" si="24"/>
        <v>CT_OXFORD TOWN, CT EXCEPTION AREA</v>
      </c>
      <c r="D531" s="136" t="s">
        <v>55</v>
      </c>
      <c r="E531" s="262" t="s">
        <v>9132</v>
      </c>
      <c r="F531" s="136" t="s">
        <v>183</v>
      </c>
      <c r="G531" s="246">
        <v>69350</v>
      </c>
      <c r="H531" s="246">
        <v>79250</v>
      </c>
      <c r="I531" s="246">
        <v>89150</v>
      </c>
      <c r="J531" s="246">
        <v>99050</v>
      </c>
      <c r="K531" s="246">
        <v>107000</v>
      </c>
      <c r="L531" s="246">
        <v>114900</v>
      </c>
      <c r="M531" s="246">
        <v>122850</v>
      </c>
      <c r="N531" s="246">
        <v>130750</v>
      </c>
    </row>
    <row r="532" spans="3:14" ht="21.95" customHeight="1" x14ac:dyDescent="0.25">
      <c r="C532" s="139" t="str">
        <f t="shared" si="24"/>
        <v>CT_SEYMOUR TOWN, CT EXCEPTION AREA</v>
      </c>
      <c r="D532" s="136" t="s">
        <v>55</v>
      </c>
      <c r="E532" s="262" t="s">
        <v>9131</v>
      </c>
      <c r="F532" s="136" t="s">
        <v>183</v>
      </c>
      <c r="G532" s="246">
        <v>69350</v>
      </c>
      <c r="H532" s="246">
        <v>79250</v>
      </c>
      <c r="I532" s="246">
        <v>89150</v>
      </c>
      <c r="J532" s="246">
        <v>99050</v>
      </c>
      <c r="K532" s="246">
        <v>107000</v>
      </c>
      <c r="L532" s="246">
        <v>114900</v>
      </c>
      <c r="M532" s="246">
        <v>122850</v>
      </c>
      <c r="N532" s="246">
        <v>130750</v>
      </c>
    </row>
    <row r="533" spans="3:14" ht="21.95" customHeight="1" x14ac:dyDescent="0.25">
      <c r="C533" s="139" t="str">
        <f t="shared" si="24"/>
        <v>CT_STAMFORD TOWN, CT EXCEPTION AREA</v>
      </c>
      <c r="D533" s="136" t="s">
        <v>55</v>
      </c>
      <c r="E533" s="262" t="s">
        <v>9117</v>
      </c>
      <c r="F533" s="136" t="s">
        <v>183</v>
      </c>
      <c r="G533" s="246">
        <v>79150</v>
      </c>
      <c r="H533" s="246">
        <v>90450</v>
      </c>
      <c r="I533" s="246">
        <v>101750</v>
      </c>
      <c r="J533" s="246">
        <v>113050</v>
      </c>
      <c r="K533" s="246">
        <v>122100</v>
      </c>
      <c r="L533" s="246">
        <v>131150</v>
      </c>
      <c r="M533" s="246">
        <v>140200</v>
      </c>
      <c r="N533" s="246">
        <v>149250</v>
      </c>
    </row>
    <row r="534" spans="3:14" ht="21.95" customHeight="1" x14ac:dyDescent="0.25">
      <c r="C534" s="139" t="str">
        <f t="shared" si="24"/>
        <v>CT_STRATFORD TOWN, CT EXCEPTION AREA</v>
      </c>
      <c r="D534" s="136" t="s">
        <v>55</v>
      </c>
      <c r="E534" s="262" t="s">
        <v>9108</v>
      </c>
      <c r="F534" s="136" t="s">
        <v>183</v>
      </c>
      <c r="G534" s="246">
        <v>71650</v>
      </c>
      <c r="H534" s="246">
        <v>81850</v>
      </c>
      <c r="I534" s="246">
        <v>92100</v>
      </c>
      <c r="J534" s="246">
        <v>102300</v>
      </c>
      <c r="K534" s="246">
        <v>110500</v>
      </c>
      <c r="L534" s="246">
        <v>118700</v>
      </c>
      <c r="M534" s="246">
        <v>126900</v>
      </c>
      <c r="N534" s="246">
        <v>135050</v>
      </c>
    </row>
    <row r="535" spans="3:14" ht="21.95" customHeight="1" x14ac:dyDescent="0.25">
      <c r="C535" s="139" t="str">
        <f t="shared" si="24"/>
        <v>CT_TRUMBULL TOWN, CT EXCEPTION AREA</v>
      </c>
      <c r="D535" s="136" t="s">
        <v>55</v>
      </c>
      <c r="E535" s="262" t="s">
        <v>9109</v>
      </c>
      <c r="F535" s="136" t="s">
        <v>183</v>
      </c>
      <c r="G535" s="246">
        <v>71650</v>
      </c>
      <c r="H535" s="246">
        <v>81850</v>
      </c>
      <c r="I535" s="246">
        <v>92100</v>
      </c>
      <c r="J535" s="246">
        <v>102300</v>
      </c>
      <c r="K535" s="246">
        <v>110500</v>
      </c>
      <c r="L535" s="246">
        <v>118700</v>
      </c>
      <c r="M535" s="246">
        <v>126900</v>
      </c>
      <c r="N535" s="246">
        <v>135050</v>
      </c>
    </row>
    <row r="536" spans="3:14" ht="21.95" customHeight="1" x14ac:dyDescent="0.25">
      <c r="C536" s="139" t="str">
        <f t="shared" si="24"/>
        <v>CT_UNION TOWN, CT EXCEPTION AREA</v>
      </c>
      <c r="D536" s="136" t="s">
        <v>55</v>
      </c>
      <c r="E536" s="262" t="s">
        <v>9143</v>
      </c>
      <c r="F536" s="136" t="s">
        <v>183</v>
      </c>
      <c r="G536" s="246">
        <v>64900</v>
      </c>
      <c r="H536" s="246">
        <v>74150</v>
      </c>
      <c r="I536" s="246">
        <v>83400</v>
      </c>
      <c r="J536" s="246">
        <v>92650</v>
      </c>
      <c r="K536" s="246">
        <v>100100</v>
      </c>
      <c r="L536" s="246">
        <v>107500</v>
      </c>
      <c r="M536" s="246">
        <v>114900</v>
      </c>
      <c r="N536" s="246">
        <v>122300</v>
      </c>
    </row>
    <row r="537" spans="3:14" ht="21.95" customHeight="1" x14ac:dyDescent="0.25">
      <c r="C537" s="139" t="str">
        <f t="shared" si="24"/>
        <v>CT_WATERBURY-SHELTON, CT MSA</v>
      </c>
      <c r="D537" s="136" t="s">
        <v>55</v>
      </c>
      <c r="E537" s="262" t="s">
        <v>9111</v>
      </c>
      <c r="F537" s="136" t="s">
        <v>183</v>
      </c>
      <c r="G537" s="246">
        <v>63700</v>
      </c>
      <c r="H537" s="246">
        <v>72800</v>
      </c>
      <c r="I537" s="246">
        <v>81900</v>
      </c>
      <c r="J537" s="246">
        <v>90950</v>
      </c>
      <c r="K537" s="246">
        <v>98250</v>
      </c>
      <c r="L537" s="246">
        <v>105550</v>
      </c>
      <c r="M537" s="246">
        <v>112800</v>
      </c>
      <c r="N537" s="246">
        <v>120100</v>
      </c>
    </row>
    <row r="538" spans="3:14" ht="21.95" customHeight="1" x14ac:dyDescent="0.25">
      <c r="C538" s="139" t="str">
        <f t="shared" si="24"/>
        <v>CT_WESTBROOK TOWN, CT EXCEPTION AREA</v>
      </c>
      <c r="D538" s="136" t="s">
        <v>55</v>
      </c>
      <c r="E538" s="262" t="s">
        <v>9124</v>
      </c>
      <c r="F538" s="136" t="s">
        <v>183</v>
      </c>
      <c r="G538" s="246">
        <v>72950</v>
      </c>
      <c r="H538" s="246">
        <v>83400</v>
      </c>
      <c r="I538" s="246">
        <v>93800</v>
      </c>
      <c r="J538" s="246">
        <v>104200</v>
      </c>
      <c r="K538" s="246">
        <v>112550</v>
      </c>
      <c r="L538" s="246">
        <v>120900</v>
      </c>
      <c r="M538" s="246">
        <v>129250</v>
      </c>
      <c r="N538" s="246">
        <v>137550</v>
      </c>
    </row>
    <row r="539" spans="3:14" ht="21.95" customHeight="1" x14ac:dyDescent="0.25">
      <c r="C539" s="139" t="str">
        <f t="shared" si="24"/>
        <v>CT_WESTON TOWN, CT EXCEPTION AREA</v>
      </c>
      <c r="D539" s="136" t="s">
        <v>55</v>
      </c>
      <c r="E539" s="262" t="s">
        <v>9114</v>
      </c>
      <c r="F539" s="136" t="s">
        <v>183</v>
      </c>
      <c r="G539" s="246">
        <v>79150</v>
      </c>
      <c r="H539" s="246">
        <v>90450</v>
      </c>
      <c r="I539" s="246">
        <v>101750</v>
      </c>
      <c r="J539" s="246">
        <v>113050</v>
      </c>
      <c r="K539" s="246">
        <v>122100</v>
      </c>
      <c r="L539" s="246">
        <v>131150</v>
      </c>
      <c r="M539" s="246">
        <v>140200</v>
      </c>
      <c r="N539" s="246">
        <v>149250</v>
      </c>
    </row>
    <row r="540" spans="3:14" ht="21.95" customHeight="1" x14ac:dyDescent="0.25">
      <c r="C540" s="139" t="str">
        <f t="shared" si="24"/>
        <v>CT_WESTPORT TOWN, CT EXCEPTION AREA</v>
      </c>
      <c r="D540" s="136" t="s">
        <v>55</v>
      </c>
      <c r="E540" s="262" t="s">
        <v>9103</v>
      </c>
      <c r="F540" s="136" t="s">
        <v>183</v>
      </c>
      <c r="G540" s="246">
        <v>79150</v>
      </c>
      <c r="H540" s="246">
        <v>90450</v>
      </c>
      <c r="I540" s="246">
        <v>101750</v>
      </c>
      <c r="J540" s="246">
        <v>113050</v>
      </c>
      <c r="K540" s="246">
        <v>122100</v>
      </c>
      <c r="L540" s="246">
        <v>131150</v>
      </c>
      <c r="M540" s="246">
        <v>140200</v>
      </c>
      <c r="N540" s="246">
        <v>149250</v>
      </c>
    </row>
    <row r="541" spans="3:14" ht="21.95" customHeight="1" x14ac:dyDescent="0.25">
      <c r="C541" s="139" t="str">
        <f t="shared" si="24"/>
        <v>CT_WILTON TOWN, CT EXCEPTION AREA</v>
      </c>
      <c r="D541" s="136" t="s">
        <v>55</v>
      </c>
      <c r="E541" s="262" t="s">
        <v>9113</v>
      </c>
      <c r="F541" s="136" t="s">
        <v>183</v>
      </c>
      <c r="G541" s="246">
        <v>79150</v>
      </c>
      <c r="H541" s="246">
        <v>90450</v>
      </c>
      <c r="I541" s="246">
        <v>101750</v>
      </c>
      <c r="J541" s="246">
        <v>113050</v>
      </c>
      <c r="K541" s="246">
        <v>122100</v>
      </c>
      <c r="L541" s="246">
        <v>131150</v>
      </c>
      <c r="M541" s="246">
        <v>140200</v>
      </c>
      <c r="N541" s="246">
        <v>149250</v>
      </c>
    </row>
    <row r="542" spans="3:14" ht="21.95" customHeight="1" x14ac:dyDescent="0.25">
      <c r="C542" s="139" t="str">
        <f t="shared" si="24"/>
        <v>DC_WASHINGTON-ARLINGTON-ALEXANDRIA, DC-VA-MD HUD METRO FMR AREA</v>
      </c>
      <c r="D542" s="136" t="s">
        <v>472</v>
      </c>
      <c r="E542" s="262" t="s">
        <v>3210</v>
      </c>
      <c r="F542" s="136" t="s">
        <v>183</v>
      </c>
      <c r="G542" s="246">
        <v>74800</v>
      </c>
      <c r="H542" s="246">
        <v>85450</v>
      </c>
      <c r="I542" s="246">
        <v>96150</v>
      </c>
      <c r="J542" s="246">
        <v>106800</v>
      </c>
      <c r="K542" s="246">
        <v>115350</v>
      </c>
      <c r="L542" s="246">
        <v>123900</v>
      </c>
      <c r="M542" s="246">
        <v>132450</v>
      </c>
      <c r="N542" s="246">
        <v>141000</v>
      </c>
    </row>
    <row r="543" spans="3:14" ht="21.95" customHeight="1" x14ac:dyDescent="0.25">
      <c r="C543" s="139" t="str">
        <f t="shared" si="24"/>
        <v>DE_DOVER, DE MSA</v>
      </c>
      <c r="D543" s="136" t="s">
        <v>97</v>
      </c>
      <c r="E543" s="262" t="s">
        <v>3211</v>
      </c>
      <c r="F543" s="136" t="s">
        <v>183</v>
      </c>
      <c r="G543" s="246">
        <v>54900</v>
      </c>
      <c r="H543" s="246">
        <v>62750</v>
      </c>
      <c r="I543" s="246">
        <v>70600</v>
      </c>
      <c r="J543" s="246">
        <v>78400</v>
      </c>
      <c r="K543" s="246">
        <v>84700</v>
      </c>
      <c r="L543" s="246">
        <v>90950</v>
      </c>
      <c r="M543" s="246">
        <v>97250</v>
      </c>
      <c r="N543" s="246">
        <v>103500</v>
      </c>
    </row>
    <row r="544" spans="3:14" ht="21.95" customHeight="1" x14ac:dyDescent="0.25">
      <c r="C544" s="139" t="str">
        <f t="shared" si="24"/>
        <v>DE_PHILADELPHIA-CAMDEN-WILMINGTON, PA-NJ-DE-MD MSA</v>
      </c>
      <c r="D544" s="136" t="s">
        <v>97</v>
      </c>
      <c r="E544" s="262" t="s">
        <v>3212</v>
      </c>
      <c r="F544" s="136" t="s">
        <v>183</v>
      </c>
      <c r="G544" s="246">
        <v>66850</v>
      </c>
      <c r="H544" s="246">
        <v>76400</v>
      </c>
      <c r="I544" s="246">
        <v>85950</v>
      </c>
      <c r="J544" s="246">
        <v>95500</v>
      </c>
      <c r="K544" s="246">
        <v>103150</v>
      </c>
      <c r="L544" s="246">
        <v>110800</v>
      </c>
      <c r="M544" s="246">
        <v>118450</v>
      </c>
      <c r="N544" s="246">
        <v>126100</v>
      </c>
    </row>
    <row r="545" spans="3:14" ht="21.95" customHeight="1" x14ac:dyDescent="0.25">
      <c r="C545" s="139" t="str">
        <f t="shared" si="24"/>
        <v>DE_SUSSEX COUNTY, DE</v>
      </c>
      <c r="D545" s="136" t="s">
        <v>97</v>
      </c>
      <c r="E545" s="262" t="s">
        <v>9144</v>
      </c>
      <c r="F545" s="136" t="s">
        <v>183</v>
      </c>
      <c r="G545" s="246">
        <v>54600</v>
      </c>
      <c r="H545" s="246">
        <v>62400</v>
      </c>
      <c r="I545" s="246">
        <v>70200</v>
      </c>
      <c r="J545" s="246">
        <v>78000</v>
      </c>
      <c r="K545" s="246">
        <v>84250</v>
      </c>
      <c r="L545" s="246">
        <v>90500</v>
      </c>
      <c r="M545" s="246">
        <v>96750</v>
      </c>
      <c r="N545" s="246">
        <v>103000</v>
      </c>
    </row>
    <row r="546" spans="3:14" ht="21.95" customHeight="1" x14ac:dyDescent="0.25">
      <c r="C546" s="139" t="str">
        <f t="shared" si="24"/>
        <v>FL_BAKER COUNTY, FL HUD METRO FMR AREA</v>
      </c>
      <c r="D546" s="136" t="s">
        <v>96</v>
      </c>
      <c r="E546" s="262" t="s">
        <v>3213</v>
      </c>
      <c r="F546" s="136" t="s">
        <v>183</v>
      </c>
      <c r="G546" s="246">
        <v>51250</v>
      </c>
      <c r="H546" s="246">
        <v>58600</v>
      </c>
      <c r="I546" s="246">
        <v>65900</v>
      </c>
      <c r="J546" s="246">
        <v>73200</v>
      </c>
      <c r="K546" s="246">
        <v>79100</v>
      </c>
      <c r="L546" s="246">
        <v>84950</v>
      </c>
      <c r="M546" s="246">
        <v>90800</v>
      </c>
      <c r="N546" s="246">
        <v>96650</v>
      </c>
    </row>
    <row r="547" spans="3:14" ht="21.95" customHeight="1" x14ac:dyDescent="0.25">
      <c r="C547" s="139" t="str">
        <f t="shared" si="24"/>
        <v>FL_BRADFORD COUNTY, FL</v>
      </c>
      <c r="D547" s="136" t="s">
        <v>96</v>
      </c>
      <c r="E547" s="262" t="s">
        <v>3214</v>
      </c>
      <c r="F547" s="136" t="s">
        <v>183</v>
      </c>
      <c r="G547" s="246">
        <v>43200</v>
      </c>
      <c r="H547" s="246">
        <v>49350</v>
      </c>
      <c r="I547" s="246">
        <v>55500</v>
      </c>
      <c r="J547" s="246">
        <v>61650</v>
      </c>
      <c r="K547" s="246">
        <v>66600</v>
      </c>
      <c r="L547" s="246">
        <v>71550</v>
      </c>
      <c r="M547" s="246">
        <v>76450</v>
      </c>
      <c r="N547" s="246">
        <v>81400</v>
      </c>
    </row>
    <row r="548" spans="3:14" ht="21.95" customHeight="1" x14ac:dyDescent="0.25">
      <c r="C548" s="139" t="str">
        <f t="shared" si="24"/>
        <v>FL_CALHOUN COUNTY, FL</v>
      </c>
      <c r="D548" s="136" t="s">
        <v>96</v>
      </c>
      <c r="E548" s="262" t="s">
        <v>3215</v>
      </c>
      <c r="F548" s="136" t="s">
        <v>183</v>
      </c>
      <c r="G548" s="246">
        <v>42700</v>
      </c>
      <c r="H548" s="246">
        <v>48800</v>
      </c>
      <c r="I548" s="246">
        <v>54900</v>
      </c>
      <c r="J548" s="246">
        <v>60950</v>
      </c>
      <c r="K548" s="246">
        <v>65850</v>
      </c>
      <c r="L548" s="246">
        <v>70750</v>
      </c>
      <c r="M548" s="246">
        <v>75600</v>
      </c>
      <c r="N548" s="246">
        <v>80500</v>
      </c>
    </row>
    <row r="549" spans="3:14" ht="21.95" customHeight="1" x14ac:dyDescent="0.25">
      <c r="C549" s="139" t="str">
        <f t="shared" si="24"/>
        <v>FL_CAPE CORAL-FORT MYERS, FL MSA</v>
      </c>
      <c r="D549" s="136" t="s">
        <v>96</v>
      </c>
      <c r="E549" s="262" t="s">
        <v>3216</v>
      </c>
      <c r="F549" s="136" t="s">
        <v>183</v>
      </c>
      <c r="G549" s="246">
        <v>57250</v>
      </c>
      <c r="H549" s="246">
        <v>65400</v>
      </c>
      <c r="I549" s="246">
        <v>73600</v>
      </c>
      <c r="J549" s="246">
        <v>81750</v>
      </c>
      <c r="K549" s="246">
        <v>88300</v>
      </c>
      <c r="L549" s="246">
        <v>94850</v>
      </c>
      <c r="M549" s="246">
        <v>101400</v>
      </c>
      <c r="N549" s="246">
        <v>107950</v>
      </c>
    </row>
    <row r="550" spans="3:14" ht="21.95" customHeight="1" x14ac:dyDescent="0.25">
      <c r="C550" s="139" t="str">
        <f t="shared" si="24"/>
        <v>FL_COLUMBIA COUNTY, FL</v>
      </c>
      <c r="D550" s="136" t="s">
        <v>96</v>
      </c>
      <c r="E550" s="262" t="s">
        <v>3217</v>
      </c>
      <c r="F550" s="136" t="s">
        <v>183</v>
      </c>
      <c r="G550" s="246">
        <v>42950</v>
      </c>
      <c r="H550" s="246">
        <v>49050</v>
      </c>
      <c r="I550" s="246">
        <v>55200</v>
      </c>
      <c r="J550" s="246">
        <v>61300</v>
      </c>
      <c r="K550" s="246">
        <v>66250</v>
      </c>
      <c r="L550" s="246">
        <v>71150</v>
      </c>
      <c r="M550" s="246">
        <v>76050</v>
      </c>
      <c r="N550" s="246">
        <v>80950</v>
      </c>
    </row>
    <row r="551" spans="3:14" ht="21.95" customHeight="1" x14ac:dyDescent="0.25">
      <c r="C551" s="139" t="str">
        <f t="shared" si="24"/>
        <v>FL_CRESTVIEW-FORT WALTON BEACH-DESTIN, FL HUD METRO FMR AREA</v>
      </c>
      <c r="D551" s="136" t="s">
        <v>96</v>
      </c>
      <c r="E551" s="262" t="s">
        <v>3218</v>
      </c>
      <c r="F551" s="136" t="s">
        <v>183</v>
      </c>
      <c r="G551" s="246">
        <v>57150</v>
      </c>
      <c r="H551" s="246">
        <v>65300</v>
      </c>
      <c r="I551" s="246">
        <v>73450</v>
      </c>
      <c r="J551" s="246">
        <v>81600</v>
      </c>
      <c r="K551" s="246">
        <v>88150</v>
      </c>
      <c r="L551" s="246">
        <v>94700</v>
      </c>
      <c r="M551" s="246">
        <v>101200</v>
      </c>
      <c r="N551" s="246">
        <v>107750</v>
      </c>
    </row>
    <row r="552" spans="3:14" ht="21.95" customHeight="1" x14ac:dyDescent="0.25">
      <c r="C552" s="139" t="str">
        <f t="shared" si="24"/>
        <v>FL_DELTONA-DAYTONA BEACH-ORMOND BEACH, FL HUD METRO FMR AREA</v>
      </c>
      <c r="D552" s="136" t="s">
        <v>96</v>
      </c>
      <c r="E552" s="262" t="s">
        <v>3219</v>
      </c>
      <c r="F552" s="136" t="s">
        <v>183</v>
      </c>
      <c r="G552" s="246">
        <v>50650</v>
      </c>
      <c r="H552" s="246">
        <v>57850</v>
      </c>
      <c r="I552" s="246">
        <v>65100</v>
      </c>
      <c r="J552" s="246">
        <v>72300</v>
      </c>
      <c r="K552" s="246">
        <v>78100</v>
      </c>
      <c r="L552" s="246">
        <v>83900</v>
      </c>
      <c r="M552" s="246">
        <v>89700</v>
      </c>
      <c r="N552" s="246">
        <v>95450</v>
      </c>
    </row>
    <row r="553" spans="3:14" ht="21.95" customHeight="1" x14ac:dyDescent="0.25">
      <c r="C553" s="139" t="str">
        <f t="shared" si="24"/>
        <v>FL_DESOTO COUNTY, FL</v>
      </c>
      <c r="D553" s="136" t="s">
        <v>96</v>
      </c>
      <c r="E553" s="262" t="s">
        <v>3220</v>
      </c>
      <c r="F553" s="136" t="s">
        <v>183</v>
      </c>
      <c r="G553" s="246">
        <v>39900</v>
      </c>
      <c r="H553" s="246">
        <v>45600</v>
      </c>
      <c r="I553" s="246">
        <v>51300</v>
      </c>
      <c r="J553" s="246">
        <v>56950</v>
      </c>
      <c r="K553" s="246">
        <v>61550</v>
      </c>
      <c r="L553" s="246">
        <v>66100</v>
      </c>
      <c r="M553" s="246">
        <v>70650</v>
      </c>
      <c r="N553" s="246">
        <v>75200</v>
      </c>
    </row>
    <row r="554" spans="3:14" ht="21.95" customHeight="1" x14ac:dyDescent="0.25">
      <c r="C554" s="139" t="str">
        <f t="shared" si="24"/>
        <v>FL_DIXIE COUNTY, FL</v>
      </c>
      <c r="D554" s="136" t="s">
        <v>96</v>
      </c>
      <c r="E554" s="262" t="s">
        <v>3221</v>
      </c>
      <c r="F554" s="136" t="s">
        <v>183</v>
      </c>
      <c r="G554" s="246">
        <v>39900</v>
      </c>
      <c r="H554" s="246">
        <v>45600</v>
      </c>
      <c r="I554" s="246">
        <v>51300</v>
      </c>
      <c r="J554" s="246">
        <v>56950</v>
      </c>
      <c r="K554" s="246">
        <v>61550</v>
      </c>
      <c r="L554" s="246">
        <v>66100</v>
      </c>
      <c r="M554" s="246">
        <v>70650</v>
      </c>
      <c r="N554" s="246">
        <v>75200</v>
      </c>
    </row>
    <row r="555" spans="3:14" ht="21.95" customHeight="1" x14ac:dyDescent="0.25">
      <c r="C555" s="139" t="str">
        <f t="shared" si="24"/>
        <v>FL_FORT LAUDERDALE, FL HUD METRO FMR AREA</v>
      </c>
      <c r="D555" s="136" t="s">
        <v>96</v>
      </c>
      <c r="E555" s="262" t="s">
        <v>3222</v>
      </c>
      <c r="F555" s="136" t="s">
        <v>183</v>
      </c>
      <c r="G555" s="246">
        <v>64550</v>
      </c>
      <c r="H555" s="246">
        <v>73800</v>
      </c>
      <c r="I555" s="246">
        <v>83000</v>
      </c>
      <c r="J555" s="246">
        <v>92200</v>
      </c>
      <c r="K555" s="246">
        <v>99600</v>
      </c>
      <c r="L555" s="246">
        <v>107000</v>
      </c>
      <c r="M555" s="246">
        <v>114350</v>
      </c>
      <c r="N555" s="246">
        <v>121750</v>
      </c>
    </row>
    <row r="556" spans="3:14" ht="21.95" customHeight="1" x14ac:dyDescent="0.25">
      <c r="C556" s="139" t="str">
        <f t="shared" si="24"/>
        <v>FL_FRANKLIN COUNTY, FL</v>
      </c>
      <c r="D556" s="136" t="s">
        <v>96</v>
      </c>
      <c r="E556" s="262" t="s">
        <v>3223</v>
      </c>
      <c r="F556" s="136" t="s">
        <v>183</v>
      </c>
      <c r="G556" s="246">
        <v>42500</v>
      </c>
      <c r="H556" s="246">
        <v>48600</v>
      </c>
      <c r="I556" s="246">
        <v>54650</v>
      </c>
      <c r="J556" s="246">
        <v>60700</v>
      </c>
      <c r="K556" s="246">
        <v>65600</v>
      </c>
      <c r="L556" s="246">
        <v>70450</v>
      </c>
      <c r="M556" s="246">
        <v>75300</v>
      </c>
      <c r="N556" s="246">
        <v>80150</v>
      </c>
    </row>
    <row r="557" spans="3:14" ht="21.95" customHeight="1" x14ac:dyDescent="0.25">
      <c r="C557" s="139" t="str">
        <f t="shared" si="24"/>
        <v>FL_GAINESVILLE, FL HUD METRO FMR AREA</v>
      </c>
      <c r="D557" s="136" t="s">
        <v>96</v>
      </c>
      <c r="E557" s="262" t="s">
        <v>3224</v>
      </c>
      <c r="F557" s="136" t="s">
        <v>183</v>
      </c>
      <c r="G557" s="246">
        <v>58250</v>
      </c>
      <c r="H557" s="246">
        <v>66600</v>
      </c>
      <c r="I557" s="246">
        <v>74900</v>
      </c>
      <c r="J557" s="246">
        <v>83200</v>
      </c>
      <c r="K557" s="246">
        <v>89900</v>
      </c>
      <c r="L557" s="246">
        <v>96550</v>
      </c>
      <c r="M557" s="246">
        <v>103200</v>
      </c>
      <c r="N557" s="246">
        <v>109850</v>
      </c>
    </row>
    <row r="558" spans="3:14" ht="21.95" customHeight="1" x14ac:dyDescent="0.25">
      <c r="C558" s="139" t="str">
        <f t="shared" si="24"/>
        <v>FL_GLADES COUNTY, FL</v>
      </c>
      <c r="D558" s="136" t="s">
        <v>96</v>
      </c>
      <c r="E558" s="262" t="s">
        <v>3225</v>
      </c>
      <c r="F558" s="136" t="s">
        <v>183</v>
      </c>
      <c r="G558" s="246">
        <v>39900</v>
      </c>
      <c r="H558" s="246">
        <v>45600</v>
      </c>
      <c r="I558" s="246">
        <v>51300</v>
      </c>
      <c r="J558" s="246">
        <v>56950</v>
      </c>
      <c r="K558" s="246">
        <v>61550</v>
      </c>
      <c r="L558" s="246">
        <v>66100</v>
      </c>
      <c r="M558" s="246">
        <v>70650</v>
      </c>
      <c r="N558" s="246">
        <v>75200</v>
      </c>
    </row>
    <row r="559" spans="3:14" ht="21.95" customHeight="1" x14ac:dyDescent="0.25">
      <c r="C559" s="139" t="str">
        <f t="shared" si="24"/>
        <v>FL_GULF COUNTY, FL</v>
      </c>
      <c r="D559" s="136" t="s">
        <v>96</v>
      </c>
      <c r="E559" s="262" t="s">
        <v>3226</v>
      </c>
      <c r="F559" s="136" t="s">
        <v>183</v>
      </c>
      <c r="G559" s="246">
        <v>43850</v>
      </c>
      <c r="H559" s="246">
        <v>50100</v>
      </c>
      <c r="I559" s="246">
        <v>56350</v>
      </c>
      <c r="J559" s="246">
        <v>62600</v>
      </c>
      <c r="K559" s="246">
        <v>67650</v>
      </c>
      <c r="L559" s="246">
        <v>72650</v>
      </c>
      <c r="M559" s="246">
        <v>77650</v>
      </c>
      <c r="N559" s="246">
        <v>82650</v>
      </c>
    </row>
    <row r="560" spans="3:14" ht="21.95" customHeight="1" x14ac:dyDescent="0.25">
      <c r="C560" s="139" t="str">
        <f t="shared" si="24"/>
        <v>FL_HAMILTON COUNTY, FL</v>
      </c>
      <c r="D560" s="136" t="s">
        <v>96</v>
      </c>
      <c r="E560" s="262" t="s">
        <v>3227</v>
      </c>
      <c r="F560" s="136" t="s">
        <v>183</v>
      </c>
      <c r="G560" s="246">
        <v>39900</v>
      </c>
      <c r="H560" s="246">
        <v>45600</v>
      </c>
      <c r="I560" s="246">
        <v>51300</v>
      </c>
      <c r="J560" s="246">
        <v>56950</v>
      </c>
      <c r="K560" s="246">
        <v>61550</v>
      </c>
      <c r="L560" s="246">
        <v>66100</v>
      </c>
      <c r="M560" s="246">
        <v>70650</v>
      </c>
      <c r="N560" s="246">
        <v>75200</v>
      </c>
    </row>
    <row r="561" spans="3:14" ht="21.95" customHeight="1" x14ac:dyDescent="0.25">
      <c r="C561" s="139" t="str">
        <f t="shared" si="24"/>
        <v>FL_HARDEE COUNTY, FL</v>
      </c>
      <c r="D561" s="136" t="s">
        <v>96</v>
      </c>
      <c r="E561" s="262" t="s">
        <v>3228</v>
      </c>
      <c r="F561" s="136" t="s">
        <v>183</v>
      </c>
      <c r="G561" s="246">
        <v>39900</v>
      </c>
      <c r="H561" s="246">
        <v>45600</v>
      </c>
      <c r="I561" s="246">
        <v>51300</v>
      </c>
      <c r="J561" s="246">
        <v>56950</v>
      </c>
      <c r="K561" s="246">
        <v>61550</v>
      </c>
      <c r="L561" s="246">
        <v>66100</v>
      </c>
      <c r="M561" s="246">
        <v>70650</v>
      </c>
      <c r="N561" s="246">
        <v>75200</v>
      </c>
    </row>
    <row r="562" spans="3:14" ht="21.95" customHeight="1" x14ac:dyDescent="0.25">
      <c r="C562" s="139" t="str">
        <f t="shared" si="24"/>
        <v>FL_HENDRY COUNTY, FL</v>
      </c>
      <c r="D562" s="136" t="s">
        <v>96</v>
      </c>
      <c r="E562" s="262" t="s">
        <v>3229</v>
      </c>
      <c r="F562" s="136" t="s">
        <v>183</v>
      </c>
      <c r="G562" s="246">
        <v>39900</v>
      </c>
      <c r="H562" s="246">
        <v>45600</v>
      </c>
      <c r="I562" s="246">
        <v>51300</v>
      </c>
      <c r="J562" s="246">
        <v>56950</v>
      </c>
      <c r="K562" s="246">
        <v>61550</v>
      </c>
      <c r="L562" s="246">
        <v>66100</v>
      </c>
      <c r="M562" s="246">
        <v>70650</v>
      </c>
      <c r="N562" s="246">
        <v>75200</v>
      </c>
    </row>
    <row r="563" spans="3:14" ht="21.95" customHeight="1" x14ac:dyDescent="0.25">
      <c r="C563" s="139" t="str">
        <f t="shared" si="24"/>
        <v>FL_HOLMES COUNTY, FL</v>
      </c>
      <c r="D563" s="136" t="s">
        <v>96</v>
      </c>
      <c r="E563" s="262" t="s">
        <v>3230</v>
      </c>
      <c r="F563" s="136" t="s">
        <v>183</v>
      </c>
      <c r="G563" s="246">
        <v>39900</v>
      </c>
      <c r="H563" s="246">
        <v>45600</v>
      </c>
      <c r="I563" s="246">
        <v>51300</v>
      </c>
      <c r="J563" s="246">
        <v>56950</v>
      </c>
      <c r="K563" s="246">
        <v>61550</v>
      </c>
      <c r="L563" s="246">
        <v>66100</v>
      </c>
      <c r="M563" s="246">
        <v>70650</v>
      </c>
      <c r="N563" s="246">
        <v>75200</v>
      </c>
    </row>
    <row r="564" spans="3:14" ht="21.95" customHeight="1" x14ac:dyDescent="0.25">
      <c r="C564" s="139" t="str">
        <f t="shared" si="24"/>
        <v>FL_HOMOSASSA SPRINGS, FL MSA</v>
      </c>
      <c r="D564" s="136" t="s">
        <v>96</v>
      </c>
      <c r="E564" s="262" t="s">
        <v>3231</v>
      </c>
      <c r="F564" s="136" t="s">
        <v>183</v>
      </c>
      <c r="G564" s="246">
        <v>40700</v>
      </c>
      <c r="H564" s="246">
        <v>46500</v>
      </c>
      <c r="I564" s="246">
        <v>52300</v>
      </c>
      <c r="J564" s="246">
        <v>58100</v>
      </c>
      <c r="K564" s="246">
        <v>62750</v>
      </c>
      <c r="L564" s="246">
        <v>67400</v>
      </c>
      <c r="M564" s="246">
        <v>72050</v>
      </c>
      <c r="N564" s="246">
        <v>76700</v>
      </c>
    </row>
    <row r="565" spans="3:14" ht="21.95" customHeight="1" x14ac:dyDescent="0.25">
      <c r="C565" s="139" t="str">
        <f t="shared" si="24"/>
        <v>FL_JACKSON COUNTY, FL</v>
      </c>
      <c r="D565" s="136" t="s">
        <v>96</v>
      </c>
      <c r="E565" s="262" t="s">
        <v>3232</v>
      </c>
      <c r="F565" s="136" t="s">
        <v>183</v>
      </c>
      <c r="G565" s="246">
        <v>39900</v>
      </c>
      <c r="H565" s="246">
        <v>45600</v>
      </c>
      <c r="I565" s="246">
        <v>51300</v>
      </c>
      <c r="J565" s="246">
        <v>56950</v>
      </c>
      <c r="K565" s="246">
        <v>61550</v>
      </c>
      <c r="L565" s="246">
        <v>66100</v>
      </c>
      <c r="M565" s="246">
        <v>70650</v>
      </c>
      <c r="N565" s="246">
        <v>75200</v>
      </c>
    </row>
    <row r="566" spans="3:14" ht="21.95" customHeight="1" x14ac:dyDescent="0.25">
      <c r="C566" s="139" t="str">
        <f t="shared" si="24"/>
        <v>FL_JACKSONVILLE, FL HUD METRO FMR AREA</v>
      </c>
      <c r="D566" s="136" t="s">
        <v>96</v>
      </c>
      <c r="E566" s="262" t="s">
        <v>3233</v>
      </c>
      <c r="F566" s="136" t="s">
        <v>183</v>
      </c>
      <c r="G566" s="246">
        <v>57400</v>
      </c>
      <c r="H566" s="246">
        <v>65600</v>
      </c>
      <c r="I566" s="246">
        <v>73800</v>
      </c>
      <c r="J566" s="246">
        <v>82000</v>
      </c>
      <c r="K566" s="246">
        <v>88600</v>
      </c>
      <c r="L566" s="246">
        <v>95150</v>
      </c>
      <c r="M566" s="246">
        <v>101700</v>
      </c>
      <c r="N566" s="246">
        <v>108250</v>
      </c>
    </row>
    <row r="567" spans="3:14" ht="21.95" customHeight="1" x14ac:dyDescent="0.25">
      <c r="C567" s="139" t="str">
        <f t="shared" si="24"/>
        <v>FL_LAFAYETTE COUNTY, FL</v>
      </c>
      <c r="D567" s="136" t="s">
        <v>96</v>
      </c>
      <c r="E567" s="262" t="s">
        <v>3234</v>
      </c>
      <c r="F567" s="136" t="s">
        <v>183</v>
      </c>
      <c r="G567" s="246">
        <v>39900</v>
      </c>
      <c r="H567" s="246">
        <v>45600</v>
      </c>
      <c r="I567" s="246">
        <v>51300</v>
      </c>
      <c r="J567" s="246">
        <v>56950</v>
      </c>
      <c r="K567" s="246">
        <v>61550</v>
      </c>
      <c r="L567" s="246">
        <v>66100</v>
      </c>
      <c r="M567" s="246">
        <v>70650</v>
      </c>
      <c r="N567" s="246">
        <v>75200</v>
      </c>
    </row>
    <row r="568" spans="3:14" ht="21.95" customHeight="1" x14ac:dyDescent="0.25">
      <c r="C568" s="139" t="str">
        <f t="shared" si="24"/>
        <v>FL_LAKELAND-WINTER HAVEN, FL MSA</v>
      </c>
      <c r="D568" s="136" t="s">
        <v>96</v>
      </c>
      <c r="E568" s="262" t="s">
        <v>3235</v>
      </c>
      <c r="F568" s="136" t="s">
        <v>183</v>
      </c>
      <c r="G568" s="246">
        <v>46700</v>
      </c>
      <c r="H568" s="246">
        <v>53350</v>
      </c>
      <c r="I568" s="246">
        <v>60000</v>
      </c>
      <c r="J568" s="246">
        <v>66650</v>
      </c>
      <c r="K568" s="246">
        <v>72000</v>
      </c>
      <c r="L568" s="246">
        <v>77350</v>
      </c>
      <c r="M568" s="246">
        <v>82650</v>
      </c>
      <c r="N568" s="246">
        <v>88000</v>
      </c>
    </row>
    <row r="569" spans="3:14" ht="21.95" customHeight="1" x14ac:dyDescent="0.25">
      <c r="C569" s="139" t="str">
        <f t="shared" si="24"/>
        <v>FL_LEVY COUNTY, FL HUD METRO FMR AREA</v>
      </c>
      <c r="D569" s="136" t="s">
        <v>96</v>
      </c>
      <c r="E569" s="262" t="s">
        <v>3236</v>
      </c>
      <c r="F569" s="136" t="s">
        <v>183</v>
      </c>
      <c r="G569" s="246">
        <v>39900</v>
      </c>
      <c r="H569" s="246">
        <v>45600</v>
      </c>
      <c r="I569" s="246">
        <v>51300</v>
      </c>
      <c r="J569" s="246">
        <v>56950</v>
      </c>
      <c r="K569" s="246">
        <v>61550</v>
      </c>
      <c r="L569" s="246">
        <v>66100</v>
      </c>
      <c r="M569" s="246">
        <v>70650</v>
      </c>
      <c r="N569" s="246">
        <v>75200</v>
      </c>
    </row>
    <row r="570" spans="3:14" ht="21.95" customHeight="1" x14ac:dyDescent="0.25">
      <c r="C570" s="139" t="str">
        <f t="shared" si="24"/>
        <v>FL_LIBERTY COUNTY, FL</v>
      </c>
      <c r="D570" s="136" t="s">
        <v>96</v>
      </c>
      <c r="E570" s="262" t="s">
        <v>3237</v>
      </c>
      <c r="F570" s="136" t="s">
        <v>183</v>
      </c>
      <c r="G570" s="246">
        <v>39900</v>
      </c>
      <c r="H570" s="246">
        <v>45600</v>
      </c>
      <c r="I570" s="246">
        <v>51300</v>
      </c>
      <c r="J570" s="246">
        <v>56950</v>
      </c>
      <c r="K570" s="246">
        <v>61550</v>
      </c>
      <c r="L570" s="246">
        <v>66100</v>
      </c>
      <c r="M570" s="246">
        <v>70650</v>
      </c>
      <c r="N570" s="246">
        <v>75200</v>
      </c>
    </row>
    <row r="571" spans="3:14" ht="21.95" customHeight="1" x14ac:dyDescent="0.25">
      <c r="C571" s="139" t="str">
        <f t="shared" si="24"/>
        <v>FL_MADISON COUNTY, FL</v>
      </c>
      <c r="D571" s="136" t="s">
        <v>96</v>
      </c>
      <c r="E571" s="262" t="s">
        <v>3238</v>
      </c>
      <c r="F571" s="136" t="s">
        <v>183</v>
      </c>
      <c r="G571" s="246">
        <v>39900</v>
      </c>
      <c r="H571" s="246">
        <v>45600</v>
      </c>
      <c r="I571" s="246">
        <v>51300</v>
      </c>
      <c r="J571" s="246">
        <v>56950</v>
      </c>
      <c r="K571" s="246">
        <v>61550</v>
      </c>
      <c r="L571" s="246">
        <v>66100</v>
      </c>
      <c r="M571" s="246">
        <v>70650</v>
      </c>
      <c r="N571" s="246">
        <v>75200</v>
      </c>
    </row>
    <row r="572" spans="3:14" ht="21.95" customHeight="1" x14ac:dyDescent="0.25">
      <c r="C572" s="139" t="str">
        <f t="shared" si="24"/>
        <v>FL_MIAMI-MIAMI BEACH-KENDALL, FL HUD METRO FMR AREA</v>
      </c>
      <c r="D572" s="136" t="s">
        <v>96</v>
      </c>
      <c r="E572" s="262" t="s">
        <v>3239</v>
      </c>
      <c r="F572" s="136" t="s">
        <v>183</v>
      </c>
      <c r="G572" s="246">
        <v>69400</v>
      </c>
      <c r="H572" s="246">
        <v>79300</v>
      </c>
      <c r="I572" s="246">
        <v>89200</v>
      </c>
      <c r="J572" s="246">
        <v>99100</v>
      </c>
      <c r="K572" s="246">
        <v>107050</v>
      </c>
      <c r="L572" s="246">
        <v>115000</v>
      </c>
      <c r="M572" s="246">
        <v>122900</v>
      </c>
      <c r="N572" s="246">
        <v>130850</v>
      </c>
    </row>
    <row r="573" spans="3:14" ht="21.95" customHeight="1" x14ac:dyDescent="0.25">
      <c r="C573" s="139" t="str">
        <f t="shared" si="24"/>
        <v>FL_MONROE COUNTY, FL</v>
      </c>
      <c r="D573" s="136" t="s">
        <v>96</v>
      </c>
      <c r="E573" s="262" t="s">
        <v>3240</v>
      </c>
      <c r="F573" s="136" t="s">
        <v>183</v>
      </c>
      <c r="G573" s="246">
        <v>73000</v>
      </c>
      <c r="H573" s="246">
        <v>83400</v>
      </c>
      <c r="I573" s="246">
        <v>93850</v>
      </c>
      <c r="J573" s="246">
        <v>104250</v>
      </c>
      <c r="K573" s="246">
        <v>112600</v>
      </c>
      <c r="L573" s="246">
        <v>120950</v>
      </c>
      <c r="M573" s="246">
        <v>129300</v>
      </c>
      <c r="N573" s="246">
        <v>137650</v>
      </c>
    </row>
    <row r="574" spans="3:14" ht="21.95" customHeight="1" x14ac:dyDescent="0.25">
      <c r="C574" s="139" t="str">
        <f t="shared" si="24"/>
        <v>FL_NAPLES-MARCO ISLAND, FL MSA</v>
      </c>
      <c r="D574" s="136" t="s">
        <v>96</v>
      </c>
      <c r="E574" s="262" t="s">
        <v>9146</v>
      </c>
      <c r="F574" s="136" t="s">
        <v>183</v>
      </c>
      <c r="G574" s="246">
        <v>63650</v>
      </c>
      <c r="H574" s="246">
        <v>72750</v>
      </c>
      <c r="I574" s="246">
        <v>81850</v>
      </c>
      <c r="J574" s="246">
        <v>90900</v>
      </c>
      <c r="K574" s="246">
        <v>98200</v>
      </c>
      <c r="L574" s="246">
        <v>105450</v>
      </c>
      <c r="M574" s="246">
        <v>112750</v>
      </c>
      <c r="N574" s="246">
        <v>120000</v>
      </c>
    </row>
    <row r="575" spans="3:14" ht="21.95" customHeight="1" x14ac:dyDescent="0.25">
      <c r="C575" s="139" t="str">
        <f t="shared" si="24"/>
        <v>FL_NORTH PORT-BRADENTON-SARASOTA, FL MSA</v>
      </c>
      <c r="D575" s="136" t="s">
        <v>96</v>
      </c>
      <c r="E575" s="262" t="s">
        <v>9148</v>
      </c>
      <c r="F575" s="136" t="s">
        <v>183</v>
      </c>
      <c r="G575" s="246">
        <v>60300</v>
      </c>
      <c r="H575" s="246">
        <v>68900</v>
      </c>
      <c r="I575" s="246">
        <v>77500</v>
      </c>
      <c r="J575" s="246">
        <v>86100</v>
      </c>
      <c r="K575" s="246">
        <v>93000</v>
      </c>
      <c r="L575" s="246">
        <v>99900</v>
      </c>
      <c r="M575" s="246">
        <v>106800</v>
      </c>
      <c r="N575" s="246">
        <v>113700</v>
      </c>
    </row>
    <row r="576" spans="3:14" ht="21.95" customHeight="1" x14ac:dyDescent="0.25">
      <c r="C576" s="139" t="str">
        <f t="shared" ref="C576:C639" si="25">TRIM(UPPER(D576))&amp;"_"&amp;TRIM(UPPER(E576))</f>
        <v>FL_OCALA, FL MSA</v>
      </c>
      <c r="D576" s="136" t="s">
        <v>96</v>
      </c>
      <c r="E576" s="262" t="s">
        <v>3241</v>
      </c>
      <c r="F576" s="136" t="s">
        <v>183</v>
      </c>
      <c r="G576" s="246">
        <v>43200</v>
      </c>
      <c r="H576" s="246">
        <v>49400</v>
      </c>
      <c r="I576" s="246">
        <v>55550</v>
      </c>
      <c r="J576" s="246">
        <v>61700</v>
      </c>
      <c r="K576" s="246">
        <v>66650</v>
      </c>
      <c r="L576" s="246">
        <v>71600</v>
      </c>
      <c r="M576" s="246">
        <v>76550</v>
      </c>
      <c r="N576" s="246">
        <v>81450</v>
      </c>
    </row>
    <row r="577" spans="3:14" ht="21.95" customHeight="1" x14ac:dyDescent="0.25">
      <c r="C577" s="139" t="str">
        <f t="shared" si="25"/>
        <v>FL_OKEECHOBEE COUNTY, FL</v>
      </c>
      <c r="D577" s="136" t="s">
        <v>96</v>
      </c>
      <c r="E577" s="262" t="s">
        <v>3242</v>
      </c>
      <c r="F577" s="136" t="s">
        <v>183</v>
      </c>
      <c r="G577" s="246">
        <v>39900</v>
      </c>
      <c r="H577" s="246">
        <v>45600</v>
      </c>
      <c r="I577" s="246">
        <v>51300</v>
      </c>
      <c r="J577" s="246">
        <v>56950</v>
      </c>
      <c r="K577" s="246">
        <v>61550</v>
      </c>
      <c r="L577" s="246">
        <v>66100</v>
      </c>
      <c r="M577" s="246">
        <v>70650</v>
      </c>
      <c r="N577" s="246">
        <v>75200</v>
      </c>
    </row>
    <row r="578" spans="3:14" ht="21.95" customHeight="1" x14ac:dyDescent="0.25">
      <c r="C578" s="139" t="str">
        <f t="shared" si="25"/>
        <v>FL_ORLANDO-KISSIMMEE-SANFORD, FL MSA</v>
      </c>
      <c r="D578" s="136" t="s">
        <v>96</v>
      </c>
      <c r="E578" s="262" t="s">
        <v>3243</v>
      </c>
      <c r="F578" s="136" t="s">
        <v>183</v>
      </c>
      <c r="G578" s="246">
        <v>59050</v>
      </c>
      <c r="H578" s="246">
        <v>67450</v>
      </c>
      <c r="I578" s="246">
        <v>75900</v>
      </c>
      <c r="J578" s="246">
        <v>84300</v>
      </c>
      <c r="K578" s="246">
        <v>91050</v>
      </c>
      <c r="L578" s="246">
        <v>97800</v>
      </c>
      <c r="M578" s="246">
        <v>104550</v>
      </c>
      <c r="N578" s="246">
        <v>111300</v>
      </c>
    </row>
    <row r="579" spans="3:14" ht="21.95" customHeight="1" x14ac:dyDescent="0.25">
      <c r="C579" s="139" t="str">
        <f t="shared" si="25"/>
        <v>FL_PALM BAY-MELBOURNE-TITUSVILLE, FL MSA</v>
      </c>
      <c r="D579" s="136" t="s">
        <v>96</v>
      </c>
      <c r="E579" s="262" t="s">
        <v>3244</v>
      </c>
      <c r="F579" s="136" t="s">
        <v>183</v>
      </c>
      <c r="G579" s="246">
        <v>55950</v>
      </c>
      <c r="H579" s="246">
        <v>63950</v>
      </c>
      <c r="I579" s="246">
        <v>71950</v>
      </c>
      <c r="J579" s="246">
        <v>79900</v>
      </c>
      <c r="K579" s="246">
        <v>86300</v>
      </c>
      <c r="L579" s="246">
        <v>92700</v>
      </c>
      <c r="M579" s="246">
        <v>99100</v>
      </c>
      <c r="N579" s="246">
        <v>105500</v>
      </c>
    </row>
    <row r="580" spans="3:14" ht="21.95" customHeight="1" x14ac:dyDescent="0.25">
      <c r="C580" s="139" t="str">
        <f t="shared" si="25"/>
        <v>FL_PALM COAST, FL HUD METRO FMR AREA</v>
      </c>
      <c r="D580" s="136" t="s">
        <v>96</v>
      </c>
      <c r="E580" s="262" t="s">
        <v>3245</v>
      </c>
      <c r="F580" s="136" t="s">
        <v>183</v>
      </c>
      <c r="G580" s="246">
        <v>53150</v>
      </c>
      <c r="H580" s="246">
        <v>60750</v>
      </c>
      <c r="I580" s="246">
        <v>68350</v>
      </c>
      <c r="J580" s="246">
        <v>75900</v>
      </c>
      <c r="K580" s="246">
        <v>82000</v>
      </c>
      <c r="L580" s="246">
        <v>88050</v>
      </c>
      <c r="M580" s="246">
        <v>94150</v>
      </c>
      <c r="N580" s="246">
        <v>100200</v>
      </c>
    </row>
    <row r="581" spans="3:14" ht="21.95" customHeight="1" x14ac:dyDescent="0.25">
      <c r="C581" s="139" t="str">
        <f t="shared" si="25"/>
        <v>FL_PANAMA CITY, FL HUD METRO FMR AREA</v>
      </c>
      <c r="D581" s="136" t="s">
        <v>96</v>
      </c>
      <c r="E581" s="262" t="s">
        <v>9145</v>
      </c>
      <c r="F581" s="136" t="s">
        <v>183</v>
      </c>
      <c r="G581" s="246">
        <v>52750</v>
      </c>
      <c r="H581" s="246">
        <v>60250</v>
      </c>
      <c r="I581" s="246">
        <v>67800</v>
      </c>
      <c r="J581" s="246">
        <v>75300</v>
      </c>
      <c r="K581" s="246">
        <v>81350</v>
      </c>
      <c r="L581" s="246">
        <v>87350</v>
      </c>
      <c r="M581" s="246">
        <v>93400</v>
      </c>
      <c r="N581" s="246">
        <v>99400</v>
      </c>
    </row>
    <row r="582" spans="3:14" ht="21.95" customHeight="1" x14ac:dyDescent="0.25">
      <c r="C582" s="139" t="str">
        <f t="shared" si="25"/>
        <v>FL_PENSACOLA-FERRY PASS-BRENT, FL MSA</v>
      </c>
      <c r="D582" s="136" t="s">
        <v>96</v>
      </c>
      <c r="E582" s="262" t="s">
        <v>3246</v>
      </c>
      <c r="F582" s="136" t="s">
        <v>183</v>
      </c>
      <c r="G582" s="246">
        <v>54950</v>
      </c>
      <c r="H582" s="246">
        <v>62800</v>
      </c>
      <c r="I582" s="246">
        <v>70650</v>
      </c>
      <c r="J582" s="246">
        <v>78500</v>
      </c>
      <c r="K582" s="246">
        <v>84800</v>
      </c>
      <c r="L582" s="246">
        <v>91100</v>
      </c>
      <c r="M582" s="246">
        <v>97350</v>
      </c>
      <c r="N582" s="246">
        <v>103650</v>
      </c>
    </row>
    <row r="583" spans="3:14" ht="21.95" customHeight="1" x14ac:dyDescent="0.25">
      <c r="C583" s="139" t="str">
        <f t="shared" si="25"/>
        <v>FL_PORT ST. LUCIE, FL MSA</v>
      </c>
      <c r="D583" s="136" t="s">
        <v>96</v>
      </c>
      <c r="E583" s="262" t="s">
        <v>3247</v>
      </c>
      <c r="F583" s="136" t="s">
        <v>183</v>
      </c>
      <c r="G583" s="246">
        <v>53050</v>
      </c>
      <c r="H583" s="246">
        <v>60600</v>
      </c>
      <c r="I583" s="246">
        <v>68200</v>
      </c>
      <c r="J583" s="246">
        <v>75750</v>
      </c>
      <c r="K583" s="246">
        <v>81850</v>
      </c>
      <c r="L583" s="246">
        <v>87900</v>
      </c>
      <c r="M583" s="246">
        <v>93950</v>
      </c>
      <c r="N583" s="246">
        <v>100000</v>
      </c>
    </row>
    <row r="584" spans="3:14" ht="21.95" customHeight="1" x14ac:dyDescent="0.25">
      <c r="C584" s="139" t="str">
        <f t="shared" si="25"/>
        <v>FL_PUNTA GORDA, FL MSA</v>
      </c>
      <c r="D584" s="136" t="s">
        <v>96</v>
      </c>
      <c r="E584" s="262" t="s">
        <v>3248</v>
      </c>
      <c r="F584" s="136" t="s">
        <v>183</v>
      </c>
      <c r="G584" s="246">
        <v>49150</v>
      </c>
      <c r="H584" s="246">
        <v>56200</v>
      </c>
      <c r="I584" s="246">
        <v>63200</v>
      </c>
      <c r="J584" s="246">
        <v>70200</v>
      </c>
      <c r="K584" s="246">
        <v>75850</v>
      </c>
      <c r="L584" s="246">
        <v>81450</v>
      </c>
      <c r="M584" s="246">
        <v>87050</v>
      </c>
      <c r="N584" s="246">
        <v>92700</v>
      </c>
    </row>
    <row r="585" spans="3:14" ht="21.95" customHeight="1" x14ac:dyDescent="0.25">
      <c r="C585" s="139" t="str">
        <f t="shared" si="25"/>
        <v>FL_PUTNAM COUNTY, FL</v>
      </c>
      <c r="D585" s="136" t="s">
        <v>96</v>
      </c>
      <c r="E585" s="262" t="s">
        <v>3249</v>
      </c>
      <c r="F585" s="136" t="s">
        <v>183</v>
      </c>
      <c r="G585" s="246">
        <v>39900</v>
      </c>
      <c r="H585" s="246">
        <v>45600</v>
      </c>
      <c r="I585" s="246">
        <v>51300</v>
      </c>
      <c r="J585" s="246">
        <v>56950</v>
      </c>
      <c r="K585" s="246">
        <v>61550</v>
      </c>
      <c r="L585" s="246">
        <v>66100</v>
      </c>
      <c r="M585" s="246">
        <v>70650</v>
      </c>
      <c r="N585" s="246">
        <v>75200</v>
      </c>
    </row>
    <row r="586" spans="3:14" ht="21.95" customHeight="1" x14ac:dyDescent="0.25">
      <c r="C586" s="139" t="str">
        <f t="shared" si="25"/>
        <v>FL_SEBASTIAN-VERO BEACH-WEST VERO CORRIDOR, FL MSA</v>
      </c>
      <c r="D586" s="136" t="s">
        <v>96</v>
      </c>
      <c r="E586" s="262" t="s">
        <v>9147</v>
      </c>
      <c r="F586" s="136" t="s">
        <v>183</v>
      </c>
      <c r="G586" s="246">
        <v>52100</v>
      </c>
      <c r="H586" s="246">
        <v>59550</v>
      </c>
      <c r="I586" s="246">
        <v>67000</v>
      </c>
      <c r="J586" s="246">
        <v>74400</v>
      </c>
      <c r="K586" s="246">
        <v>80400</v>
      </c>
      <c r="L586" s="246">
        <v>86350</v>
      </c>
      <c r="M586" s="246">
        <v>92300</v>
      </c>
      <c r="N586" s="246">
        <v>98250</v>
      </c>
    </row>
    <row r="587" spans="3:14" ht="21.95" customHeight="1" x14ac:dyDescent="0.25">
      <c r="C587" s="139" t="str">
        <f t="shared" si="25"/>
        <v>FL_SEBRING, FL MSA</v>
      </c>
      <c r="D587" s="136" t="s">
        <v>96</v>
      </c>
      <c r="E587" s="262" t="s">
        <v>3250</v>
      </c>
      <c r="F587" s="136" t="s">
        <v>183</v>
      </c>
      <c r="G587" s="246">
        <v>42950</v>
      </c>
      <c r="H587" s="246">
        <v>49050</v>
      </c>
      <c r="I587" s="246">
        <v>55200</v>
      </c>
      <c r="J587" s="246">
        <v>61300</v>
      </c>
      <c r="K587" s="246">
        <v>66250</v>
      </c>
      <c r="L587" s="246">
        <v>71150</v>
      </c>
      <c r="M587" s="246">
        <v>76050</v>
      </c>
      <c r="N587" s="246">
        <v>80950</v>
      </c>
    </row>
    <row r="588" spans="3:14" ht="21.95" customHeight="1" x14ac:dyDescent="0.25">
      <c r="C588" s="139" t="str">
        <f t="shared" si="25"/>
        <v>FL_SUWANNEE COUNTY, FL</v>
      </c>
      <c r="D588" s="136" t="s">
        <v>96</v>
      </c>
      <c r="E588" s="262" t="s">
        <v>3251</v>
      </c>
      <c r="F588" s="136" t="s">
        <v>183</v>
      </c>
      <c r="G588" s="246">
        <v>39900</v>
      </c>
      <c r="H588" s="246">
        <v>45600</v>
      </c>
      <c r="I588" s="246">
        <v>51300</v>
      </c>
      <c r="J588" s="246">
        <v>56950</v>
      </c>
      <c r="K588" s="246">
        <v>61550</v>
      </c>
      <c r="L588" s="246">
        <v>66100</v>
      </c>
      <c r="M588" s="246">
        <v>70650</v>
      </c>
      <c r="N588" s="246">
        <v>75200</v>
      </c>
    </row>
    <row r="589" spans="3:14" ht="21.95" customHeight="1" x14ac:dyDescent="0.25">
      <c r="C589" s="139" t="str">
        <f t="shared" si="25"/>
        <v>FL_TALLAHASSEE, FL HUD METRO FMR AREA</v>
      </c>
      <c r="D589" s="136" t="s">
        <v>96</v>
      </c>
      <c r="E589" s="262" t="s">
        <v>3252</v>
      </c>
      <c r="F589" s="136" t="s">
        <v>183</v>
      </c>
      <c r="G589" s="246">
        <v>51700</v>
      </c>
      <c r="H589" s="246">
        <v>59100</v>
      </c>
      <c r="I589" s="246">
        <v>66500</v>
      </c>
      <c r="J589" s="246">
        <v>73850</v>
      </c>
      <c r="K589" s="246">
        <v>79800</v>
      </c>
      <c r="L589" s="246">
        <v>85700</v>
      </c>
      <c r="M589" s="246">
        <v>91600</v>
      </c>
      <c r="N589" s="246">
        <v>97500</v>
      </c>
    </row>
    <row r="590" spans="3:14" ht="21.95" customHeight="1" x14ac:dyDescent="0.25">
      <c r="C590" s="139" t="str">
        <f t="shared" si="25"/>
        <v>FL_TAMPA-ST. PETERSBURG-CLEARWATER, FL MSA</v>
      </c>
      <c r="D590" s="136" t="s">
        <v>96</v>
      </c>
      <c r="E590" s="262" t="s">
        <v>3253</v>
      </c>
      <c r="F590" s="136" t="s">
        <v>183</v>
      </c>
      <c r="G590" s="246">
        <v>58450</v>
      </c>
      <c r="H590" s="246">
        <v>66800</v>
      </c>
      <c r="I590" s="246">
        <v>75150</v>
      </c>
      <c r="J590" s="246">
        <v>83450</v>
      </c>
      <c r="K590" s="246">
        <v>90150</v>
      </c>
      <c r="L590" s="246">
        <v>96850</v>
      </c>
      <c r="M590" s="246">
        <v>103500</v>
      </c>
      <c r="N590" s="246">
        <v>110200</v>
      </c>
    </row>
    <row r="591" spans="3:14" ht="21.95" customHeight="1" x14ac:dyDescent="0.25">
      <c r="C591" s="139" t="str">
        <f t="shared" si="25"/>
        <v>FL_TAYLOR COUNTY, FL</v>
      </c>
      <c r="D591" s="136" t="s">
        <v>96</v>
      </c>
      <c r="E591" s="262" t="s">
        <v>3254</v>
      </c>
      <c r="F591" s="136" t="s">
        <v>183</v>
      </c>
      <c r="G591" s="246">
        <v>39900</v>
      </c>
      <c r="H591" s="246">
        <v>45600</v>
      </c>
      <c r="I591" s="246">
        <v>51300</v>
      </c>
      <c r="J591" s="246">
        <v>56950</v>
      </c>
      <c r="K591" s="246">
        <v>61550</v>
      </c>
      <c r="L591" s="246">
        <v>66100</v>
      </c>
      <c r="M591" s="246">
        <v>70650</v>
      </c>
      <c r="N591" s="246">
        <v>75200</v>
      </c>
    </row>
    <row r="592" spans="3:14" ht="21.95" customHeight="1" x14ac:dyDescent="0.25">
      <c r="C592" s="139" t="str">
        <f t="shared" si="25"/>
        <v>FL_UNION COUNTY, FL</v>
      </c>
      <c r="D592" s="136" t="s">
        <v>96</v>
      </c>
      <c r="E592" s="262" t="s">
        <v>3255</v>
      </c>
      <c r="F592" s="136" t="s">
        <v>183</v>
      </c>
      <c r="G592" s="246">
        <v>43200</v>
      </c>
      <c r="H592" s="246">
        <v>49350</v>
      </c>
      <c r="I592" s="246">
        <v>55500</v>
      </c>
      <c r="J592" s="246">
        <v>61650</v>
      </c>
      <c r="K592" s="246">
        <v>66600</v>
      </c>
      <c r="L592" s="246">
        <v>71550</v>
      </c>
      <c r="M592" s="246">
        <v>76450</v>
      </c>
      <c r="N592" s="246">
        <v>81400</v>
      </c>
    </row>
    <row r="593" spans="3:14" ht="21.95" customHeight="1" x14ac:dyDescent="0.25">
      <c r="C593" s="139" t="str">
        <f t="shared" si="25"/>
        <v>FL_WAKULLA COUNTY, FL HUD METRO FMR AREA</v>
      </c>
      <c r="D593" s="136" t="s">
        <v>96</v>
      </c>
      <c r="E593" s="262" t="s">
        <v>3256</v>
      </c>
      <c r="F593" s="136" t="s">
        <v>183</v>
      </c>
      <c r="G593" s="246">
        <v>51950</v>
      </c>
      <c r="H593" s="246">
        <v>59350</v>
      </c>
      <c r="I593" s="246">
        <v>66750</v>
      </c>
      <c r="J593" s="246">
        <v>74150</v>
      </c>
      <c r="K593" s="246">
        <v>80100</v>
      </c>
      <c r="L593" s="246">
        <v>86050</v>
      </c>
      <c r="M593" s="246">
        <v>91950</v>
      </c>
      <c r="N593" s="246">
        <v>97900</v>
      </c>
    </row>
    <row r="594" spans="3:14" ht="21.95" customHeight="1" x14ac:dyDescent="0.25">
      <c r="C594" s="139" t="str">
        <f t="shared" si="25"/>
        <v>FL_WALTON COUNTY, FL HUD METRO FMR AREA</v>
      </c>
      <c r="D594" s="136" t="s">
        <v>96</v>
      </c>
      <c r="E594" s="262" t="s">
        <v>3257</v>
      </c>
      <c r="F594" s="136" t="s">
        <v>183</v>
      </c>
      <c r="G594" s="246">
        <v>55400</v>
      </c>
      <c r="H594" s="246">
        <v>63300</v>
      </c>
      <c r="I594" s="246">
        <v>71200</v>
      </c>
      <c r="J594" s="246">
        <v>79100</v>
      </c>
      <c r="K594" s="246">
        <v>85450</v>
      </c>
      <c r="L594" s="246">
        <v>91800</v>
      </c>
      <c r="M594" s="246">
        <v>98100</v>
      </c>
      <c r="N594" s="246">
        <v>104450</v>
      </c>
    </row>
    <row r="595" spans="3:14" ht="21.95" customHeight="1" x14ac:dyDescent="0.25">
      <c r="C595" s="139" t="str">
        <f t="shared" si="25"/>
        <v>FL_WASHINGTON COUNTY, FL HUD METRO FMR AREA</v>
      </c>
      <c r="D595" s="136" t="s">
        <v>96</v>
      </c>
      <c r="E595" s="262" t="s">
        <v>9150</v>
      </c>
      <c r="F595" s="136" t="s">
        <v>183</v>
      </c>
      <c r="G595" s="246">
        <v>39900</v>
      </c>
      <c r="H595" s="246">
        <v>45600</v>
      </c>
      <c r="I595" s="246">
        <v>51300</v>
      </c>
      <c r="J595" s="246">
        <v>56950</v>
      </c>
      <c r="K595" s="246">
        <v>61550</v>
      </c>
      <c r="L595" s="246">
        <v>66100</v>
      </c>
      <c r="M595" s="246">
        <v>70650</v>
      </c>
      <c r="N595" s="246">
        <v>75200</v>
      </c>
    </row>
    <row r="596" spans="3:14" ht="21.95" customHeight="1" x14ac:dyDescent="0.25">
      <c r="C596" s="139" t="str">
        <f t="shared" si="25"/>
        <v>FL_WEST PALM BEACH-BOCA RATON, FL HUD METRO FMR AREA</v>
      </c>
      <c r="D596" s="136" t="s">
        <v>96</v>
      </c>
      <c r="E596" s="262" t="s">
        <v>3258</v>
      </c>
      <c r="F596" s="136" t="s">
        <v>183</v>
      </c>
      <c r="G596" s="246">
        <v>65450</v>
      </c>
      <c r="H596" s="246">
        <v>74800</v>
      </c>
      <c r="I596" s="246">
        <v>84150</v>
      </c>
      <c r="J596" s="246">
        <v>93500</v>
      </c>
      <c r="K596" s="246">
        <v>101000</v>
      </c>
      <c r="L596" s="246">
        <v>108500</v>
      </c>
      <c r="M596" s="246">
        <v>115950</v>
      </c>
      <c r="N596" s="246">
        <v>123450</v>
      </c>
    </row>
    <row r="597" spans="3:14" ht="21.95" customHeight="1" x14ac:dyDescent="0.25">
      <c r="C597" s="139" t="str">
        <f t="shared" si="25"/>
        <v>FL_WILDWOOD-THE VILLAGES, FL MSA</v>
      </c>
      <c r="D597" s="136" t="s">
        <v>96</v>
      </c>
      <c r="E597" s="262" t="s">
        <v>9149</v>
      </c>
      <c r="F597" s="136" t="s">
        <v>183</v>
      </c>
      <c r="G597" s="246">
        <v>53550</v>
      </c>
      <c r="H597" s="246">
        <v>61200</v>
      </c>
      <c r="I597" s="246">
        <v>68850</v>
      </c>
      <c r="J597" s="246">
        <v>76500</v>
      </c>
      <c r="K597" s="246">
        <v>82650</v>
      </c>
      <c r="L597" s="246">
        <v>88750</v>
      </c>
      <c r="M597" s="246">
        <v>94900</v>
      </c>
      <c r="N597" s="246">
        <v>101000</v>
      </c>
    </row>
    <row r="598" spans="3:14" ht="21.95" customHeight="1" x14ac:dyDescent="0.25">
      <c r="C598" s="139" t="str">
        <f t="shared" si="25"/>
        <v>GA_ALBANY, GA MSA</v>
      </c>
      <c r="D598" s="136" t="s">
        <v>95</v>
      </c>
      <c r="E598" s="262" t="s">
        <v>3259</v>
      </c>
      <c r="F598" s="136" t="s">
        <v>183</v>
      </c>
      <c r="G598" s="246">
        <v>42700</v>
      </c>
      <c r="H598" s="246">
        <v>48800</v>
      </c>
      <c r="I598" s="246">
        <v>54900</v>
      </c>
      <c r="J598" s="246">
        <v>60950</v>
      </c>
      <c r="K598" s="246">
        <v>65850</v>
      </c>
      <c r="L598" s="246">
        <v>70750</v>
      </c>
      <c r="M598" s="246">
        <v>75600</v>
      </c>
      <c r="N598" s="246">
        <v>80500</v>
      </c>
    </row>
    <row r="599" spans="3:14" ht="21.95" customHeight="1" x14ac:dyDescent="0.25">
      <c r="C599" s="139" t="str">
        <f t="shared" si="25"/>
        <v>GA_APPLING COUNTY, GA</v>
      </c>
      <c r="D599" s="136" t="s">
        <v>95</v>
      </c>
      <c r="E599" s="262" t="s">
        <v>3260</v>
      </c>
      <c r="F599" s="136" t="s">
        <v>183</v>
      </c>
      <c r="G599" s="246">
        <v>42700</v>
      </c>
      <c r="H599" s="246">
        <v>48800</v>
      </c>
      <c r="I599" s="246">
        <v>54900</v>
      </c>
      <c r="J599" s="246">
        <v>60950</v>
      </c>
      <c r="K599" s="246">
        <v>65850</v>
      </c>
      <c r="L599" s="246">
        <v>70750</v>
      </c>
      <c r="M599" s="246">
        <v>75600</v>
      </c>
      <c r="N599" s="246">
        <v>80500</v>
      </c>
    </row>
    <row r="600" spans="3:14" ht="21.95" customHeight="1" x14ac:dyDescent="0.25">
      <c r="C600" s="139" t="str">
        <f t="shared" si="25"/>
        <v>GA_ATHENS-CLARKE COUNTY, GA MSA</v>
      </c>
      <c r="D600" s="136" t="s">
        <v>95</v>
      </c>
      <c r="E600" s="262" t="s">
        <v>3261</v>
      </c>
      <c r="F600" s="136" t="s">
        <v>183</v>
      </c>
      <c r="G600" s="246">
        <v>52850</v>
      </c>
      <c r="H600" s="246">
        <v>60400</v>
      </c>
      <c r="I600" s="246">
        <v>67950</v>
      </c>
      <c r="J600" s="246">
        <v>75450</v>
      </c>
      <c r="K600" s="246">
        <v>81500</v>
      </c>
      <c r="L600" s="246">
        <v>87550</v>
      </c>
      <c r="M600" s="246">
        <v>93600</v>
      </c>
      <c r="N600" s="246">
        <v>99600</v>
      </c>
    </row>
    <row r="601" spans="3:14" ht="21.95" customHeight="1" x14ac:dyDescent="0.25">
      <c r="C601" s="139" t="str">
        <f t="shared" si="25"/>
        <v>GA_ATKINSON COUNTY, GA</v>
      </c>
      <c r="D601" s="136" t="s">
        <v>95</v>
      </c>
      <c r="E601" s="262" t="s">
        <v>3262</v>
      </c>
      <c r="F601" s="136" t="s">
        <v>183</v>
      </c>
      <c r="G601" s="246">
        <v>42700</v>
      </c>
      <c r="H601" s="246">
        <v>48800</v>
      </c>
      <c r="I601" s="246">
        <v>54900</v>
      </c>
      <c r="J601" s="246">
        <v>60950</v>
      </c>
      <c r="K601" s="246">
        <v>65850</v>
      </c>
      <c r="L601" s="246">
        <v>70750</v>
      </c>
      <c r="M601" s="246">
        <v>75600</v>
      </c>
      <c r="N601" s="246">
        <v>80500</v>
      </c>
    </row>
    <row r="602" spans="3:14" ht="21.95" customHeight="1" x14ac:dyDescent="0.25">
      <c r="C602" s="139" t="str">
        <f t="shared" si="25"/>
        <v>GA_ATLANTA-SANDY SPRINGS-ROSWELL, GA HUD METRO FMR AREA</v>
      </c>
      <c r="D602" s="136" t="s">
        <v>95</v>
      </c>
      <c r="E602" s="262" t="s">
        <v>3263</v>
      </c>
      <c r="F602" s="136" t="s">
        <v>183</v>
      </c>
      <c r="G602" s="246">
        <v>63950</v>
      </c>
      <c r="H602" s="246">
        <v>73100</v>
      </c>
      <c r="I602" s="246">
        <v>82250</v>
      </c>
      <c r="J602" s="246">
        <v>91350</v>
      </c>
      <c r="K602" s="246">
        <v>98700</v>
      </c>
      <c r="L602" s="246">
        <v>106000</v>
      </c>
      <c r="M602" s="246">
        <v>113300</v>
      </c>
      <c r="N602" s="246">
        <v>120600</v>
      </c>
    </row>
    <row r="603" spans="3:14" ht="21.95" customHeight="1" x14ac:dyDescent="0.25">
      <c r="C603" s="139" t="str">
        <f t="shared" si="25"/>
        <v>GA_AUGUSTA-RICHMOND COUNTY, GA-SC HUD METRO FMR AREA</v>
      </c>
      <c r="D603" s="136" t="s">
        <v>95</v>
      </c>
      <c r="E603" s="262" t="s">
        <v>3264</v>
      </c>
      <c r="F603" s="136" t="s">
        <v>183</v>
      </c>
      <c r="G603" s="246">
        <v>49500</v>
      </c>
      <c r="H603" s="246">
        <v>56550</v>
      </c>
      <c r="I603" s="246">
        <v>63600</v>
      </c>
      <c r="J603" s="246">
        <v>70650</v>
      </c>
      <c r="K603" s="246">
        <v>76350</v>
      </c>
      <c r="L603" s="246">
        <v>82000</v>
      </c>
      <c r="M603" s="246">
        <v>87650</v>
      </c>
      <c r="N603" s="246">
        <v>93300</v>
      </c>
    </row>
    <row r="604" spans="3:14" ht="21.95" customHeight="1" x14ac:dyDescent="0.25">
      <c r="C604" s="139" t="str">
        <f t="shared" si="25"/>
        <v>GA_BACON COUNTY, GA</v>
      </c>
      <c r="D604" s="136" t="s">
        <v>95</v>
      </c>
      <c r="E604" s="262" t="s">
        <v>3265</v>
      </c>
      <c r="F604" s="136" t="s">
        <v>183</v>
      </c>
      <c r="G604" s="246">
        <v>42700</v>
      </c>
      <c r="H604" s="246">
        <v>48800</v>
      </c>
      <c r="I604" s="246">
        <v>54900</v>
      </c>
      <c r="J604" s="246">
        <v>60950</v>
      </c>
      <c r="K604" s="246">
        <v>65850</v>
      </c>
      <c r="L604" s="246">
        <v>70750</v>
      </c>
      <c r="M604" s="246">
        <v>75600</v>
      </c>
      <c r="N604" s="246">
        <v>80500</v>
      </c>
    </row>
    <row r="605" spans="3:14" ht="21.95" customHeight="1" x14ac:dyDescent="0.25">
      <c r="C605" s="139" t="str">
        <f t="shared" si="25"/>
        <v>GA_BAKER COUNTY, GA</v>
      </c>
      <c r="D605" s="136" t="s">
        <v>95</v>
      </c>
      <c r="E605" s="262" t="s">
        <v>3266</v>
      </c>
      <c r="F605" s="136" t="s">
        <v>183</v>
      </c>
      <c r="G605" s="246">
        <v>42700</v>
      </c>
      <c r="H605" s="246">
        <v>48800</v>
      </c>
      <c r="I605" s="246">
        <v>54900</v>
      </c>
      <c r="J605" s="246">
        <v>60950</v>
      </c>
      <c r="K605" s="246">
        <v>65850</v>
      </c>
      <c r="L605" s="246">
        <v>70750</v>
      </c>
      <c r="M605" s="246">
        <v>75600</v>
      </c>
      <c r="N605" s="246">
        <v>80500</v>
      </c>
    </row>
    <row r="606" spans="3:14" ht="21.95" customHeight="1" x14ac:dyDescent="0.25">
      <c r="C606" s="139" t="str">
        <f t="shared" si="25"/>
        <v>GA_BALDWIN COUNTY, GA</v>
      </c>
      <c r="D606" s="136" t="s">
        <v>95</v>
      </c>
      <c r="E606" s="262" t="s">
        <v>3267</v>
      </c>
      <c r="F606" s="136" t="s">
        <v>183</v>
      </c>
      <c r="G606" s="246">
        <v>44750</v>
      </c>
      <c r="H606" s="246">
        <v>51150</v>
      </c>
      <c r="I606" s="246">
        <v>57550</v>
      </c>
      <c r="J606" s="246">
        <v>63900</v>
      </c>
      <c r="K606" s="246">
        <v>69050</v>
      </c>
      <c r="L606" s="246">
        <v>74150</v>
      </c>
      <c r="M606" s="246">
        <v>79250</v>
      </c>
      <c r="N606" s="246">
        <v>84350</v>
      </c>
    </row>
    <row r="607" spans="3:14" ht="21.95" customHeight="1" x14ac:dyDescent="0.25">
      <c r="C607" s="139" t="str">
        <f t="shared" si="25"/>
        <v>GA_BANKS COUNTY, GA</v>
      </c>
      <c r="D607" s="136" t="s">
        <v>95</v>
      </c>
      <c r="E607" s="262" t="s">
        <v>3268</v>
      </c>
      <c r="F607" s="136" t="s">
        <v>183</v>
      </c>
      <c r="G607" s="246">
        <v>45050</v>
      </c>
      <c r="H607" s="246">
        <v>51500</v>
      </c>
      <c r="I607" s="246">
        <v>57950</v>
      </c>
      <c r="J607" s="246">
        <v>64350</v>
      </c>
      <c r="K607" s="246">
        <v>69500</v>
      </c>
      <c r="L607" s="246">
        <v>74650</v>
      </c>
      <c r="M607" s="246">
        <v>79800</v>
      </c>
      <c r="N607" s="246">
        <v>84950</v>
      </c>
    </row>
    <row r="608" spans="3:14" ht="21.95" customHeight="1" x14ac:dyDescent="0.25">
      <c r="C608" s="139" t="str">
        <f t="shared" si="25"/>
        <v>GA_BEN HILL COUNTY, GA</v>
      </c>
      <c r="D608" s="136" t="s">
        <v>95</v>
      </c>
      <c r="E608" s="262" t="s">
        <v>3269</v>
      </c>
      <c r="F608" s="136" t="s">
        <v>183</v>
      </c>
      <c r="G608" s="246">
        <v>42700</v>
      </c>
      <c r="H608" s="246">
        <v>48800</v>
      </c>
      <c r="I608" s="246">
        <v>54900</v>
      </c>
      <c r="J608" s="246">
        <v>60950</v>
      </c>
      <c r="K608" s="246">
        <v>65850</v>
      </c>
      <c r="L608" s="246">
        <v>70750</v>
      </c>
      <c r="M608" s="246">
        <v>75600</v>
      </c>
      <c r="N608" s="246">
        <v>80500</v>
      </c>
    </row>
    <row r="609" spans="3:14" ht="21.95" customHeight="1" x14ac:dyDescent="0.25">
      <c r="C609" s="139" t="str">
        <f t="shared" si="25"/>
        <v>GA_BERRIEN COUNTY, GA</v>
      </c>
      <c r="D609" s="136" t="s">
        <v>95</v>
      </c>
      <c r="E609" s="262" t="s">
        <v>3270</v>
      </c>
      <c r="F609" s="136" t="s">
        <v>183</v>
      </c>
      <c r="G609" s="246">
        <v>42700</v>
      </c>
      <c r="H609" s="246">
        <v>48800</v>
      </c>
      <c r="I609" s="246">
        <v>54900</v>
      </c>
      <c r="J609" s="246">
        <v>60950</v>
      </c>
      <c r="K609" s="246">
        <v>65850</v>
      </c>
      <c r="L609" s="246">
        <v>70750</v>
      </c>
      <c r="M609" s="246">
        <v>75600</v>
      </c>
      <c r="N609" s="246">
        <v>80500</v>
      </c>
    </row>
    <row r="610" spans="3:14" ht="21.95" customHeight="1" x14ac:dyDescent="0.25">
      <c r="C610" s="139" t="str">
        <f t="shared" si="25"/>
        <v>GA_BLECKLEY COUNTY, GA</v>
      </c>
      <c r="D610" s="136" t="s">
        <v>95</v>
      </c>
      <c r="E610" s="262" t="s">
        <v>3271</v>
      </c>
      <c r="F610" s="136" t="s">
        <v>183</v>
      </c>
      <c r="G610" s="246">
        <v>42700</v>
      </c>
      <c r="H610" s="246">
        <v>48800</v>
      </c>
      <c r="I610" s="246">
        <v>54900</v>
      </c>
      <c r="J610" s="246">
        <v>60950</v>
      </c>
      <c r="K610" s="246">
        <v>65850</v>
      </c>
      <c r="L610" s="246">
        <v>70750</v>
      </c>
      <c r="M610" s="246">
        <v>75600</v>
      </c>
      <c r="N610" s="246">
        <v>80500</v>
      </c>
    </row>
    <row r="611" spans="3:14" ht="21.95" customHeight="1" x14ac:dyDescent="0.25">
      <c r="C611" s="139" t="str">
        <f t="shared" si="25"/>
        <v>GA_BRUNSWICK-ST. SIMONS, GA MSA</v>
      </c>
      <c r="D611" s="136" t="s">
        <v>95</v>
      </c>
      <c r="E611" s="262" t="s">
        <v>9151</v>
      </c>
      <c r="F611" s="136" t="s">
        <v>183</v>
      </c>
      <c r="G611" s="246">
        <v>47100</v>
      </c>
      <c r="H611" s="246">
        <v>53800</v>
      </c>
      <c r="I611" s="246">
        <v>60550</v>
      </c>
      <c r="J611" s="246">
        <v>67250</v>
      </c>
      <c r="K611" s="246">
        <v>72650</v>
      </c>
      <c r="L611" s="246">
        <v>78050</v>
      </c>
      <c r="M611" s="246">
        <v>83400</v>
      </c>
      <c r="N611" s="246">
        <v>88800</v>
      </c>
    </row>
    <row r="612" spans="3:14" ht="21.95" customHeight="1" x14ac:dyDescent="0.25">
      <c r="C612" s="139" t="str">
        <f t="shared" si="25"/>
        <v>GA_BULLOCH COUNTY, GA</v>
      </c>
      <c r="D612" s="136" t="s">
        <v>95</v>
      </c>
      <c r="E612" s="262" t="s">
        <v>3272</v>
      </c>
      <c r="F612" s="136" t="s">
        <v>183</v>
      </c>
      <c r="G612" s="246">
        <v>43550</v>
      </c>
      <c r="H612" s="246">
        <v>49750</v>
      </c>
      <c r="I612" s="246">
        <v>55950</v>
      </c>
      <c r="J612" s="246">
        <v>62150</v>
      </c>
      <c r="K612" s="246">
        <v>67150</v>
      </c>
      <c r="L612" s="246">
        <v>72100</v>
      </c>
      <c r="M612" s="246">
        <v>77100</v>
      </c>
      <c r="N612" s="246">
        <v>82050</v>
      </c>
    </row>
    <row r="613" spans="3:14" ht="21.95" customHeight="1" x14ac:dyDescent="0.25">
      <c r="C613" s="139" t="str">
        <f t="shared" si="25"/>
        <v>GA_BUTTS COUNTY, GA HUD METRO FMR AREA</v>
      </c>
      <c r="D613" s="136" t="s">
        <v>95</v>
      </c>
      <c r="E613" s="262" t="s">
        <v>3273</v>
      </c>
      <c r="F613" s="136" t="s">
        <v>183</v>
      </c>
      <c r="G613" s="246">
        <v>43750</v>
      </c>
      <c r="H613" s="246">
        <v>50000</v>
      </c>
      <c r="I613" s="246">
        <v>56250</v>
      </c>
      <c r="J613" s="246">
        <v>62450</v>
      </c>
      <c r="K613" s="246">
        <v>67450</v>
      </c>
      <c r="L613" s="246">
        <v>72450</v>
      </c>
      <c r="M613" s="246">
        <v>77450</v>
      </c>
      <c r="N613" s="246">
        <v>82450</v>
      </c>
    </row>
    <row r="614" spans="3:14" ht="21.95" customHeight="1" x14ac:dyDescent="0.25">
      <c r="C614" s="139" t="str">
        <f t="shared" si="25"/>
        <v>GA_CALHOUN COUNTY, GA</v>
      </c>
      <c r="D614" s="136" t="s">
        <v>95</v>
      </c>
      <c r="E614" s="262" t="s">
        <v>3274</v>
      </c>
      <c r="F614" s="136" t="s">
        <v>183</v>
      </c>
      <c r="G614" s="246">
        <v>42700</v>
      </c>
      <c r="H614" s="246">
        <v>48800</v>
      </c>
      <c r="I614" s="246">
        <v>54900</v>
      </c>
      <c r="J614" s="246">
        <v>60950</v>
      </c>
      <c r="K614" s="246">
        <v>65850</v>
      </c>
      <c r="L614" s="246">
        <v>70750</v>
      </c>
      <c r="M614" s="246">
        <v>75600</v>
      </c>
      <c r="N614" s="246">
        <v>80500</v>
      </c>
    </row>
    <row r="615" spans="3:14" ht="21.95" customHeight="1" x14ac:dyDescent="0.25">
      <c r="C615" s="139" t="str">
        <f t="shared" si="25"/>
        <v>GA_CAMDEN COUNTY, GA</v>
      </c>
      <c r="D615" s="136" t="s">
        <v>95</v>
      </c>
      <c r="E615" s="262" t="s">
        <v>3275</v>
      </c>
      <c r="F615" s="136" t="s">
        <v>183</v>
      </c>
      <c r="G615" s="246">
        <v>48550</v>
      </c>
      <c r="H615" s="246">
        <v>55450</v>
      </c>
      <c r="I615" s="246">
        <v>62400</v>
      </c>
      <c r="J615" s="246">
        <v>69300</v>
      </c>
      <c r="K615" s="246">
        <v>74850</v>
      </c>
      <c r="L615" s="246">
        <v>80400</v>
      </c>
      <c r="M615" s="246">
        <v>85950</v>
      </c>
      <c r="N615" s="246">
        <v>91500</v>
      </c>
    </row>
    <row r="616" spans="3:14" ht="21.95" customHeight="1" x14ac:dyDescent="0.25">
      <c r="C616" s="139" t="str">
        <f t="shared" si="25"/>
        <v>GA_CANDLER COUNTY, GA</v>
      </c>
      <c r="D616" s="136" t="s">
        <v>95</v>
      </c>
      <c r="E616" s="262" t="s">
        <v>3276</v>
      </c>
      <c r="F616" s="136" t="s">
        <v>183</v>
      </c>
      <c r="G616" s="246">
        <v>42700</v>
      </c>
      <c r="H616" s="246">
        <v>48800</v>
      </c>
      <c r="I616" s="246">
        <v>54900</v>
      </c>
      <c r="J616" s="246">
        <v>60950</v>
      </c>
      <c r="K616" s="246">
        <v>65850</v>
      </c>
      <c r="L616" s="246">
        <v>70750</v>
      </c>
      <c r="M616" s="246">
        <v>75600</v>
      </c>
      <c r="N616" s="246">
        <v>80500</v>
      </c>
    </row>
    <row r="617" spans="3:14" ht="21.95" customHeight="1" x14ac:dyDescent="0.25">
      <c r="C617" s="139" t="str">
        <f t="shared" si="25"/>
        <v>GA_CHARLTON COUNTY, GA</v>
      </c>
      <c r="D617" s="136" t="s">
        <v>95</v>
      </c>
      <c r="E617" s="262" t="s">
        <v>3277</v>
      </c>
      <c r="F617" s="136" t="s">
        <v>183</v>
      </c>
      <c r="G617" s="246">
        <v>42700</v>
      </c>
      <c r="H617" s="246">
        <v>48800</v>
      </c>
      <c r="I617" s="246">
        <v>54900</v>
      </c>
      <c r="J617" s="246">
        <v>60950</v>
      </c>
      <c r="K617" s="246">
        <v>65850</v>
      </c>
      <c r="L617" s="246">
        <v>70750</v>
      </c>
      <c r="M617" s="246">
        <v>75600</v>
      </c>
      <c r="N617" s="246">
        <v>80500</v>
      </c>
    </row>
    <row r="618" spans="3:14" ht="21.95" customHeight="1" x14ac:dyDescent="0.25">
      <c r="C618" s="139" t="str">
        <f t="shared" si="25"/>
        <v>GA_CHATTANOOGA, TN-GA MSA</v>
      </c>
      <c r="D618" s="136" t="s">
        <v>95</v>
      </c>
      <c r="E618" s="262" t="s">
        <v>3278</v>
      </c>
      <c r="F618" s="136" t="s">
        <v>183</v>
      </c>
      <c r="G618" s="246">
        <v>53500</v>
      </c>
      <c r="H618" s="246">
        <v>61150</v>
      </c>
      <c r="I618" s="246">
        <v>68800</v>
      </c>
      <c r="J618" s="246">
        <v>76400</v>
      </c>
      <c r="K618" s="246">
        <v>82550</v>
      </c>
      <c r="L618" s="246">
        <v>88650</v>
      </c>
      <c r="M618" s="246">
        <v>94750</v>
      </c>
      <c r="N618" s="246">
        <v>100850</v>
      </c>
    </row>
    <row r="619" spans="3:14" ht="21.95" customHeight="1" x14ac:dyDescent="0.25">
      <c r="C619" s="139" t="str">
        <f t="shared" si="25"/>
        <v>GA_CHATTOOGA COUNTY, GA</v>
      </c>
      <c r="D619" s="136" t="s">
        <v>95</v>
      </c>
      <c r="E619" s="262" t="s">
        <v>3279</v>
      </c>
      <c r="F619" s="136" t="s">
        <v>183</v>
      </c>
      <c r="G619" s="246">
        <v>42700</v>
      </c>
      <c r="H619" s="246">
        <v>48800</v>
      </c>
      <c r="I619" s="246">
        <v>54900</v>
      </c>
      <c r="J619" s="246">
        <v>60950</v>
      </c>
      <c r="K619" s="246">
        <v>65850</v>
      </c>
      <c r="L619" s="246">
        <v>70750</v>
      </c>
      <c r="M619" s="246">
        <v>75600</v>
      </c>
      <c r="N619" s="246">
        <v>80500</v>
      </c>
    </row>
    <row r="620" spans="3:14" ht="21.95" customHeight="1" x14ac:dyDescent="0.25">
      <c r="C620" s="139" t="str">
        <f t="shared" si="25"/>
        <v>GA_CLAY COUNTY, GA</v>
      </c>
      <c r="D620" s="136" t="s">
        <v>95</v>
      </c>
      <c r="E620" s="262" t="s">
        <v>3280</v>
      </c>
      <c r="F620" s="136" t="s">
        <v>183</v>
      </c>
      <c r="G620" s="246">
        <v>42700</v>
      </c>
      <c r="H620" s="246">
        <v>48800</v>
      </c>
      <c r="I620" s="246">
        <v>54900</v>
      </c>
      <c r="J620" s="246">
        <v>60950</v>
      </c>
      <c r="K620" s="246">
        <v>65850</v>
      </c>
      <c r="L620" s="246">
        <v>70750</v>
      </c>
      <c r="M620" s="246">
        <v>75600</v>
      </c>
      <c r="N620" s="246">
        <v>80500</v>
      </c>
    </row>
    <row r="621" spans="3:14" ht="21.95" customHeight="1" x14ac:dyDescent="0.25">
      <c r="C621" s="139" t="str">
        <f t="shared" si="25"/>
        <v>GA_CLINCH COUNTY, GA</v>
      </c>
      <c r="D621" s="136" t="s">
        <v>95</v>
      </c>
      <c r="E621" s="262" t="s">
        <v>3281</v>
      </c>
      <c r="F621" s="136" t="s">
        <v>183</v>
      </c>
      <c r="G621" s="246">
        <v>43250</v>
      </c>
      <c r="H621" s="246">
        <v>49400</v>
      </c>
      <c r="I621" s="246">
        <v>55600</v>
      </c>
      <c r="J621" s="246">
        <v>61750</v>
      </c>
      <c r="K621" s="246">
        <v>66700</v>
      </c>
      <c r="L621" s="246">
        <v>71650</v>
      </c>
      <c r="M621" s="246">
        <v>76600</v>
      </c>
      <c r="N621" s="246">
        <v>81550</v>
      </c>
    </row>
    <row r="622" spans="3:14" ht="21.95" customHeight="1" x14ac:dyDescent="0.25">
      <c r="C622" s="139" t="str">
        <f t="shared" si="25"/>
        <v>GA_COFFEE COUNTY, GA</v>
      </c>
      <c r="D622" s="136" t="s">
        <v>95</v>
      </c>
      <c r="E622" s="262" t="s">
        <v>3282</v>
      </c>
      <c r="F622" s="136" t="s">
        <v>183</v>
      </c>
      <c r="G622" s="246">
        <v>42700</v>
      </c>
      <c r="H622" s="246">
        <v>48800</v>
      </c>
      <c r="I622" s="246">
        <v>54900</v>
      </c>
      <c r="J622" s="246">
        <v>60950</v>
      </c>
      <c r="K622" s="246">
        <v>65850</v>
      </c>
      <c r="L622" s="246">
        <v>70750</v>
      </c>
      <c r="M622" s="246">
        <v>75600</v>
      </c>
      <c r="N622" s="246">
        <v>80500</v>
      </c>
    </row>
    <row r="623" spans="3:14" ht="21.95" customHeight="1" x14ac:dyDescent="0.25">
      <c r="C623" s="139" t="str">
        <f t="shared" si="25"/>
        <v>GA_COLQUITT COUNTY, GA</v>
      </c>
      <c r="D623" s="136" t="s">
        <v>95</v>
      </c>
      <c r="E623" s="262" t="s">
        <v>3283</v>
      </c>
      <c r="F623" s="136" t="s">
        <v>183</v>
      </c>
      <c r="G623" s="246">
        <v>42700</v>
      </c>
      <c r="H623" s="246">
        <v>48800</v>
      </c>
      <c r="I623" s="246">
        <v>54900</v>
      </c>
      <c r="J623" s="246">
        <v>60950</v>
      </c>
      <c r="K623" s="246">
        <v>65850</v>
      </c>
      <c r="L623" s="246">
        <v>70750</v>
      </c>
      <c r="M623" s="246">
        <v>75600</v>
      </c>
      <c r="N623" s="246">
        <v>80500</v>
      </c>
    </row>
    <row r="624" spans="3:14" ht="21.95" customHeight="1" x14ac:dyDescent="0.25">
      <c r="C624" s="139" t="str">
        <f t="shared" si="25"/>
        <v>GA_COLUMBUS, GA-AL HUD METRO FMR AREA</v>
      </c>
      <c r="D624" s="136" t="s">
        <v>95</v>
      </c>
      <c r="E624" s="262" t="s">
        <v>3000</v>
      </c>
      <c r="F624" s="136" t="s">
        <v>183</v>
      </c>
      <c r="G624" s="246">
        <v>43150</v>
      </c>
      <c r="H624" s="246">
        <v>49300</v>
      </c>
      <c r="I624" s="246">
        <v>55450</v>
      </c>
      <c r="J624" s="246">
        <v>61600</v>
      </c>
      <c r="K624" s="246">
        <v>66550</v>
      </c>
      <c r="L624" s="246">
        <v>71500</v>
      </c>
      <c r="M624" s="246">
        <v>76400</v>
      </c>
      <c r="N624" s="246">
        <v>81350</v>
      </c>
    </row>
    <row r="625" spans="3:14" ht="21.95" customHeight="1" x14ac:dyDescent="0.25">
      <c r="C625" s="139" t="str">
        <f t="shared" si="25"/>
        <v>GA_COOK COUNTY, GA</v>
      </c>
      <c r="D625" s="136" t="s">
        <v>95</v>
      </c>
      <c r="E625" s="262" t="s">
        <v>3284</v>
      </c>
      <c r="F625" s="136" t="s">
        <v>183</v>
      </c>
      <c r="G625" s="246">
        <v>42700</v>
      </c>
      <c r="H625" s="246">
        <v>48800</v>
      </c>
      <c r="I625" s="246">
        <v>54900</v>
      </c>
      <c r="J625" s="246">
        <v>60950</v>
      </c>
      <c r="K625" s="246">
        <v>65850</v>
      </c>
      <c r="L625" s="246">
        <v>70750</v>
      </c>
      <c r="M625" s="246">
        <v>75600</v>
      </c>
      <c r="N625" s="246">
        <v>80500</v>
      </c>
    </row>
    <row r="626" spans="3:14" ht="21.95" customHeight="1" x14ac:dyDescent="0.25">
      <c r="C626" s="139" t="str">
        <f t="shared" si="25"/>
        <v>GA_CRISP COUNTY, GA</v>
      </c>
      <c r="D626" s="136" t="s">
        <v>95</v>
      </c>
      <c r="E626" s="262" t="s">
        <v>3285</v>
      </c>
      <c r="F626" s="136" t="s">
        <v>183</v>
      </c>
      <c r="G626" s="246">
        <v>42700</v>
      </c>
      <c r="H626" s="246">
        <v>48800</v>
      </c>
      <c r="I626" s="246">
        <v>54900</v>
      </c>
      <c r="J626" s="246">
        <v>60950</v>
      </c>
      <c r="K626" s="246">
        <v>65850</v>
      </c>
      <c r="L626" s="246">
        <v>70750</v>
      </c>
      <c r="M626" s="246">
        <v>75600</v>
      </c>
      <c r="N626" s="246">
        <v>80500</v>
      </c>
    </row>
    <row r="627" spans="3:14" ht="21.95" customHeight="1" x14ac:dyDescent="0.25">
      <c r="C627" s="139" t="str">
        <f t="shared" si="25"/>
        <v>GA_DALTON, GA HUD METRO FMR AREA</v>
      </c>
      <c r="D627" s="136" t="s">
        <v>95</v>
      </c>
      <c r="E627" s="262" t="s">
        <v>3286</v>
      </c>
      <c r="F627" s="136" t="s">
        <v>183</v>
      </c>
      <c r="G627" s="246">
        <v>44750</v>
      </c>
      <c r="H627" s="246">
        <v>51150</v>
      </c>
      <c r="I627" s="246">
        <v>57550</v>
      </c>
      <c r="J627" s="246">
        <v>63900</v>
      </c>
      <c r="K627" s="246">
        <v>69050</v>
      </c>
      <c r="L627" s="246">
        <v>74150</v>
      </c>
      <c r="M627" s="246">
        <v>79250</v>
      </c>
      <c r="N627" s="246">
        <v>84350</v>
      </c>
    </row>
    <row r="628" spans="3:14" ht="21.95" customHeight="1" x14ac:dyDescent="0.25">
      <c r="C628" s="139" t="str">
        <f t="shared" si="25"/>
        <v>GA_DECATUR COUNTY, GA</v>
      </c>
      <c r="D628" s="136" t="s">
        <v>95</v>
      </c>
      <c r="E628" s="262" t="s">
        <v>3287</v>
      </c>
      <c r="F628" s="136" t="s">
        <v>183</v>
      </c>
      <c r="G628" s="246">
        <v>42700</v>
      </c>
      <c r="H628" s="246">
        <v>48800</v>
      </c>
      <c r="I628" s="246">
        <v>54900</v>
      </c>
      <c r="J628" s="246">
        <v>60950</v>
      </c>
      <c r="K628" s="246">
        <v>65850</v>
      </c>
      <c r="L628" s="246">
        <v>70750</v>
      </c>
      <c r="M628" s="246">
        <v>75600</v>
      </c>
      <c r="N628" s="246">
        <v>80500</v>
      </c>
    </row>
    <row r="629" spans="3:14" ht="21.95" customHeight="1" x14ac:dyDescent="0.25">
      <c r="C629" s="139" t="str">
        <f t="shared" si="25"/>
        <v>GA_DODGE COUNTY, GA</v>
      </c>
      <c r="D629" s="136" t="s">
        <v>95</v>
      </c>
      <c r="E629" s="262" t="s">
        <v>3288</v>
      </c>
      <c r="F629" s="136" t="s">
        <v>183</v>
      </c>
      <c r="G629" s="246">
        <v>42700</v>
      </c>
      <c r="H629" s="246">
        <v>48800</v>
      </c>
      <c r="I629" s="246">
        <v>54900</v>
      </c>
      <c r="J629" s="246">
        <v>60950</v>
      </c>
      <c r="K629" s="246">
        <v>65850</v>
      </c>
      <c r="L629" s="246">
        <v>70750</v>
      </c>
      <c r="M629" s="246">
        <v>75600</v>
      </c>
      <c r="N629" s="246">
        <v>80500</v>
      </c>
    </row>
    <row r="630" spans="3:14" ht="21.95" customHeight="1" x14ac:dyDescent="0.25">
      <c r="C630" s="139" t="str">
        <f t="shared" si="25"/>
        <v>GA_DOOLY COUNTY, GA</v>
      </c>
      <c r="D630" s="136" t="s">
        <v>95</v>
      </c>
      <c r="E630" s="262" t="s">
        <v>3289</v>
      </c>
      <c r="F630" s="136" t="s">
        <v>183</v>
      </c>
      <c r="G630" s="246">
        <v>42700</v>
      </c>
      <c r="H630" s="246">
        <v>48800</v>
      </c>
      <c r="I630" s="246">
        <v>54900</v>
      </c>
      <c r="J630" s="246">
        <v>60950</v>
      </c>
      <c r="K630" s="246">
        <v>65850</v>
      </c>
      <c r="L630" s="246">
        <v>70750</v>
      </c>
      <c r="M630" s="246">
        <v>75600</v>
      </c>
      <c r="N630" s="246">
        <v>80500</v>
      </c>
    </row>
    <row r="631" spans="3:14" ht="21.95" customHeight="1" x14ac:dyDescent="0.25">
      <c r="C631" s="139" t="str">
        <f t="shared" si="25"/>
        <v>GA_EARLY COUNTY, GA</v>
      </c>
      <c r="D631" s="136" t="s">
        <v>95</v>
      </c>
      <c r="E631" s="262" t="s">
        <v>3290</v>
      </c>
      <c r="F631" s="136" t="s">
        <v>183</v>
      </c>
      <c r="G631" s="246">
        <v>42700</v>
      </c>
      <c r="H631" s="246">
        <v>48800</v>
      </c>
      <c r="I631" s="246">
        <v>54900</v>
      </c>
      <c r="J631" s="246">
        <v>60950</v>
      </c>
      <c r="K631" s="246">
        <v>65850</v>
      </c>
      <c r="L631" s="246">
        <v>70750</v>
      </c>
      <c r="M631" s="246">
        <v>75600</v>
      </c>
      <c r="N631" s="246">
        <v>80500</v>
      </c>
    </row>
    <row r="632" spans="3:14" ht="21.95" customHeight="1" x14ac:dyDescent="0.25">
      <c r="C632" s="139" t="str">
        <f t="shared" si="25"/>
        <v>GA_ELBERT COUNTY, GA</v>
      </c>
      <c r="D632" s="136" t="s">
        <v>95</v>
      </c>
      <c r="E632" s="262" t="s">
        <v>3291</v>
      </c>
      <c r="F632" s="136" t="s">
        <v>183</v>
      </c>
      <c r="G632" s="246">
        <v>42700</v>
      </c>
      <c r="H632" s="246">
        <v>48800</v>
      </c>
      <c r="I632" s="246">
        <v>54900</v>
      </c>
      <c r="J632" s="246">
        <v>60950</v>
      </c>
      <c r="K632" s="246">
        <v>65850</v>
      </c>
      <c r="L632" s="246">
        <v>70750</v>
      </c>
      <c r="M632" s="246">
        <v>75600</v>
      </c>
      <c r="N632" s="246">
        <v>80500</v>
      </c>
    </row>
    <row r="633" spans="3:14" ht="21.95" customHeight="1" x14ac:dyDescent="0.25">
      <c r="C633" s="139" t="str">
        <f t="shared" si="25"/>
        <v>GA_EMANUEL COUNTY, GA</v>
      </c>
      <c r="D633" s="136" t="s">
        <v>95</v>
      </c>
      <c r="E633" s="262" t="s">
        <v>3292</v>
      </c>
      <c r="F633" s="136" t="s">
        <v>183</v>
      </c>
      <c r="G633" s="246">
        <v>42700</v>
      </c>
      <c r="H633" s="246">
        <v>48800</v>
      </c>
      <c r="I633" s="246">
        <v>54900</v>
      </c>
      <c r="J633" s="246">
        <v>60950</v>
      </c>
      <c r="K633" s="246">
        <v>65850</v>
      </c>
      <c r="L633" s="246">
        <v>70750</v>
      </c>
      <c r="M633" s="246">
        <v>75600</v>
      </c>
      <c r="N633" s="246">
        <v>80500</v>
      </c>
    </row>
    <row r="634" spans="3:14" ht="21.95" customHeight="1" x14ac:dyDescent="0.25">
      <c r="C634" s="139" t="str">
        <f t="shared" si="25"/>
        <v>GA_EVANS COUNTY, GA</v>
      </c>
      <c r="D634" s="136" t="s">
        <v>95</v>
      </c>
      <c r="E634" s="262" t="s">
        <v>3293</v>
      </c>
      <c r="F634" s="136" t="s">
        <v>183</v>
      </c>
      <c r="G634" s="246">
        <v>42700</v>
      </c>
      <c r="H634" s="246">
        <v>48800</v>
      </c>
      <c r="I634" s="246">
        <v>54900</v>
      </c>
      <c r="J634" s="246">
        <v>60950</v>
      </c>
      <c r="K634" s="246">
        <v>65850</v>
      </c>
      <c r="L634" s="246">
        <v>70750</v>
      </c>
      <c r="M634" s="246">
        <v>75600</v>
      </c>
      <c r="N634" s="246">
        <v>80500</v>
      </c>
    </row>
    <row r="635" spans="3:14" ht="21.95" customHeight="1" x14ac:dyDescent="0.25">
      <c r="C635" s="139" t="str">
        <f t="shared" si="25"/>
        <v>GA_FANNIN COUNTY, GA</v>
      </c>
      <c r="D635" s="136" t="s">
        <v>95</v>
      </c>
      <c r="E635" s="262" t="s">
        <v>3294</v>
      </c>
      <c r="F635" s="136" t="s">
        <v>183</v>
      </c>
      <c r="G635" s="246">
        <v>42700</v>
      </c>
      <c r="H635" s="246">
        <v>48800</v>
      </c>
      <c r="I635" s="246">
        <v>54900</v>
      </c>
      <c r="J635" s="246">
        <v>60950</v>
      </c>
      <c r="K635" s="246">
        <v>65850</v>
      </c>
      <c r="L635" s="246">
        <v>70750</v>
      </c>
      <c r="M635" s="246">
        <v>75600</v>
      </c>
      <c r="N635" s="246">
        <v>80500</v>
      </c>
    </row>
    <row r="636" spans="3:14" ht="21.95" customHeight="1" x14ac:dyDescent="0.25">
      <c r="C636" s="139" t="str">
        <f t="shared" si="25"/>
        <v>GA_FRANKLIN COUNTY, GA</v>
      </c>
      <c r="D636" s="136" t="s">
        <v>95</v>
      </c>
      <c r="E636" s="262" t="s">
        <v>3295</v>
      </c>
      <c r="F636" s="136" t="s">
        <v>183</v>
      </c>
      <c r="G636" s="246">
        <v>42700</v>
      </c>
      <c r="H636" s="246">
        <v>48800</v>
      </c>
      <c r="I636" s="246">
        <v>54900</v>
      </c>
      <c r="J636" s="246">
        <v>60950</v>
      </c>
      <c r="K636" s="246">
        <v>65850</v>
      </c>
      <c r="L636" s="246">
        <v>70750</v>
      </c>
      <c r="M636" s="246">
        <v>75600</v>
      </c>
      <c r="N636" s="246">
        <v>80500</v>
      </c>
    </row>
    <row r="637" spans="3:14" ht="21.95" customHeight="1" x14ac:dyDescent="0.25">
      <c r="C637" s="139" t="str">
        <f t="shared" si="25"/>
        <v>GA_GAINESVILLE, GA MSA</v>
      </c>
      <c r="D637" s="136" t="s">
        <v>95</v>
      </c>
      <c r="E637" s="262" t="s">
        <v>3296</v>
      </c>
      <c r="F637" s="136" t="s">
        <v>183</v>
      </c>
      <c r="G637" s="246">
        <v>56700</v>
      </c>
      <c r="H637" s="246">
        <v>64800</v>
      </c>
      <c r="I637" s="246">
        <v>72900</v>
      </c>
      <c r="J637" s="246">
        <v>80950</v>
      </c>
      <c r="K637" s="246">
        <v>87450</v>
      </c>
      <c r="L637" s="246">
        <v>93950</v>
      </c>
      <c r="M637" s="246">
        <v>100400</v>
      </c>
      <c r="N637" s="246">
        <v>106900</v>
      </c>
    </row>
    <row r="638" spans="3:14" ht="21.95" customHeight="1" x14ac:dyDescent="0.25">
      <c r="C638" s="139" t="str">
        <f t="shared" si="25"/>
        <v>GA_GILMER COUNTY, GA</v>
      </c>
      <c r="D638" s="136" t="s">
        <v>95</v>
      </c>
      <c r="E638" s="262" t="s">
        <v>3297</v>
      </c>
      <c r="F638" s="136" t="s">
        <v>183</v>
      </c>
      <c r="G638" s="246">
        <v>48500</v>
      </c>
      <c r="H638" s="246">
        <v>55400</v>
      </c>
      <c r="I638" s="246">
        <v>62350</v>
      </c>
      <c r="J638" s="246">
        <v>69250</v>
      </c>
      <c r="K638" s="246">
        <v>74800</v>
      </c>
      <c r="L638" s="246">
        <v>80350</v>
      </c>
      <c r="M638" s="246">
        <v>85900</v>
      </c>
      <c r="N638" s="246">
        <v>91450</v>
      </c>
    </row>
    <row r="639" spans="3:14" ht="21.95" customHeight="1" x14ac:dyDescent="0.25">
      <c r="C639" s="139" t="str">
        <f t="shared" si="25"/>
        <v>GA_GLASCOCK COUNTY, GA</v>
      </c>
      <c r="D639" s="136" t="s">
        <v>95</v>
      </c>
      <c r="E639" s="262" t="s">
        <v>3298</v>
      </c>
      <c r="F639" s="136" t="s">
        <v>183</v>
      </c>
      <c r="G639" s="246">
        <v>45150</v>
      </c>
      <c r="H639" s="246">
        <v>51600</v>
      </c>
      <c r="I639" s="246">
        <v>58050</v>
      </c>
      <c r="J639" s="246">
        <v>64500</v>
      </c>
      <c r="K639" s="246">
        <v>69700</v>
      </c>
      <c r="L639" s="246">
        <v>74850</v>
      </c>
      <c r="M639" s="246">
        <v>80000</v>
      </c>
      <c r="N639" s="246">
        <v>85150</v>
      </c>
    </row>
    <row r="640" spans="3:14" ht="21.95" customHeight="1" x14ac:dyDescent="0.25">
      <c r="C640" s="139" t="str">
        <f t="shared" ref="C640:C703" si="26">TRIM(UPPER(D640))&amp;"_"&amp;TRIM(UPPER(E640))</f>
        <v>GA_GORDON COUNTY, GA</v>
      </c>
      <c r="D640" s="136" t="s">
        <v>95</v>
      </c>
      <c r="E640" s="262" t="s">
        <v>3299</v>
      </c>
      <c r="F640" s="136" t="s">
        <v>183</v>
      </c>
      <c r="G640" s="246">
        <v>43750</v>
      </c>
      <c r="H640" s="246">
        <v>50000</v>
      </c>
      <c r="I640" s="246">
        <v>56250</v>
      </c>
      <c r="J640" s="246">
        <v>62450</v>
      </c>
      <c r="K640" s="246">
        <v>67450</v>
      </c>
      <c r="L640" s="246">
        <v>72450</v>
      </c>
      <c r="M640" s="246">
        <v>77450</v>
      </c>
      <c r="N640" s="246">
        <v>82450</v>
      </c>
    </row>
    <row r="641" spans="3:14" ht="21.95" customHeight="1" x14ac:dyDescent="0.25">
      <c r="C641" s="139" t="str">
        <f t="shared" si="26"/>
        <v>GA_GRADY COUNTY, GA</v>
      </c>
      <c r="D641" s="136" t="s">
        <v>95</v>
      </c>
      <c r="E641" s="262" t="s">
        <v>3300</v>
      </c>
      <c r="F641" s="136" t="s">
        <v>183</v>
      </c>
      <c r="G641" s="246">
        <v>42700</v>
      </c>
      <c r="H641" s="246">
        <v>48800</v>
      </c>
      <c r="I641" s="246">
        <v>54900</v>
      </c>
      <c r="J641" s="246">
        <v>60950</v>
      </c>
      <c r="K641" s="246">
        <v>65850</v>
      </c>
      <c r="L641" s="246">
        <v>70750</v>
      </c>
      <c r="M641" s="246">
        <v>75600</v>
      </c>
      <c r="N641" s="246">
        <v>80500</v>
      </c>
    </row>
    <row r="642" spans="3:14" ht="21.95" customHeight="1" x14ac:dyDescent="0.25">
      <c r="C642" s="139" t="str">
        <f t="shared" si="26"/>
        <v>GA_GREENE COUNTY, GA</v>
      </c>
      <c r="D642" s="136" t="s">
        <v>95</v>
      </c>
      <c r="E642" s="262" t="s">
        <v>3301</v>
      </c>
      <c r="F642" s="136" t="s">
        <v>183</v>
      </c>
      <c r="G642" s="246">
        <v>52200</v>
      </c>
      <c r="H642" s="246">
        <v>59650</v>
      </c>
      <c r="I642" s="246">
        <v>67100</v>
      </c>
      <c r="J642" s="246">
        <v>74550</v>
      </c>
      <c r="K642" s="246">
        <v>80550</v>
      </c>
      <c r="L642" s="246">
        <v>86500</v>
      </c>
      <c r="M642" s="246">
        <v>92450</v>
      </c>
      <c r="N642" s="246">
        <v>98450</v>
      </c>
    </row>
    <row r="643" spans="3:14" ht="21.95" customHeight="1" x14ac:dyDescent="0.25">
      <c r="C643" s="139" t="str">
        <f t="shared" si="26"/>
        <v>GA_HABERSHAM COUNTY, GA</v>
      </c>
      <c r="D643" s="136" t="s">
        <v>95</v>
      </c>
      <c r="E643" s="262" t="s">
        <v>3302</v>
      </c>
      <c r="F643" s="136" t="s">
        <v>183</v>
      </c>
      <c r="G643" s="246">
        <v>47600</v>
      </c>
      <c r="H643" s="246">
        <v>54400</v>
      </c>
      <c r="I643" s="246">
        <v>61200</v>
      </c>
      <c r="J643" s="246">
        <v>68000</v>
      </c>
      <c r="K643" s="246">
        <v>73450</v>
      </c>
      <c r="L643" s="246">
        <v>78900</v>
      </c>
      <c r="M643" s="246">
        <v>84350</v>
      </c>
      <c r="N643" s="246">
        <v>89800</v>
      </c>
    </row>
    <row r="644" spans="3:14" ht="21.95" customHeight="1" x14ac:dyDescent="0.25">
      <c r="C644" s="139" t="str">
        <f t="shared" si="26"/>
        <v>GA_HANCOCK COUNTY, GA</v>
      </c>
      <c r="D644" s="136" t="s">
        <v>95</v>
      </c>
      <c r="E644" s="262" t="s">
        <v>3303</v>
      </c>
      <c r="F644" s="136" t="s">
        <v>183</v>
      </c>
      <c r="G644" s="246">
        <v>42700</v>
      </c>
      <c r="H644" s="246">
        <v>48800</v>
      </c>
      <c r="I644" s="246">
        <v>54900</v>
      </c>
      <c r="J644" s="246">
        <v>60950</v>
      </c>
      <c r="K644" s="246">
        <v>65850</v>
      </c>
      <c r="L644" s="246">
        <v>70750</v>
      </c>
      <c r="M644" s="246">
        <v>75600</v>
      </c>
      <c r="N644" s="246">
        <v>80500</v>
      </c>
    </row>
    <row r="645" spans="3:14" ht="21.95" customHeight="1" x14ac:dyDescent="0.25">
      <c r="C645" s="139" t="str">
        <f t="shared" si="26"/>
        <v>GA_HARALSON COUNTY, GA HUD METRO FMR AREA</v>
      </c>
      <c r="D645" s="136" t="s">
        <v>95</v>
      </c>
      <c r="E645" s="262" t="s">
        <v>3304</v>
      </c>
      <c r="F645" s="136" t="s">
        <v>183</v>
      </c>
      <c r="G645" s="246">
        <v>46450</v>
      </c>
      <c r="H645" s="246">
        <v>53050</v>
      </c>
      <c r="I645" s="246">
        <v>59700</v>
      </c>
      <c r="J645" s="246">
        <v>66300</v>
      </c>
      <c r="K645" s="246">
        <v>71650</v>
      </c>
      <c r="L645" s="246">
        <v>76950</v>
      </c>
      <c r="M645" s="246">
        <v>82250</v>
      </c>
      <c r="N645" s="246">
        <v>87550</v>
      </c>
    </row>
    <row r="646" spans="3:14" ht="21.95" customHeight="1" x14ac:dyDescent="0.25">
      <c r="C646" s="139" t="str">
        <f t="shared" si="26"/>
        <v>GA_HART COUNTY, GA</v>
      </c>
      <c r="D646" s="136" t="s">
        <v>95</v>
      </c>
      <c r="E646" s="262" t="s">
        <v>3305</v>
      </c>
      <c r="F646" s="136" t="s">
        <v>183</v>
      </c>
      <c r="G646" s="246">
        <v>45050</v>
      </c>
      <c r="H646" s="246">
        <v>51450</v>
      </c>
      <c r="I646" s="246">
        <v>57900</v>
      </c>
      <c r="J646" s="246">
        <v>64300</v>
      </c>
      <c r="K646" s="246">
        <v>69450</v>
      </c>
      <c r="L646" s="246">
        <v>74600</v>
      </c>
      <c r="M646" s="246">
        <v>79750</v>
      </c>
      <c r="N646" s="246">
        <v>84900</v>
      </c>
    </row>
    <row r="647" spans="3:14" ht="21.95" customHeight="1" x14ac:dyDescent="0.25">
      <c r="C647" s="139" t="str">
        <f t="shared" si="26"/>
        <v>GA_HINESVILLE, GA HUD METRO FMR AREA</v>
      </c>
      <c r="D647" s="136" t="s">
        <v>95</v>
      </c>
      <c r="E647" s="262" t="s">
        <v>3306</v>
      </c>
      <c r="F647" s="136" t="s">
        <v>183</v>
      </c>
      <c r="G647" s="246">
        <v>43900</v>
      </c>
      <c r="H647" s="246">
        <v>50200</v>
      </c>
      <c r="I647" s="246">
        <v>56450</v>
      </c>
      <c r="J647" s="246">
        <v>62700</v>
      </c>
      <c r="K647" s="246">
        <v>67750</v>
      </c>
      <c r="L647" s="246">
        <v>72750</v>
      </c>
      <c r="M647" s="246">
        <v>77750</v>
      </c>
      <c r="N647" s="246">
        <v>82800</v>
      </c>
    </row>
    <row r="648" spans="3:14" ht="21.95" customHeight="1" x14ac:dyDescent="0.25">
      <c r="C648" s="139" t="str">
        <f t="shared" si="26"/>
        <v>GA_IRWIN COUNTY, GA</v>
      </c>
      <c r="D648" s="136" t="s">
        <v>95</v>
      </c>
      <c r="E648" s="262" t="s">
        <v>3307</v>
      </c>
      <c r="F648" s="136" t="s">
        <v>183</v>
      </c>
      <c r="G648" s="246">
        <v>43500</v>
      </c>
      <c r="H648" s="246">
        <v>49700</v>
      </c>
      <c r="I648" s="246">
        <v>55900</v>
      </c>
      <c r="J648" s="246">
        <v>62100</v>
      </c>
      <c r="K648" s="246">
        <v>67100</v>
      </c>
      <c r="L648" s="246">
        <v>72050</v>
      </c>
      <c r="M648" s="246">
        <v>77050</v>
      </c>
      <c r="N648" s="246">
        <v>82000</v>
      </c>
    </row>
    <row r="649" spans="3:14" ht="21.95" customHeight="1" x14ac:dyDescent="0.25">
      <c r="C649" s="139" t="str">
        <f t="shared" si="26"/>
        <v>GA_JACKSON COUNTY, GA</v>
      </c>
      <c r="D649" s="136" t="s">
        <v>95</v>
      </c>
      <c r="E649" s="262" t="s">
        <v>3308</v>
      </c>
      <c r="F649" s="136" t="s">
        <v>183</v>
      </c>
      <c r="G649" s="246">
        <v>58100</v>
      </c>
      <c r="H649" s="246">
        <v>66400</v>
      </c>
      <c r="I649" s="246">
        <v>74700</v>
      </c>
      <c r="J649" s="246">
        <v>82950</v>
      </c>
      <c r="K649" s="246">
        <v>89600</v>
      </c>
      <c r="L649" s="246">
        <v>96250</v>
      </c>
      <c r="M649" s="246">
        <v>102900</v>
      </c>
      <c r="N649" s="246">
        <v>109500</v>
      </c>
    </row>
    <row r="650" spans="3:14" ht="21.95" customHeight="1" x14ac:dyDescent="0.25">
      <c r="C650" s="139" t="str">
        <f t="shared" si="26"/>
        <v>GA_JEFF DAVIS COUNTY, GA</v>
      </c>
      <c r="D650" s="136" t="s">
        <v>95</v>
      </c>
      <c r="E650" s="262" t="s">
        <v>3309</v>
      </c>
      <c r="F650" s="136" t="s">
        <v>183</v>
      </c>
      <c r="G650" s="246">
        <v>42700</v>
      </c>
      <c r="H650" s="246">
        <v>48800</v>
      </c>
      <c r="I650" s="246">
        <v>54900</v>
      </c>
      <c r="J650" s="246">
        <v>60950</v>
      </c>
      <c r="K650" s="246">
        <v>65850</v>
      </c>
      <c r="L650" s="246">
        <v>70750</v>
      </c>
      <c r="M650" s="246">
        <v>75600</v>
      </c>
      <c r="N650" s="246">
        <v>80500</v>
      </c>
    </row>
    <row r="651" spans="3:14" ht="21.95" customHeight="1" x14ac:dyDescent="0.25">
      <c r="C651" s="139" t="str">
        <f t="shared" si="26"/>
        <v>GA_JEFFERSON COUNTY, GA</v>
      </c>
      <c r="D651" s="136" t="s">
        <v>95</v>
      </c>
      <c r="E651" s="262" t="s">
        <v>3310</v>
      </c>
      <c r="F651" s="136" t="s">
        <v>183</v>
      </c>
      <c r="G651" s="246">
        <v>42700</v>
      </c>
      <c r="H651" s="246">
        <v>48800</v>
      </c>
      <c r="I651" s="246">
        <v>54900</v>
      </c>
      <c r="J651" s="246">
        <v>60950</v>
      </c>
      <c r="K651" s="246">
        <v>65850</v>
      </c>
      <c r="L651" s="246">
        <v>70750</v>
      </c>
      <c r="M651" s="246">
        <v>75600</v>
      </c>
      <c r="N651" s="246">
        <v>80500</v>
      </c>
    </row>
    <row r="652" spans="3:14" ht="21.95" customHeight="1" x14ac:dyDescent="0.25">
      <c r="C652" s="139" t="str">
        <f t="shared" si="26"/>
        <v>GA_JENKINS COUNTY, GA</v>
      </c>
      <c r="D652" s="136" t="s">
        <v>95</v>
      </c>
      <c r="E652" s="262" t="s">
        <v>3311</v>
      </c>
      <c r="F652" s="136" t="s">
        <v>183</v>
      </c>
      <c r="G652" s="246">
        <v>42700</v>
      </c>
      <c r="H652" s="246">
        <v>48800</v>
      </c>
      <c r="I652" s="246">
        <v>54900</v>
      </c>
      <c r="J652" s="246">
        <v>60950</v>
      </c>
      <c r="K652" s="246">
        <v>65850</v>
      </c>
      <c r="L652" s="246">
        <v>70750</v>
      </c>
      <c r="M652" s="246">
        <v>75600</v>
      </c>
      <c r="N652" s="246">
        <v>80500</v>
      </c>
    </row>
    <row r="653" spans="3:14" ht="21.95" customHeight="1" x14ac:dyDescent="0.25">
      <c r="C653" s="139" t="str">
        <f t="shared" si="26"/>
        <v>GA_JOHNSON COUNTY, GA</v>
      </c>
      <c r="D653" s="136" t="s">
        <v>95</v>
      </c>
      <c r="E653" s="262" t="s">
        <v>3312</v>
      </c>
      <c r="F653" s="136" t="s">
        <v>183</v>
      </c>
      <c r="G653" s="246">
        <v>42700</v>
      </c>
      <c r="H653" s="246">
        <v>48800</v>
      </c>
      <c r="I653" s="246">
        <v>54900</v>
      </c>
      <c r="J653" s="246">
        <v>60950</v>
      </c>
      <c r="K653" s="246">
        <v>65850</v>
      </c>
      <c r="L653" s="246">
        <v>70750</v>
      </c>
      <c r="M653" s="246">
        <v>75600</v>
      </c>
      <c r="N653" s="246">
        <v>80500</v>
      </c>
    </row>
    <row r="654" spans="3:14" ht="21.95" customHeight="1" x14ac:dyDescent="0.25">
      <c r="C654" s="139" t="str">
        <f t="shared" si="26"/>
        <v>GA_LAMAR COUNTY, GA</v>
      </c>
      <c r="D654" s="136" t="s">
        <v>95</v>
      </c>
      <c r="E654" s="262" t="s">
        <v>9152</v>
      </c>
      <c r="F654" s="136" t="s">
        <v>183</v>
      </c>
      <c r="G654" s="246">
        <v>47850</v>
      </c>
      <c r="H654" s="246">
        <v>54650</v>
      </c>
      <c r="I654" s="246">
        <v>61500</v>
      </c>
      <c r="J654" s="246">
        <v>68300</v>
      </c>
      <c r="K654" s="246">
        <v>73800</v>
      </c>
      <c r="L654" s="246">
        <v>79250</v>
      </c>
      <c r="M654" s="246">
        <v>84700</v>
      </c>
      <c r="N654" s="246">
        <v>90200</v>
      </c>
    </row>
    <row r="655" spans="3:14" ht="21.95" customHeight="1" x14ac:dyDescent="0.25">
      <c r="C655" s="139" t="str">
        <f t="shared" si="26"/>
        <v>GA_LAURENS COUNTY, GA</v>
      </c>
      <c r="D655" s="136" t="s">
        <v>95</v>
      </c>
      <c r="E655" s="262" t="s">
        <v>3313</v>
      </c>
      <c r="F655" s="136" t="s">
        <v>183</v>
      </c>
      <c r="G655" s="246">
        <v>42700</v>
      </c>
      <c r="H655" s="246">
        <v>48800</v>
      </c>
      <c r="I655" s="246">
        <v>54900</v>
      </c>
      <c r="J655" s="246">
        <v>60950</v>
      </c>
      <c r="K655" s="246">
        <v>65850</v>
      </c>
      <c r="L655" s="246">
        <v>70750</v>
      </c>
      <c r="M655" s="246">
        <v>75600</v>
      </c>
      <c r="N655" s="246">
        <v>80500</v>
      </c>
    </row>
    <row r="656" spans="3:14" ht="21.95" customHeight="1" x14ac:dyDescent="0.25">
      <c r="C656" s="139" t="str">
        <f t="shared" si="26"/>
        <v>GA_LINCOLN COUNTY, GA HUD METRO FMR AREA</v>
      </c>
      <c r="D656" s="136" t="s">
        <v>95</v>
      </c>
      <c r="E656" s="262" t="s">
        <v>3314</v>
      </c>
      <c r="F656" s="136" t="s">
        <v>183</v>
      </c>
      <c r="G656" s="246">
        <v>42700</v>
      </c>
      <c r="H656" s="246">
        <v>48800</v>
      </c>
      <c r="I656" s="246">
        <v>54900</v>
      </c>
      <c r="J656" s="246">
        <v>60950</v>
      </c>
      <c r="K656" s="246">
        <v>65850</v>
      </c>
      <c r="L656" s="246">
        <v>70750</v>
      </c>
      <c r="M656" s="246">
        <v>75600</v>
      </c>
      <c r="N656" s="246">
        <v>80500</v>
      </c>
    </row>
    <row r="657" spans="3:14" ht="21.95" customHeight="1" x14ac:dyDescent="0.25">
      <c r="C657" s="139" t="str">
        <f t="shared" si="26"/>
        <v>GA_LONG COUNTY, GA HUD METRO FMR AREA</v>
      </c>
      <c r="D657" s="136" t="s">
        <v>95</v>
      </c>
      <c r="E657" s="262" t="s">
        <v>3315</v>
      </c>
      <c r="F657" s="136" t="s">
        <v>183</v>
      </c>
      <c r="G657" s="246">
        <v>42700</v>
      </c>
      <c r="H657" s="246">
        <v>48800</v>
      </c>
      <c r="I657" s="246">
        <v>54900</v>
      </c>
      <c r="J657" s="246">
        <v>60950</v>
      </c>
      <c r="K657" s="246">
        <v>65850</v>
      </c>
      <c r="L657" s="246">
        <v>70750</v>
      </c>
      <c r="M657" s="246">
        <v>75600</v>
      </c>
      <c r="N657" s="246">
        <v>80500</v>
      </c>
    </row>
    <row r="658" spans="3:14" ht="21.95" customHeight="1" x14ac:dyDescent="0.25">
      <c r="C658" s="139" t="str">
        <f t="shared" si="26"/>
        <v>GA_LUMPKIN COUNTY, GA HUD METRO FMR AREA</v>
      </c>
      <c r="D658" s="136" t="s">
        <v>95</v>
      </c>
      <c r="E658" s="262" t="s">
        <v>9153</v>
      </c>
      <c r="F658" s="136" t="s">
        <v>183</v>
      </c>
      <c r="G658" s="246">
        <v>49900</v>
      </c>
      <c r="H658" s="246">
        <v>57000</v>
      </c>
      <c r="I658" s="246">
        <v>64150</v>
      </c>
      <c r="J658" s="246">
        <v>71250</v>
      </c>
      <c r="K658" s="246">
        <v>76950</v>
      </c>
      <c r="L658" s="246">
        <v>82650</v>
      </c>
      <c r="M658" s="246">
        <v>88350</v>
      </c>
      <c r="N658" s="246">
        <v>94050</v>
      </c>
    </row>
    <row r="659" spans="3:14" ht="21.95" customHeight="1" x14ac:dyDescent="0.25">
      <c r="C659" s="139" t="str">
        <f t="shared" si="26"/>
        <v>GA_MACON-BIBB COUNTY, GA HUD METRO FMR AREA</v>
      </c>
      <c r="D659" s="136" t="s">
        <v>95</v>
      </c>
      <c r="E659" s="262" t="s">
        <v>3317</v>
      </c>
      <c r="F659" s="136" t="s">
        <v>183</v>
      </c>
      <c r="G659" s="246">
        <v>43250</v>
      </c>
      <c r="H659" s="246">
        <v>49400</v>
      </c>
      <c r="I659" s="246">
        <v>55600</v>
      </c>
      <c r="J659" s="246">
        <v>61750</v>
      </c>
      <c r="K659" s="246">
        <v>66700</v>
      </c>
      <c r="L659" s="246">
        <v>71650</v>
      </c>
      <c r="M659" s="246">
        <v>76600</v>
      </c>
      <c r="N659" s="246">
        <v>81550</v>
      </c>
    </row>
    <row r="660" spans="3:14" ht="21.95" customHeight="1" x14ac:dyDescent="0.25">
      <c r="C660" s="139" t="str">
        <f t="shared" si="26"/>
        <v>GA_MACON COUNTY, GA</v>
      </c>
      <c r="D660" s="136" t="s">
        <v>95</v>
      </c>
      <c r="E660" s="262" t="s">
        <v>3316</v>
      </c>
      <c r="F660" s="136" t="s">
        <v>183</v>
      </c>
      <c r="G660" s="246">
        <v>42700</v>
      </c>
      <c r="H660" s="246">
        <v>48800</v>
      </c>
      <c r="I660" s="246">
        <v>54900</v>
      </c>
      <c r="J660" s="246">
        <v>60950</v>
      </c>
      <c r="K660" s="246">
        <v>65850</v>
      </c>
      <c r="L660" s="246">
        <v>70750</v>
      </c>
      <c r="M660" s="246">
        <v>75600</v>
      </c>
      <c r="N660" s="246">
        <v>80500</v>
      </c>
    </row>
    <row r="661" spans="3:14" ht="21.95" customHeight="1" x14ac:dyDescent="0.25">
      <c r="C661" s="139" t="str">
        <f t="shared" si="26"/>
        <v>GA_MERIWETHER COUNTY, GA HUD METRO FMR AREA</v>
      </c>
      <c r="D661" s="136" t="s">
        <v>95</v>
      </c>
      <c r="E661" s="262" t="s">
        <v>3318</v>
      </c>
      <c r="F661" s="136" t="s">
        <v>183</v>
      </c>
      <c r="G661" s="246">
        <v>42700</v>
      </c>
      <c r="H661" s="246">
        <v>48800</v>
      </c>
      <c r="I661" s="246">
        <v>54900</v>
      </c>
      <c r="J661" s="246">
        <v>60950</v>
      </c>
      <c r="K661" s="246">
        <v>65850</v>
      </c>
      <c r="L661" s="246">
        <v>70750</v>
      </c>
      <c r="M661" s="246">
        <v>75600</v>
      </c>
      <c r="N661" s="246">
        <v>80500</v>
      </c>
    </row>
    <row r="662" spans="3:14" ht="21.95" customHeight="1" x14ac:dyDescent="0.25">
      <c r="C662" s="139" t="str">
        <f t="shared" si="26"/>
        <v>GA_MILLER COUNTY, GA</v>
      </c>
      <c r="D662" s="136" t="s">
        <v>95</v>
      </c>
      <c r="E662" s="262" t="s">
        <v>3319</v>
      </c>
      <c r="F662" s="136" t="s">
        <v>183</v>
      </c>
      <c r="G662" s="246">
        <v>43750</v>
      </c>
      <c r="H662" s="246">
        <v>50000</v>
      </c>
      <c r="I662" s="246">
        <v>56250</v>
      </c>
      <c r="J662" s="246">
        <v>62450</v>
      </c>
      <c r="K662" s="246">
        <v>67450</v>
      </c>
      <c r="L662" s="246">
        <v>72450</v>
      </c>
      <c r="M662" s="246">
        <v>77450</v>
      </c>
      <c r="N662" s="246">
        <v>82450</v>
      </c>
    </row>
    <row r="663" spans="3:14" ht="21.95" customHeight="1" x14ac:dyDescent="0.25">
      <c r="C663" s="139" t="str">
        <f t="shared" si="26"/>
        <v>GA_MITCHELL COUNTY, GA</v>
      </c>
      <c r="D663" s="136" t="s">
        <v>95</v>
      </c>
      <c r="E663" s="262" t="s">
        <v>3320</v>
      </c>
      <c r="F663" s="136" t="s">
        <v>183</v>
      </c>
      <c r="G663" s="246">
        <v>42700</v>
      </c>
      <c r="H663" s="246">
        <v>48800</v>
      </c>
      <c r="I663" s="246">
        <v>54900</v>
      </c>
      <c r="J663" s="246">
        <v>60950</v>
      </c>
      <c r="K663" s="246">
        <v>65850</v>
      </c>
      <c r="L663" s="246">
        <v>70750</v>
      </c>
      <c r="M663" s="246">
        <v>75600</v>
      </c>
      <c r="N663" s="246">
        <v>80500</v>
      </c>
    </row>
    <row r="664" spans="3:14" ht="21.95" customHeight="1" x14ac:dyDescent="0.25">
      <c r="C664" s="139" t="str">
        <f t="shared" si="26"/>
        <v>GA_MONROE COUNTY, GA HUD METRO FMR AREA</v>
      </c>
      <c r="D664" s="136" t="s">
        <v>95</v>
      </c>
      <c r="E664" s="262" t="s">
        <v>3321</v>
      </c>
      <c r="F664" s="136" t="s">
        <v>183</v>
      </c>
      <c r="G664" s="246">
        <v>57400</v>
      </c>
      <c r="H664" s="246">
        <v>65600</v>
      </c>
      <c r="I664" s="246">
        <v>73800</v>
      </c>
      <c r="J664" s="246">
        <v>82000</v>
      </c>
      <c r="K664" s="246">
        <v>88600</v>
      </c>
      <c r="L664" s="246">
        <v>95150</v>
      </c>
      <c r="M664" s="246">
        <v>101700</v>
      </c>
      <c r="N664" s="246">
        <v>108250</v>
      </c>
    </row>
    <row r="665" spans="3:14" ht="21.95" customHeight="1" x14ac:dyDescent="0.25">
      <c r="C665" s="139" t="str">
        <f t="shared" si="26"/>
        <v>GA_MONTGOMERY COUNTY, GA</v>
      </c>
      <c r="D665" s="136" t="s">
        <v>95</v>
      </c>
      <c r="E665" s="262" t="s">
        <v>3322</v>
      </c>
      <c r="F665" s="136" t="s">
        <v>183</v>
      </c>
      <c r="G665" s="246">
        <v>42700</v>
      </c>
      <c r="H665" s="246">
        <v>48800</v>
      </c>
      <c r="I665" s="246">
        <v>54900</v>
      </c>
      <c r="J665" s="246">
        <v>60950</v>
      </c>
      <c r="K665" s="246">
        <v>65850</v>
      </c>
      <c r="L665" s="246">
        <v>70750</v>
      </c>
      <c r="M665" s="246">
        <v>75600</v>
      </c>
      <c r="N665" s="246">
        <v>80500</v>
      </c>
    </row>
    <row r="666" spans="3:14" ht="21.95" customHeight="1" x14ac:dyDescent="0.25">
      <c r="C666" s="139" t="str">
        <f t="shared" si="26"/>
        <v>GA_MORGAN COUNTY, GA HUD METRO FMR AREA</v>
      </c>
      <c r="D666" s="136" t="s">
        <v>95</v>
      </c>
      <c r="E666" s="262" t="s">
        <v>3323</v>
      </c>
      <c r="F666" s="136" t="s">
        <v>183</v>
      </c>
      <c r="G666" s="246">
        <v>56150</v>
      </c>
      <c r="H666" s="246">
        <v>64150</v>
      </c>
      <c r="I666" s="246">
        <v>72150</v>
      </c>
      <c r="J666" s="246">
        <v>80150</v>
      </c>
      <c r="K666" s="246">
        <v>86600</v>
      </c>
      <c r="L666" s="246">
        <v>93000</v>
      </c>
      <c r="M666" s="246">
        <v>99400</v>
      </c>
      <c r="N666" s="246">
        <v>105800</v>
      </c>
    </row>
    <row r="667" spans="3:14" ht="21.95" customHeight="1" x14ac:dyDescent="0.25">
      <c r="C667" s="139" t="str">
        <f t="shared" si="26"/>
        <v>GA_MURRAY COUNTY, GA HUD METRO FMR AREA</v>
      </c>
      <c r="D667" s="136" t="s">
        <v>95</v>
      </c>
      <c r="E667" s="262" t="s">
        <v>3324</v>
      </c>
      <c r="F667" s="136" t="s">
        <v>183</v>
      </c>
      <c r="G667" s="246">
        <v>43750</v>
      </c>
      <c r="H667" s="246">
        <v>50000</v>
      </c>
      <c r="I667" s="246">
        <v>56250</v>
      </c>
      <c r="J667" s="246">
        <v>62450</v>
      </c>
      <c r="K667" s="246">
        <v>67450</v>
      </c>
      <c r="L667" s="246">
        <v>72450</v>
      </c>
      <c r="M667" s="246">
        <v>77450</v>
      </c>
      <c r="N667" s="246">
        <v>82450</v>
      </c>
    </row>
    <row r="668" spans="3:14" ht="21.95" customHeight="1" x14ac:dyDescent="0.25">
      <c r="C668" s="139" t="str">
        <f t="shared" si="26"/>
        <v>GA_PEACH COUNTY, GA HUD METRO FMR AREA</v>
      </c>
      <c r="D668" s="136" t="s">
        <v>95</v>
      </c>
      <c r="E668" s="262" t="s">
        <v>3325</v>
      </c>
      <c r="F668" s="136" t="s">
        <v>183</v>
      </c>
      <c r="G668" s="246">
        <v>45050</v>
      </c>
      <c r="H668" s="246">
        <v>51500</v>
      </c>
      <c r="I668" s="246">
        <v>57950</v>
      </c>
      <c r="J668" s="246">
        <v>64350</v>
      </c>
      <c r="K668" s="246">
        <v>69500</v>
      </c>
      <c r="L668" s="246">
        <v>74650</v>
      </c>
      <c r="M668" s="246">
        <v>79800</v>
      </c>
      <c r="N668" s="246">
        <v>84950</v>
      </c>
    </row>
    <row r="669" spans="3:14" ht="21.95" customHeight="1" x14ac:dyDescent="0.25">
      <c r="C669" s="139" t="str">
        <f t="shared" si="26"/>
        <v>GA_PIERCE COUNTY, GA</v>
      </c>
      <c r="D669" s="136" t="s">
        <v>95</v>
      </c>
      <c r="E669" s="262" t="s">
        <v>3326</v>
      </c>
      <c r="F669" s="136" t="s">
        <v>183</v>
      </c>
      <c r="G669" s="246">
        <v>43150</v>
      </c>
      <c r="H669" s="246">
        <v>49300</v>
      </c>
      <c r="I669" s="246">
        <v>55450</v>
      </c>
      <c r="J669" s="246">
        <v>61600</v>
      </c>
      <c r="K669" s="246">
        <v>66550</v>
      </c>
      <c r="L669" s="246">
        <v>71500</v>
      </c>
      <c r="M669" s="246">
        <v>76400</v>
      </c>
      <c r="N669" s="246">
        <v>81350</v>
      </c>
    </row>
    <row r="670" spans="3:14" ht="21.95" customHeight="1" x14ac:dyDescent="0.25">
      <c r="C670" s="139" t="str">
        <f t="shared" si="26"/>
        <v>GA_POLK COUNTY, GA</v>
      </c>
      <c r="D670" s="136" t="s">
        <v>95</v>
      </c>
      <c r="E670" s="262" t="s">
        <v>3327</v>
      </c>
      <c r="F670" s="136" t="s">
        <v>183</v>
      </c>
      <c r="G670" s="246">
        <v>42700</v>
      </c>
      <c r="H670" s="246">
        <v>48800</v>
      </c>
      <c r="I670" s="246">
        <v>54900</v>
      </c>
      <c r="J670" s="246">
        <v>60950</v>
      </c>
      <c r="K670" s="246">
        <v>65850</v>
      </c>
      <c r="L670" s="246">
        <v>70750</v>
      </c>
      <c r="M670" s="246">
        <v>75600</v>
      </c>
      <c r="N670" s="246">
        <v>80500</v>
      </c>
    </row>
    <row r="671" spans="3:14" ht="21.95" customHeight="1" x14ac:dyDescent="0.25">
      <c r="C671" s="139" t="str">
        <f t="shared" si="26"/>
        <v>GA_PULASKI COUNTY, GA</v>
      </c>
      <c r="D671" s="136" t="s">
        <v>95</v>
      </c>
      <c r="E671" s="262" t="s">
        <v>3328</v>
      </c>
      <c r="F671" s="136" t="s">
        <v>183</v>
      </c>
      <c r="G671" s="246">
        <v>42700</v>
      </c>
      <c r="H671" s="246">
        <v>48800</v>
      </c>
      <c r="I671" s="246">
        <v>54900</v>
      </c>
      <c r="J671" s="246">
        <v>60950</v>
      </c>
      <c r="K671" s="246">
        <v>65850</v>
      </c>
      <c r="L671" s="246">
        <v>70750</v>
      </c>
      <c r="M671" s="246">
        <v>75600</v>
      </c>
      <c r="N671" s="246">
        <v>80500</v>
      </c>
    </row>
    <row r="672" spans="3:14" ht="21.95" customHeight="1" x14ac:dyDescent="0.25">
      <c r="C672" s="139" t="str">
        <f t="shared" si="26"/>
        <v>GA_PUTNAM COUNTY, GA</v>
      </c>
      <c r="D672" s="136" t="s">
        <v>95</v>
      </c>
      <c r="E672" s="262" t="s">
        <v>3329</v>
      </c>
      <c r="F672" s="136" t="s">
        <v>183</v>
      </c>
      <c r="G672" s="246">
        <v>49650</v>
      </c>
      <c r="H672" s="246">
        <v>56750</v>
      </c>
      <c r="I672" s="246">
        <v>63850</v>
      </c>
      <c r="J672" s="246">
        <v>70900</v>
      </c>
      <c r="K672" s="246">
        <v>76600</v>
      </c>
      <c r="L672" s="246">
        <v>82250</v>
      </c>
      <c r="M672" s="246">
        <v>87950</v>
      </c>
      <c r="N672" s="246">
        <v>93600</v>
      </c>
    </row>
    <row r="673" spans="3:14" ht="21.95" customHeight="1" x14ac:dyDescent="0.25">
      <c r="C673" s="139" t="str">
        <f t="shared" si="26"/>
        <v>GA_QUITMAN COUNTY, GA</v>
      </c>
      <c r="D673" s="136" t="s">
        <v>95</v>
      </c>
      <c r="E673" s="262" t="s">
        <v>3330</v>
      </c>
      <c r="F673" s="136" t="s">
        <v>183</v>
      </c>
      <c r="G673" s="246">
        <v>42700</v>
      </c>
      <c r="H673" s="246">
        <v>48800</v>
      </c>
      <c r="I673" s="246">
        <v>54900</v>
      </c>
      <c r="J673" s="246">
        <v>60950</v>
      </c>
      <c r="K673" s="246">
        <v>65850</v>
      </c>
      <c r="L673" s="246">
        <v>70750</v>
      </c>
      <c r="M673" s="246">
        <v>75600</v>
      </c>
      <c r="N673" s="246">
        <v>80500</v>
      </c>
    </row>
    <row r="674" spans="3:14" ht="21.95" customHeight="1" x14ac:dyDescent="0.25">
      <c r="C674" s="139" t="str">
        <f t="shared" si="26"/>
        <v>GA_RABUN COUNTY, GA</v>
      </c>
      <c r="D674" s="136" t="s">
        <v>95</v>
      </c>
      <c r="E674" s="262" t="s">
        <v>3331</v>
      </c>
      <c r="F674" s="136" t="s">
        <v>183</v>
      </c>
      <c r="G674" s="246">
        <v>43750</v>
      </c>
      <c r="H674" s="246">
        <v>50000</v>
      </c>
      <c r="I674" s="246">
        <v>56250</v>
      </c>
      <c r="J674" s="246">
        <v>62450</v>
      </c>
      <c r="K674" s="246">
        <v>67450</v>
      </c>
      <c r="L674" s="246">
        <v>72450</v>
      </c>
      <c r="M674" s="246">
        <v>77450</v>
      </c>
      <c r="N674" s="246">
        <v>82450</v>
      </c>
    </row>
    <row r="675" spans="3:14" ht="21.95" customHeight="1" x14ac:dyDescent="0.25">
      <c r="C675" s="139" t="str">
        <f t="shared" si="26"/>
        <v>GA_RANDOLPH COUNTY, GA</v>
      </c>
      <c r="D675" s="136" t="s">
        <v>95</v>
      </c>
      <c r="E675" s="262" t="s">
        <v>3332</v>
      </c>
      <c r="F675" s="136" t="s">
        <v>183</v>
      </c>
      <c r="G675" s="246">
        <v>42700</v>
      </c>
      <c r="H675" s="246">
        <v>48800</v>
      </c>
      <c r="I675" s="246">
        <v>54900</v>
      </c>
      <c r="J675" s="246">
        <v>60950</v>
      </c>
      <c r="K675" s="246">
        <v>65850</v>
      </c>
      <c r="L675" s="246">
        <v>70750</v>
      </c>
      <c r="M675" s="246">
        <v>75600</v>
      </c>
      <c r="N675" s="246">
        <v>80500</v>
      </c>
    </row>
    <row r="676" spans="3:14" ht="21.95" customHeight="1" x14ac:dyDescent="0.25">
      <c r="C676" s="139" t="str">
        <f t="shared" si="26"/>
        <v>GA_ROME, GA MSA</v>
      </c>
      <c r="D676" s="136" t="s">
        <v>95</v>
      </c>
      <c r="E676" s="262" t="s">
        <v>3333</v>
      </c>
      <c r="F676" s="136" t="s">
        <v>183</v>
      </c>
      <c r="G676" s="246">
        <v>44400</v>
      </c>
      <c r="H676" s="246">
        <v>50750</v>
      </c>
      <c r="I676" s="246">
        <v>57100</v>
      </c>
      <c r="J676" s="246">
        <v>63400</v>
      </c>
      <c r="K676" s="246">
        <v>68500</v>
      </c>
      <c r="L676" s="246">
        <v>73550</v>
      </c>
      <c r="M676" s="246">
        <v>78650</v>
      </c>
      <c r="N676" s="246">
        <v>83700</v>
      </c>
    </row>
    <row r="677" spans="3:14" ht="21.95" customHeight="1" x14ac:dyDescent="0.25">
      <c r="C677" s="139" t="str">
        <f t="shared" si="26"/>
        <v>GA_SAVANNAH, GA MSA</v>
      </c>
      <c r="D677" s="136" t="s">
        <v>95</v>
      </c>
      <c r="E677" s="262" t="s">
        <v>3334</v>
      </c>
      <c r="F677" s="136" t="s">
        <v>183</v>
      </c>
      <c r="G677" s="246">
        <v>55800</v>
      </c>
      <c r="H677" s="246">
        <v>63800</v>
      </c>
      <c r="I677" s="246">
        <v>71750</v>
      </c>
      <c r="J677" s="246">
        <v>79700</v>
      </c>
      <c r="K677" s="246">
        <v>86100</v>
      </c>
      <c r="L677" s="246">
        <v>92500</v>
      </c>
      <c r="M677" s="246">
        <v>98850</v>
      </c>
      <c r="N677" s="246">
        <v>105250</v>
      </c>
    </row>
    <row r="678" spans="3:14" ht="21.95" customHeight="1" x14ac:dyDescent="0.25">
      <c r="C678" s="139" t="str">
        <f t="shared" si="26"/>
        <v>GA_SCHLEY COUNTY, GA</v>
      </c>
      <c r="D678" s="136" t="s">
        <v>95</v>
      </c>
      <c r="E678" s="262" t="s">
        <v>3335</v>
      </c>
      <c r="F678" s="136" t="s">
        <v>183</v>
      </c>
      <c r="G678" s="246">
        <v>43750</v>
      </c>
      <c r="H678" s="246">
        <v>50000</v>
      </c>
      <c r="I678" s="246">
        <v>56250</v>
      </c>
      <c r="J678" s="246">
        <v>62450</v>
      </c>
      <c r="K678" s="246">
        <v>67450</v>
      </c>
      <c r="L678" s="246">
        <v>72450</v>
      </c>
      <c r="M678" s="246">
        <v>77450</v>
      </c>
      <c r="N678" s="246">
        <v>82450</v>
      </c>
    </row>
    <row r="679" spans="3:14" ht="21.95" customHeight="1" x14ac:dyDescent="0.25">
      <c r="C679" s="139" t="str">
        <f t="shared" si="26"/>
        <v>GA_SCREVEN COUNTY, GA</v>
      </c>
      <c r="D679" s="136" t="s">
        <v>95</v>
      </c>
      <c r="E679" s="262" t="s">
        <v>3336</v>
      </c>
      <c r="F679" s="136" t="s">
        <v>183</v>
      </c>
      <c r="G679" s="246">
        <v>42700</v>
      </c>
      <c r="H679" s="246">
        <v>48800</v>
      </c>
      <c r="I679" s="246">
        <v>54900</v>
      </c>
      <c r="J679" s="246">
        <v>60950</v>
      </c>
      <c r="K679" s="246">
        <v>65850</v>
      </c>
      <c r="L679" s="246">
        <v>70750</v>
      </c>
      <c r="M679" s="246">
        <v>75600</v>
      </c>
      <c r="N679" s="246">
        <v>80500</v>
      </c>
    </row>
    <row r="680" spans="3:14" ht="21.95" customHeight="1" x14ac:dyDescent="0.25">
      <c r="C680" s="139" t="str">
        <f t="shared" si="26"/>
        <v>GA_SEMINOLE COUNTY, GA</v>
      </c>
      <c r="D680" s="136" t="s">
        <v>95</v>
      </c>
      <c r="E680" s="262" t="s">
        <v>3337</v>
      </c>
      <c r="F680" s="136" t="s">
        <v>183</v>
      </c>
      <c r="G680" s="246">
        <v>42700</v>
      </c>
      <c r="H680" s="246">
        <v>48800</v>
      </c>
      <c r="I680" s="246">
        <v>54900</v>
      </c>
      <c r="J680" s="246">
        <v>60950</v>
      </c>
      <c r="K680" s="246">
        <v>65850</v>
      </c>
      <c r="L680" s="246">
        <v>70750</v>
      </c>
      <c r="M680" s="246">
        <v>75600</v>
      </c>
      <c r="N680" s="246">
        <v>80500</v>
      </c>
    </row>
    <row r="681" spans="3:14" ht="21.95" customHeight="1" x14ac:dyDescent="0.25">
      <c r="C681" s="139" t="str">
        <f t="shared" si="26"/>
        <v>GA_STEPHENS COUNTY, GA</v>
      </c>
      <c r="D681" s="136" t="s">
        <v>95</v>
      </c>
      <c r="E681" s="262" t="s">
        <v>3338</v>
      </c>
      <c r="F681" s="136" t="s">
        <v>183</v>
      </c>
      <c r="G681" s="246">
        <v>43150</v>
      </c>
      <c r="H681" s="246">
        <v>49300</v>
      </c>
      <c r="I681" s="246">
        <v>55450</v>
      </c>
      <c r="J681" s="246">
        <v>61600</v>
      </c>
      <c r="K681" s="246">
        <v>66550</v>
      </c>
      <c r="L681" s="246">
        <v>71500</v>
      </c>
      <c r="M681" s="246">
        <v>76400</v>
      </c>
      <c r="N681" s="246">
        <v>81350</v>
      </c>
    </row>
    <row r="682" spans="3:14" ht="21.95" customHeight="1" x14ac:dyDescent="0.25">
      <c r="C682" s="139" t="str">
        <f t="shared" si="26"/>
        <v>GA_STEWART COUNTY, GA HUD METRO FMR AREA</v>
      </c>
      <c r="D682" s="136" t="s">
        <v>95</v>
      </c>
      <c r="E682" s="262" t="s">
        <v>3339</v>
      </c>
      <c r="F682" s="136" t="s">
        <v>183</v>
      </c>
      <c r="G682" s="246">
        <v>42700</v>
      </c>
      <c r="H682" s="246">
        <v>48800</v>
      </c>
      <c r="I682" s="246">
        <v>54900</v>
      </c>
      <c r="J682" s="246">
        <v>60950</v>
      </c>
      <c r="K682" s="246">
        <v>65850</v>
      </c>
      <c r="L682" s="246">
        <v>70750</v>
      </c>
      <c r="M682" s="246">
        <v>75600</v>
      </c>
      <c r="N682" s="246">
        <v>80500</v>
      </c>
    </row>
    <row r="683" spans="3:14" ht="21.95" customHeight="1" x14ac:dyDescent="0.25">
      <c r="C683" s="139" t="str">
        <f t="shared" si="26"/>
        <v>GA_SUMTER COUNTY, GA</v>
      </c>
      <c r="D683" s="136" t="s">
        <v>95</v>
      </c>
      <c r="E683" s="262" t="s">
        <v>3340</v>
      </c>
      <c r="F683" s="136" t="s">
        <v>183</v>
      </c>
      <c r="G683" s="246">
        <v>42700</v>
      </c>
      <c r="H683" s="246">
        <v>48800</v>
      </c>
      <c r="I683" s="246">
        <v>54900</v>
      </c>
      <c r="J683" s="246">
        <v>60950</v>
      </c>
      <c r="K683" s="246">
        <v>65850</v>
      </c>
      <c r="L683" s="246">
        <v>70750</v>
      </c>
      <c r="M683" s="246">
        <v>75600</v>
      </c>
      <c r="N683" s="246">
        <v>80500</v>
      </c>
    </row>
    <row r="684" spans="3:14" ht="21.95" customHeight="1" x14ac:dyDescent="0.25">
      <c r="C684" s="139" t="str">
        <f t="shared" si="26"/>
        <v>GA_TALBOT COUNTY, GA HUD METRO FMR AREA</v>
      </c>
      <c r="D684" s="136" t="s">
        <v>95</v>
      </c>
      <c r="E684" s="262" t="s">
        <v>3341</v>
      </c>
      <c r="F684" s="136" t="s">
        <v>183</v>
      </c>
      <c r="G684" s="246">
        <v>42700</v>
      </c>
      <c r="H684" s="246">
        <v>48800</v>
      </c>
      <c r="I684" s="246">
        <v>54900</v>
      </c>
      <c r="J684" s="246">
        <v>60950</v>
      </c>
      <c r="K684" s="246">
        <v>65850</v>
      </c>
      <c r="L684" s="246">
        <v>70750</v>
      </c>
      <c r="M684" s="246">
        <v>75600</v>
      </c>
      <c r="N684" s="246">
        <v>80500</v>
      </c>
    </row>
    <row r="685" spans="3:14" ht="21.95" customHeight="1" x14ac:dyDescent="0.25">
      <c r="C685" s="139" t="str">
        <f t="shared" si="26"/>
        <v>GA_TALIAFERRO COUNTY, GA</v>
      </c>
      <c r="D685" s="136" t="s">
        <v>95</v>
      </c>
      <c r="E685" s="262" t="s">
        <v>3342</v>
      </c>
      <c r="F685" s="136" t="s">
        <v>183</v>
      </c>
      <c r="G685" s="246">
        <v>42700</v>
      </c>
      <c r="H685" s="246">
        <v>48800</v>
      </c>
      <c r="I685" s="246">
        <v>54900</v>
      </c>
      <c r="J685" s="246">
        <v>60950</v>
      </c>
      <c r="K685" s="246">
        <v>65850</v>
      </c>
      <c r="L685" s="246">
        <v>70750</v>
      </c>
      <c r="M685" s="246">
        <v>75600</v>
      </c>
      <c r="N685" s="246">
        <v>80500</v>
      </c>
    </row>
    <row r="686" spans="3:14" ht="21.95" customHeight="1" x14ac:dyDescent="0.25">
      <c r="C686" s="139" t="str">
        <f t="shared" si="26"/>
        <v>GA_TATTNALL COUNTY, GA</v>
      </c>
      <c r="D686" s="136" t="s">
        <v>95</v>
      </c>
      <c r="E686" s="262" t="s">
        <v>3343</v>
      </c>
      <c r="F686" s="136" t="s">
        <v>183</v>
      </c>
      <c r="G686" s="246">
        <v>42700</v>
      </c>
      <c r="H686" s="246">
        <v>48800</v>
      </c>
      <c r="I686" s="246">
        <v>54900</v>
      </c>
      <c r="J686" s="246">
        <v>60950</v>
      </c>
      <c r="K686" s="246">
        <v>65850</v>
      </c>
      <c r="L686" s="246">
        <v>70750</v>
      </c>
      <c r="M686" s="246">
        <v>75600</v>
      </c>
      <c r="N686" s="246">
        <v>80500</v>
      </c>
    </row>
    <row r="687" spans="3:14" ht="21.95" customHeight="1" x14ac:dyDescent="0.25">
      <c r="C687" s="139" t="str">
        <f t="shared" si="26"/>
        <v>GA_TAYLOR COUNTY, GA</v>
      </c>
      <c r="D687" s="136" t="s">
        <v>95</v>
      </c>
      <c r="E687" s="262" t="s">
        <v>3344</v>
      </c>
      <c r="F687" s="136" t="s">
        <v>183</v>
      </c>
      <c r="G687" s="246">
        <v>42700</v>
      </c>
      <c r="H687" s="246">
        <v>48800</v>
      </c>
      <c r="I687" s="246">
        <v>54900</v>
      </c>
      <c r="J687" s="246">
        <v>60950</v>
      </c>
      <c r="K687" s="246">
        <v>65850</v>
      </c>
      <c r="L687" s="246">
        <v>70750</v>
      </c>
      <c r="M687" s="246">
        <v>75600</v>
      </c>
      <c r="N687" s="246">
        <v>80500</v>
      </c>
    </row>
    <row r="688" spans="3:14" ht="21.95" customHeight="1" x14ac:dyDescent="0.25">
      <c r="C688" s="139" t="str">
        <f t="shared" si="26"/>
        <v>GA_TELFAIR COUNTY, GA</v>
      </c>
      <c r="D688" s="136" t="s">
        <v>95</v>
      </c>
      <c r="E688" s="262" t="s">
        <v>3345</v>
      </c>
      <c r="F688" s="136" t="s">
        <v>183</v>
      </c>
      <c r="G688" s="246">
        <v>42700</v>
      </c>
      <c r="H688" s="246">
        <v>48800</v>
      </c>
      <c r="I688" s="246">
        <v>54900</v>
      </c>
      <c r="J688" s="246">
        <v>60950</v>
      </c>
      <c r="K688" s="246">
        <v>65850</v>
      </c>
      <c r="L688" s="246">
        <v>70750</v>
      </c>
      <c r="M688" s="246">
        <v>75600</v>
      </c>
      <c r="N688" s="246">
        <v>80500</v>
      </c>
    </row>
    <row r="689" spans="3:14" ht="21.95" customHeight="1" x14ac:dyDescent="0.25">
      <c r="C689" s="139" t="str">
        <f t="shared" si="26"/>
        <v>GA_THOMAS COUNTY, GA</v>
      </c>
      <c r="D689" s="136" t="s">
        <v>95</v>
      </c>
      <c r="E689" s="262" t="s">
        <v>3346</v>
      </c>
      <c r="F689" s="136" t="s">
        <v>183</v>
      </c>
      <c r="G689" s="246">
        <v>43750</v>
      </c>
      <c r="H689" s="246">
        <v>50000</v>
      </c>
      <c r="I689" s="246">
        <v>56250</v>
      </c>
      <c r="J689" s="246">
        <v>62450</v>
      </c>
      <c r="K689" s="246">
        <v>67450</v>
      </c>
      <c r="L689" s="246">
        <v>72450</v>
      </c>
      <c r="M689" s="246">
        <v>77450</v>
      </c>
      <c r="N689" s="246">
        <v>82450</v>
      </c>
    </row>
    <row r="690" spans="3:14" ht="21.95" customHeight="1" x14ac:dyDescent="0.25">
      <c r="C690" s="139" t="str">
        <f t="shared" si="26"/>
        <v>GA_TIFT COUNTY, GA</v>
      </c>
      <c r="D690" s="136" t="s">
        <v>95</v>
      </c>
      <c r="E690" s="262" t="s">
        <v>3347</v>
      </c>
      <c r="F690" s="136" t="s">
        <v>183</v>
      </c>
      <c r="G690" s="246">
        <v>42700</v>
      </c>
      <c r="H690" s="246">
        <v>48800</v>
      </c>
      <c r="I690" s="246">
        <v>54900</v>
      </c>
      <c r="J690" s="246">
        <v>60950</v>
      </c>
      <c r="K690" s="246">
        <v>65850</v>
      </c>
      <c r="L690" s="246">
        <v>70750</v>
      </c>
      <c r="M690" s="246">
        <v>75600</v>
      </c>
      <c r="N690" s="246">
        <v>80500</v>
      </c>
    </row>
    <row r="691" spans="3:14" ht="21.95" customHeight="1" x14ac:dyDescent="0.25">
      <c r="C691" s="139" t="str">
        <f t="shared" si="26"/>
        <v>GA_TOOMBS COUNTY, GA</v>
      </c>
      <c r="D691" s="136" t="s">
        <v>95</v>
      </c>
      <c r="E691" s="262" t="s">
        <v>3348</v>
      </c>
      <c r="F691" s="136" t="s">
        <v>183</v>
      </c>
      <c r="G691" s="246">
        <v>42700</v>
      </c>
      <c r="H691" s="246">
        <v>48800</v>
      </c>
      <c r="I691" s="246">
        <v>54900</v>
      </c>
      <c r="J691" s="246">
        <v>60950</v>
      </c>
      <c r="K691" s="246">
        <v>65850</v>
      </c>
      <c r="L691" s="246">
        <v>70750</v>
      </c>
      <c r="M691" s="246">
        <v>75600</v>
      </c>
      <c r="N691" s="246">
        <v>80500</v>
      </c>
    </row>
    <row r="692" spans="3:14" ht="21.95" customHeight="1" x14ac:dyDescent="0.25">
      <c r="C692" s="139" t="str">
        <f t="shared" si="26"/>
        <v>GA_TOWNS COUNTY, GA</v>
      </c>
      <c r="D692" s="136" t="s">
        <v>95</v>
      </c>
      <c r="E692" s="262" t="s">
        <v>3349</v>
      </c>
      <c r="F692" s="136" t="s">
        <v>183</v>
      </c>
      <c r="G692" s="246">
        <v>43750</v>
      </c>
      <c r="H692" s="246">
        <v>50000</v>
      </c>
      <c r="I692" s="246">
        <v>56250</v>
      </c>
      <c r="J692" s="246">
        <v>62450</v>
      </c>
      <c r="K692" s="246">
        <v>67450</v>
      </c>
      <c r="L692" s="246">
        <v>72450</v>
      </c>
      <c r="M692" s="246">
        <v>77450</v>
      </c>
      <c r="N692" s="246">
        <v>82450</v>
      </c>
    </row>
    <row r="693" spans="3:14" ht="21.95" customHeight="1" x14ac:dyDescent="0.25">
      <c r="C693" s="139" t="str">
        <f t="shared" si="26"/>
        <v>GA_TREUTLEN COUNTY, GA</v>
      </c>
      <c r="D693" s="136" t="s">
        <v>95</v>
      </c>
      <c r="E693" s="262" t="s">
        <v>3350</v>
      </c>
      <c r="F693" s="136" t="s">
        <v>183</v>
      </c>
      <c r="G693" s="246">
        <v>42700</v>
      </c>
      <c r="H693" s="246">
        <v>48800</v>
      </c>
      <c r="I693" s="246">
        <v>54900</v>
      </c>
      <c r="J693" s="246">
        <v>60950</v>
      </c>
      <c r="K693" s="246">
        <v>65850</v>
      </c>
      <c r="L693" s="246">
        <v>70750</v>
      </c>
      <c r="M693" s="246">
        <v>75600</v>
      </c>
      <c r="N693" s="246">
        <v>80500</v>
      </c>
    </row>
    <row r="694" spans="3:14" ht="21.95" customHeight="1" x14ac:dyDescent="0.25">
      <c r="C694" s="139" t="str">
        <f t="shared" si="26"/>
        <v>GA_TROUP COUNTY, GA</v>
      </c>
      <c r="D694" s="136" t="s">
        <v>95</v>
      </c>
      <c r="E694" s="262" t="s">
        <v>3351</v>
      </c>
      <c r="F694" s="136" t="s">
        <v>183</v>
      </c>
      <c r="G694" s="246">
        <v>46900</v>
      </c>
      <c r="H694" s="246">
        <v>53600</v>
      </c>
      <c r="I694" s="246">
        <v>60300</v>
      </c>
      <c r="J694" s="246">
        <v>66950</v>
      </c>
      <c r="K694" s="246">
        <v>72350</v>
      </c>
      <c r="L694" s="246">
        <v>77700</v>
      </c>
      <c r="M694" s="246">
        <v>83050</v>
      </c>
      <c r="N694" s="246">
        <v>88400</v>
      </c>
    </row>
    <row r="695" spans="3:14" ht="21.95" customHeight="1" x14ac:dyDescent="0.25">
      <c r="C695" s="139" t="str">
        <f t="shared" si="26"/>
        <v>GA_TURNER COUNTY, GA</v>
      </c>
      <c r="D695" s="136" t="s">
        <v>95</v>
      </c>
      <c r="E695" s="262" t="s">
        <v>3352</v>
      </c>
      <c r="F695" s="136" t="s">
        <v>183</v>
      </c>
      <c r="G695" s="246">
        <v>42700</v>
      </c>
      <c r="H695" s="246">
        <v>48800</v>
      </c>
      <c r="I695" s="246">
        <v>54900</v>
      </c>
      <c r="J695" s="246">
        <v>60950</v>
      </c>
      <c r="K695" s="246">
        <v>65850</v>
      </c>
      <c r="L695" s="246">
        <v>70750</v>
      </c>
      <c r="M695" s="246">
        <v>75600</v>
      </c>
      <c r="N695" s="246">
        <v>80500</v>
      </c>
    </row>
    <row r="696" spans="3:14" ht="21.95" customHeight="1" x14ac:dyDescent="0.25">
      <c r="C696" s="139" t="str">
        <f t="shared" si="26"/>
        <v>GA_UNION COUNTY, GA</v>
      </c>
      <c r="D696" s="136" t="s">
        <v>95</v>
      </c>
      <c r="E696" s="262" t="s">
        <v>3353</v>
      </c>
      <c r="F696" s="136" t="s">
        <v>183</v>
      </c>
      <c r="G696" s="246">
        <v>48450</v>
      </c>
      <c r="H696" s="246">
        <v>55350</v>
      </c>
      <c r="I696" s="246">
        <v>62250</v>
      </c>
      <c r="J696" s="246">
        <v>69150</v>
      </c>
      <c r="K696" s="246">
        <v>74700</v>
      </c>
      <c r="L696" s="246">
        <v>80250</v>
      </c>
      <c r="M696" s="246">
        <v>85750</v>
      </c>
      <c r="N696" s="246">
        <v>91300</v>
      </c>
    </row>
    <row r="697" spans="3:14" ht="21.95" customHeight="1" x14ac:dyDescent="0.25">
      <c r="C697" s="139" t="str">
        <f t="shared" si="26"/>
        <v>GA_UPSON COUNTY, GA</v>
      </c>
      <c r="D697" s="136" t="s">
        <v>95</v>
      </c>
      <c r="E697" s="262" t="s">
        <v>3354</v>
      </c>
      <c r="F697" s="136" t="s">
        <v>183</v>
      </c>
      <c r="G697" s="246">
        <v>42700</v>
      </c>
      <c r="H697" s="246">
        <v>48800</v>
      </c>
      <c r="I697" s="246">
        <v>54900</v>
      </c>
      <c r="J697" s="246">
        <v>60950</v>
      </c>
      <c r="K697" s="246">
        <v>65850</v>
      </c>
      <c r="L697" s="246">
        <v>70750</v>
      </c>
      <c r="M697" s="246">
        <v>75600</v>
      </c>
      <c r="N697" s="246">
        <v>80500</v>
      </c>
    </row>
    <row r="698" spans="3:14" ht="21.95" customHeight="1" x14ac:dyDescent="0.25">
      <c r="C698" s="139" t="str">
        <f t="shared" si="26"/>
        <v>GA_VALDOSTA, GA MSA</v>
      </c>
      <c r="D698" s="136" t="s">
        <v>95</v>
      </c>
      <c r="E698" s="262" t="s">
        <v>3355</v>
      </c>
      <c r="F698" s="136" t="s">
        <v>183</v>
      </c>
      <c r="G698" s="246">
        <v>43150</v>
      </c>
      <c r="H698" s="246">
        <v>49300</v>
      </c>
      <c r="I698" s="246">
        <v>55450</v>
      </c>
      <c r="J698" s="246">
        <v>61600</v>
      </c>
      <c r="K698" s="246">
        <v>66550</v>
      </c>
      <c r="L698" s="246">
        <v>71500</v>
      </c>
      <c r="M698" s="246">
        <v>76400</v>
      </c>
      <c r="N698" s="246">
        <v>81350</v>
      </c>
    </row>
    <row r="699" spans="3:14" ht="21.95" customHeight="1" x14ac:dyDescent="0.25">
      <c r="C699" s="139" t="str">
        <f t="shared" si="26"/>
        <v>GA_WARE COUNTY, GA</v>
      </c>
      <c r="D699" s="136" t="s">
        <v>95</v>
      </c>
      <c r="E699" s="262" t="s">
        <v>3356</v>
      </c>
      <c r="F699" s="136" t="s">
        <v>183</v>
      </c>
      <c r="G699" s="246">
        <v>42700</v>
      </c>
      <c r="H699" s="246">
        <v>48800</v>
      </c>
      <c r="I699" s="246">
        <v>54900</v>
      </c>
      <c r="J699" s="246">
        <v>60950</v>
      </c>
      <c r="K699" s="246">
        <v>65850</v>
      </c>
      <c r="L699" s="246">
        <v>70750</v>
      </c>
      <c r="M699" s="246">
        <v>75600</v>
      </c>
      <c r="N699" s="246">
        <v>80500</v>
      </c>
    </row>
    <row r="700" spans="3:14" ht="21.95" customHeight="1" x14ac:dyDescent="0.25">
      <c r="C700" s="139" t="str">
        <f t="shared" si="26"/>
        <v>GA_WARNER ROBINS, GA HUD METRO FMR AREA</v>
      </c>
      <c r="D700" s="136" t="s">
        <v>95</v>
      </c>
      <c r="E700" s="262" t="s">
        <v>3357</v>
      </c>
      <c r="F700" s="136" t="s">
        <v>183</v>
      </c>
      <c r="G700" s="246">
        <v>54750</v>
      </c>
      <c r="H700" s="246">
        <v>62550</v>
      </c>
      <c r="I700" s="246">
        <v>70350</v>
      </c>
      <c r="J700" s="246">
        <v>78150</v>
      </c>
      <c r="K700" s="246">
        <v>84450</v>
      </c>
      <c r="L700" s="246">
        <v>90700</v>
      </c>
      <c r="M700" s="246">
        <v>96950</v>
      </c>
      <c r="N700" s="246">
        <v>103200</v>
      </c>
    </row>
    <row r="701" spans="3:14" ht="21.95" customHeight="1" x14ac:dyDescent="0.25">
      <c r="C701" s="139" t="str">
        <f t="shared" si="26"/>
        <v>GA_WARREN COUNTY, GA</v>
      </c>
      <c r="D701" s="136" t="s">
        <v>95</v>
      </c>
      <c r="E701" s="262" t="s">
        <v>3358</v>
      </c>
      <c r="F701" s="136" t="s">
        <v>183</v>
      </c>
      <c r="G701" s="246">
        <v>42700</v>
      </c>
      <c r="H701" s="246">
        <v>48800</v>
      </c>
      <c r="I701" s="246">
        <v>54900</v>
      </c>
      <c r="J701" s="246">
        <v>60950</v>
      </c>
      <c r="K701" s="246">
        <v>65850</v>
      </c>
      <c r="L701" s="246">
        <v>70750</v>
      </c>
      <c r="M701" s="246">
        <v>75600</v>
      </c>
      <c r="N701" s="246">
        <v>80500</v>
      </c>
    </row>
    <row r="702" spans="3:14" ht="21.95" customHeight="1" x14ac:dyDescent="0.25">
      <c r="C702" s="139" t="str">
        <f t="shared" si="26"/>
        <v>GA_WASHINGTON COUNTY, GA</v>
      </c>
      <c r="D702" s="136" t="s">
        <v>95</v>
      </c>
      <c r="E702" s="262" t="s">
        <v>3359</v>
      </c>
      <c r="F702" s="136" t="s">
        <v>183</v>
      </c>
      <c r="G702" s="246">
        <v>42700</v>
      </c>
      <c r="H702" s="246">
        <v>48800</v>
      </c>
      <c r="I702" s="246">
        <v>54900</v>
      </c>
      <c r="J702" s="246">
        <v>60950</v>
      </c>
      <c r="K702" s="246">
        <v>65850</v>
      </c>
      <c r="L702" s="246">
        <v>70750</v>
      </c>
      <c r="M702" s="246">
        <v>75600</v>
      </c>
      <c r="N702" s="246">
        <v>80500</v>
      </c>
    </row>
    <row r="703" spans="3:14" ht="21.95" customHeight="1" x14ac:dyDescent="0.25">
      <c r="C703" s="139" t="str">
        <f t="shared" si="26"/>
        <v>GA_WAYNE COUNTY, GA</v>
      </c>
      <c r="D703" s="136" t="s">
        <v>95</v>
      </c>
      <c r="E703" s="262" t="s">
        <v>3360</v>
      </c>
      <c r="F703" s="136" t="s">
        <v>183</v>
      </c>
      <c r="G703" s="246">
        <v>42700</v>
      </c>
      <c r="H703" s="246">
        <v>48800</v>
      </c>
      <c r="I703" s="246">
        <v>54900</v>
      </c>
      <c r="J703" s="246">
        <v>60950</v>
      </c>
      <c r="K703" s="246">
        <v>65850</v>
      </c>
      <c r="L703" s="246">
        <v>70750</v>
      </c>
      <c r="M703" s="246">
        <v>75600</v>
      </c>
      <c r="N703" s="246">
        <v>80500</v>
      </c>
    </row>
    <row r="704" spans="3:14" ht="21.95" customHeight="1" x14ac:dyDescent="0.25">
      <c r="C704" s="139" t="str">
        <f t="shared" ref="C704:C767" si="27">TRIM(UPPER(D704))&amp;"_"&amp;TRIM(UPPER(E704))</f>
        <v>GA_WEBSTER COUNTY, GA</v>
      </c>
      <c r="D704" s="136" t="s">
        <v>95</v>
      </c>
      <c r="E704" s="262" t="s">
        <v>3361</v>
      </c>
      <c r="F704" s="136" t="s">
        <v>183</v>
      </c>
      <c r="G704" s="246">
        <v>42700</v>
      </c>
      <c r="H704" s="246">
        <v>48800</v>
      </c>
      <c r="I704" s="246">
        <v>54900</v>
      </c>
      <c r="J704" s="246">
        <v>60950</v>
      </c>
      <c r="K704" s="246">
        <v>65850</v>
      </c>
      <c r="L704" s="246">
        <v>70750</v>
      </c>
      <c r="M704" s="246">
        <v>75600</v>
      </c>
      <c r="N704" s="246">
        <v>80500</v>
      </c>
    </row>
    <row r="705" spans="3:14" ht="21.95" customHeight="1" x14ac:dyDescent="0.25">
      <c r="C705" s="139" t="str">
        <f t="shared" si="27"/>
        <v>GA_WHEELER COUNTY, GA</v>
      </c>
      <c r="D705" s="136" t="s">
        <v>95</v>
      </c>
      <c r="E705" s="262" t="s">
        <v>3362</v>
      </c>
      <c r="F705" s="136" t="s">
        <v>183</v>
      </c>
      <c r="G705" s="246">
        <v>42700</v>
      </c>
      <c r="H705" s="246">
        <v>48800</v>
      </c>
      <c r="I705" s="246">
        <v>54900</v>
      </c>
      <c r="J705" s="246">
        <v>60950</v>
      </c>
      <c r="K705" s="246">
        <v>65850</v>
      </c>
      <c r="L705" s="246">
        <v>70750</v>
      </c>
      <c r="M705" s="246">
        <v>75600</v>
      </c>
      <c r="N705" s="246">
        <v>80500</v>
      </c>
    </row>
    <row r="706" spans="3:14" ht="21.95" customHeight="1" x14ac:dyDescent="0.25">
      <c r="C706" s="139" t="str">
        <f t="shared" si="27"/>
        <v>GA_WHITE COUNTY, GA</v>
      </c>
      <c r="D706" s="136" t="s">
        <v>95</v>
      </c>
      <c r="E706" s="262" t="s">
        <v>3363</v>
      </c>
      <c r="F706" s="136" t="s">
        <v>183</v>
      </c>
      <c r="G706" s="246">
        <v>46100</v>
      </c>
      <c r="H706" s="246">
        <v>52700</v>
      </c>
      <c r="I706" s="246">
        <v>59300</v>
      </c>
      <c r="J706" s="246">
        <v>65850</v>
      </c>
      <c r="K706" s="246">
        <v>71150</v>
      </c>
      <c r="L706" s="246">
        <v>76400</v>
      </c>
      <c r="M706" s="246">
        <v>81700</v>
      </c>
      <c r="N706" s="246">
        <v>86950</v>
      </c>
    </row>
    <row r="707" spans="3:14" ht="21.95" customHeight="1" x14ac:dyDescent="0.25">
      <c r="C707" s="139" t="str">
        <f t="shared" si="27"/>
        <v>GA_WILCOX COUNTY, GA</v>
      </c>
      <c r="D707" s="136" t="s">
        <v>95</v>
      </c>
      <c r="E707" s="262" t="s">
        <v>3364</v>
      </c>
      <c r="F707" s="136" t="s">
        <v>183</v>
      </c>
      <c r="G707" s="246">
        <v>42700</v>
      </c>
      <c r="H707" s="246">
        <v>48800</v>
      </c>
      <c r="I707" s="246">
        <v>54900</v>
      </c>
      <c r="J707" s="246">
        <v>60950</v>
      </c>
      <c r="K707" s="246">
        <v>65850</v>
      </c>
      <c r="L707" s="246">
        <v>70750</v>
      </c>
      <c r="M707" s="246">
        <v>75600</v>
      </c>
      <c r="N707" s="246">
        <v>80500</v>
      </c>
    </row>
    <row r="708" spans="3:14" ht="21.95" customHeight="1" x14ac:dyDescent="0.25">
      <c r="C708" s="139" t="str">
        <f t="shared" si="27"/>
        <v>GA_WILKES COUNTY, GA</v>
      </c>
      <c r="D708" s="136" t="s">
        <v>95</v>
      </c>
      <c r="E708" s="262" t="s">
        <v>3365</v>
      </c>
      <c r="F708" s="136" t="s">
        <v>183</v>
      </c>
      <c r="G708" s="246">
        <v>42700</v>
      </c>
      <c r="H708" s="246">
        <v>48800</v>
      </c>
      <c r="I708" s="246">
        <v>54900</v>
      </c>
      <c r="J708" s="246">
        <v>60950</v>
      </c>
      <c r="K708" s="246">
        <v>65850</v>
      </c>
      <c r="L708" s="246">
        <v>70750</v>
      </c>
      <c r="M708" s="246">
        <v>75600</v>
      </c>
      <c r="N708" s="246">
        <v>80500</v>
      </c>
    </row>
    <row r="709" spans="3:14" ht="21.95" customHeight="1" x14ac:dyDescent="0.25">
      <c r="C709" s="139" t="str">
        <f t="shared" si="27"/>
        <v>GA_WILKINSON COUNTY, GA</v>
      </c>
      <c r="D709" s="136" t="s">
        <v>95</v>
      </c>
      <c r="E709" s="262" t="s">
        <v>3366</v>
      </c>
      <c r="F709" s="136" t="s">
        <v>183</v>
      </c>
      <c r="G709" s="246">
        <v>42700</v>
      </c>
      <c r="H709" s="246">
        <v>48800</v>
      </c>
      <c r="I709" s="246">
        <v>54900</v>
      </c>
      <c r="J709" s="246">
        <v>60950</v>
      </c>
      <c r="K709" s="246">
        <v>65850</v>
      </c>
      <c r="L709" s="246">
        <v>70750</v>
      </c>
      <c r="M709" s="246">
        <v>75600</v>
      </c>
      <c r="N709" s="246">
        <v>80500</v>
      </c>
    </row>
    <row r="710" spans="3:14" ht="21.95" customHeight="1" x14ac:dyDescent="0.25">
      <c r="C710" s="139" t="str">
        <f t="shared" si="27"/>
        <v>GU_GUAM</v>
      </c>
      <c r="D710" s="136" t="s">
        <v>2928</v>
      </c>
      <c r="E710" s="262" t="s">
        <v>3367</v>
      </c>
      <c r="F710" s="136" t="s">
        <v>183</v>
      </c>
      <c r="G710" s="246">
        <v>54250</v>
      </c>
      <c r="H710" s="246">
        <v>62000</v>
      </c>
      <c r="I710" s="246">
        <v>69750</v>
      </c>
      <c r="J710" s="246">
        <v>77500</v>
      </c>
      <c r="K710" s="246">
        <v>83700</v>
      </c>
      <c r="L710" s="246">
        <v>89900</v>
      </c>
      <c r="M710" s="246">
        <v>96100</v>
      </c>
      <c r="N710" s="246">
        <v>102300</v>
      </c>
    </row>
    <row r="711" spans="3:14" ht="21.95" customHeight="1" x14ac:dyDescent="0.25">
      <c r="C711" s="139" t="str">
        <f t="shared" si="27"/>
        <v>HI_HAWAII COUNTY, HI</v>
      </c>
      <c r="D711" s="136" t="s">
        <v>94</v>
      </c>
      <c r="E711" s="262" t="s">
        <v>3368</v>
      </c>
      <c r="F711" s="136" t="s">
        <v>183</v>
      </c>
      <c r="G711" s="246">
        <v>67700</v>
      </c>
      <c r="H711" s="246">
        <v>77400</v>
      </c>
      <c r="I711" s="246">
        <v>87050</v>
      </c>
      <c r="J711" s="246">
        <v>96700</v>
      </c>
      <c r="K711" s="246">
        <v>104450</v>
      </c>
      <c r="L711" s="246">
        <v>112200</v>
      </c>
      <c r="M711" s="246">
        <v>119950</v>
      </c>
      <c r="N711" s="246">
        <v>127650</v>
      </c>
    </row>
    <row r="712" spans="3:14" ht="21.95" customHeight="1" x14ac:dyDescent="0.25">
      <c r="C712" s="139" t="str">
        <f t="shared" si="27"/>
        <v>HI_KAHULUI-WAILUKU-LAHAINA, HI HUD METRO FMR AREA</v>
      </c>
      <c r="D712" s="136" t="s">
        <v>94</v>
      </c>
      <c r="E712" s="262" t="s">
        <v>9155</v>
      </c>
      <c r="F712" s="136" t="s">
        <v>183</v>
      </c>
      <c r="G712" s="246">
        <v>75400</v>
      </c>
      <c r="H712" s="246">
        <v>86200</v>
      </c>
      <c r="I712" s="246">
        <v>96950</v>
      </c>
      <c r="J712" s="246">
        <v>107700</v>
      </c>
      <c r="K712" s="246">
        <v>116350</v>
      </c>
      <c r="L712" s="246">
        <v>124950</v>
      </c>
      <c r="M712" s="246">
        <v>133550</v>
      </c>
      <c r="N712" s="246">
        <v>142200</v>
      </c>
    </row>
    <row r="713" spans="3:14" ht="21.95" customHeight="1" x14ac:dyDescent="0.25">
      <c r="C713" s="139" t="str">
        <f t="shared" si="27"/>
        <v>HI_KALAWAO COUNTY, HI HUD METRO FMR AREA</v>
      </c>
      <c r="D713" s="136" t="s">
        <v>94</v>
      </c>
      <c r="E713" s="262" t="s">
        <v>9154</v>
      </c>
      <c r="F713" s="136" t="s">
        <v>183</v>
      </c>
      <c r="G713" s="246">
        <v>62100</v>
      </c>
      <c r="H713" s="246">
        <v>71000</v>
      </c>
      <c r="I713" s="246">
        <v>79850</v>
      </c>
      <c r="J713" s="246">
        <v>88700</v>
      </c>
      <c r="K713" s="246">
        <v>95800</v>
      </c>
      <c r="L713" s="246">
        <v>102900</v>
      </c>
      <c r="M713" s="246">
        <v>110000</v>
      </c>
      <c r="N713" s="246">
        <v>117100</v>
      </c>
    </row>
    <row r="714" spans="3:14" ht="21.95" customHeight="1" x14ac:dyDescent="0.25">
      <c r="C714" s="139" t="str">
        <f t="shared" si="27"/>
        <v>HI_KAUAI COUNTY, HI</v>
      </c>
      <c r="D714" s="136" t="s">
        <v>94</v>
      </c>
      <c r="E714" s="262" t="s">
        <v>3369</v>
      </c>
      <c r="F714" s="136" t="s">
        <v>183</v>
      </c>
      <c r="G714" s="246">
        <v>72950</v>
      </c>
      <c r="H714" s="246">
        <v>83400</v>
      </c>
      <c r="I714" s="246">
        <v>93800</v>
      </c>
      <c r="J714" s="246">
        <v>104200</v>
      </c>
      <c r="K714" s="246">
        <v>112550</v>
      </c>
      <c r="L714" s="246">
        <v>120900</v>
      </c>
      <c r="M714" s="246">
        <v>129250</v>
      </c>
      <c r="N714" s="246">
        <v>137550</v>
      </c>
    </row>
    <row r="715" spans="3:14" ht="21.95" customHeight="1" x14ac:dyDescent="0.25">
      <c r="C715" s="139" t="str">
        <f t="shared" si="27"/>
        <v>HI_URBAN HONOLULU, HI MSA</v>
      </c>
      <c r="D715" s="136" t="s">
        <v>94</v>
      </c>
      <c r="E715" s="262" t="s">
        <v>3370</v>
      </c>
      <c r="F715" s="136" t="s">
        <v>183</v>
      </c>
      <c r="G715" s="246">
        <v>85150</v>
      </c>
      <c r="H715" s="246">
        <v>97300</v>
      </c>
      <c r="I715" s="246">
        <v>109450</v>
      </c>
      <c r="J715" s="246">
        <v>121600</v>
      </c>
      <c r="K715" s="246">
        <v>131350</v>
      </c>
      <c r="L715" s="246">
        <v>141100</v>
      </c>
      <c r="M715" s="246">
        <v>150800</v>
      </c>
      <c r="N715" s="246">
        <v>160550</v>
      </c>
    </row>
    <row r="716" spans="3:14" ht="21.95" customHeight="1" x14ac:dyDescent="0.25">
      <c r="C716" s="139" t="str">
        <f t="shared" si="27"/>
        <v>IA_ADAIR COUNTY, IA</v>
      </c>
      <c r="D716" s="136" t="s">
        <v>90</v>
      </c>
      <c r="E716" s="262" t="s">
        <v>3371</v>
      </c>
      <c r="F716" s="136" t="s">
        <v>183</v>
      </c>
      <c r="G716" s="246">
        <v>56600</v>
      </c>
      <c r="H716" s="246">
        <v>64650</v>
      </c>
      <c r="I716" s="246">
        <v>72750</v>
      </c>
      <c r="J716" s="246">
        <v>80800</v>
      </c>
      <c r="K716" s="246">
        <v>87300</v>
      </c>
      <c r="L716" s="246">
        <v>93750</v>
      </c>
      <c r="M716" s="246">
        <v>100200</v>
      </c>
      <c r="N716" s="246">
        <v>106700</v>
      </c>
    </row>
    <row r="717" spans="3:14" ht="21.95" customHeight="1" x14ac:dyDescent="0.25">
      <c r="C717" s="139" t="str">
        <f t="shared" si="27"/>
        <v>IA_ADAMS COUNTY, IA</v>
      </c>
      <c r="D717" s="136" t="s">
        <v>90</v>
      </c>
      <c r="E717" s="262" t="s">
        <v>3372</v>
      </c>
      <c r="F717" s="136" t="s">
        <v>183</v>
      </c>
      <c r="G717" s="246">
        <v>52600</v>
      </c>
      <c r="H717" s="246">
        <v>60100</v>
      </c>
      <c r="I717" s="246">
        <v>67600</v>
      </c>
      <c r="J717" s="246">
        <v>75100</v>
      </c>
      <c r="K717" s="246">
        <v>81150</v>
      </c>
      <c r="L717" s="246">
        <v>87150</v>
      </c>
      <c r="M717" s="246">
        <v>93150</v>
      </c>
      <c r="N717" s="246">
        <v>99150</v>
      </c>
    </row>
    <row r="718" spans="3:14" ht="21.95" customHeight="1" x14ac:dyDescent="0.25">
      <c r="C718" s="139" t="str">
        <f t="shared" si="27"/>
        <v>IA_ALLAMAKEE COUNTY, IA</v>
      </c>
      <c r="D718" s="136" t="s">
        <v>90</v>
      </c>
      <c r="E718" s="262" t="s">
        <v>3373</v>
      </c>
      <c r="F718" s="136" t="s">
        <v>183</v>
      </c>
      <c r="G718" s="246">
        <v>51550</v>
      </c>
      <c r="H718" s="246">
        <v>58900</v>
      </c>
      <c r="I718" s="246">
        <v>66250</v>
      </c>
      <c r="J718" s="246">
        <v>73600</v>
      </c>
      <c r="K718" s="246">
        <v>79500</v>
      </c>
      <c r="L718" s="246">
        <v>85400</v>
      </c>
      <c r="M718" s="246">
        <v>91300</v>
      </c>
      <c r="N718" s="246">
        <v>97200</v>
      </c>
    </row>
    <row r="719" spans="3:14" ht="21.95" customHeight="1" x14ac:dyDescent="0.25">
      <c r="C719" s="139" t="str">
        <f t="shared" si="27"/>
        <v>IA_AMES, IA HUD METRO FMR AREA</v>
      </c>
      <c r="D719" s="136" t="s">
        <v>90</v>
      </c>
      <c r="E719" s="262" t="s">
        <v>3374</v>
      </c>
      <c r="F719" s="136" t="s">
        <v>183</v>
      </c>
      <c r="G719" s="246">
        <v>69400</v>
      </c>
      <c r="H719" s="246">
        <v>79300</v>
      </c>
      <c r="I719" s="246">
        <v>89200</v>
      </c>
      <c r="J719" s="246">
        <v>99100</v>
      </c>
      <c r="K719" s="246">
        <v>107050</v>
      </c>
      <c r="L719" s="246">
        <v>115000</v>
      </c>
      <c r="M719" s="246">
        <v>122900</v>
      </c>
      <c r="N719" s="246">
        <v>130850</v>
      </c>
    </row>
    <row r="720" spans="3:14" ht="21.95" customHeight="1" x14ac:dyDescent="0.25">
      <c r="C720" s="139" t="str">
        <f t="shared" si="27"/>
        <v>IA_APPANOOSE COUNTY, IA</v>
      </c>
      <c r="D720" s="136" t="s">
        <v>90</v>
      </c>
      <c r="E720" s="262" t="s">
        <v>3375</v>
      </c>
      <c r="F720" s="136" t="s">
        <v>183</v>
      </c>
      <c r="G720" s="246">
        <v>51550</v>
      </c>
      <c r="H720" s="246">
        <v>58900</v>
      </c>
      <c r="I720" s="246">
        <v>66250</v>
      </c>
      <c r="J720" s="246">
        <v>73600</v>
      </c>
      <c r="K720" s="246">
        <v>79500</v>
      </c>
      <c r="L720" s="246">
        <v>85400</v>
      </c>
      <c r="M720" s="246">
        <v>91300</v>
      </c>
      <c r="N720" s="246">
        <v>97200</v>
      </c>
    </row>
    <row r="721" spans="3:14" ht="21.95" customHeight="1" x14ac:dyDescent="0.25">
      <c r="C721" s="139" t="str">
        <f t="shared" si="27"/>
        <v>IA_AUDUBON COUNTY, IA</v>
      </c>
      <c r="D721" s="136" t="s">
        <v>90</v>
      </c>
      <c r="E721" s="262" t="s">
        <v>3376</v>
      </c>
      <c r="F721" s="136" t="s">
        <v>183</v>
      </c>
      <c r="G721" s="246">
        <v>51550</v>
      </c>
      <c r="H721" s="246">
        <v>58900</v>
      </c>
      <c r="I721" s="246">
        <v>66250</v>
      </c>
      <c r="J721" s="246">
        <v>73600</v>
      </c>
      <c r="K721" s="246">
        <v>79500</v>
      </c>
      <c r="L721" s="246">
        <v>85400</v>
      </c>
      <c r="M721" s="246">
        <v>91300</v>
      </c>
      <c r="N721" s="246">
        <v>97200</v>
      </c>
    </row>
    <row r="722" spans="3:14" ht="21.95" customHeight="1" x14ac:dyDescent="0.25">
      <c r="C722" s="139" t="str">
        <f t="shared" si="27"/>
        <v>IA_BENTON COUNTY, IA HUD METRO FMR AREA</v>
      </c>
      <c r="D722" s="136" t="s">
        <v>90</v>
      </c>
      <c r="E722" s="262" t="s">
        <v>3377</v>
      </c>
      <c r="F722" s="136" t="s">
        <v>183</v>
      </c>
      <c r="G722" s="246">
        <v>62100</v>
      </c>
      <c r="H722" s="246">
        <v>70950</v>
      </c>
      <c r="I722" s="246">
        <v>79800</v>
      </c>
      <c r="J722" s="246">
        <v>88650</v>
      </c>
      <c r="K722" s="246">
        <v>95750</v>
      </c>
      <c r="L722" s="246">
        <v>102850</v>
      </c>
      <c r="M722" s="246">
        <v>109950</v>
      </c>
      <c r="N722" s="246">
        <v>117050</v>
      </c>
    </row>
    <row r="723" spans="3:14" ht="21.95" customHeight="1" x14ac:dyDescent="0.25">
      <c r="C723" s="139" t="str">
        <f t="shared" si="27"/>
        <v>IA_BOONE COUNTY, IA HUD METRO FMR AREA</v>
      </c>
      <c r="D723" s="136" t="s">
        <v>90</v>
      </c>
      <c r="E723" s="262" t="s">
        <v>3378</v>
      </c>
      <c r="F723" s="136" t="s">
        <v>183</v>
      </c>
      <c r="G723" s="246">
        <v>60950</v>
      </c>
      <c r="H723" s="246">
        <v>69650</v>
      </c>
      <c r="I723" s="246">
        <v>78350</v>
      </c>
      <c r="J723" s="246">
        <v>87050</v>
      </c>
      <c r="K723" s="246">
        <v>94050</v>
      </c>
      <c r="L723" s="246">
        <v>101000</v>
      </c>
      <c r="M723" s="246">
        <v>107950</v>
      </c>
      <c r="N723" s="246">
        <v>114950</v>
      </c>
    </row>
    <row r="724" spans="3:14" ht="21.95" customHeight="1" x14ac:dyDescent="0.25">
      <c r="C724" s="139" t="str">
        <f t="shared" si="27"/>
        <v>IA_BREMER COUNTY, IA HUD METRO FMR AREA</v>
      </c>
      <c r="D724" s="136" t="s">
        <v>90</v>
      </c>
      <c r="E724" s="262" t="s">
        <v>3379</v>
      </c>
      <c r="F724" s="136" t="s">
        <v>183</v>
      </c>
      <c r="G724" s="246">
        <v>59950</v>
      </c>
      <c r="H724" s="246">
        <v>68500</v>
      </c>
      <c r="I724" s="246">
        <v>77050</v>
      </c>
      <c r="J724" s="246">
        <v>85600</v>
      </c>
      <c r="K724" s="246">
        <v>92450</v>
      </c>
      <c r="L724" s="246">
        <v>99300</v>
      </c>
      <c r="M724" s="246">
        <v>106150</v>
      </c>
      <c r="N724" s="246">
        <v>113000</v>
      </c>
    </row>
    <row r="725" spans="3:14" ht="21.95" customHeight="1" x14ac:dyDescent="0.25">
      <c r="C725" s="139" t="str">
        <f t="shared" si="27"/>
        <v>IA_BUCHANAN COUNTY, IA</v>
      </c>
      <c r="D725" s="136" t="s">
        <v>90</v>
      </c>
      <c r="E725" s="262" t="s">
        <v>3380</v>
      </c>
      <c r="F725" s="136" t="s">
        <v>183</v>
      </c>
      <c r="G725" s="246">
        <v>55650</v>
      </c>
      <c r="H725" s="246">
        <v>63600</v>
      </c>
      <c r="I725" s="246">
        <v>71550</v>
      </c>
      <c r="J725" s="246">
        <v>79500</v>
      </c>
      <c r="K725" s="246">
        <v>85900</v>
      </c>
      <c r="L725" s="246">
        <v>92250</v>
      </c>
      <c r="M725" s="246">
        <v>98600</v>
      </c>
      <c r="N725" s="246">
        <v>104950</v>
      </c>
    </row>
    <row r="726" spans="3:14" ht="21.95" customHeight="1" x14ac:dyDescent="0.25">
      <c r="C726" s="139" t="str">
        <f t="shared" si="27"/>
        <v>IA_BUENA VISTA COUNTY, IA</v>
      </c>
      <c r="D726" s="136" t="s">
        <v>90</v>
      </c>
      <c r="E726" s="262" t="s">
        <v>3381</v>
      </c>
      <c r="F726" s="136" t="s">
        <v>183</v>
      </c>
      <c r="G726" s="246">
        <v>55100</v>
      </c>
      <c r="H726" s="246">
        <v>63000</v>
      </c>
      <c r="I726" s="246">
        <v>70850</v>
      </c>
      <c r="J726" s="246">
        <v>78700</v>
      </c>
      <c r="K726" s="246">
        <v>85000</v>
      </c>
      <c r="L726" s="246">
        <v>91300</v>
      </c>
      <c r="M726" s="246">
        <v>97600</v>
      </c>
      <c r="N726" s="246">
        <v>103900</v>
      </c>
    </row>
    <row r="727" spans="3:14" ht="21.95" customHeight="1" x14ac:dyDescent="0.25">
      <c r="C727" s="139" t="str">
        <f t="shared" si="27"/>
        <v>IA_BUTLER COUNTY, IA</v>
      </c>
      <c r="D727" s="136" t="s">
        <v>90</v>
      </c>
      <c r="E727" s="262" t="s">
        <v>3382</v>
      </c>
      <c r="F727" s="136" t="s">
        <v>183</v>
      </c>
      <c r="G727" s="246">
        <v>51550</v>
      </c>
      <c r="H727" s="246">
        <v>58900</v>
      </c>
      <c r="I727" s="246">
        <v>66250</v>
      </c>
      <c r="J727" s="246">
        <v>73600</v>
      </c>
      <c r="K727" s="246">
        <v>79500</v>
      </c>
      <c r="L727" s="246">
        <v>85400</v>
      </c>
      <c r="M727" s="246">
        <v>91300</v>
      </c>
      <c r="N727" s="246">
        <v>97200</v>
      </c>
    </row>
    <row r="728" spans="3:14" ht="21.95" customHeight="1" x14ac:dyDescent="0.25">
      <c r="C728" s="139" t="str">
        <f t="shared" si="27"/>
        <v>IA_CALHOUN COUNTY, IA</v>
      </c>
      <c r="D728" s="136" t="s">
        <v>90</v>
      </c>
      <c r="E728" s="262" t="s">
        <v>3383</v>
      </c>
      <c r="F728" s="136" t="s">
        <v>183</v>
      </c>
      <c r="G728" s="246">
        <v>51550</v>
      </c>
      <c r="H728" s="246">
        <v>58900</v>
      </c>
      <c r="I728" s="246">
        <v>66250</v>
      </c>
      <c r="J728" s="246">
        <v>73600</v>
      </c>
      <c r="K728" s="246">
        <v>79500</v>
      </c>
      <c r="L728" s="246">
        <v>85400</v>
      </c>
      <c r="M728" s="246">
        <v>91300</v>
      </c>
      <c r="N728" s="246">
        <v>97200</v>
      </c>
    </row>
    <row r="729" spans="3:14" ht="21.95" customHeight="1" x14ac:dyDescent="0.25">
      <c r="C729" s="139" t="str">
        <f t="shared" si="27"/>
        <v>IA_CARROLL COUNTY, IA</v>
      </c>
      <c r="D729" s="136" t="s">
        <v>90</v>
      </c>
      <c r="E729" s="262" t="s">
        <v>3384</v>
      </c>
      <c r="F729" s="136" t="s">
        <v>183</v>
      </c>
      <c r="G729" s="246">
        <v>55350</v>
      </c>
      <c r="H729" s="246">
        <v>63250</v>
      </c>
      <c r="I729" s="246">
        <v>71150</v>
      </c>
      <c r="J729" s="246">
        <v>79050</v>
      </c>
      <c r="K729" s="246">
        <v>85400</v>
      </c>
      <c r="L729" s="246">
        <v>91700</v>
      </c>
      <c r="M729" s="246">
        <v>98050</v>
      </c>
      <c r="N729" s="246">
        <v>104350</v>
      </c>
    </row>
    <row r="730" spans="3:14" ht="21.95" customHeight="1" x14ac:dyDescent="0.25">
      <c r="C730" s="139" t="str">
        <f t="shared" si="27"/>
        <v>IA_CASS COUNTY, IA</v>
      </c>
      <c r="D730" s="136" t="s">
        <v>90</v>
      </c>
      <c r="E730" s="262" t="s">
        <v>3385</v>
      </c>
      <c r="F730" s="136" t="s">
        <v>183</v>
      </c>
      <c r="G730" s="246">
        <v>52450</v>
      </c>
      <c r="H730" s="246">
        <v>59950</v>
      </c>
      <c r="I730" s="246">
        <v>67450</v>
      </c>
      <c r="J730" s="246">
        <v>74900</v>
      </c>
      <c r="K730" s="246">
        <v>80900</v>
      </c>
      <c r="L730" s="246">
        <v>86900</v>
      </c>
      <c r="M730" s="246">
        <v>92900</v>
      </c>
      <c r="N730" s="246">
        <v>98900</v>
      </c>
    </row>
    <row r="731" spans="3:14" ht="21.95" customHeight="1" x14ac:dyDescent="0.25">
      <c r="C731" s="139" t="str">
        <f t="shared" si="27"/>
        <v>IA_CEDAR COUNTY, IA</v>
      </c>
      <c r="D731" s="136" t="s">
        <v>90</v>
      </c>
      <c r="E731" s="262" t="s">
        <v>3386</v>
      </c>
      <c r="F731" s="136" t="s">
        <v>183</v>
      </c>
      <c r="G731" s="246">
        <v>58450</v>
      </c>
      <c r="H731" s="246">
        <v>66800</v>
      </c>
      <c r="I731" s="246">
        <v>75150</v>
      </c>
      <c r="J731" s="246">
        <v>83500</v>
      </c>
      <c r="K731" s="246">
        <v>90200</v>
      </c>
      <c r="L731" s="246">
        <v>96900</v>
      </c>
      <c r="M731" s="246">
        <v>103550</v>
      </c>
      <c r="N731" s="246">
        <v>110250</v>
      </c>
    </row>
    <row r="732" spans="3:14" ht="21.95" customHeight="1" x14ac:dyDescent="0.25">
      <c r="C732" s="139" t="str">
        <f t="shared" si="27"/>
        <v>IA_CEDAR RAPIDS, IA HUD METRO FMR AREA</v>
      </c>
      <c r="D732" s="136" t="s">
        <v>90</v>
      </c>
      <c r="E732" s="262" t="s">
        <v>3387</v>
      </c>
      <c r="F732" s="136" t="s">
        <v>183</v>
      </c>
      <c r="G732" s="246">
        <v>56950</v>
      </c>
      <c r="H732" s="246">
        <v>65050</v>
      </c>
      <c r="I732" s="246">
        <v>73200</v>
      </c>
      <c r="J732" s="246">
        <v>81300</v>
      </c>
      <c r="K732" s="246">
        <v>87850</v>
      </c>
      <c r="L732" s="246">
        <v>94350</v>
      </c>
      <c r="M732" s="246">
        <v>100850</v>
      </c>
      <c r="N732" s="246">
        <v>107350</v>
      </c>
    </row>
    <row r="733" spans="3:14" ht="21.95" customHeight="1" x14ac:dyDescent="0.25">
      <c r="C733" s="139" t="str">
        <f t="shared" si="27"/>
        <v>IA_CERRO GORDO COUNTY, IA</v>
      </c>
      <c r="D733" s="136" t="s">
        <v>90</v>
      </c>
      <c r="E733" s="262" t="s">
        <v>3388</v>
      </c>
      <c r="F733" s="136" t="s">
        <v>183</v>
      </c>
      <c r="G733" s="246">
        <v>52850</v>
      </c>
      <c r="H733" s="246">
        <v>60400</v>
      </c>
      <c r="I733" s="246">
        <v>67950</v>
      </c>
      <c r="J733" s="246">
        <v>75450</v>
      </c>
      <c r="K733" s="246">
        <v>81500</v>
      </c>
      <c r="L733" s="246">
        <v>87550</v>
      </c>
      <c r="M733" s="246">
        <v>93600</v>
      </c>
      <c r="N733" s="246">
        <v>99600</v>
      </c>
    </row>
    <row r="734" spans="3:14" ht="21.95" customHeight="1" x14ac:dyDescent="0.25">
      <c r="C734" s="139" t="str">
        <f t="shared" si="27"/>
        <v>IA_CHEROKEE COUNTY, IA</v>
      </c>
      <c r="D734" s="136" t="s">
        <v>90</v>
      </c>
      <c r="E734" s="262" t="s">
        <v>3389</v>
      </c>
      <c r="F734" s="136" t="s">
        <v>183</v>
      </c>
      <c r="G734" s="246">
        <v>55000</v>
      </c>
      <c r="H734" s="246">
        <v>62850</v>
      </c>
      <c r="I734" s="246">
        <v>70700</v>
      </c>
      <c r="J734" s="246">
        <v>78550</v>
      </c>
      <c r="K734" s="246">
        <v>84850</v>
      </c>
      <c r="L734" s="246">
        <v>91150</v>
      </c>
      <c r="M734" s="246">
        <v>97450</v>
      </c>
      <c r="N734" s="246">
        <v>103700</v>
      </c>
    </row>
    <row r="735" spans="3:14" ht="21.95" customHeight="1" x14ac:dyDescent="0.25">
      <c r="C735" s="139" t="str">
        <f t="shared" si="27"/>
        <v>IA_CHICKASAW COUNTY, IA</v>
      </c>
      <c r="D735" s="136" t="s">
        <v>90</v>
      </c>
      <c r="E735" s="262" t="s">
        <v>3390</v>
      </c>
      <c r="F735" s="136" t="s">
        <v>183</v>
      </c>
      <c r="G735" s="246">
        <v>52750</v>
      </c>
      <c r="H735" s="246">
        <v>60300</v>
      </c>
      <c r="I735" s="246">
        <v>67850</v>
      </c>
      <c r="J735" s="246">
        <v>75350</v>
      </c>
      <c r="K735" s="246">
        <v>81400</v>
      </c>
      <c r="L735" s="246">
        <v>87450</v>
      </c>
      <c r="M735" s="246">
        <v>93450</v>
      </c>
      <c r="N735" s="246">
        <v>99500</v>
      </c>
    </row>
    <row r="736" spans="3:14" ht="21.95" customHeight="1" x14ac:dyDescent="0.25">
      <c r="C736" s="139" t="str">
        <f t="shared" si="27"/>
        <v>IA_CLARKE COUNTY, IA</v>
      </c>
      <c r="D736" s="136" t="s">
        <v>90</v>
      </c>
      <c r="E736" s="262" t="s">
        <v>3391</v>
      </c>
      <c r="F736" s="136" t="s">
        <v>183</v>
      </c>
      <c r="G736" s="246">
        <v>51550</v>
      </c>
      <c r="H736" s="246">
        <v>58900</v>
      </c>
      <c r="I736" s="246">
        <v>66250</v>
      </c>
      <c r="J736" s="246">
        <v>73600</v>
      </c>
      <c r="K736" s="246">
        <v>79500</v>
      </c>
      <c r="L736" s="246">
        <v>85400</v>
      </c>
      <c r="M736" s="246">
        <v>91300</v>
      </c>
      <c r="N736" s="246">
        <v>97200</v>
      </c>
    </row>
    <row r="737" spans="3:14" ht="21.95" customHeight="1" x14ac:dyDescent="0.25">
      <c r="C737" s="139" t="str">
        <f t="shared" si="27"/>
        <v>IA_CLAY COUNTY, IA</v>
      </c>
      <c r="D737" s="136" t="s">
        <v>90</v>
      </c>
      <c r="E737" s="262" t="s">
        <v>3392</v>
      </c>
      <c r="F737" s="136" t="s">
        <v>183</v>
      </c>
      <c r="G737" s="246">
        <v>54800</v>
      </c>
      <c r="H737" s="246">
        <v>62600</v>
      </c>
      <c r="I737" s="246">
        <v>70450</v>
      </c>
      <c r="J737" s="246">
        <v>78250</v>
      </c>
      <c r="K737" s="246">
        <v>84550</v>
      </c>
      <c r="L737" s="246">
        <v>90800</v>
      </c>
      <c r="M737" s="246">
        <v>97050</v>
      </c>
      <c r="N737" s="246">
        <v>103300</v>
      </c>
    </row>
    <row r="738" spans="3:14" ht="21.95" customHeight="1" x14ac:dyDescent="0.25">
      <c r="C738" s="139" t="str">
        <f t="shared" si="27"/>
        <v>IA_CLAYTON COUNTY, IA</v>
      </c>
      <c r="D738" s="136" t="s">
        <v>90</v>
      </c>
      <c r="E738" s="262" t="s">
        <v>3393</v>
      </c>
      <c r="F738" s="136" t="s">
        <v>183</v>
      </c>
      <c r="G738" s="246">
        <v>51550</v>
      </c>
      <c r="H738" s="246">
        <v>58900</v>
      </c>
      <c r="I738" s="246">
        <v>66250</v>
      </c>
      <c r="J738" s="246">
        <v>73600</v>
      </c>
      <c r="K738" s="246">
        <v>79500</v>
      </c>
      <c r="L738" s="246">
        <v>85400</v>
      </c>
      <c r="M738" s="246">
        <v>91300</v>
      </c>
      <c r="N738" s="246">
        <v>97200</v>
      </c>
    </row>
    <row r="739" spans="3:14" ht="21.95" customHeight="1" x14ac:dyDescent="0.25">
      <c r="C739" s="139" t="str">
        <f t="shared" si="27"/>
        <v>IA_CLINTON COUNTY, IA</v>
      </c>
      <c r="D739" s="136" t="s">
        <v>90</v>
      </c>
      <c r="E739" s="262" t="s">
        <v>3394</v>
      </c>
      <c r="F739" s="136" t="s">
        <v>183</v>
      </c>
      <c r="G739" s="246">
        <v>52150</v>
      </c>
      <c r="H739" s="246">
        <v>59600</v>
      </c>
      <c r="I739" s="246">
        <v>67050</v>
      </c>
      <c r="J739" s="246">
        <v>74500</v>
      </c>
      <c r="K739" s="246">
        <v>80500</v>
      </c>
      <c r="L739" s="246">
        <v>86450</v>
      </c>
      <c r="M739" s="246">
        <v>92400</v>
      </c>
      <c r="N739" s="246">
        <v>98350</v>
      </c>
    </row>
    <row r="740" spans="3:14" ht="21.95" customHeight="1" x14ac:dyDescent="0.25">
      <c r="C740" s="139" t="str">
        <f t="shared" si="27"/>
        <v>IA_CRAWFORD COUNTY, IA</v>
      </c>
      <c r="D740" s="136" t="s">
        <v>90</v>
      </c>
      <c r="E740" s="262" t="s">
        <v>3395</v>
      </c>
      <c r="F740" s="136" t="s">
        <v>183</v>
      </c>
      <c r="G740" s="246">
        <v>51550</v>
      </c>
      <c r="H740" s="246">
        <v>58900</v>
      </c>
      <c r="I740" s="246">
        <v>66250</v>
      </c>
      <c r="J740" s="246">
        <v>73600</v>
      </c>
      <c r="K740" s="246">
        <v>79500</v>
      </c>
      <c r="L740" s="246">
        <v>85400</v>
      </c>
      <c r="M740" s="246">
        <v>91300</v>
      </c>
      <c r="N740" s="246">
        <v>97200</v>
      </c>
    </row>
    <row r="741" spans="3:14" ht="21.95" customHeight="1" x14ac:dyDescent="0.25">
      <c r="C741" s="139" t="str">
        <f t="shared" si="27"/>
        <v>IA_DAVENPORT-MOLINE-ROCK ISLAND, IA-IL MSA</v>
      </c>
      <c r="D741" s="136" t="s">
        <v>90</v>
      </c>
      <c r="E741" s="262" t="s">
        <v>3396</v>
      </c>
      <c r="F741" s="136" t="s">
        <v>183</v>
      </c>
      <c r="G741" s="246">
        <v>54750</v>
      </c>
      <c r="H741" s="246">
        <v>62550</v>
      </c>
      <c r="I741" s="246">
        <v>70350</v>
      </c>
      <c r="J741" s="246">
        <v>78150</v>
      </c>
      <c r="K741" s="246">
        <v>84450</v>
      </c>
      <c r="L741" s="246">
        <v>90700</v>
      </c>
      <c r="M741" s="246">
        <v>96950</v>
      </c>
      <c r="N741" s="246">
        <v>103200</v>
      </c>
    </row>
    <row r="742" spans="3:14" ht="21.95" customHeight="1" x14ac:dyDescent="0.25">
      <c r="C742" s="139" t="str">
        <f t="shared" si="27"/>
        <v>IA_DAVIS COUNTY, IA</v>
      </c>
      <c r="D742" s="136" t="s">
        <v>90</v>
      </c>
      <c r="E742" s="262" t="s">
        <v>3397</v>
      </c>
      <c r="F742" s="136" t="s">
        <v>183</v>
      </c>
      <c r="G742" s="246">
        <v>55850</v>
      </c>
      <c r="H742" s="246">
        <v>63800</v>
      </c>
      <c r="I742" s="246">
        <v>71800</v>
      </c>
      <c r="J742" s="246">
        <v>79750</v>
      </c>
      <c r="K742" s="246">
        <v>86150</v>
      </c>
      <c r="L742" s="246">
        <v>92550</v>
      </c>
      <c r="M742" s="246">
        <v>98900</v>
      </c>
      <c r="N742" s="246">
        <v>105300</v>
      </c>
    </row>
    <row r="743" spans="3:14" ht="21.95" customHeight="1" x14ac:dyDescent="0.25">
      <c r="C743" s="139" t="str">
        <f t="shared" si="27"/>
        <v>IA_DECATUR COUNTY, IA</v>
      </c>
      <c r="D743" s="136" t="s">
        <v>90</v>
      </c>
      <c r="E743" s="262" t="s">
        <v>3398</v>
      </c>
      <c r="F743" s="136" t="s">
        <v>183</v>
      </c>
      <c r="G743" s="246">
        <v>51550</v>
      </c>
      <c r="H743" s="246">
        <v>58900</v>
      </c>
      <c r="I743" s="246">
        <v>66250</v>
      </c>
      <c r="J743" s="246">
        <v>73600</v>
      </c>
      <c r="K743" s="246">
        <v>79500</v>
      </c>
      <c r="L743" s="246">
        <v>85400</v>
      </c>
      <c r="M743" s="246">
        <v>91300</v>
      </c>
      <c r="N743" s="246">
        <v>97200</v>
      </c>
    </row>
    <row r="744" spans="3:14" ht="21.95" customHeight="1" x14ac:dyDescent="0.25">
      <c r="C744" s="139" t="str">
        <f t="shared" si="27"/>
        <v>IA_DELAWARE COUNTY, IA</v>
      </c>
      <c r="D744" s="136" t="s">
        <v>90</v>
      </c>
      <c r="E744" s="262" t="s">
        <v>3399</v>
      </c>
      <c r="F744" s="136" t="s">
        <v>183</v>
      </c>
      <c r="G744" s="246">
        <v>54250</v>
      </c>
      <c r="H744" s="246">
        <v>62000</v>
      </c>
      <c r="I744" s="246">
        <v>69750</v>
      </c>
      <c r="J744" s="246">
        <v>77500</v>
      </c>
      <c r="K744" s="246">
        <v>83700</v>
      </c>
      <c r="L744" s="246">
        <v>89900</v>
      </c>
      <c r="M744" s="246">
        <v>96100</v>
      </c>
      <c r="N744" s="246">
        <v>102300</v>
      </c>
    </row>
    <row r="745" spans="3:14" ht="21.95" customHeight="1" x14ac:dyDescent="0.25">
      <c r="C745" s="139" t="str">
        <f t="shared" si="27"/>
        <v>IA_DES MOINES COUNTY, IA</v>
      </c>
      <c r="D745" s="136" t="s">
        <v>90</v>
      </c>
      <c r="E745" s="262" t="s">
        <v>3400</v>
      </c>
      <c r="F745" s="136" t="s">
        <v>183</v>
      </c>
      <c r="G745" s="246">
        <v>51550</v>
      </c>
      <c r="H745" s="246">
        <v>58900</v>
      </c>
      <c r="I745" s="246">
        <v>66250</v>
      </c>
      <c r="J745" s="246">
        <v>73600</v>
      </c>
      <c r="K745" s="246">
        <v>79500</v>
      </c>
      <c r="L745" s="246">
        <v>85400</v>
      </c>
      <c r="M745" s="246">
        <v>91300</v>
      </c>
      <c r="N745" s="246">
        <v>97200</v>
      </c>
    </row>
    <row r="746" spans="3:14" ht="21.95" customHeight="1" x14ac:dyDescent="0.25">
      <c r="C746" s="139" t="str">
        <f t="shared" si="27"/>
        <v>IA_DES MOINES-WEST DES MOINES, IA HUD METRO FMR AREA</v>
      </c>
      <c r="D746" s="136" t="s">
        <v>90</v>
      </c>
      <c r="E746" s="262" t="s">
        <v>3401</v>
      </c>
      <c r="F746" s="136" t="s">
        <v>183</v>
      </c>
      <c r="G746" s="246">
        <v>64150</v>
      </c>
      <c r="H746" s="246">
        <v>73300</v>
      </c>
      <c r="I746" s="246">
        <v>82450</v>
      </c>
      <c r="J746" s="246">
        <v>91600</v>
      </c>
      <c r="K746" s="246">
        <v>98950</v>
      </c>
      <c r="L746" s="246">
        <v>106300</v>
      </c>
      <c r="M746" s="246">
        <v>113600</v>
      </c>
      <c r="N746" s="246">
        <v>120950</v>
      </c>
    </row>
    <row r="747" spans="3:14" ht="21.95" customHeight="1" x14ac:dyDescent="0.25">
      <c r="C747" s="139" t="str">
        <f t="shared" si="27"/>
        <v>IA_DICKINSON COUNTY, IA</v>
      </c>
      <c r="D747" s="136" t="s">
        <v>90</v>
      </c>
      <c r="E747" s="262" t="s">
        <v>3402</v>
      </c>
      <c r="F747" s="136" t="s">
        <v>183</v>
      </c>
      <c r="G747" s="246">
        <v>61200</v>
      </c>
      <c r="H747" s="246">
        <v>69950</v>
      </c>
      <c r="I747" s="246">
        <v>78700</v>
      </c>
      <c r="J747" s="246">
        <v>87400</v>
      </c>
      <c r="K747" s="246">
        <v>94400</v>
      </c>
      <c r="L747" s="246">
        <v>101400</v>
      </c>
      <c r="M747" s="246">
        <v>108400</v>
      </c>
      <c r="N747" s="246">
        <v>115400</v>
      </c>
    </row>
    <row r="748" spans="3:14" ht="21.95" customHeight="1" x14ac:dyDescent="0.25">
      <c r="C748" s="139" t="str">
        <f t="shared" si="27"/>
        <v>IA_DUBUQUE, IA MSA</v>
      </c>
      <c r="D748" s="136" t="s">
        <v>90</v>
      </c>
      <c r="E748" s="262" t="s">
        <v>3403</v>
      </c>
      <c r="F748" s="136" t="s">
        <v>183</v>
      </c>
      <c r="G748" s="246">
        <v>57550</v>
      </c>
      <c r="H748" s="246">
        <v>65750</v>
      </c>
      <c r="I748" s="246">
        <v>73950</v>
      </c>
      <c r="J748" s="246">
        <v>82150</v>
      </c>
      <c r="K748" s="246">
        <v>88750</v>
      </c>
      <c r="L748" s="246">
        <v>95300</v>
      </c>
      <c r="M748" s="246">
        <v>101900</v>
      </c>
      <c r="N748" s="246">
        <v>108450</v>
      </c>
    </row>
    <row r="749" spans="3:14" ht="21.95" customHeight="1" x14ac:dyDescent="0.25">
      <c r="C749" s="139" t="str">
        <f t="shared" si="27"/>
        <v>IA_EMMET COUNTY, IA</v>
      </c>
      <c r="D749" s="136" t="s">
        <v>90</v>
      </c>
      <c r="E749" s="262" t="s">
        <v>3404</v>
      </c>
      <c r="F749" s="136" t="s">
        <v>183</v>
      </c>
      <c r="G749" s="246">
        <v>51550</v>
      </c>
      <c r="H749" s="246">
        <v>58900</v>
      </c>
      <c r="I749" s="246">
        <v>66250</v>
      </c>
      <c r="J749" s="246">
        <v>73600</v>
      </c>
      <c r="K749" s="246">
        <v>79500</v>
      </c>
      <c r="L749" s="246">
        <v>85400</v>
      </c>
      <c r="M749" s="246">
        <v>91300</v>
      </c>
      <c r="N749" s="246">
        <v>97200</v>
      </c>
    </row>
    <row r="750" spans="3:14" ht="21.95" customHeight="1" x14ac:dyDescent="0.25">
      <c r="C750" s="139" t="str">
        <f t="shared" si="27"/>
        <v>IA_FAYETTE COUNTY, IA</v>
      </c>
      <c r="D750" s="136" t="s">
        <v>90</v>
      </c>
      <c r="E750" s="262" t="s">
        <v>3405</v>
      </c>
      <c r="F750" s="136" t="s">
        <v>183</v>
      </c>
      <c r="G750" s="246">
        <v>51550</v>
      </c>
      <c r="H750" s="246">
        <v>58900</v>
      </c>
      <c r="I750" s="246">
        <v>66250</v>
      </c>
      <c r="J750" s="246">
        <v>73600</v>
      </c>
      <c r="K750" s="246">
        <v>79500</v>
      </c>
      <c r="L750" s="246">
        <v>85400</v>
      </c>
      <c r="M750" s="246">
        <v>91300</v>
      </c>
      <c r="N750" s="246">
        <v>97200</v>
      </c>
    </row>
    <row r="751" spans="3:14" ht="21.95" customHeight="1" x14ac:dyDescent="0.25">
      <c r="C751" s="139" t="str">
        <f t="shared" si="27"/>
        <v>IA_FLOYD COUNTY, IA</v>
      </c>
      <c r="D751" s="136" t="s">
        <v>90</v>
      </c>
      <c r="E751" s="262" t="s">
        <v>3406</v>
      </c>
      <c r="F751" s="136" t="s">
        <v>183</v>
      </c>
      <c r="G751" s="246">
        <v>54950</v>
      </c>
      <c r="H751" s="246">
        <v>62800</v>
      </c>
      <c r="I751" s="246">
        <v>70650</v>
      </c>
      <c r="J751" s="246">
        <v>78500</v>
      </c>
      <c r="K751" s="246">
        <v>84800</v>
      </c>
      <c r="L751" s="246">
        <v>91100</v>
      </c>
      <c r="M751" s="246">
        <v>97350</v>
      </c>
      <c r="N751" s="246">
        <v>103650</v>
      </c>
    </row>
    <row r="752" spans="3:14" ht="21.95" customHeight="1" x14ac:dyDescent="0.25">
      <c r="C752" s="139" t="str">
        <f t="shared" si="27"/>
        <v>IA_FRANKLIN COUNTY, IA</v>
      </c>
      <c r="D752" s="136" t="s">
        <v>90</v>
      </c>
      <c r="E752" s="262" t="s">
        <v>3407</v>
      </c>
      <c r="F752" s="136" t="s">
        <v>183</v>
      </c>
      <c r="G752" s="246">
        <v>51550</v>
      </c>
      <c r="H752" s="246">
        <v>58900</v>
      </c>
      <c r="I752" s="246">
        <v>66250</v>
      </c>
      <c r="J752" s="246">
        <v>73600</v>
      </c>
      <c r="K752" s="246">
        <v>79500</v>
      </c>
      <c r="L752" s="246">
        <v>85400</v>
      </c>
      <c r="M752" s="246">
        <v>91300</v>
      </c>
      <c r="N752" s="246">
        <v>97200</v>
      </c>
    </row>
    <row r="753" spans="3:14" ht="21.95" customHeight="1" x14ac:dyDescent="0.25">
      <c r="C753" s="139" t="str">
        <f t="shared" si="27"/>
        <v>IA_FREMONT COUNTY, IA</v>
      </c>
      <c r="D753" s="136" t="s">
        <v>90</v>
      </c>
      <c r="E753" s="262" t="s">
        <v>3408</v>
      </c>
      <c r="F753" s="136" t="s">
        <v>183</v>
      </c>
      <c r="G753" s="246">
        <v>53800</v>
      </c>
      <c r="H753" s="246">
        <v>61450</v>
      </c>
      <c r="I753" s="246">
        <v>69150</v>
      </c>
      <c r="J753" s="246">
        <v>76800</v>
      </c>
      <c r="K753" s="246">
        <v>82950</v>
      </c>
      <c r="L753" s="246">
        <v>89100</v>
      </c>
      <c r="M753" s="246">
        <v>95250</v>
      </c>
      <c r="N753" s="246">
        <v>101400</v>
      </c>
    </row>
    <row r="754" spans="3:14" ht="21.95" customHeight="1" x14ac:dyDescent="0.25">
      <c r="C754" s="139" t="str">
        <f t="shared" si="27"/>
        <v>IA_GREENE COUNTY, IA</v>
      </c>
      <c r="D754" s="136" t="s">
        <v>90</v>
      </c>
      <c r="E754" s="262" t="s">
        <v>3409</v>
      </c>
      <c r="F754" s="136" t="s">
        <v>183</v>
      </c>
      <c r="G754" s="246">
        <v>51550</v>
      </c>
      <c r="H754" s="246">
        <v>58900</v>
      </c>
      <c r="I754" s="246">
        <v>66250</v>
      </c>
      <c r="J754" s="246">
        <v>73600</v>
      </c>
      <c r="K754" s="246">
        <v>79500</v>
      </c>
      <c r="L754" s="246">
        <v>85400</v>
      </c>
      <c r="M754" s="246">
        <v>91300</v>
      </c>
      <c r="N754" s="246">
        <v>97200</v>
      </c>
    </row>
    <row r="755" spans="3:14" ht="21.95" customHeight="1" x14ac:dyDescent="0.25">
      <c r="C755" s="139" t="str">
        <f t="shared" si="27"/>
        <v>IA_HAMILTON COUNTY, IA</v>
      </c>
      <c r="D755" s="136" t="s">
        <v>90</v>
      </c>
      <c r="E755" s="262" t="s">
        <v>3410</v>
      </c>
      <c r="F755" s="136" t="s">
        <v>183</v>
      </c>
      <c r="G755" s="246">
        <v>53050</v>
      </c>
      <c r="H755" s="246">
        <v>60600</v>
      </c>
      <c r="I755" s="246">
        <v>68200</v>
      </c>
      <c r="J755" s="246">
        <v>75750</v>
      </c>
      <c r="K755" s="246">
        <v>81850</v>
      </c>
      <c r="L755" s="246">
        <v>87900</v>
      </c>
      <c r="M755" s="246">
        <v>93950</v>
      </c>
      <c r="N755" s="246">
        <v>100000</v>
      </c>
    </row>
    <row r="756" spans="3:14" ht="21.95" customHeight="1" x14ac:dyDescent="0.25">
      <c r="C756" s="139" t="str">
        <f t="shared" si="27"/>
        <v>IA_HANCOCK COUNTY, IA</v>
      </c>
      <c r="D756" s="136" t="s">
        <v>90</v>
      </c>
      <c r="E756" s="262" t="s">
        <v>3411</v>
      </c>
      <c r="F756" s="136" t="s">
        <v>183</v>
      </c>
      <c r="G756" s="246">
        <v>51550</v>
      </c>
      <c r="H756" s="246">
        <v>58900</v>
      </c>
      <c r="I756" s="246">
        <v>66250</v>
      </c>
      <c r="J756" s="246">
        <v>73600</v>
      </c>
      <c r="K756" s="246">
        <v>79500</v>
      </c>
      <c r="L756" s="246">
        <v>85400</v>
      </c>
      <c r="M756" s="246">
        <v>91300</v>
      </c>
      <c r="N756" s="246">
        <v>97200</v>
      </c>
    </row>
    <row r="757" spans="3:14" ht="21.95" customHeight="1" x14ac:dyDescent="0.25">
      <c r="C757" s="139" t="str">
        <f t="shared" si="27"/>
        <v>IA_HARDIN COUNTY, IA</v>
      </c>
      <c r="D757" s="136" t="s">
        <v>90</v>
      </c>
      <c r="E757" s="262" t="s">
        <v>3412</v>
      </c>
      <c r="F757" s="136" t="s">
        <v>183</v>
      </c>
      <c r="G757" s="246">
        <v>51550</v>
      </c>
      <c r="H757" s="246">
        <v>58900</v>
      </c>
      <c r="I757" s="246">
        <v>66250</v>
      </c>
      <c r="J757" s="246">
        <v>73600</v>
      </c>
      <c r="K757" s="246">
        <v>79500</v>
      </c>
      <c r="L757" s="246">
        <v>85400</v>
      </c>
      <c r="M757" s="246">
        <v>91300</v>
      </c>
      <c r="N757" s="246">
        <v>97200</v>
      </c>
    </row>
    <row r="758" spans="3:14" ht="21.95" customHeight="1" x14ac:dyDescent="0.25">
      <c r="C758" s="139" t="str">
        <f t="shared" si="27"/>
        <v>IA_HENRY COUNTY, IA</v>
      </c>
      <c r="D758" s="136" t="s">
        <v>90</v>
      </c>
      <c r="E758" s="262" t="s">
        <v>3413</v>
      </c>
      <c r="F758" s="136" t="s">
        <v>183</v>
      </c>
      <c r="G758" s="246">
        <v>51550</v>
      </c>
      <c r="H758" s="246">
        <v>58900</v>
      </c>
      <c r="I758" s="246">
        <v>66250</v>
      </c>
      <c r="J758" s="246">
        <v>73600</v>
      </c>
      <c r="K758" s="246">
        <v>79500</v>
      </c>
      <c r="L758" s="246">
        <v>85400</v>
      </c>
      <c r="M758" s="246">
        <v>91300</v>
      </c>
      <c r="N758" s="246">
        <v>97200</v>
      </c>
    </row>
    <row r="759" spans="3:14" ht="21.95" customHeight="1" x14ac:dyDescent="0.25">
      <c r="C759" s="139" t="str">
        <f t="shared" si="27"/>
        <v>IA_HOWARD COUNTY, IA</v>
      </c>
      <c r="D759" s="136" t="s">
        <v>90</v>
      </c>
      <c r="E759" s="262" t="s">
        <v>3414</v>
      </c>
      <c r="F759" s="136" t="s">
        <v>183</v>
      </c>
      <c r="G759" s="246">
        <v>51550</v>
      </c>
      <c r="H759" s="246">
        <v>58900</v>
      </c>
      <c r="I759" s="246">
        <v>66250</v>
      </c>
      <c r="J759" s="246">
        <v>73600</v>
      </c>
      <c r="K759" s="246">
        <v>79500</v>
      </c>
      <c r="L759" s="246">
        <v>85400</v>
      </c>
      <c r="M759" s="246">
        <v>91300</v>
      </c>
      <c r="N759" s="246">
        <v>97200</v>
      </c>
    </row>
    <row r="760" spans="3:14" ht="21.95" customHeight="1" x14ac:dyDescent="0.25">
      <c r="C760" s="139" t="str">
        <f t="shared" si="27"/>
        <v>IA_HUMBOLDT COUNTY, IA</v>
      </c>
      <c r="D760" s="136" t="s">
        <v>90</v>
      </c>
      <c r="E760" s="262" t="s">
        <v>3415</v>
      </c>
      <c r="F760" s="136" t="s">
        <v>183</v>
      </c>
      <c r="G760" s="246">
        <v>51550</v>
      </c>
      <c r="H760" s="246">
        <v>58900</v>
      </c>
      <c r="I760" s="246">
        <v>66250</v>
      </c>
      <c r="J760" s="246">
        <v>73600</v>
      </c>
      <c r="K760" s="246">
        <v>79500</v>
      </c>
      <c r="L760" s="246">
        <v>85400</v>
      </c>
      <c r="M760" s="246">
        <v>91300</v>
      </c>
      <c r="N760" s="246">
        <v>97200</v>
      </c>
    </row>
    <row r="761" spans="3:14" ht="21.95" customHeight="1" x14ac:dyDescent="0.25">
      <c r="C761" s="139" t="str">
        <f t="shared" si="27"/>
        <v>IA_IDA COUNTY, IA</v>
      </c>
      <c r="D761" s="136" t="s">
        <v>90</v>
      </c>
      <c r="E761" s="262" t="s">
        <v>3416</v>
      </c>
      <c r="F761" s="136" t="s">
        <v>183</v>
      </c>
      <c r="G761" s="246">
        <v>51550</v>
      </c>
      <c r="H761" s="246">
        <v>58900</v>
      </c>
      <c r="I761" s="246">
        <v>66250</v>
      </c>
      <c r="J761" s="246">
        <v>73600</v>
      </c>
      <c r="K761" s="246">
        <v>79500</v>
      </c>
      <c r="L761" s="246">
        <v>85400</v>
      </c>
      <c r="M761" s="246">
        <v>91300</v>
      </c>
      <c r="N761" s="246">
        <v>97200</v>
      </c>
    </row>
    <row r="762" spans="3:14" ht="21.95" customHeight="1" x14ac:dyDescent="0.25">
      <c r="C762" s="139" t="str">
        <f t="shared" si="27"/>
        <v>IA_IOWA CITY, IA HUD METRO FMR AREA</v>
      </c>
      <c r="D762" s="136" t="s">
        <v>90</v>
      </c>
      <c r="E762" s="262" t="s">
        <v>3417</v>
      </c>
      <c r="F762" s="136" t="s">
        <v>183</v>
      </c>
      <c r="G762" s="246">
        <v>66200</v>
      </c>
      <c r="H762" s="246">
        <v>75650</v>
      </c>
      <c r="I762" s="246">
        <v>85100</v>
      </c>
      <c r="J762" s="246">
        <v>94550</v>
      </c>
      <c r="K762" s="246">
        <v>102150</v>
      </c>
      <c r="L762" s="246">
        <v>109700</v>
      </c>
      <c r="M762" s="246">
        <v>117250</v>
      </c>
      <c r="N762" s="246">
        <v>124850</v>
      </c>
    </row>
    <row r="763" spans="3:14" ht="21.95" customHeight="1" x14ac:dyDescent="0.25">
      <c r="C763" s="139" t="str">
        <f t="shared" si="27"/>
        <v>IA_IOWA COUNTY, IA</v>
      </c>
      <c r="D763" s="136" t="s">
        <v>90</v>
      </c>
      <c r="E763" s="262" t="s">
        <v>3418</v>
      </c>
      <c r="F763" s="136" t="s">
        <v>183</v>
      </c>
      <c r="G763" s="246">
        <v>56100</v>
      </c>
      <c r="H763" s="246">
        <v>64100</v>
      </c>
      <c r="I763" s="246">
        <v>72100</v>
      </c>
      <c r="J763" s="246">
        <v>80100</v>
      </c>
      <c r="K763" s="246">
        <v>86550</v>
      </c>
      <c r="L763" s="246">
        <v>92950</v>
      </c>
      <c r="M763" s="246">
        <v>99350</v>
      </c>
      <c r="N763" s="246">
        <v>105750</v>
      </c>
    </row>
    <row r="764" spans="3:14" ht="21.95" customHeight="1" x14ac:dyDescent="0.25">
      <c r="C764" s="139" t="str">
        <f t="shared" si="27"/>
        <v>IA_JACKSON COUNTY, IA</v>
      </c>
      <c r="D764" s="136" t="s">
        <v>90</v>
      </c>
      <c r="E764" s="262" t="s">
        <v>3419</v>
      </c>
      <c r="F764" s="136" t="s">
        <v>183</v>
      </c>
      <c r="G764" s="246">
        <v>53300</v>
      </c>
      <c r="H764" s="246">
        <v>60900</v>
      </c>
      <c r="I764" s="246">
        <v>68500</v>
      </c>
      <c r="J764" s="246">
        <v>76100</v>
      </c>
      <c r="K764" s="246">
        <v>82200</v>
      </c>
      <c r="L764" s="246">
        <v>88300</v>
      </c>
      <c r="M764" s="246">
        <v>94400</v>
      </c>
      <c r="N764" s="246">
        <v>100500</v>
      </c>
    </row>
    <row r="765" spans="3:14" ht="21.95" customHeight="1" x14ac:dyDescent="0.25">
      <c r="C765" s="139" t="str">
        <f t="shared" si="27"/>
        <v>IA_JASPER COUNTY, IA HUD METRO FMR AREA</v>
      </c>
      <c r="D765" s="136" t="s">
        <v>90</v>
      </c>
      <c r="E765" s="262" t="s">
        <v>3420</v>
      </c>
      <c r="F765" s="136" t="s">
        <v>183</v>
      </c>
      <c r="G765" s="246">
        <v>53050</v>
      </c>
      <c r="H765" s="246">
        <v>60600</v>
      </c>
      <c r="I765" s="246">
        <v>68200</v>
      </c>
      <c r="J765" s="246">
        <v>75750</v>
      </c>
      <c r="K765" s="246">
        <v>81850</v>
      </c>
      <c r="L765" s="246">
        <v>87900</v>
      </c>
      <c r="M765" s="246">
        <v>93950</v>
      </c>
      <c r="N765" s="246">
        <v>100000</v>
      </c>
    </row>
    <row r="766" spans="3:14" ht="21.95" customHeight="1" x14ac:dyDescent="0.25">
      <c r="C766" s="139" t="str">
        <f t="shared" si="27"/>
        <v>IA_JEFFERSON COUNTY, IA</v>
      </c>
      <c r="D766" s="136" t="s">
        <v>90</v>
      </c>
      <c r="E766" s="262" t="s">
        <v>3421</v>
      </c>
      <c r="F766" s="136" t="s">
        <v>183</v>
      </c>
      <c r="G766" s="246">
        <v>51550</v>
      </c>
      <c r="H766" s="246">
        <v>58900</v>
      </c>
      <c r="I766" s="246">
        <v>66250</v>
      </c>
      <c r="J766" s="246">
        <v>73600</v>
      </c>
      <c r="K766" s="246">
        <v>79500</v>
      </c>
      <c r="L766" s="246">
        <v>85400</v>
      </c>
      <c r="M766" s="246">
        <v>91300</v>
      </c>
      <c r="N766" s="246">
        <v>97200</v>
      </c>
    </row>
    <row r="767" spans="3:14" ht="21.95" customHeight="1" x14ac:dyDescent="0.25">
      <c r="C767" s="139" t="str">
        <f t="shared" si="27"/>
        <v>IA_JONES COUNTY, IA HUD METRO FMR AREA</v>
      </c>
      <c r="D767" s="136" t="s">
        <v>90</v>
      </c>
      <c r="E767" s="262" t="s">
        <v>3422</v>
      </c>
      <c r="F767" s="136" t="s">
        <v>183</v>
      </c>
      <c r="G767" s="246">
        <v>56750</v>
      </c>
      <c r="H767" s="246">
        <v>64850</v>
      </c>
      <c r="I767" s="246">
        <v>72950</v>
      </c>
      <c r="J767" s="246">
        <v>81050</v>
      </c>
      <c r="K767" s="246">
        <v>87550</v>
      </c>
      <c r="L767" s="246">
        <v>94050</v>
      </c>
      <c r="M767" s="246">
        <v>100550</v>
      </c>
      <c r="N767" s="246">
        <v>107000</v>
      </c>
    </row>
    <row r="768" spans="3:14" ht="21.95" customHeight="1" x14ac:dyDescent="0.25">
      <c r="C768" s="139" t="str">
        <f t="shared" ref="C768:C831" si="28">TRIM(UPPER(D768))&amp;"_"&amp;TRIM(UPPER(E768))</f>
        <v>IA_KEOKUK COUNTY, IA</v>
      </c>
      <c r="D768" s="136" t="s">
        <v>90</v>
      </c>
      <c r="E768" s="262" t="s">
        <v>3423</v>
      </c>
      <c r="F768" s="136" t="s">
        <v>183</v>
      </c>
      <c r="G768" s="246">
        <v>51550</v>
      </c>
      <c r="H768" s="246">
        <v>58900</v>
      </c>
      <c r="I768" s="246">
        <v>66250</v>
      </c>
      <c r="J768" s="246">
        <v>73600</v>
      </c>
      <c r="K768" s="246">
        <v>79500</v>
      </c>
      <c r="L768" s="246">
        <v>85400</v>
      </c>
      <c r="M768" s="246">
        <v>91300</v>
      </c>
      <c r="N768" s="246">
        <v>97200</v>
      </c>
    </row>
    <row r="769" spans="3:14" ht="21.95" customHeight="1" x14ac:dyDescent="0.25">
      <c r="C769" s="139" t="str">
        <f t="shared" si="28"/>
        <v>IA_KOSSUTH COUNTY, IA</v>
      </c>
      <c r="D769" s="136" t="s">
        <v>90</v>
      </c>
      <c r="E769" s="262" t="s">
        <v>3424</v>
      </c>
      <c r="F769" s="136" t="s">
        <v>183</v>
      </c>
      <c r="G769" s="246">
        <v>52200</v>
      </c>
      <c r="H769" s="246">
        <v>59650</v>
      </c>
      <c r="I769" s="246">
        <v>67100</v>
      </c>
      <c r="J769" s="246">
        <v>74550</v>
      </c>
      <c r="K769" s="246">
        <v>80550</v>
      </c>
      <c r="L769" s="246">
        <v>86500</v>
      </c>
      <c r="M769" s="246">
        <v>92450</v>
      </c>
      <c r="N769" s="246">
        <v>98450</v>
      </c>
    </row>
    <row r="770" spans="3:14" ht="21.95" customHeight="1" x14ac:dyDescent="0.25">
      <c r="C770" s="139" t="str">
        <f t="shared" si="28"/>
        <v>IA_LEE COUNTY, IA</v>
      </c>
      <c r="D770" s="136" t="s">
        <v>90</v>
      </c>
      <c r="E770" s="262" t="s">
        <v>3425</v>
      </c>
      <c r="F770" s="136" t="s">
        <v>183</v>
      </c>
      <c r="G770" s="246">
        <v>51550</v>
      </c>
      <c r="H770" s="246">
        <v>58900</v>
      </c>
      <c r="I770" s="246">
        <v>66250</v>
      </c>
      <c r="J770" s="246">
        <v>73600</v>
      </c>
      <c r="K770" s="246">
        <v>79500</v>
      </c>
      <c r="L770" s="246">
        <v>85400</v>
      </c>
      <c r="M770" s="246">
        <v>91300</v>
      </c>
      <c r="N770" s="246">
        <v>97200</v>
      </c>
    </row>
    <row r="771" spans="3:14" ht="21.95" customHeight="1" x14ac:dyDescent="0.25">
      <c r="C771" s="139" t="str">
        <f t="shared" si="28"/>
        <v>IA_LOUISA COUNTY, IA</v>
      </c>
      <c r="D771" s="136" t="s">
        <v>90</v>
      </c>
      <c r="E771" s="262" t="s">
        <v>3426</v>
      </c>
      <c r="F771" s="136" t="s">
        <v>183</v>
      </c>
      <c r="G771" s="246">
        <v>53850</v>
      </c>
      <c r="H771" s="246">
        <v>61550</v>
      </c>
      <c r="I771" s="246">
        <v>69250</v>
      </c>
      <c r="J771" s="246">
        <v>76900</v>
      </c>
      <c r="K771" s="246">
        <v>83100</v>
      </c>
      <c r="L771" s="246">
        <v>89250</v>
      </c>
      <c r="M771" s="246">
        <v>95400</v>
      </c>
      <c r="N771" s="246">
        <v>101550</v>
      </c>
    </row>
    <row r="772" spans="3:14" ht="21.95" customHeight="1" x14ac:dyDescent="0.25">
      <c r="C772" s="139" t="str">
        <f t="shared" si="28"/>
        <v>IA_LUCAS COUNTY, IA</v>
      </c>
      <c r="D772" s="136" t="s">
        <v>90</v>
      </c>
      <c r="E772" s="262" t="s">
        <v>3427</v>
      </c>
      <c r="F772" s="136" t="s">
        <v>183</v>
      </c>
      <c r="G772" s="246">
        <v>51550</v>
      </c>
      <c r="H772" s="246">
        <v>58900</v>
      </c>
      <c r="I772" s="246">
        <v>66250</v>
      </c>
      <c r="J772" s="246">
        <v>73600</v>
      </c>
      <c r="K772" s="246">
        <v>79500</v>
      </c>
      <c r="L772" s="246">
        <v>85400</v>
      </c>
      <c r="M772" s="246">
        <v>91300</v>
      </c>
      <c r="N772" s="246">
        <v>97200</v>
      </c>
    </row>
    <row r="773" spans="3:14" ht="21.95" customHeight="1" x14ac:dyDescent="0.25">
      <c r="C773" s="139" t="str">
        <f t="shared" si="28"/>
        <v>IA_LYON COUNTY, IA</v>
      </c>
      <c r="D773" s="136" t="s">
        <v>90</v>
      </c>
      <c r="E773" s="262" t="s">
        <v>3428</v>
      </c>
      <c r="F773" s="136" t="s">
        <v>183</v>
      </c>
      <c r="G773" s="246">
        <v>53350</v>
      </c>
      <c r="H773" s="246">
        <v>60950</v>
      </c>
      <c r="I773" s="246">
        <v>68550</v>
      </c>
      <c r="J773" s="246">
        <v>76150</v>
      </c>
      <c r="K773" s="246">
        <v>82250</v>
      </c>
      <c r="L773" s="246">
        <v>88350</v>
      </c>
      <c r="M773" s="246">
        <v>94450</v>
      </c>
      <c r="N773" s="246">
        <v>100550</v>
      </c>
    </row>
    <row r="774" spans="3:14" ht="21.95" customHeight="1" x14ac:dyDescent="0.25">
      <c r="C774" s="139" t="str">
        <f t="shared" si="28"/>
        <v>IA_MAHASKA COUNTY, IA</v>
      </c>
      <c r="D774" s="136" t="s">
        <v>90</v>
      </c>
      <c r="E774" s="262" t="s">
        <v>3429</v>
      </c>
      <c r="F774" s="136" t="s">
        <v>183</v>
      </c>
      <c r="G774" s="246">
        <v>51550</v>
      </c>
      <c r="H774" s="246">
        <v>58900</v>
      </c>
      <c r="I774" s="246">
        <v>66250</v>
      </c>
      <c r="J774" s="246">
        <v>73600</v>
      </c>
      <c r="K774" s="246">
        <v>79500</v>
      </c>
      <c r="L774" s="246">
        <v>85400</v>
      </c>
      <c r="M774" s="246">
        <v>91300</v>
      </c>
      <c r="N774" s="246">
        <v>97200</v>
      </c>
    </row>
    <row r="775" spans="3:14" ht="21.95" customHeight="1" x14ac:dyDescent="0.25">
      <c r="C775" s="139" t="str">
        <f t="shared" si="28"/>
        <v>IA_MARION COUNTY, IA</v>
      </c>
      <c r="D775" s="136" t="s">
        <v>90</v>
      </c>
      <c r="E775" s="262" t="s">
        <v>3430</v>
      </c>
      <c r="F775" s="136" t="s">
        <v>183</v>
      </c>
      <c r="G775" s="246">
        <v>58600</v>
      </c>
      <c r="H775" s="246">
        <v>67000</v>
      </c>
      <c r="I775" s="246">
        <v>75350</v>
      </c>
      <c r="J775" s="246">
        <v>83700</v>
      </c>
      <c r="K775" s="246">
        <v>90400</v>
      </c>
      <c r="L775" s="246">
        <v>97100</v>
      </c>
      <c r="M775" s="246">
        <v>103800</v>
      </c>
      <c r="N775" s="246">
        <v>110500</v>
      </c>
    </row>
    <row r="776" spans="3:14" ht="21.95" customHeight="1" x14ac:dyDescent="0.25">
      <c r="C776" s="139" t="str">
        <f t="shared" si="28"/>
        <v>IA_MARSHALL COUNTY, IA</v>
      </c>
      <c r="D776" s="136" t="s">
        <v>90</v>
      </c>
      <c r="E776" s="262" t="s">
        <v>3431</v>
      </c>
      <c r="F776" s="136" t="s">
        <v>183</v>
      </c>
      <c r="G776" s="246">
        <v>53100</v>
      </c>
      <c r="H776" s="246">
        <v>60700</v>
      </c>
      <c r="I776" s="246">
        <v>68300</v>
      </c>
      <c r="J776" s="246">
        <v>75850</v>
      </c>
      <c r="K776" s="246">
        <v>81950</v>
      </c>
      <c r="L776" s="246">
        <v>88000</v>
      </c>
      <c r="M776" s="246">
        <v>94100</v>
      </c>
      <c r="N776" s="246">
        <v>100150</v>
      </c>
    </row>
    <row r="777" spans="3:14" ht="21.95" customHeight="1" x14ac:dyDescent="0.25">
      <c r="C777" s="139" t="str">
        <f t="shared" si="28"/>
        <v>IA_MITCHELL COUNTY, IA</v>
      </c>
      <c r="D777" s="136" t="s">
        <v>90</v>
      </c>
      <c r="E777" s="262" t="s">
        <v>3432</v>
      </c>
      <c r="F777" s="136" t="s">
        <v>183</v>
      </c>
      <c r="G777" s="246">
        <v>53450</v>
      </c>
      <c r="H777" s="246">
        <v>61050</v>
      </c>
      <c r="I777" s="246">
        <v>68700</v>
      </c>
      <c r="J777" s="246">
        <v>76300</v>
      </c>
      <c r="K777" s="246">
        <v>82450</v>
      </c>
      <c r="L777" s="246">
        <v>88550</v>
      </c>
      <c r="M777" s="246">
        <v>94650</v>
      </c>
      <c r="N777" s="246">
        <v>100750</v>
      </c>
    </row>
    <row r="778" spans="3:14" ht="21.95" customHeight="1" x14ac:dyDescent="0.25">
      <c r="C778" s="139" t="str">
        <f t="shared" si="28"/>
        <v>IA_MONONA COUNTY, IA</v>
      </c>
      <c r="D778" s="136" t="s">
        <v>90</v>
      </c>
      <c r="E778" s="262" t="s">
        <v>3433</v>
      </c>
      <c r="F778" s="136" t="s">
        <v>183</v>
      </c>
      <c r="G778" s="246">
        <v>51550</v>
      </c>
      <c r="H778" s="246">
        <v>58900</v>
      </c>
      <c r="I778" s="246">
        <v>66250</v>
      </c>
      <c r="J778" s="246">
        <v>73600</v>
      </c>
      <c r="K778" s="246">
        <v>79500</v>
      </c>
      <c r="L778" s="246">
        <v>85400</v>
      </c>
      <c r="M778" s="246">
        <v>91300</v>
      </c>
      <c r="N778" s="246">
        <v>97200</v>
      </c>
    </row>
    <row r="779" spans="3:14" ht="21.95" customHeight="1" x14ac:dyDescent="0.25">
      <c r="C779" s="139" t="str">
        <f t="shared" si="28"/>
        <v>IA_MONROE COUNTY, IA</v>
      </c>
      <c r="D779" s="136" t="s">
        <v>90</v>
      </c>
      <c r="E779" s="262" t="s">
        <v>3434</v>
      </c>
      <c r="F779" s="136" t="s">
        <v>183</v>
      </c>
      <c r="G779" s="246">
        <v>51550</v>
      </c>
      <c r="H779" s="246">
        <v>58900</v>
      </c>
      <c r="I779" s="246">
        <v>66250</v>
      </c>
      <c r="J779" s="246">
        <v>73600</v>
      </c>
      <c r="K779" s="246">
        <v>79500</v>
      </c>
      <c r="L779" s="246">
        <v>85400</v>
      </c>
      <c r="M779" s="246">
        <v>91300</v>
      </c>
      <c r="N779" s="246">
        <v>97200</v>
      </c>
    </row>
    <row r="780" spans="3:14" ht="21.95" customHeight="1" x14ac:dyDescent="0.25">
      <c r="C780" s="139" t="str">
        <f t="shared" si="28"/>
        <v>IA_MONTGOMERY COUNTY, IA</v>
      </c>
      <c r="D780" s="136" t="s">
        <v>90</v>
      </c>
      <c r="E780" s="262" t="s">
        <v>3435</v>
      </c>
      <c r="F780" s="136" t="s">
        <v>183</v>
      </c>
      <c r="G780" s="246">
        <v>51550</v>
      </c>
      <c r="H780" s="246">
        <v>58900</v>
      </c>
      <c r="I780" s="246">
        <v>66250</v>
      </c>
      <c r="J780" s="246">
        <v>73600</v>
      </c>
      <c r="K780" s="246">
        <v>79500</v>
      </c>
      <c r="L780" s="246">
        <v>85400</v>
      </c>
      <c r="M780" s="246">
        <v>91300</v>
      </c>
      <c r="N780" s="246">
        <v>97200</v>
      </c>
    </row>
    <row r="781" spans="3:14" ht="21.95" customHeight="1" x14ac:dyDescent="0.25">
      <c r="C781" s="139" t="str">
        <f t="shared" si="28"/>
        <v>IA_MUSCATINE COUNTY, IA</v>
      </c>
      <c r="D781" s="136" t="s">
        <v>90</v>
      </c>
      <c r="E781" s="262" t="s">
        <v>3436</v>
      </c>
      <c r="F781" s="136" t="s">
        <v>183</v>
      </c>
      <c r="G781" s="246">
        <v>53300</v>
      </c>
      <c r="H781" s="246">
        <v>60900</v>
      </c>
      <c r="I781" s="246">
        <v>68500</v>
      </c>
      <c r="J781" s="246">
        <v>76100</v>
      </c>
      <c r="K781" s="246">
        <v>82200</v>
      </c>
      <c r="L781" s="246">
        <v>88300</v>
      </c>
      <c r="M781" s="246">
        <v>94400</v>
      </c>
      <c r="N781" s="246">
        <v>100500</v>
      </c>
    </row>
    <row r="782" spans="3:14" ht="21.95" customHeight="1" x14ac:dyDescent="0.25">
      <c r="C782" s="139" t="str">
        <f t="shared" si="28"/>
        <v>IA_O'BRIEN COUNTY, IA</v>
      </c>
      <c r="D782" s="136" t="s">
        <v>90</v>
      </c>
      <c r="E782" s="262" t="s">
        <v>3437</v>
      </c>
      <c r="F782" s="136" t="s">
        <v>183</v>
      </c>
      <c r="G782" s="246">
        <v>56600</v>
      </c>
      <c r="H782" s="246">
        <v>64650</v>
      </c>
      <c r="I782" s="246">
        <v>72750</v>
      </c>
      <c r="J782" s="246">
        <v>80800</v>
      </c>
      <c r="K782" s="246">
        <v>87300</v>
      </c>
      <c r="L782" s="246">
        <v>93750</v>
      </c>
      <c r="M782" s="246">
        <v>100200</v>
      </c>
      <c r="N782" s="246">
        <v>106700</v>
      </c>
    </row>
    <row r="783" spans="3:14" ht="21.95" customHeight="1" x14ac:dyDescent="0.25">
      <c r="C783" s="139" t="str">
        <f t="shared" si="28"/>
        <v>IA_OMAHA-COUNCIL BLUFFS, NE-IA HUD METRO FMR AREA</v>
      </c>
      <c r="D783" s="136" t="s">
        <v>90</v>
      </c>
      <c r="E783" s="262" t="s">
        <v>3438</v>
      </c>
      <c r="F783" s="136" t="s">
        <v>183</v>
      </c>
      <c r="G783" s="246">
        <v>63700</v>
      </c>
      <c r="H783" s="246">
        <v>72800</v>
      </c>
      <c r="I783" s="246">
        <v>81900</v>
      </c>
      <c r="J783" s="246">
        <v>90950</v>
      </c>
      <c r="K783" s="246">
        <v>98250</v>
      </c>
      <c r="L783" s="246">
        <v>105550</v>
      </c>
      <c r="M783" s="246">
        <v>112800</v>
      </c>
      <c r="N783" s="246">
        <v>120100</v>
      </c>
    </row>
    <row r="784" spans="3:14" ht="21.95" customHeight="1" x14ac:dyDescent="0.25">
      <c r="C784" s="139" t="str">
        <f t="shared" si="28"/>
        <v>IA_OSCEOLA COUNTY, IA</v>
      </c>
      <c r="D784" s="136" t="s">
        <v>90</v>
      </c>
      <c r="E784" s="262" t="s">
        <v>3439</v>
      </c>
      <c r="F784" s="136" t="s">
        <v>183</v>
      </c>
      <c r="G784" s="246">
        <v>51550</v>
      </c>
      <c r="H784" s="246">
        <v>58900</v>
      </c>
      <c r="I784" s="246">
        <v>66250</v>
      </c>
      <c r="J784" s="246">
        <v>73600</v>
      </c>
      <c r="K784" s="246">
        <v>79500</v>
      </c>
      <c r="L784" s="246">
        <v>85400</v>
      </c>
      <c r="M784" s="246">
        <v>91300</v>
      </c>
      <c r="N784" s="246">
        <v>97200</v>
      </c>
    </row>
    <row r="785" spans="3:14" ht="21.95" customHeight="1" x14ac:dyDescent="0.25">
      <c r="C785" s="139" t="str">
        <f t="shared" si="28"/>
        <v>IA_PAGE COUNTY, IA</v>
      </c>
      <c r="D785" s="136" t="s">
        <v>90</v>
      </c>
      <c r="E785" s="262" t="s">
        <v>3440</v>
      </c>
      <c r="F785" s="136" t="s">
        <v>183</v>
      </c>
      <c r="G785" s="246">
        <v>51550</v>
      </c>
      <c r="H785" s="246">
        <v>58900</v>
      </c>
      <c r="I785" s="246">
        <v>66250</v>
      </c>
      <c r="J785" s="246">
        <v>73600</v>
      </c>
      <c r="K785" s="246">
        <v>79500</v>
      </c>
      <c r="L785" s="246">
        <v>85400</v>
      </c>
      <c r="M785" s="246">
        <v>91300</v>
      </c>
      <c r="N785" s="246">
        <v>97200</v>
      </c>
    </row>
    <row r="786" spans="3:14" ht="21.95" customHeight="1" x14ac:dyDescent="0.25">
      <c r="C786" s="139" t="str">
        <f t="shared" si="28"/>
        <v>IA_PALO ALTO COUNTY, IA</v>
      </c>
      <c r="D786" s="136" t="s">
        <v>90</v>
      </c>
      <c r="E786" s="262" t="s">
        <v>3441</v>
      </c>
      <c r="F786" s="136" t="s">
        <v>183</v>
      </c>
      <c r="G786" s="246">
        <v>55850</v>
      </c>
      <c r="H786" s="246">
        <v>63800</v>
      </c>
      <c r="I786" s="246">
        <v>71800</v>
      </c>
      <c r="J786" s="246">
        <v>79750</v>
      </c>
      <c r="K786" s="246">
        <v>86150</v>
      </c>
      <c r="L786" s="246">
        <v>92550</v>
      </c>
      <c r="M786" s="246">
        <v>98900</v>
      </c>
      <c r="N786" s="246">
        <v>105300</v>
      </c>
    </row>
    <row r="787" spans="3:14" ht="21.95" customHeight="1" x14ac:dyDescent="0.25">
      <c r="C787" s="139" t="str">
        <f t="shared" si="28"/>
        <v>IA_PLYMOUTH COUNTY, IA</v>
      </c>
      <c r="D787" s="136" t="s">
        <v>90</v>
      </c>
      <c r="E787" s="262" t="s">
        <v>3442</v>
      </c>
      <c r="F787" s="136" t="s">
        <v>183</v>
      </c>
      <c r="G787" s="246">
        <v>56950</v>
      </c>
      <c r="H787" s="246">
        <v>65100</v>
      </c>
      <c r="I787" s="246">
        <v>73250</v>
      </c>
      <c r="J787" s="246">
        <v>81350</v>
      </c>
      <c r="K787" s="246">
        <v>87900</v>
      </c>
      <c r="L787" s="246">
        <v>94400</v>
      </c>
      <c r="M787" s="246">
        <v>100900</v>
      </c>
      <c r="N787" s="246">
        <v>107400</v>
      </c>
    </row>
    <row r="788" spans="3:14" ht="21.95" customHeight="1" x14ac:dyDescent="0.25">
      <c r="C788" s="139" t="str">
        <f t="shared" si="28"/>
        <v>IA_POCAHONTAS COUNTY, IA</v>
      </c>
      <c r="D788" s="136" t="s">
        <v>90</v>
      </c>
      <c r="E788" s="262" t="s">
        <v>3443</v>
      </c>
      <c r="F788" s="136" t="s">
        <v>183</v>
      </c>
      <c r="G788" s="246">
        <v>51550</v>
      </c>
      <c r="H788" s="246">
        <v>58900</v>
      </c>
      <c r="I788" s="246">
        <v>66250</v>
      </c>
      <c r="J788" s="246">
        <v>73600</v>
      </c>
      <c r="K788" s="246">
        <v>79500</v>
      </c>
      <c r="L788" s="246">
        <v>85400</v>
      </c>
      <c r="M788" s="246">
        <v>91300</v>
      </c>
      <c r="N788" s="246">
        <v>97200</v>
      </c>
    </row>
    <row r="789" spans="3:14" ht="21.95" customHeight="1" x14ac:dyDescent="0.25">
      <c r="C789" s="139" t="str">
        <f t="shared" si="28"/>
        <v>IA_POWESHIEK COUNTY, IA</v>
      </c>
      <c r="D789" s="136" t="s">
        <v>90</v>
      </c>
      <c r="E789" s="262" t="s">
        <v>3444</v>
      </c>
      <c r="F789" s="136" t="s">
        <v>183</v>
      </c>
      <c r="G789" s="246">
        <v>55400</v>
      </c>
      <c r="H789" s="246">
        <v>63300</v>
      </c>
      <c r="I789" s="246">
        <v>71200</v>
      </c>
      <c r="J789" s="246">
        <v>79100</v>
      </c>
      <c r="K789" s="246">
        <v>85450</v>
      </c>
      <c r="L789" s="246">
        <v>91800</v>
      </c>
      <c r="M789" s="246">
        <v>98100</v>
      </c>
      <c r="N789" s="246">
        <v>104450</v>
      </c>
    </row>
    <row r="790" spans="3:14" ht="21.95" customHeight="1" x14ac:dyDescent="0.25">
      <c r="C790" s="139" t="str">
        <f t="shared" si="28"/>
        <v>IA_RINGGOLD COUNTY, IA</v>
      </c>
      <c r="D790" s="136" t="s">
        <v>90</v>
      </c>
      <c r="E790" s="262" t="s">
        <v>3445</v>
      </c>
      <c r="F790" s="136" t="s">
        <v>183</v>
      </c>
      <c r="G790" s="246">
        <v>53050</v>
      </c>
      <c r="H790" s="246">
        <v>60600</v>
      </c>
      <c r="I790" s="246">
        <v>68200</v>
      </c>
      <c r="J790" s="246">
        <v>75750</v>
      </c>
      <c r="K790" s="246">
        <v>81850</v>
      </c>
      <c r="L790" s="246">
        <v>87900</v>
      </c>
      <c r="M790" s="246">
        <v>93950</v>
      </c>
      <c r="N790" s="246">
        <v>100000</v>
      </c>
    </row>
    <row r="791" spans="3:14" ht="21.95" customHeight="1" x14ac:dyDescent="0.25">
      <c r="C791" s="139" t="str">
        <f t="shared" si="28"/>
        <v>IA_SAC COUNTY, IA</v>
      </c>
      <c r="D791" s="136" t="s">
        <v>90</v>
      </c>
      <c r="E791" s="262" t="s">
        <v>3446</v>
      </c>
      <c r="F791" s="136" t="s">
        <v>183</v>
      </c>
      <c r="G791" s="246">
        <v>52850</v>
      </c>
      <c r="H791" s="246">
        <v>60400</v>
      </c>
      <c r="I791" s="246">
        <v>67950</v>
      </c>
      <c r="J791" s="246">
        <v>75450</v>
      </c>
      <c r="K791" s="246">
        <v>81500</v>
      </c>
      <c r="L791" s="246">
        <v>87550</v>
      </c>
      <c r="M791" s="246">
        <v>93600</v>
      </c>
      <c r="N791" s="246">
        <v>99600</v>
      </c>
    </row>
    <row r="792" spans="3:14" ht="21.95" customHeight="1" x14ac:dyDescent="0.25">
      <c r="C792" s="139" t="str">
        <f t="shared" si="28"/>
        <v>IA_SHELBY COUNTY, IA</v>
      </c>
      <c r="D792" s="136" t="s">
        <v>90</v>
      </c>
      <c r="E792" s="262" t="s">
        <v>3447</v>
      </c>
      <c r="F792" s="136" t="s">
        <v>183</v>
      </c>
      <c r="G792" s="246">
        <v>54750</v>
      </c>
      <c r="H792" s="246">
        <v>62550</v>
      </c>
      <c r="I792" s="246">
        <v>70350</v>
      </c>
      <c r="J792" s="246">
        <v>78150</v>
      </c>
      <c r="K792" s="246">
        <v>84450</v>
      </c>
      <c r="L792" s="246">
        <v>90700</v>
      </c>
      <c r="M792" s="246">
        <v>96950</v>
      </c>
      <c r="N792" s="246">
        <v>103200</v>
      </c>
    </row>
    <row r="793" spans="3:14" ht="21.95" customHeight="1" x14ac:dyDescent="0.25">
      <c r="C793" s="139" t="str">
        <f t="shared" si="28"/>
        <v>IA_SIOUX CITY, IA-NE-SD MSA</v>
      </c>
      <c r="D793" s="136" t="s">
        <v>90</v>
      </c>
      <c r="E793" s="262" t="s">
        <v>3448</v>
      </c>
      <c r="F793" s="136" t="s">
        <v>183</v>
      </c>
      <c r="G793" s="246">
        <v>51550</v>
      </c>
      <c r="H793" s="246">
        <v>58900</v>
      </c>
      <c r="I793" s="246">
        <v>66250</v>
      </c>
      <c r="J793" s="246">
        <v>73600</v>
      </c>
      <c r="K793" s="246">
        <v>79500</v>
      </c>
      <c r="L793" s="246">
        <v>85400</v>
      </c>
      <c r="M793" s="246">
        <v>91300</v>
      </c>
      <c r="N793" s="246">
        <v>97200</v>
      </c>
    </row>
    <row r="794" spans="3:14" ht="21.95" customHeight="1" x14ac:dyDescent="0.25">
      <c r="C794" s="139" t="str">
        <f t="shared" si="28"/>
        <v>IA_SIOUX COUNTY, IA</v>
      </c>
      <c r="D794" s="136" t="s">
        <v>90</v>
      </c>
      <c r="E794" s="262" t="s">
        <v>3449</v>
      </c>
      <c r="F794" s="136" t="s">
        <v>183</v>
      </c>
      <c r="G794" s="246">
        <v>61400</v>
      </c>
      <c r="H794" s="246">
        <v>70200</v>
      </c>
      <c r="I794" s="246">
        <v>78950</v>
      </c>
      <c r="J794" s="246">
        <v>87700</v>
      </c>
      <c r="K794" s="246">
        <v>94750</v>
      </c>
      <c r="L794" s="246">
        <v>101750</v>
      </c>
      <c r="M794" s="246">
        <v>108750</v>
      </c>
      <c r="N794" s="246">
        <v>115800</v>
      </c>
    </row>
    <row r="795" spans="3:14" ht="21.95" customHeight="1" x14ac:dyDescent="0.25">
      <c r="C795" s="139" t="str">
        <f t="shared" si="28"/>
        <v>IA_TAMA COUNTY, IA</v>
      </c>
      <c r="D795" s="136" t="s">
        <v>90</v>
      </c>
      <c r="E795" s="262" t="s">
        <v>3450</v>
      </c>
      <c r="F795" s="136" t="s">
        <v>183</v>
      </c>
      <c r="G795" s="246">
        <v>51550</v>
      </c>
      <c r="H795" s="246">
        <v>58900</v>
      </c>
      <c r="I795" s="246">
        <v>66250</v>
      </c>
      <c r="J795" s="246">
        <v>73600</v>
      </c>
      <c r="K795" s="246">
        <v>79500</v>
      </c>
      <c r="L795" s="246">
        <v>85400</v>
      </c>
      <c r="M795" s="246">
        <v>91300</v>
      </c>
      <c r="N795" s="246">
        <v>97200</v>
      </c>
    </row>
    <row r="796" spans="3:14" ht="21.95" customHeight="1" x14ac:dyDescent="0.25">
      <c r="C796" s="139" t="str">
        <f t="shared" si="28"/>
        <v>IA_TAYLOR COUNTY, IA</v>
      </c>
      <c r="D796" s="136" t="s">
        <v>90</v>
      </c>
      <c r="E796" s="262" t="s">
        <v>3451</v>
      </c>
      <c r="F796" s="136" t="s">
        <v>183</v>
      </c>
      <c r="G796" s="246">
        <v>51550</v>
      </c>
      <c r="H796" s="246">
        <v>58900</v>
      </c>
      <c r="I796" s="246">
        <v>66250</v>
      </c>
      <c r="J796" s="246">
        <v>73600</v>
      </c>
      <c r="K796" s="246">
        <v>79500</v>
      </c>
      <c r="L796" s="246">
        <v>85400</v>
      </c>
      <c r="M796" s="246">
        <v>91300</v>
      </c>
      <c r="N796" s="246">
        <v>97200</v>
      </c>
    </row>
    <row r="797" spans="3:14" ht="21.95" customHeight="1" x14ac:dyDescent="0.25">
      <c r="C797" s="139" t="str">
        <f t="shared" si="28"/>
        <v>IA_UNION COUNTY, IA</v>
      </c>
      <c r="D797" s="136" t="s">
        <v>90</v>
      </c>
      <c r="E797" s="262" t="s">
        <v>3452</v>
      </c>
      <c r="F797" s="136" t="s">
        <v>183</v>
      </c>
      <c r="G797" s="246">
        <v>51550</v>
      </c>
      <c r="H797" s="246">
        <v>58900</v>
      </c>
      <c r="I797" s="246">
        <v>66250</v>
      </c>
      <c r="J797" s="246">
        <v>73600</v>
      </c>
      <c r="K797" s="246">
        <v>79500</v>
      </c>
      <c r="L797" s="246">
        <v>85400</v>
      </c>
      <c r="M797" s="246">
        <v>91300</v>
      </c>
      <c r="N797" s="246">
        <v>97200</v>
      </c>
    </row>
    <row r="798" spans="3:14" ht="21.95" customHeight="1" x14ac:dyDescent="0.25">
      <c r="C798" s="139" t="str">
        <f t="shared" si="28"/>
        <v>IA_VAN BUREN COUNTY, IA</v>
      </c>
      <c r="D798" s="136" t="s">
        <v>90</v>
      </c>
      <c r="E798" s="262" t="s">
        <v>3453</v>
      </c>
      <c r="F798" s="136" t="s">
        <v>183</v>
      </c>
      <c r="G798" s="246">
        <v>51550</v>
      </c>
      <c r="H798" s="246">
        <v>58900</v>
      </c>
      <c r="I798" s="246">
        <v>66250</v>
      </c>
      <c r="J798" s="246">
        <v>73600</v>
      </c>
      <c r="K798" s="246">
        <v>79500</v>
      </c>
      <c r="L798" s="246">
        <v>85400</v>
      </c>
      <c r="M798" s="246">
        <v>91300</v>
      </c>
      <c r="N798" s="246">
        <v>97200</v>
      </c>
    </row>
    <row r="799" spans="3:14" ht="21.95" customHeight="1" x14ac:dyDescent="0.25">
      <c r="C799" s="139" t="str">
        <f t="shared" si="28"/>
        <v>IA_WAPELLO COUNTY, IA</v>
      </c>
      <c r="D799" s="136" t="s">
        <v>90</v>
      </c>
      <c r="E799" s="262" t="s">
        <v>3454</v>
      </c>
      <c r="F799" s="136" t="s">
        <v>183</v>
      </c>
      <c r="G799" s="246">
        <v>51550</v>
      </c>
      <c r="H799" s="246">
        <v>58900</v>
      </c>
      <c r="I799" s="246">
        <v>66250</v>
      </c>
      <c r="J799" s="246">
        <v>73600</v>
      </c>
      <c r="K799" s="246">
        <v>79500</v>
      </c>
      <c r="L799" s="246">
        <v>85400</v>
      </c>
      <c r="M799" s="246">
        <v>91300</v>
      </c>
      <c r="N799" s="246">
        <v>97200</v>
      </c>
    </row>
    <row r="800" spans="3:14" ht="21.95" customHeight="1" x14ac:dyDescent="0.25">
      <c r="C800" s="139" t="str">
        <f t="shared" si="28"/>
        <v>IA_WASHINGTON COUNTY, IA HUD METRO FMR AREA</v>
      </c>
      <c r="D800" s="136" t="s">
        <v>90</v>
      </c>
      <c r="E800" s="262" t="s">
        <v>3455</v>
      </c>
      <c r="F800" s="136" t="s">
        <v>183</v>
      </c>
      <c r="G800" s="246">
        <v>53100</v>
      </c>
      <c r="H800" s="246">
        <v>60700</v>
      </c>
      <c r="I800" s="246">
        <v>68300</v>
      </c>
      <c r="J800" s="246">
        <v>75850</v>
      </c>
      <c r="K800" s="246">
        <v>81950</v>
      </c>
      <c r="L800" s="246">
        <v>88000</v>
      </c>
      <c r="M800" s="246">
        <v>94100</v>
      </c>
      <c r="N800" s="246">
        <v>100150</v>
      </c>
    </row>
    <row r="801" spans="3:14" ht="21.95" customHeight="1" x14ac:dyDescent="0.25">
      <c r="C801" s="139" t="str">
        <f t="shared" si="28"/>
        <v>IA_WATERLOO-CEDAR FALLS, IA HUD METRO FMR AREA</v>
      </c>
      <c r="D801" s="136" t="s">
        <v>90</v>
      </c>
      <c r="E801" s="262" t="s">
        <v>3456</v>
      </c>
      <c r="F801" s="136" t="s">
        <v>183</v>
      </c>
      <c r="G801" s="246">
        <v>51550</v>
      </c>
      <c r="H801" s="246">
        <v>58900</v>
      </c>
      <c r="I801" s="246">
        <v>66250</v>
      </c>
      <c r="J801" s="246">
        <v>73600</v>
      </c>
      <c r="K801" s="246">
        <v>79500</v>
      </c>
      <c r="L801" s="246">
        <v>85400</v>
      </c>
      <c r="M801" s="246">
        <v>91300</v>
      </c>
      <c r="N801" s="246">
        <v>97200</v>
      </c>
    </row>
    <row r="802" spans="3:14" ht="21.95" customHeight="1" x14ac:dyDescent="0.25">
      <c r="C802" s="139" t="str">
        <f t="shared" si="28"/>
        <v>IA_WAYNE COUNTY, IA</v>
      </c>
      <c r="D802" s="136" t="s">
        <v>90</v>
      </c>
      <c r="E802" s="262" t="s">
        <v>3457</v>
      </c>
      <c r="F802" s="136" t="s">
        <v>183</v>
      </c>
      <c r="G802" s="246">
        <v>51550</v>
      </c>
      <c r="H802" s="246">
        <v>58900</v>
      </c>
      <c r="I802" s="246">
        <v>66250</v>
      </c>
      <c r="J802" s="246">
        <v>73600</v>
      </c>
      <c r="K802" s="246">
        <v>79500</v>
      </c>
      <c r="L802" s="246">
        <v>85400</v>
      </c>
      <c r="M802" s="246">
        <v>91300</v>
      </c>
      <c r="N802" s="246">
        <v>97200</v>
      </c>
    </row>
    <row r="803" spans="3:14" ht="21.95" customHeight="1" x14ac:dyDescent="0.25">
      <c r="C803" s="139" t="str">
        <f t="shared" si="28"/>
        <v>IA_WEBSTER COUNTY, IA</v>
      </c>
      <c r="D803" s="136" t="s">
        <v>90</v>
      </c>
      <c r="E803" s="262" t="s">
        <v>3458</v>
      </c>
      <c r="F803" s="136" t="s">
        <v>183</v>
      </c>
      <c r="G803" s="246">
        <v>53700</v>
      </c>
      <c r="H803" s="246">
        <v>61400</v>
      </c>
      <c r="I803" s="246">
        <v>69050</v>
      </c>
      <c r="J803" s="246">
        <v>76700</v>
      </c>
      <c r="K803" s="246">
        <v>82850</v>
      </c>
      <c r="L803" s="246">
        <v>89000</v>
      </c>
      <c r="M803" s="246">
        <v>95150</v>
      </c>
      <c r="N803" s="246">
        <v>101250</v>
      </c>
    </row>
    <row r="804" spans="3:14" ht="21.95" customHeight="1" x14ac:dyDescent="0.25">
      <c r="C804" s="139" t="str">
        <f t="shared" si="28"/>
        <v>IA_WINNEBAGO COUNTY, IA</v>
      </c>
      <c r="D804" s="136" t="s">
        <v>90</v>
      </c>
      <c r="E804" s="262" t="s">
        <v>3459</v>
      </c>
      <c r="F804" s="136" t="s">
        <v>183</v>
      </c>
      <c r="G804" s="246">
        <v>51550</v>
      </c>
      <c r="H804" s="246">
        <v>58900</v>
      </c>
      <c r="I804" s="246">
        <v>66250</v>
      </c>
      <c r="J804" s="246">
        <v>73600</v>
      </c>
      <c r="K804" s="246">
        <v>79500</v>
      </c>
      <c r="L804" s="246">
        <v>85400</v>
      </c>
      <c r="M804" s="246">
        <v>91300</v>
      </c>
      <c r="N804" s="246">
        <v>97200</v>
      </c>
    </row>
    <row r="805" spans="3:14" ht="21.95" customHeight="1" x14ac:dyDescent="0.25">
      <c r="C805" s="139" t="str">
        <f t="shared" si="28"/>
        <v>IA_WINNESHIEK COUNTY, IA</v>
      </c>
      <c r="D805" s="136" t="s">
        <v>90</v>
      </c>
      <c r="E805" s="262" t="s">
        <v>3460</v>
      </c>
      <c r="F805" s="136" t="s">
        <v>183</v>
      </c>
      <c r="G805" s="246">
        <v>57200</v>
      </c>
      <c r="H805" s="246">
        <v>65400</v>
      </c>
      <c r="I805" s="246">
        <v>73550</v>
      </c>
      <c r="J805" s="246">
        <v>81700</v>
      </c>
      <c r="K805" s="246">
        <v>88250</v>
      </c>
      <c r="L805" s="246">
        <v>94800</v>
      </c>
      <c r="M805" s="246">
        <v>101350</v>
      </c>
      <c r="N805" s="246">
        <v>107850</v>
      </c>
    </row>
    <row r="806" spans="3:14" ht="21.95" customHeight="1" x14ac:dyDescent="0.25">
      <c r="C806" s="139" t="str">
        <f t="shared" si="28"/>
        <v>IA_WORTH COUNTY, IA</v>
      </c>
      <c r="D806" s="136" t="s">
        <v>90</v>
      </c>
      <c r="E806" s="262" t="s">
        <v>3461</v>
      </c>
      <c r="F806" s="136" t="s">
        <v>183</v>
      </c>
      <c r="G806" s="246">
        <v>57000</v>
      </c>
      <c r="H806" s="246">
        <v>65150</v>
      </c>
      <c r="I806" s="246">
        <v>73300</v>
      </c>
      <c r="J806" s="246">
        <v>81400</v>
      </c>
      <c r="K806" s="246">
        <v>87950</v>
      </c>
      <c r="L806" s="246">
        <v>94450</v>
      </c>
      <c r="M806" s="246">
        <v>100950</v>
      </c>
      <c r="N806" s="246">
        <v>107450</v>
      </c>
    </row>
    <row r="807" spans="3:14" ht="21.95" customHeight="1" x14ac:dyDescent="0.25">
      <c r="C807" s="139" t="str">
        <f t="shared" si="28"/>
        <v>IA_WRIGHT COUNTY, IA</v>
      </c>
      <c r="D807" s="136" t="s">
        <v>90</v>
      </c>
      <c r="E807" s="262" t="s">
        <v>3462</v>
      </c>
      <c r="F807" s="136" t="s">
        <v>183</v>
      </c>
      <c r="G807" s="246">
        <v>51550</v>
      </c>
      <c r="H807" s="246">
        <v>58900</v>
      </c>
      <c r="I807" s="246">
        <v>66250</v>
      </c>
      <c r="J807" s="246">
        <v>73600</v>
      </c>
      <c r="K807" s="246">
        <v>79500</v>
      </c>
      <c r="L807" s="246">
        <v>85400</v>
      </c>
      <c r="M807" s="246">
        <v>91300</v>
      </c>
      <c r="N807" s="246">
        <v>97200</v>
      </c>
    </row>
    <row r="808" spans="3:14" ht="21.95" customHeight="1" x14ac:dyDescent="0.25">
      <c r="C808" s="139" t="str">
        <f t="shared" si="28"/>
        <v>ID_ADAMS COUNTY, ID</v>
      </c>
      <c r="D808" s="136" t="s">
        <v>93</v>
      </c>
      <c r="E808" s="262" t="s">
        <v>3463</v>
      </c>
      <c r="F808" s="136" t="s">
        <v>183</v>
      </c>
      <c r="G808" s="246">
        <v>47400</v>
      </c>
      <c r="H808" s="246">
        <v>54200</v>
      </c>
      <c r="I808" s="246">
        <v>60950</v>
      </c>
      <c r="J808" s="246">
        <v>67700</v>
      </c>
      <c r="K808" s="246">
        <v>73150</v>
      </c>
      <c r="L808" s="246">
        <v>78550</v>
      </c>
      <c r="M808" s="246">
        <v>83950</v>
      </c>
      <c r="N808" s="246">
        <v>89400</v>
      </c>
    </row>
    <row r="809" spans="3:14" ht="21.95" customHeight="1" x14ac:dyDescent="0.25">
      <c r="C809" s="139" t="str">
        <f t="shared" si="28"/>
        <v>ID_BEAR LAKE COUNTY, ID</v>
      </c>
      <c r="D809" s="136" t="s">
        <v>93</v>
      </c>
      <c r="E809" s="262" t="s">
        <v>3464</v>
      </c>
      <c r="F809" s="136" t="s">
        <v>183</v>
      </c>
      <c r="G809" s="246">
        <v>52450</v>
      </c>
      <c r="H809" s="246">
        <v>59950</v>
      </c>
      <c r="I809" s="246">
        <v>67450</v>
      </c>
      <c r="J809" s="246">
        <v>74900</v>
      </c>
      <c r="K809" s="246">
        <v>80900</v>
      </c>
      <c r="L809" s="246">
        <v>86900</v>
      </c>
      <c r="M809" s="246">
        <v>92900</v>
      </c>
      <c r="N809" s="246">
        <v>98900</v>
      </c>
    </row>
    <row r="810" spans="3:14" ht="21.95" customHeight="1" x14ac:dyDescent="0.25">
      <c r="C810" s="139" t="str">
        <f t="shared" si="28"/>
        <v>ID_BENEWAH COUNTY, ID</v>
      </c>
      <c r="D810" s="136" t="s">
        <v>93</v>
      </c>
      <c r="E810" s="262" t="s">
        <v>3465</v>
      </c>
      <c r="F810" s="136" t="s">
        <v>183</v>
      </c>
      <c r="G810" s="246">
        <v>47350</v>
      </c>
      <c r="H810" s="246">
        <v>54100</v>
      </c>
      <c r="I810" s="246">
        <v>60850</v>
      </c>
      <c r="J810" s="246">
        <v>67600</v>
      </c>
      <c r="K810" s="246">
        <v>73050</v>
      </c>
      <c r="L810" s="246">
        <v>78450</v>
      </c>
      <c r="M810" s="246">
        <v>83850</v>
      </c>
      <c r="N810" s="246">
        <v>89250</v>
      </c>
    </row>
    <row r="811" spans="3:14" ht="21.95" customHeight="1" x14ac:dyDescent="0.25">
      <c r="C811" s="139" t="str">
        <f t="shared" si="28"/>
        <v>ID_BINGHAM COUNTY, ID</v>
      </c>
      <c r="D811" s="136" t="s">
        <v>93</v>
      </c>
      <c r="E811" s="262" t="s">
        <v>3466</v>
      </c>
      <c r="F811" s="136" t="s">
        <v>183</v>
      </c>
      <c r="G811" s="246">
        <v>51200</v>
      </c>
      <c r="H811" s="246">
        <v>58500</v>
      </c>
      <c r="I811" s="246">
        <v>65800</v>
      </c>
      <c r="J811" s="246">
        <v>73100</v>
      </c>
      <c r="K811" s="246">
        <v>78950</v>
      </c>
      <c r="L811" s="246">
        <v>84800</v>
      </c>
      <c r="M811" s="246">
        <v>90650</v>
      </c>
      <c r="N811" s="246">
        <v>96500</v>
      </c>
    </row>
    <row r="812" spans="3:14" ht="21.95" customHeight="1" x14ac:dyDescent="0.25">
      <c r="C812" s="139" t="str">
        <f t="shared" si="28"/>
        <v>ID_BLAINE COUNTY, ID</v>
      </c>
      <c r="D812" s="136" t="s">
        <v>93</v>
      </c>
      <c r="E812" s="262" t="s">
        <v>3467</v>
      </c>
      <c r="F812" s="136" t="s">
        <v>183</v>
      </c>
      <c r="G812" s="246">
        <v>56250</v>
      </c>
      <c r="H812" s="246">
        <v>64250</v>
      </c>
      <c r="I812" s="246">
        <v>72300</v>
      </c>
      <c r="J812" s="246">
        <v>80300</v>
      </c>
      <c r="K812" s="246">
        <v>86750</v>
      </c>
      <c r="L812" s="246">
        <v>93150</v>
      </c>
      <c r="M812" s="246">
        <v>99600</v>
      </c>
      <c r="N812" s="246">
        <v>106000</v>
      </c>
    </row>
    <row r="813" spans="3:14" ht="21.95" customHeight="1" x14ac:dyDescent="0.25">
      <c r="C813" s="139" t="str">
        <f t="shared" si="28"/>
        <v>ID_BOISE CITY, ID HUD METRO FMR AREA</v>
      </c>
      <c r="D813" s="136" t="s">
        <v>93</v>
      </c>
      <c r="E813" s="262" t="s">
        <v>3468</v>
      </c>
      <c r="F813" s="136" t="s">
        <v>183</v>
      </c>
      <c r="G813" s="246">
        <v>59950</v>
      </c>
      <c r="H813" s="246">
        <v>68500</v>
      </c>
      <c r="I813" s="246">
        <v>77050</v>
      </c>
      <c r="J813" s="246">
        <v>85600</v>
      </c>
      <c r="K813" s="246">
        <v>92450</v>
      </c>
      <c r="L813" s="246">
        <v>99300</v>
      </c>
      <c r="M813" s="246">
        <v>106150</v>
      </c>
      <c r="N813" s="246">
        <v>113000</v>
      </c>
    </row>
    <row r="814" spans="3:14" ht="21.95" customHeight="1" x14ac:dyDescent="0.25">
      <c r="C814" s="139" t="str">
        <f t="shared" si="28"/>
        <v>ID_BONNER COUNTY, ID</v>
      </c>
      <c r="D814" s="136" t="s">
        <v>93</v>
      </c>
      <c r="E814" s="262" t="s">
        <v>3469</v>
      </c>
      <c r="F814" s="136" t="s">
        <v>183</v>
      </c>
      <c r="G814" s="246">
        <v>48550</v>
      </c>
      <c r="H814" s="246">
        <v>55450</v>
      </c>
      <c r="I814" s="246">
        <v>62400</v>
      </c>
      <c r="J814" s="246">
        <v>69300</v>
      </c>
      <c r="K814" s="246">
        <v>74850</v>
      </c>
      <c r="L814" s="246">
        <v>80400</v>
      </c>
      <c r="M814" s="246">
        <v>85950</v>
      </c>
      <c r="N814" s="246">
        <v>91500</v>
      </c>
    </row>
    <row r="815" spans="3:14" ht="21.95" customHeight="1" x14ac:dyDescent="0.25">
      <c r="C815" s="139" t="str">
        <f t="shared" si="28"/>
        <v>ID_BOUNDARY COUNTY, ID</v>
      </c>
      <c r="D815" s="136" t="s">
        <v>93</v>
      </c>
      <c r="E815" s="262" t="s">
        <v>3470</v>
      </c>
      <c r="F815" s="136" t="s">
        <v>183</v>
      </c>
      <c r="G815" s="246">
        <v>48550</v>
      </c>
      <c r="H815" s="246">
        <v>55450</v>
      </c>
      <c r="I815" s="246">
        <v>62400</v>
      </c>
      <c r="J815" s="246">
        <v>69300</v>
      </c>
      <c r="K815" s="246">
        <v>74850</v>
      </c>
      <c r="L815" s="246">
        <v>80400</v>
      </c>
      <c r="M815" s="246">
        <v>85950</v>
      </c>
      <c r="N815" s="246">
        <v>91500</v>
      </c>
    </row>
    <row r="816" spans="3:14" ht="21.95" customHeight="1" x14ac:dyDescent="0.25">
      <c r="C816" s="139" t="str">
        <f t="shared" si="28"/>
        <v>ID_BUTTE COUNTY, ID HUD METRO FMR AREA</v>
      </c>
      <c r="D816" s="136" t="s">
        <v>93</v>
      </c>
      <c r="E816" s="262" t="s">
        <v>3471</v>
      </c>
      <c r="F816" s="136" t="s">
        <v>183</v>
      </c>
      <c r="G816" s="246">
        <v>47350</v>
      </c>
      <c r="H816" s="246">
        <v>54100</v>
      </c>
      <c r="I816" s="246">
        <v>60850</v>
      </c>
      <c r="J816" s="246">
        <v>67600</v>
      </c>
      <c r="K816" s="246">
        <v>73050</v>
      </c>
      <c r="L816" s="246">
        <v>78450</v>
      </c>
      <c r="M816" s="246">
        <v>83850</v>
      </c>
      <c r="N816" s="246">
        <v>89250</v>
      </c>
    </row>
    <row r="817" spans="3:14" ht="21.95" customHeight="1" x14ac:dyDescent="0.25">
      <c r="C817" s="139" t="str">
        <f t="shared" si="28"/>
        <v>ID_CAMAS COUNTY, ID</v>
      </c>
      <c r="D817" s="136" t="s">
        <v>93</v>
      </c>
      <c r="E817" s="262" t="s">
        <v>3472</v>
      </c>
      <c r="F817" s="136" t="s">
        <v>183</v>
      </c>
      <c r="G817" s="246">
        <v>47350</v>
      </c>
      <c r="H817" s="246">
        <v>54100</v>
      </c>
      <c r="I817" s="246">
        <v>60850</v>
      </c>
      <c r="J817" s="246">
        <v>67600</v>
      </c>
      <c r="K817" s="246">
        <v>73050</v>
      </c>
      <c r="L817" s="246">
        <v>78450</v>
      </c>
      <c r="M817" s="246">
        <v>83850</v>
      </c>
      <c r="N817" s="246">
        <v>89250</v>
      </c>
    </row>
    <row r="818" spans="3:14" ht="21.95" customHeight="1" x14ac:dyDescent="0.25">
      <c r="C818" s="139" t="str">
        <f t="shared" si="28"/>
        <v>ID_CARIBOU COUNTY, ID</v>
      </c>
      <c r="D818" s="136" t="s">
        <v>93</v>
      </c>
      <c r="E818" s="262" t="s">
        <v>3473</v>
      </c>
      <c r="F818" s="136" t="s">
        <v>183</v>
      </c>
      <c r="G818" s="246">
        <v>48550</v>
      </c>
      <c r="H818" s="246">
        <v>55450</v>
      </c>
      <c r="I818" s="246">
        <v>62400</v>
      </c>
      <c r="J818" s="246">
        <v>69300</v>
      </c>
      <c r="K818" s="246">
        <v>74850</v>
      </c>
      <c r="L818" s="246">
        <v>80400</v>
      </c>
      <c r="M818" s="246">
        <v>85950</v>
      </c>
      <c r="N818" s="246">
        <v>91500</v>
      </c>
    </row>
    <row r="819" spans="3:14" ht="21.95" customHeight="1" x14ac:dyDescent="0.25">
      <c r="C819" s="139" t="str">
        <f t="shared" si="28"/>
        <v>ID_CASSIA COUNTY, ID</v>
      </c>
      <c r="D819" s="136" t="s">
        <v>93</v>
      </c>
      <c r="E819" s="262" t="s">
        <v>3474</v>
      </c>
      <c r="F819" s="136" t="s">
        <v>183</v>
      </c>
      <c r="G819" s="246">
        <v>47600</v>
      </c>
      <c r="H819" s="246">
        <v>54400</v>
      </c>
      <c r="I819" s="246">
        <v>61200</v>
      </c>
      <c r="J819" s="246">
        <v>68000</v>
      </c>
      <c r="K819" s="246">
        <v>73450</v>
      </c>
      <c r="L819" s="246">
        <v>78900</v>
      </c>
      <c r="M819" s="246">
        <v>84350</v>
      </c>
      <c r="N819" s="246">
        <v>89800</v>
      </c>
    </row>
    <row r="820" spans="3:14" ht="21.95" customHeight="1" x14ac:dyDescent="0.25">
      <c r="C820" s="139" t="str">
        <f t="shared" si="28"/>
        <v>ID_CLARK COUNTY, ID</v>
      </c>
      <c r="D820" s="136" t="s">
        <v>93</v>
      </c>
      <c r="E820" s="262" t="s">
        <v>3475</v>
      </c>
      <c r="F820" s="136" t="s">
        <v>183</v>
      </c>
      <c r="G820" s="246">
        <v>47350</v>
      </c>
      <c r="H820" s="246">
        <v>54100</v>
      </c>
      <c r="I820" s="246">
        <v>60850</v>
      </c>
      <c r="J820" s="246">
        <v>67600</v>
      </c>
      <c r="K820" s="246">
        <v>73050</v>
      </c>
      <c r="L820" s="246">
        <v>78450</v>
      </c>
      <c r="M820" s="246">
        <v>83850</v>
      </c>
      <c r="N820" s="246">
        <v>89250</v>
      </c>
    </row>
    <row r="821" spans="3:14" ht="21.95" customHeight="1" x14ac:dyDescent="0.25">
      <c r="C821" s="139" t="str">
        <f t="shared" si="28"/>
        <v>ID_CLEARWATER COUNTY, ID</v>
      </c>
      <c r="D821" s="136" t="s">
        <v>93</v>
      </c>
      <c r="E821" s="262" t="s">
        <v>3476</v>
      </c>
      <c r="F821" s="136" t="s">
        <v>183</v>
      </c>
      <c r="G821" s="246">
        <v>47350</v>
      </c>
      <c r="H821" s="246">
        <v>54100</v>
      </c>
      <c r="I821" s="246">
        <v>60850</v>
      </c>
      <c r="J821" s="246">
        <v>67600</v>
      </c>
      <c r="K821" s="246">
        <v>73050</v>
      </c>
      <c r="L821" s="246">
        <v>78450</v>
      </c>
      <c r="M821" s="246">
        <v>83850</v>
      </c>
      <c r="N821" s="246">
        <v>89250</v>
      </c>
    </row>
    <row r="822" spans="3:14" ht="21.95" customHeight="1" x14ac:dyDescent="0.25">
      <c r="C822" s="139" t="str">
        <f t="shared" si="28"/>
        <v>ID_COEUR D'ALENE, ID MSA</v>
      </c>
      <c r="D822" s="136" t="s">
        <v>93</v>
      </c>
      <c r="E822" s="262" t="s">
        <v>3477</v>
      </c>
      <c r="F822" s="136" t="s">
        <v>183</v>
      </c>
      <c r="G822" s="246">
        <v>52750</v>
      </c>
      <c r="H822" s="246">
        <v>60250</v>
      </c>
      <c r="I822" s="246">
        <v>67800</v>
      </c>
      <c r="J822" s="246">
        <v>75300</v>
      </c>
      <c r="K822" s="246">
        <v>81350</v>
      </c>
      <c r="L822" s="246">
        <v>87350</v>
      </c>
      <c r="M822" s="246">
        <v>93400</v>
      </c>
      <c r="N822" s="246">
        <v>99400</v>
      </c>
    </row>
    <row r="823" spans="3:14" ht="21.95" customHeight="1" x14ac:dyDescent="0.25">
      <c r="C823" s="139" t="str">
        <f t="shared" si="28"/>
        <v>ID_CUSTER COUNTY, ID</v>
      </c>
      <c r="D823" s="136" t="s">
        <v>93</v>
      </c>
      <c r="E823" s="262" t="s">
        <v>3478</v>
      </c>
      <c r="F823" s="136" t="s">
        <v>183</v>
      </c>
      <c r="G823" s="246">
        <v>47350</v>
      </c>
      <c r="H823" s="246">
        <v>54100</v>
      </c>
      <c r="I823" s="246">
        <v>60850</v>
      </c>
      <c r="J823" s="246">
        <v>67600</v>
      </c>
      <c r="K823" s="246">
        <v>73050</v>
      </c>
      <c r="L823" s="246">
        <v>78450</v>
      </c>
      <c r="M823" s="246">
        <v>83850</v>
      </c>
      <c r="N823" s="246">
        <v>89250</v>
      </c>
    </row>
    <row r="824" spans="3:14" ht="21.95" customHeight="1" x14ac:dyDescent="0.25">
      <c r="C824" s="139" t="str">
        <f t="shared" si="28"/>
        <v>ID_ELMORE COUNTY, ID</v>
      </c>
      <c r="D824" s="136" t="s">
        <v>93</v>
      </c>
      <c r="E824" s="262" t="s">
        <v>3479</v>
      </c>
      <c r="F824" s="136" t="s">
        <v>183</v>
      </c>
      <c r="G824" s="246">
        <v>47350</v>
      </c>
      <c r="H824" s="246">
        <v>54100</v>
      </c>
      <c r="I824" s="246">
        <v>60850</v>
      </c>
      <c r="J824" s="246">
        <v>67600</v>
      </c>
      <c r="K824" s="246">
        <v>73050</v>
      </c>
      <c r="L824" s="246">
        <v>78450</v>
      </c>
      <c r="M824" s="246">
        <v>83850</v>
      </c>
      <c r="N824" s="246">
        <v>89250</v>
      </c>
    </row>
    <row r="825" spans="3:14" ht="21.95" customHeight="1" x14ac:dyDescent="0.25">
      <c r="C825" s="139" t="str">
        <f t="shared" si="28"/>
        <v>ID_FREMONT COUNTY, ID</v>
      </c>
      <c r="D825" s="136" t="s">
        <v>93</v>
      </c>
      <c r="E825" s="262" t="s">
        <v>3480</v>
      </c>
      <c r="F825" s="136" t="s">
        <v>183</v>
      </c>
      <c r="G825" s="246">
        <v>48550</v>
      </c>
      <c r="H825" s="246">
        <v>55450</v>
      </c>
      <c r="I825" s="246">
        <v>62400</v>
      </c>
      <c r="J825" s="246">
        <v>69300</v>
      </c>
      <c r="K825" s="246">
        <v>74850</v>
      </c>
      <c r="L825" s="246">
        <v>80400</v>
      </c>
      <c r="M825" s="246">
        <v>85950</v>
      </c>
      <c r="N825" s="246">
        <v>91500</v>
      </c>
    </row>
    <row r="826" spans="3:14" ht="21.95" customHeight="1" x14ac:dyDescent="0.25">
      <c r="C826" s="139" t="str">
        <f t="shared" si="28"/>
        <v>ID_GEM COUNTY, ID HUD METRO FMR AREA</v>
      </c>
      <c r="D826" s="136" t="s">
        <v>93</v>
      </c>
      <c r="E826" s="262" t="s">
        <v>3481</v>
      </c>
      <c r="F826" s="136" t="s">
        <v>183</v>
      </c>
      <c r="G826" s="246">
        <v>47350</v>
      </c>
      <c r="H826" s="246">
        <v>54100</v>
      </c>
      <c r="I826" s="246">
        <v>60850</v>
      </c>
      <c r="J826" s="246">
        <v>67600</v>
      </c>
      <c r="K826" s="246">
        <v>73050</v>
      </c>
      <c r="L826" s="246">
        <v>78450</v>
      </c>
      <c r="M826" s="246">
        <v>83850</v>
      </c>
      <c r="N826" s="246">
        <v>89250</v>
      </c>
    </row>
    <row r="827" spans="3:14" ht="21.95" customHeight="1" x14ac:dyDescent="0.25">
      <c r="C827" s="139" t="str">
        <f t="shared" si="28"/>
        <v>ID_GOODING COUNTY, ID</v>
      </c>
      <c r="D827" s="136" t="s">
        <v>93</v>
      </c>
      <c r="E827" s="262" t="s">
        <v>3482</v>
      </c>
      <c r="F827" s="136" t="s">
        <v>183</v>
      </c>
      <c r="G827" s="246">
        <v>48500</v>
      </c>
      <c r="H827" s="246">
        <v>55400</v>
      </c>
      <c r="I827" s="246">
        <v>62350</v>
      </c>
      <c r="J827" s="246">
        <v>69250</v>
      </c>
      <c r="K827" s="246">
        <v>74800</v>
      </c>
      <c r="L827" s="246">
        <v>80350</v>
      </c>
      <c r="M827" s="246">
        <v>85900</v>
      </c>
      <c r="N827" s="246">
        <v>91450</v>
      </c>
    </row>
    <row r="828" spans="3:14" ht="21.95" customHeight="1" x14ac:dyDescent="0.25">
      <c r="C828" s="139" t="str">
        <f t="shared" si="28"/>
        <v>ID_IDAHO COUNTY, ID</v>
      </c>
      <c r="D828" s="136" t="s">
        <v>93</v>
      </c>
      <c r="E828" s="262" t="s">
        <v>3483</v>
      </c>
      <c r="F828" s="136" t="s">
        <v>183</v>
      </c>
      <c r="G828" s="246">
        <v>47350</v>
      </c>
      <c r="H828" s="246">
        <v>54100</v>
      </c>
      <c r="I828" s="246">
        <v>60850</v>
      </c>
      <c r="J828" s="246">
        <v>67600</v>
      </c>
      <c r="K828" s="246">
        <v>73050</v>
      </c>
      <c r="L828" s="246">
        <v>78450</v>
      </c>
      <c r="M828" s="246">
        <v>83850</v>
      </c>
      <c r="N828" s="246">
        <v>89250</v>
      </c>
    </row>
    <row r="829" spans="3:14" ht="21.95" customHeight="1" x14ac:dyDescent="0.25">
      <c r="C829" s="139" t="str">
        <f t="shared" si="28"/>
        <v>ID_IDAHO FALLS, ID HUD METRO FMR AREA</v>
      </c>
      <c r="D829" s="136" t="s">
        <v>93</v>
      </c>
      <c r="E829" s="262" t="s">
        <v>3484</v>
      </c>
      <c r="F829" s="136" t="s">
        <v>183</v>
      </c>
      <c r="G829" s="246">
        <v>53350</v>
      </c>
      <c r="H829" s="246">
        <v>60950</v>
      </c>
      <c r="I829" s="246">
        <v>68550</v>
      </c>
      <c r="J829" s="246">
        <v>76150</v>
      </c>
      <c r="K829" s="246">
        <v>82250</v>
      </c>
      <c r="L829" s="246">
        <v>88350</v>
      </c>
      <c r="M829" s="246">
        <v>94450</v>
      </c>
      <c r="N829" s="246">
        <v>100550</v>
      </c>
    </row>
    <row r="830" spans="3:14" ht="21.95" customHeight="1" x14ac:dyDescent="0.25">
      <c r="C830" s="139" t="str">
        <f t="shared" si="28"/>
        <v>ID_JEROME COUNTY, ID HUD METRO FMR AREA</v>
      </c>
      <c r="D830" s="136" t="s">
        <v>93</v>
      </c>
      <c r="E830" s="262" t="s">
        <v>3485</v>
      </c>
      <c r="F830" s="136" t="s">
        <v>183</v>
      </c>
      <c r="G830" s="246">
        <v>47350</v>
      </c>
      <c r="H830" s="246">
        <v>54100</v>
      </c>
      <c r="I830" s="246">
        <v>60850</v>
      </c>
      <c r="J830" s="246">
        <v>67600</v>
      </c>
      <c r="K830" s="246">
        <v>73050</v>
      </c>
      <c r="L830" s="246">
        <v>78450</v>
      </c>
      <c r="M830" s="246">
        <v>83850</v>
      </c>
      <c r="N830" s="246">
        <v>89250</v>
      </c>
    </row>
    <row r="831" spans="3:14" ht="21.95" customHeight="1" x14ac:dyDescent="0.25">
      <c r="C831" s="139" t="str">
        <f t="shared" si="28"/>
        <v>ID_LATAH COUNTY, ID</v>
      </c>
      <c r="D831" s="136" t="s">
        <v>93</v>
      </c>
      <c r="E831" s="262" t="s">
        <v>3486</v>
      </c>
      <c r="F831" s="136" t="s">
        <v>183</v>
      </c>
      <c r="G831" s="246">
        <v>53550</v>
      </c>
      <c r="H831" s="246">
        <v>61200</v>
      </c>
      <c r="I831" s="246">
        <v>68850</v>
      </c>
      <c r="J831" s="246">
        <v>76500</v>
      </c>
      <c r="K831" s="246">
        <v>82650</v>
      </c>
      <c r="L831" s="246">
        <v>88750</v>
      </c>
      <c r="M831" s="246">
        <v>94900</v>
      </c>
      <c r="N831" s="246">
        <v>101000</v>
      </c>
    </row>
    <row r="832" spans="3:14" ht="21.95" customHeight="1" x14ac:dyDescent="0.25">
      <c r="C832" s="139" t="str">
        <f t="shared" ref="C832:C895" si="29">TRIM(UPPER(D832))&amp;"_"&amp;TRIM(UPPER(E832))</f>
        <v>ID_LEMHI COUNTY, ID</v>
      </c>
      <c r="D832" s="136" t="s">
        <v>93</v>
      </c>
      <c r="E832" s="262" t="s">
        <v>3487</v>
      </c>
      <c r="F832" s="136" t="s">
        <v>183</v>
      </c>
      <c r="G832" s="246">
        <v>47350</v>
      </c>
      <c r="H832" s="246">
        <v>54100</v>
      </c>
      <c r="I832" s="246">
        <v>60850</v>
      </c>
      <c r="J832" s="246">
        <v>67600</v>
      </c>
      <c r="K832" s="246">
        <v>73050</v>
      </c>
      <c r="L832" s="246">
        <v>78450</v>
      </c>
      <c r="M832" s="246">
        <v>83850</v>
      </c>
      <c r="N832" s="246">
        <v>89250</v>
      </c>
    </row>
    <row r="833" spans="3:14" ht="21.95" customHeight="1" x14ac:dyDescent="0.25">
      <c r="C833" s="139" t="str">
        <f t="shared" si="29"/>
        <v>ID_LEWIS COUNTY, ID</v>
      </c>
      <c r="D833" s="136" t="s">
        <v>93</v>
      </c>
      <c r="E833" s="262" t="s">
        <v>3488</v>
      </c>
      <c r="F833" s="136" t="s">
        <v>183</v>
      </c>
      <c r="G833" s="246">
        <v>47350</v>
      </c>
      <c r="H833" s="246">
        <v>54100</v>
      </c>
      <c r="I833" s="246">
        <v>60850</v>
      </c>
      <c r="J833" s="246">
        <v>67600</v>
      </c>
      <c r="K833" s="246">
        <v>73050</v>
      </c>
      <c r="L833" s="246">
        <v>78450</v>
      </c>
      <c r="M833" s="246">
        <v>83850</v>
      </c>
      <c r="N833" s="246">
        <v>89250</v>
      </c>
    </row>
    <row r="834" spans="3:14" ht="21.95" customHeight="1" x14ac:dyDescent="0.25">
      <c r="C834" s="139" t="str">
        <f t="shared" si="29"/>
        <v>ID_LEWISTON, ID-WA MSA</v>
      </c>
      <c r="D834" s="136" t="s">
        <v>93</v>
      </c>
      <c r="E834" s="262" t="s">
        <v>3489</v>
      </c>
      <c r="F834" s="136" t="s">
        <v>183</v>
      </c>
      <c r="G834" s="246">
        <v>48800</v>
      </c>
      <c r="H834" s="246">
        <v>55800</v>
      </c>
      <c r="I834" s="246">
        <v>62750</v>
      </c>
      <c r="J834" s="246">
        <v>69700</v>
      </c>
      <c r="K834" s="246">
        <v>75300</v>
      </c>
      <c r="L834" s="246">
        <v>80900</v>
      </c>
      <c r="M834" s="246">
        <v>86450</v>
      </c>
      <c r="N834" s="246">
        <v>92050</v>
      </c>
    </row>
    <row r="835" spans="3:14" ht="21.95" customHeight="1" x14ac:dyDescent="0.25">
      <c r="C835" s="139" t="str">
        <f t="shared" si="29"/>
        <v>ID_LINCOLN COUNTY, ID</v>
      </c>
      <c r="D835" s="136" t="s">
        <v>93</v>
      </c>
      <c r="E835" s="262" t="s">
        <v>3490</v>
      </c>
      <c r="F835" s="136" t="s">
        <v>183</v>
      </c>
      <c r="G835" s="246">
        <v>47350</v>
      </c>
      <c r="H835" s="246">
        <v>54100</v>
      </c>
      <c r="I835" s="246">
        <v>60850</v>
      </c>
      <c r="J835" s="246">
        <v>67600</v>
      </c>
      <c r="K835" s="246">
        <v>73050</v>
      </c>
      <c r="L835" s="246">
        <v>78450</v>
      </c>
      <c r="M835" s="246">
        <v>83850</v>
      </c>
      <c r="N835" s="246">
        <v>89250</v>
      </c>
    </row>
    <row r="836" spans="3:14" ht="21.95" customHeight="1" x14ac:dyDescent="0.25">
      <c r="C836" s="139" t="str">
        <f t="shared" si="29"/>
        <v>ID_LOGAN, UT-ID MSA</v>
      </c>
      <c r="D836" s="136" t="s">
        <v>93</v>
      </c>
      <c r="E836" s="262" t="s">
        <v>3491</v>
      </c>
      <c r="F836" s="136" t="s">
        <v>183</v>
      </c>
      <c r="G836" s="246">
        <v>57900</v>
      </c>
      <c r="H836" s="246">
        <v>66200</v>
      </c>
      <c r="I836" s="246">
        <v>74450</v>
      </c>
      <c r="J836" s="246">
        <v>82700</v>
      </c>
      <c r="K836" s="246">
        <v>89350</v>
      </c>
      <c r="L836" s="246">
        <v>95950</v>
      </c>
      <c r="M836" s="246">
        <v>102550</v>
      </c>
      <c r="N836" s="246">
        <v>109200</v>
      </c>
    </row>
    <row r="837" spans="3:14" ht="21.95" customHeight="1" x14ac:dyDescent="0.25">
      <c r="C837" s="139" t="str">
        <f t="shared" si="29"/>
        <v>ID_MADISON COUNTY, ID</v>
      </c>
      <c r="D837" s="136" t="s">
        <v>93</v>
      </c>
      <c r="E837" s="262" t="s">
        <v>3492</v>
      </c>
      <c r="F837" s="136" t="s">
        <v>183</v>
      </c>
      <c r="G837" s="246">
        <v>47350</v>
      </c>
      <c r="H837" s="246">
        <v>54100</v>
      </c>
      <c r="I837" s="246">
        <v>60850</v>
      </c>
      <c r="J837" s="246">
        <v>67600</v>
      </c>
      <c r="K837" s="246">
        <v>73050</v>
      </c>
      <c r="L837" s="246">
        <v>78450</v>
      </c>
      <c r="M837" s="246">
        <v>83850</v>
      </c>
      <c r="N837" s="246">
        <v>89250</v>
      </c>
    </row>
    <row r="838" spans="3:14" ht="21.95" customHeight="1" x14ac:dyDescent="0.25">
      <c r="C838" s="139" t="str">
        <f t="shared" si="29"/>
        <v>ID_MINIDOKA COUNTY, ID</v>
      </c>
      <c r="D838" s="136" t="s">
        <v>93</v>
      </c>
      <c r="E838" s="262" t="s">
        <v>3493</v>
      </c>
      <c r="F838" s="136" t="s">
        <v>183</v>
      </c>
      <c r="G838" s="246">
        <v>47350</v>
      </c>
      <c r="H838" s="246">
        <v>54100</v>
      </c>
      <c r="I838" s="246">
        <v>60850</v>
      </c>
      <c r="J838" s="246">
        <v>67600</v>
      </c>
      <c r="K838" s="246">
        <v>73050</v>
      </c>
      <c r="L838" s="246">
        <v>78450</v>
      </c>
      <c r="M838" s="246">
        <v>83850</v>
      </c>
      <c r="N838" s="246">
        <v>89250</v>
      </c>
    </row>
    <row r="839" spans="3:14" ht="21.95" customHeight="1" x14ac:dyDescent="0.25">
      <c r="C839" s="139" t="str">
        <f t="shared" si="29"/>
        <v>ID_ONEIDA COUNTY, ID</v>
      </c>
      <c r="D839" s="136" t="s">
        <v>93</v>
      </c>
      <c r="E839" s="262" t="s">
        <v>3494</v>
      </c>
      <c r="F839" s="136" t="s">
        <v>183</v>
      </c>
      <c r="G839" s="246">
        <v>48850</v>
      </c>
      <c r="H839" s="246">
        <v>55800</v>
      </c>
      <c r="I839" s="246">
        <v>62800</v>
      </c>
      <c r="J839" s="246">
        <v>69750</v>
      </c>
      <c r="K839" s="246">
        <v>75350</v>
      </c>
      <c r="L839" s="246">
        <v>80950</v>
      </c>
      <c r="M839" s="246">
        <v>86500</v>
      </c>
      <c r="N839" s="246">
        <v>92100</v>
      </c>
    </row>
    <row r="840" spans="3:14" ht="21.95" customHeight="1" x14ac:dyDescent="0.25">
      <c r="C840" s="139" t="str">
        <f t="shared" si="29"/>
        <v>ID_PAYETTE COUNTY, ID</v>
      </c>
      <c r="D840" s="136" t="s">
        <v>93</v>
      </c>
      <c r="E840" s="262" t="s">
        <v>3495</v>
      </c>
      <c r="F840" s="136" t="s">
        <v>183</v>
      </c>
      <c r="G840" s="246">
        <v>48550</v>
      </c>
      <c r="H840" s="246">
        <v>55450</v>
      </c>
      <c r="I840" s="246">
        <v>62400</v>
      </c>
      <c r="J840" s="246">
        <v>69300</v>
      </c>
      <c r="K840" s="246">
        <v>74850</v>
      </c>
      <c r="L840" s="246">
        <v>80400</v>
      </c>
      <c r="M840" s="246">
        <v>85950</v>
      </c>
      <c r="N840" s="246">
        <v>91500</v>
      </c>
    </row>
    <row r="841" spans="3:14" ht="21.95" customHeight="1" x14ac:dyDescent="0.25">
      <c r="C841" s="139" t="str">
        <f t="shared" si="29"/>
        <v>ID_POCATELLO, ID MSA</v>
      </c>
      <c r="D841" s="136" t="s">
        <v>93</v>
      </c>
      <c r="E841" s="262" t="s">
        <v>9156</v>
      </c>
      <c r="F841" s="136" t="s">
        <v>183</v>
      </c>
      <c r="G841" s="246">
        <v>51950</v>
      </c>
      <c r="H841" s="246">
        <v>59350</v>
      </c>
      <c r="I841" s="246">
        <v>66750</v>
      </c>
      <c r="J841" s="246">
        <v>74150</v>
      </c>
      <c r="K841" s="246">
        <v>80100</v>
      </c>
      <c r="L841" s="246">
        <v>86050</v>
      </c>
      <c r="M841" s="246">
        <v>91950</v>
      </c>
      <c r="N841" s="246">
        <v>97900</v>
      </c>
    </row>
    <row r="842" spans="3:14" ht="21.95" customHeight="1" x14ac:dyDescent="0.25">
      <c r="C842" s="139" t="str">
        <f t="shared" si="29"/>
        <v>ID_POWER COUNTY, ID</v>
      </c>
      <c r="D842" s="136" t="s">
        <v>93</v>
      </c>
      <c r="E842" s="262" t="s">
        <v>9157</v>
      </c>
      <c r="F842" s="136" t="s">
        <v>183</v>
      </c>
      <c r="G842" s="246">
        <v>48550</v>
      </c>
      <c r="H842" s="246">
        <v>55450</v>
      </c>
      <c r="I842" s="246">
        <v>62400</v>
      </c>
      <c r="J842" s="246">
        <v>69300</v>
      </c>
      <c r="K842" s="246">
        <v>74850</v>
      </c>
      <c r="L842" s="246">
        <v>80400</v>
      </c>
      <c r="M842" s="246">
        <v>85950</v>
      </c>
      <c r="N842" s="246">
        <v>91500</v>
      </c>
    </row>
    <row r="843" spans="3:14" ht="21.95" customHeight="1" x14ac:dyDescent="0.25">
      <c r="C843" s="139" t="str">
        <f t="shared" si="29"/>
        <v>ID_SHOSHONE COUNTY, ID</v>
      </c>
      <c r="D843" s="136" t="s">
        <v>93</v>
      </c>
      <c r="E843" s="262" t="s">
        <v>3496</v>
      </c>
      <c r="F843" s="136" t="s">
        <v>183</v>
      </c>
      <c r="G843" s="246">
        <v>47350</v>
      </c>
      <c r="H843" s="246">
        <v>54100</v>
      </c>
      <c r="I843" s="246">
        <v>60850</v>
      </c>
      <c r="J843" s="246">
        <v>67600</v>
      </c>
      <c r="K843" s="246">
        <v>73050</v>
      </c>
      <c r="L843" s="246">
        <v>78450</v>
      </c>
      <c r="M843" s="246">
        <v>83850</v>
      </c>
      <c r="N843" s="246">
        <v>89250</v>
      </c>
    </row>
    <row r="844" spans="3:14" ht="21.95" customHeight="1" x14ac:dyDescent="0.25">
      <c r="C844" s="139" t="str">
        <f t="shared" si="29"/>
        <v>ID_TETON COUNTY, ID</v>
      </c>
      <c r="D844" s="136" t="s">
        <v>93</v>
      </c>
      <c r="E844" s="262" t="s">
        <v>3497</v>
      </c>
      <c r="F844" s="136" t="s">
        <v>183</v>
      </c>
      <c r="G844" s="246">
        <v>60800</v>
      </c>
      <c r="H844" s="246">
        <v>69450</v>
      </c>
      <c r="I844" s="246">
        <v>78150</v>
      </c>
      <c r="J844" s="246">
        <v>86800</v>
      </c>
      <c r="K844" s="246">
        <v>93750</v>
      </c>
      <c r="L844" s="246">
        <v>100700</v>
      </c>
      <c r="M844" s="246">
        <v>107650</v>
      </c>
      <c r="N844" s="246">
        <v>114600</v>
      </c>
    </row>
    <row r="845" spans="3:14" ht="21.95" customHeight="1" x14ac:dyDescent="0.25">
      <c r="C845" s="139" t="str">
        <f t="shared" si="29"/>
        <v>ID_TWIN FALLS COUNTY, ID HUD METRO FMR AREA</v>
      </c>
      <c r="D845" s="136" t="s">
        <v>93</v>
      </c>
      <c r="E845" s="262" t="s">
        <v>3498</v>
      </c>
      <c r="F845" s="136" t="s">
        <v>183</v>
      </c>
      <c r="G845" s="246">
        <v>48550</v>
      </c>
      <c r="H845" s="246">
        <v>55450</v>
      </c>
      <c r="I845" s="246">
        <v>62400</v>
      </c>
      <c r="J845" s="246">
        <v>69300</v>
      </c>
      <c r="K845" s="246">
        <v>74850</v>
      </c>
      <c r="L845" s="246">
        <v>80400</v>
      </c>
      <c r="M845" s="246">
        <v>85950</v>
      </c>
      <c r="N845" s="246">
        <v>91500</v>
      </c>
    </row>
    <row r="846" spans="3:14" ht="21.95" customHeight="1" x14ac:dyDescent="0.25">
      <c r="C846" s="139" t="str">
        <f t="shared" si="29"/>
        <v>ID_VALLEY COUNTY, ID</v>
      </c>
      <c r="D846" s="136" t="s">
        <v>93</v>
      </c>
      <c r="E846" s="262" t="s">
        <v>3499</v>
      </c>
      <c r="F846" s="136" t="s">
        <v>183</v>
      </c>
      <c r="G846" s="246">
        <v>55650</v>
      </c>
      <c r="H846" s="246">
        <v>63600</v>
      </c>
      <c r="I846" s="246">
        <v>71550</v>
      </c>
      <c r="J846" s="246">
        <v>79450</v>
      </c>
      <c r="K846" s="246">
        <v>85850</v>
      </c>
      <c r="L846" s="246">
        <v>92200</v>
      </c>
      <c r="M846" s="246">
        <v>98550</v>
      </c>
      <c r="N846" s="246">
        <v>104900</v>
      </c>
    </row>
    <row r="847" spans="3:14" ht="21.95" customHeight="1" x14ac:dyDescent="0.25">
      <c r="C847" s="139" t="str">
        <f t="shared" si="29"/>
        <v>ID_WASHINGTON COUNTY, ID</v>
      </c>
      <c r="D847" s="136" t="s">
        <v>93</v>
      </c>
      <c r="E847" s="262" t="s">
        <v>3500</v>
      </c>
      <c r="F847" s="136" t="s">
        <v>183</v>
      </c>
      <c r="G847" s="246">
        <v>47350</v>
      </c>
      <c r="H847" s="246">
        <v>54100</v>
      </c>
      <c r="I847" s="246">
        <v>60850</v>
      </c>
      <c r="J847" s="246">
        <v>67600</v>
      </c>
      <c r="K847" s="246">
        <v>73050</v>
      </c>
      <c r="L847" s="246">
        <v>78450</v>
      </c>
      <c r="M847" s="246">
        <v>83850</v>
      </c>
      <c r="N847" s="246">
        <v>89250</v>
      </c>
    </row>
    <row r="848" spans="3:14" ht="21.95" customHeight="1" x14ac:dyDescent="0.25">
      <c r="C848" s="139" t="str">
        <f t="shared" si="29"/>
        <v>IL_ADAMS COUNTY, IL</v>
      </c>
      <c r="D848" s="136" t="s">
        <v>92</v>
      </c>
      <c r="E848" s="262" t="s">
        <v>3501</v>
      </c>
      <c r="F848" s="136" t="s">
        <v>183</v>
      </c>
      <c r="G848" s="246">
        <v>52150</v>
      </c>
      <c r="H848" s="246">
        <v>59600</v>
      </c>
      <c r="I848" s="246">
        <v>67050</v>
      </c>
      <c r="J848" s="246">
        <v>74500</v>
      </c>
      <c r="K848" s="246">
        <v>80500</v>
      </c>
      <c r="L848" s="246">
        <v>86450</v>
      </c>
      <c r="M848" s="246">
        <v>92400</v>
      </c>
      <c r="N848" s="246">
        <v>98350</v>
      </c>
    </row>
    <row r="849" spans="3:14" ht="21.95" customHeight="1" x14ac:dyDescent="0.25">
      <c r="C849" s="139" t="str">
        <f t="shared" si="29"/>
        <v>IL_BLOOMINGTON, IL MSA</v>
      </c>
      <c r="D849" s="136" t="s">
        <v>92</v>
      </c>
      <c r="E849" s="262" t="s">
        <v>3502</v>
      </c>
      <c r="F849" s="136" t="s">
        <v>183</v>
      </c>
      <c r="G849" s="246">
        <v>66550</v>
      </c>
      <c r="H849" s="246">
        <v>76050</v>
      </c>
      <c r="I849" s="246">
        <v>85550</v>
      </c>
      <c r="J849" s="246">
        <v>95050</v>
      </c>
      <c r="K849" s="246">
        <v>102700</v>
      </c>
      <c r="L849" s="246">
        <v>110300</v>
      </c>
      <c r="M849" s="246">
        <v>117900</v>
      </c>
      <c r="N849" s="246">
        <v>125500</v>
      </c>
    </row>
    <row r="850" spans="3:14" ht="21.95" customHeight="1" x14ac:dyDescent="0.25">
      <c r="C850" s="139" t="str">
        <f t="shared" si="29"/>
        <v>IL_BOND COUNTY, IL HUD METRO FMR AREA</v>
      </c>
      <c r="D850" s="136" t="s">
        <v>92</v>
      </c>
      <c r="E850" s="262" t="s">
        <v>3503</v>
      </c>
      <c r="F850" s="136" t="s">
        <v>183</v>
      </c>
      <c r="G850" s="246">
        <v>52450</v>
      </c>
      <c r="H850" s="246">
        <v>59950</v>
      </c>
      <c r="I850" s="246">
        <v>67450</v>
      </c>
      <c r="J850" s="246">
        <v>74900</v>
      </c>
      <c r="K850" s="246">
        <v>80900</v>
      </c>
      <c r="L850" s="246">
        <v>86900</v>
      </c>
      <c r="M850" s="246">
        <v>92900</v>
      </c>
      <c r="N850" s="246">
        <v>98900</v>
      </c>
    </row>
    <row r="851" spans="3:14" ht="21.95" customHeight="1" x14ac:dyDescent="0.25">
      <c r="C851" s="139" t="str">
        <f t="shared" si="29"/>
        <v>IL_BROWN COUNTY, IL</v>
      </c>
      <c r="D851" s="136" t="s">
        <v>92</v>
      </c>
      <c r="E851" s="262" t="s">
        <v>3504</v>
      </c>
      <c r="F851" s="136" t="s">
        <v>183</v>
      </c>
      <c r="G851" s="246">
        <v>51800</v>
      </c>
      <c r="H851" s="246">
        <v>59200</v>
      </c>
      <c r="I851" s="246">
        <v>66600</v>
      </c>
      <c r="J851" s="246">
        <v>74000</v>
      </c>
      <c r="K851" s="246">
        <v>79950</v>
      </c>
      <c r="L851" s="246">
        <v>85850</v>
      </c>
      <c r="M851" s="246">
        <v>91800</v>
      </c>
      <c r="N851" s="246">
        <v>97700</v>
      </c>
    </row>
    <row r="852" spans="3:14" ht="21.95" customHeight="1" x14ac:dyDescent="0.25">
      <c r="C852" s="139" t="str">
        <f t="shared" si="29"/>
        <v>IL_BUREAU COUNTY, IL</v>
      </c>
      <c r="D852" s="136" t="s">
        <v>92</v>
      </c>
      <c r="E852" s="262" t="s">
        <v>3505</v>
      </c>
      <c r="F852" s="136" t="s">
        <v>183</v>
      </c>
      <c r="G852" s="246">
        <v>49950</v>
      </c>
      <c r="H852" s="246">
        <v>57050</v>
      </c>
      <c r="I852" s="246">
        <v>64200</v>
      </c>
      <c r="J852" s="246">
        <v>71300</v>
      </c>
      <c r="K852" s="246">
        <v>77050</v>
      </c>
      <c r="L852" s="246">
        <v>82750</v>
      </c>
      <c r="M852" s="246">
        <v>88450</v>
      </c>
      <c r="N852" s="246">
        <v>94150</v>
      </c>
    </row>
    <row r="853" spans="3:14" ht="21.95" customHeight="1" x14ac:dyDescent="0.25">
      <c r="C853" s="139" t="str">
        <f t="shared" si="29"/>
        <v>IL_CAPE GIRARDEAU, MO-IL MSA</v>
      </c>
      <c r="D853" s="136" t="s">
        <v>92</v>
      </c>
      <c r="E853" s="262" t="s">
        <v>3506</v>
      </c>
      <c r="F853" s="136" t="s">
        <v>183</v>
      </c>
      <c r="G853" s="246">
        <v>50700</v>
      </c>
      <c r="H853" s="246">
        <v>57950</v>
      </c>
      <c r="I853" s="246">
        <v>65200</v>
      </c>
      <c r="J853" s="246">
        <v>72400</v>
      </c>
      <c r="K853" s="246">
        <v>78200</v>
      </c>
      <c r="L853" s="246">
        <v>84000</v>
      </c>
      <c r="M853" s="246">
        <v>89800</v>
      </c>
      <c r="N853" s="246">
        <v>95600</v>
      </c>
    </row>
    <row r="854" spans="3:14" ht="21.95" customHeight="1" x14ac:dyDescent="0.25">
      <c r="C854" s="139" t="str">
        <f t="shared" si="29"/>
        <v>IL_CARROLL COUNTY, IL</v>
      </c>
      <c r="D854" s="136" t="s">
        <v>92</v>
      </c>
      <c r="E854" s="262" t="s">
        <v>3507</v>
      </c>
      <c r="F854" s="136" t="s">
        <v>183</v>
      </c>
      <c r="G854" s="246">
        <v>48550</v>
      </c>
      <c r="H854" s="246">
        <v>55450</v>
      </c>
      <c r="I854" s="246">
        <v>62400</v>
      </c>
      <c r="J854" s="246">
        <v>69300</v>
      </c>
      <c r="K854" s="246">
        <v>74850</v>
      </c>
      <c r="L854" s="246">
        <v>80400</v>
      </c>
      <c r="M854" s="246">
        <v>85950</v>
      </c>
      <c r="N854" s="246">
        <v>91500</v>
      </c>
    </row>
    <row r="855" spans="3:14" ht="21.95" customHeight="1" x14ac:dyDescent="0.25">
      <c r="C855" s="139" t="str">
        <f t="shared" si="29"/>
        <v>IL_CASS COUNTY, IL</v>
      </c>
      <c r="D855" s="136" t="s">
        <v>92</v>
      </c>
      <c r="E855" s="262" t="s">
        <v>3508</v>
      </c>
      <c r="F855" s="136" t="s">
        <v>183</v>
      </c>
      <c r="G855" s="246">
        <v>48550</v>
      </c>
      <c r="H855" s="246">
        <v>55450</v>
      </c>
      <c r="I855" s="246">
        <v>62400</v>
      </c>
      <c r="J855" s="246">
        <v>69300</v>
      </c>
      <c r="K855" s="246">
        <v>74850</v>
      </c>
      <c r="L855" s="246">
        <v>80400</v>
      </c>
      <c r="M855" s="246">
        <v>85950</v>
      </c>
      <c r="N855" s="246">
        <v>91500</v>
      </c>
    </row>
    <row r="856" spans="3:14" ht="21.95" customHeight="1" x14ac:dyDescent="0.25">
      <c r="C856" s="139" t="str">
        <f t="shared" si="29"/>
        <v>IL_CHAMPAIGN-URBANA, IL HUD METRO FMR AREA</v>
      </c>
      <c r="D856" s="136" t="s">
        <v>92</v>
      </c>
      <c r="E856" s="262" t="s">
        <v>9158</v>
      </c>
      <c r="F856" s="136" t="s">
        <v>183</v>
      </c>
      <c r="G856" s="246">
        <v>56550</v>
      </c>
      <c r="H856" s="246">
        <v>64600</v>
      </c>
      <c r="I856" s="246">
        <v>72700</v>
      </c>
      <c r="J856" s="246">
        <v>80750</v>
      </c>
      <c r="K856" s="246">
        <v>87250</v>
      </c>
      <c r="L856" s="246">
        <v>93700</v>
      </c>
      <c r="M856" s="246">
        <v>100150</v>
      </c>
      <c r="N856" s="246">
        <v>106600</v>
      </c>
    </row>
    <row r="857" spans="3:14" ht="21.95" customHeight="1" x14ac:dyDescent="0.25">
      <c r="C857" s="139" t="str">
        <f t="shared" si="29"/>
        <v>IL_CHICAGO-JOLIET-NAPERVILLE, IL HUD METRO FMR AREA</v>
      </c>
      <c r="D857" s="136" t="s">
        <v>92</v>
      </c>
      <c r="E857" s="262" t="s">
        <v>3509</v>
      </c>
      <c r="F857" s="136" t="s">
        <v>183</v>
      </c>
      <c r="G857" s="246">
        <v>67150</v>
      </c>
      <c r="H857" s="246">
        <v>76750</v>
      </c>
      <c r="I857" s="246">
        <v>86350</v>
      </c>
      <c r="J857" s="246">
        <v>95900</v>
      </c>
      <c r="K857" s="246">
        <v>103600</v>
      </c>
      <c r="L857" s="246">
        <v>111250</v>
      </c>
      <c r="M857" s="246">
        <v>118950</v>
      </c>
      <c r="N857" s="246">
        <v>126600</v>
      </c>
    </row>
    <row r="858" spans="3:14" ht="21.95" customHeight="1" x14ac:dyDescent="0.25">
      <c r="C858" s="139" t="str">
        <f t="shared" si="29"/>
        <v>IL_CHRISTIAN COUNTY, IL</v>
      </c>
      <c r="D858" s="136" t="s">
        <v>92</v>
      </c>
      <c r="E858" s="262" t="s">
        <v>3510</v>
      </c>
      <c r="F858" s="136" t="s">
        <v>183</v>
      </c>
      <c r="G858" s="246">
        <v>48550</v>
      </c>
      <c r="H858" s="246">
        <v>55450</v>
      </c>
      <c r="I858" s="246">
        <v>62400</v>
      </c>
      <c r="J858" s="246">
        <v>69300</v>
      </c>
      <c r="K858" s="246">
        <v>74850</v>
      </c>
      <c r="L858" s="246">
        <v>80400</v>
      </c>
      <c r="M858" s="246">
        <v>85950</v>
      </c>
      <c r="N858" s="246">
        <v>91500</v>
      </c>
    </row>
    <row r="859" spans="3:14" ht="21.95" customHeight="1" x14ac:dyDescent="0.25">
      <c r="C859" s="139" t="str">
        <f t="shared" si="29"/>
        <v>IL_CLARK COUNTY, IL</v>
      </c>
      <c r="D859" s="136" t="s">
        <v>92</v>
      </c>
      <c r="E859" s="262" t="s">
        <v>3511</v>
      </c>
      <c r="F859" s="136" t="s">
        <v>183</v>
      </c>
      <c r="G859" s="246">
        <v>51450</v>
      </c>
      <c r="H859" s="246">
        <v>58800</v>
      </c>
      <c r="I859" s="246">
        <v>66150</v>
      </c>
      <c r="J859" s="246">
        <v>73450</v>
      </c>
      <c r="K859" s="246">
        <v>79350</v>
      </c>
      <c r="L859" s="246">
        <v>85250</v>
      </c>
      <c r="M859" s="246">
        <v>91100</v>
      </c>
      <c r="N859" s="246">
        <v>97000</v>
      </c>
    </row>
    <row r="860" spans="3:14" ht="21.95" customHeight="1" x14ac:dyDescent="0.25">
      <c r="C860" s="139" t="str">
        <f t="shared" si="29"/>
        <v>IL_CLAY COUNTY, IL</v>
      </c>
      <c r="D860" s="136" t="s">
        <v>92</v>
      </c>
      <c r="E860" s="262" t="s">
        <v>3512</v>
      </c>
      <c r="F860" s="136" t="s">
        <v>183</v>
      </c>
      <c r="G860" s="246">
        <v>48550</v>
      </c>
      <c r="H860" s="246">
        <v>55450</v>
      </c>
      <c r="I860" s="246">
        <v>62400</v>
      </c>
      <c r="J860" s="246">
        <v>69300</v>
      </c>
      <c r="K860" s="246">
        <v>74850</v>
      </c>
      <c r="L860" s="246">
        <v>80400</v>
      </c>
      <c r="M860" s="246">
        <v>85950</v>
      </c>
      <c r="N860" s="246">
        <v>91500</v>
      </c>
    </row>
    <row r="861" spans="3:14" ht="21.95" customHeight="1" x14ac:dyDescent="0.25">
      <c r="C861" s="139" t="str">
        <f t="shared" si="29"/>
        <v>IL_COLES COUNTY, IL</v>
      </c>
      <c r="D861" s="136" t="s">
        <v>92</v>
      </c>
      <c r="E861" s="262" t="s">
        <v>3513</v>
      </c>
      <c r="F861" s="136" t="s">
        <v>183</v>
      </c>
      <c r="G861" s="246">
        <v>48550</v>
      </c>
      <c r="H861" s="246">
        <v>55450</v>
      </c>
      <c r="I861" s="246">
        <v>62400</v>
      </c>
      <c r="J861" s="246">
        <v>69300</v>
      </c>
      <c r="K861" s="246">
        <v>74850</v>
      </c>
      <c r="L861" s="246">
        <v>80400</v>
      </c>
      <c r="M861" s="246">
        <v>85950</v>
      </c>
      <c r="N861" s="246">
        <v>91500</v>
      </c>
    </row>
    <row r="862" spans="3:14" ht="21.95" customHeight="1" x14ac:dyDescent="0.25">
      <c r="C862" s="139" t="str">
        <f t="shared" si="29"/>
        <v>IL_CRAWFORD COUNTY, IL</v>
      </c>
      <c r="D862" s="136" t="s">
        <v>92</v>
      </c>
      <c r="E862" s="262" t="s">
        <v>3514</v>
      </c>
      <c r="F862" s="136" t="s">
        <v>183</v>
      </c>
      <c r="G862" s="246">
        <v>51350</v>
      </c>
      <c r="H862" s="246">
        <v>58700</v>
      </c>
      <c r="I862" s="246">
        <v>66050</v>
      </c>
      <c r="J862" s="246">
        <v>73350</v>
      </c>
      <c r="K862" s="246">
        <v>79250</v>
      </c>
      <c r="L862" s="246">
        <v>85100</v>
      </c>
      <c r="M862" s="246">
        <v>91000</v>
      </c>
      <c r="N862" s="246">
        <v>96850</v>
      </c>
    </row>
    <row r="863" spans="3:14" ht="21.95" customHeight="1" x14ac:dyDescent="0.25">
      <c r="C863" s="139" t="str">
        <f t="shared" si="29"/>
        <v>IL_CUMBERLAND COUNTY, IL</v>
      </c>
      <c r="D863" s="136" t="s">
        <v>92</v>
      </c>
      <c r="E863" s="262" t="s">
        <v>3515</v>
      </c>
      <c r="F863" s="136" t="s">
        <v>183</v>
      </c>
      <c r="G863" s="246">
        <v>55900</v>
      </c>
      <c r="H863" s="246">
        <v>63850</v>
      </c>
      <c r="I863" s="246">
        <v>71850</v>
      </c>
      <c r="J863" s="246">
        <v>79800</v>
      </c>
      <c r="K863" s="246">
        <v>86200</v>
      </c>
      <c r="L863" s="246">
        <v>92600</v>
      </c>
      <c r="M863" s="246">
        <v>99000</v>
      </c>
      <c r="N863" s="246">
        <v>105350</v>
      </c>
    </row>
    <row r="864" spans="3:14" ht="21.95" customHeight="1" x14ac:dyDescent="0.25">
      <c r="C864" s="139" t="str">
        <f t="shared" si="29"/>
        <v>IL_DAVENPORT-MOLINE-ROCK ISLAND, IA-IL MSA</v>
      </c>
      <c r="D864" s="136" t="s">
        <v>92</v>
      </c>
      <c r="E864" s="262" t="s">
        <v>3396</v>
      </c>
      <c r="F864" s="136" t="s">
        <v>183</v>
      </c>
      <c r="G864" s="246">
        <v>54750</v>
      </c>
      <c r="H864" s="246">
        <v>62550</v>
      </c>
      <c r="I864" s="246">
        <v>70350</v>
      </c>
      <c r="J864" s="246">
        <v>78150</v>
      </c>
      <c r="K864" s="246">
        <v>84450</v>
      </c>
      <c r="L864" s="246">
        <v>90700</v>
      </c>
      <c r="M864" s="246">
        <v>96950</v>
      </c>
      <c r="N864" s="246">
        <v>103200</v>
      </c>
    </row>
    <row r="865" spans="3:14" ht="21.95" customHeight="1" x14ac:dyDescent="0.25">
      <c r="C865" s="139" t="str">
        <f t="shared" si="29"/>
        <v>IL_DECATUR, IL MSA</v>
      </c>
      <c r="D865" s="136" t="s">
        <v>92</v>
      </c>
      <c r="E865" s="262" t="s">
        <v>3517</v>
      </c>
      <c r="F865" s="136" t="s">
        <v>183</v>
      </c>
      <c r="G865" s="246">
        <v>51350</v>
      </c>
      <c r="H865" s="246">
        <v>58650</v>
      </c>
      <c r="I865" s="246">
        <v>66000</v>
      </c>
      <c r="J865" s="246">
        <v>73300</v>
      </c>
      <c r="K865" s="246">
        <v>79200</v>
      </c>
      <c r="L865" s="246">
        <v>85050</v>
      </c>
      <c r="M865" s="246">
        <v>90900</v>
      </c>
      <c r="N865" s="246">
        <v>96800</v>
      </c>
    </row>
    <row r="866" spans="3:14" ht="21.95" customHeight="1" x14ac:dyDescent="0.25">
      <c r="C866" s="139" t="str">
        <f t="shared" si="29"/>
        <v>IL_DEKALB COUNTY, IL HUD METRO FMR AREA</v>
      </c>
      <c r="D866" s="136" t="s">
        <v>92</v>
      </c>
      <c r="E866" s="262" t="s">
        <v>3518</v>
      </c>
      <c r="F866" s="136" t="s">
        <v>183</v>
      </c>
      <c r="G866" s="246">
        <v>56650</v>
      </c>
      <c r="H866" s="246">
        <v>64750</v>
      </c>
      <c r="I866" s="246">
        <v>72850</v>
      </c>
      <c r="J866" s="246">
        <v>80900</v>
      </c>
      <c r="K866" s="246">
        <v>87400</v>
      </c>
      <c r="L866" s="246">
        <v>93850</v>
      </c>
      <c r="M866" s="246">
        <v>100350</v>
      </c>
      <c r="N866" s="246">
        <v>106800</v>
      </c>
    </row>
    <row r="867" spans="3:14" ht="21.95" customHeight="1" x14ac:dyDescent="0.25">
      <c r="C867" s="139" t="str">
        <f t="shared" si="29"/>
        <v>IL_DE WITT COUNTY, IL</v>
      </c>
      <c r="D867" s="136" t="s">
        <v>92</v>
      </c>
      <c r="E867" s="262" t="s">
        <v>3516</v>
      </c>
      <c r="F867" s="136" t="s">
        <v>183</v>
      </c>
      <c r="G867" s="246">
        <v>54400</v>
      </c>
      <c r="H867" s="246">
        <v>62200</v>
      </c>
      <c r="I867" s="246">
        <v>69950</v>
      </c>
      <c r="J867" s="246">
        <v>77700</v>
      </c>
      <c r="K867" s="246">
        <v>83950</v>
      </c>
      <c r="L867" s="246">
        <v>90150</v>
      </c>
      <c r="M867" s="246">
        <v>96350</v>
      </c>
      <c r="N867" s="246">
        <v>102600</v>
      </c>
    </row>
    <row r="868" spans="3:14" ht="21.95" customHeight="1" x14ac:dyDescent="0.25">
      <c r="C868" s="139" t="str">
        <f t="shared" si="29"/>
        <v>IL_DOUGLAS COUNTY, IL</v>
      </c>
      <c r="D868" s="136" t="s">
        <v>92</v>
      </c>
      <c r="E868" s="262" t="s">
        <v>3519</v>
      </c>
      <c r="F868" s="136" t="s">
        <v>183</v>
      </c>
      <c r="G868" s="246">
        <v>52850</v>
      </c>
      <c r="H868" s="246">
        <v>60400</v>
      </c>
      <c r="I868" s="246">
        <v>67950</v>
      </c>
      <c r="J868" s="246">
        <v>75500</v>
      </c>
      <c r="K868" s="246">
        <v>81550</v>
      </c>
      <c r="L868" s="246">
        <v>87600</v>
      </c>
      <c r="M868" s="246">
        <v>93650</v>
      </c>
      <c r="N868" s="246">
        <v>99700</v>
      </c>
    </row>
    <row r="869" spans="3:14" ht="21.95" customHeight="1" x14ac:dyDescent="0.25">
      <c r="C869" s="139" t="str">
        <f t="shared" si="29"/>
        <v>IL_EDGAR COUNTY, IL</v>
      </c>
      <c r="D869" s="136" t="s">
        <v>92</v>
      </c>
      <c r="E869" s="262" t="s">
        <v>3520</v>
      </c>
      <c r="F869" s="136" t="s">
        <v>183</v>
      </c>
      <c r="G869" s="246">
        <v>48550</v>
      </c>
      <c r="H869" s="246">
        <v>55450</v>
      </c>
      <c r="I869" s="246">
        <v>62400</v>
      </c>
      <c r="J869" s="246">
        <v>69300</v>
      </c>
      <c r="K869" s="246">
        <v>74850</v>
      </c>
      <c r="L869" s="246">
        <v>80400</v>
      </c>
      <c r="M869" s="246">
        <v>85950</v>
      </c>
      <c r="N869" s="246">
        <v>91500</v>
      </c>
    </row>
    <row r="870" spans="3:14" ht="21.95" customHeight="1" x14ac:dyDescent="0.25">
      <c r="C870" s="139" t="str">
        <f t="shared" si="29"/>
        <v>IL_EDWARDS COUNTY, IL</v>
      </c>
      <c r="D870" s="136" t="s">
        <v>92</v>
      </c>
      <c r="E870" s="262" t="s">
        <v>3521</v>
      </c>
      <c r="F870" s="136" t="s">
        <v>183</v>
      </c>
      <c r="G870" s="246">
        <v>48550</v>
      </c>
      <c r="H870" s="246">
        <v>55450</v>
      </c>
      <c r="I870" s="246">
        <v>62400</v>
      </c>
      <c r="J870" s="246">
        <v>69300</v>
      </c>
      <c r="K870" s="246">
        <v>74850</v>
      </c>
      <c r="L870" s="246">
        <v>80400</v>
      </c>
      <c r="M870" s="246">
        <v>85950</v>
      </c>
      <c r="N870" s="246">
        <v>91500</v>
      </c>
    </row>
    <row r="871" spans="3:14" ht="21.95" customHeight="1" x14ac:dyDescent="0.25">
      <c r="C871" s="139" t="str">
        <f t="shared" si="29"/>
        <v>IL_EFFINGHAM COUNTY, IL</v>
      </c>
      <c r="D871" s="136" t="s">
        <v>92</v>
      </c>
      <c r="E871" s="262" t="s">
        <v>3522</v>
      </c>
      <c r="F871" s="136" t="s">
        <v>183</v>
      </c>
      <c r="G871" s="246">
        <v>56700</v>
      </c>
      <c r="H871" s="246">
        <v>64800</v>
      </c>
      <c r="I871" s="246">
        <v>72900</v>
      </c>
      <c r="J871" s="246">
        <v>80950</v>
      </c>
      <c r="K871" s="246">
        <v>87450</v>
      </c>
      <c r="L871" s="246">
        <v>93950</v>
      </c>
      <c r="M871" s="246">
        <v>100400</v>
      </c>
      <c r="N871" s="246">
        <v>106900</v>
      </c>
    </row>
    <row r="872" spans="3:14" ht="21.95" customHeight="1" x14ac:dyDescent="0.25">
      <c r="C872" s="139" t="str">
        <f t="shared" si="29"/>
        <v>IL_FAYETTE COUNTY, IL</v>
      </c>
      <c r="D872" s="136" t="s">
        <v>92</v>
      </c>
      <c r="E872" s="262" t="s">
        <v>3523</v>
      </c>
      <c r="F872" s="136" t="s">
        <v>183</v>
      </c>
      <c r="G872" s="246">
        <v>48550</v>
      </c>
      <c r="H872" s="246">
        <v>55450</v>
      </c>
      <c r="I872" s="246">
        <v>62400</v>
      </c>
      <c r="J872" s="246">
        <v>69300</v>
      </c>
      <c r="K872" s="246">
        <v>74850</v>
      </c>
      <c r="L872" s="246">
        <v>80400</v>
      </c>
      <c r="M872" s="246">
        <v>85950</v>
      </c>
      <c r="N872" s="246">
        <v>91500</v>
      </c>
    </row>
    <row r="873" spans="3:14" ht="21.95" customHeight="1" x14ac:dyDescent="0.25">
      <c r="C873" s="139" t="str">
        <f t="shared" si="29"/>
        <v>IL_FORD COUNTY, IL HUD METRO FMR AREA</v>
      </c>
      <c r="D873" s="136" t="s">
        <v>92</v>
      </c>
      <c r="E873" s="262" t="s">
        <v>9159</v>
      </c>
      <c r="F873" s="136" t="s">
        <v>183</v>
      </c>
      <c r="G873" s="246">
        <v>51550</v>
      </c>
      <c r="H873" s="246">
        <v>58900</v>
      </c>
      <c r="I873" s="246">
        <v>66250</v>
      </c>
      <c r="J873" s="246">
        <v>73600</v>
      </c>
      <c r="K873" s="246">
        <v>79500</v>
      </c>
      <c r="L873" s="246">
        <v>85400</v>
      </c>
      <c r="M873" s="246">
        <v>91300</v>
      </c>
      <c r="N873" s="246">
        <v>97200</v>
      </c>
    </row>
    <row r="874" spans="3:14" ht="21.95" customHeight="1" x14ac:dyDescent="0.25">
      <c r="C874" s="139" t="str">
        <f t="shared" si="29"/>
        <v>IL_FRANKLIN COUNTY, IL</v>
      </c>
      <c r="D874" s="136" t="s">
        <v>92</v>
      </c>
      <c r="E874" s="262" t="s">
        <v>3524</v>
      </c>
      <c r="F874" s="136" t="s">
        <v>183</v>
      </c>
      <c r="G874" s="246">
        <v>48550</v>
      </c>
      <c r="H874" s="246">
        <v>55450</v>
      </c>
      <c r="I874" s="246">
        <v>62400</v>
      </c>
      <c r="J874" s="246">
        <v>69300</v>
      </c>
      <c r="K874" s="246">
        <v>74850</v>
      </c>
      <c r="L874" s="246">
        <v>80400</v>
      </c>
      <c r="M874" s="246">
        <v>85950</v>
      </c>
      <c r="N874" s="246">
        <v>91500</v>
      </c>
    </row>
    <row r="875" spans="3:14" ht="21.95" customHeight="1" x14ac:dyDescent="0.25">
      <c r="C875" s="139" t="str">
        <f t="shared" si="29"/>
        <v>IL_FULTON COUNTY, IL</v>
      </c>
      <c r="D875" s="136" t="s">
        <v>92</v>
      </c>
      <c r="E875" s="262" t="s">
        <v>9160</v>
      </c>
      <c r="F875" s="136" t="s">
        <v>183</v>
      </c>
      <c r="G875" s="246">
        <v>48550</v>
      </c>
      <c r="H875" s="246">
        <v>55450</v>
      </c>
      <c r="I875" s="246">
        <v>62400</v>
      </c>
      <c r="J875" s="246">
        <v>69300</v>
      </c>
      <c r="K875" s="246">
        <v>74850</v>
      </c>
      <c r="L875" s="246">
        <v>80400</v>
      </c>
      <c r="M875" s="246">
        <v>85950</v>
      </c>
      <c r="N875" s="246">
        <v>91500</v>
      </c>
    </row>
    <row r="876" spans="3:14" ht="21.95" customHeight="1" x14ac:dyDescent="0.25">
      <c r="C876" s="139" t="str">
        <f t="shared" si="29"/>
        <v>IL_GALLATIN COUNTY, IL</v>
      </c>
      <c r="D876" s="136" t="s">
        <v>92</v>
      </c>
      <c r="E876" s="262" t="s">
        <v>3525</v>
      </c>
      <c r="F876" s="136" t="s">
        <v>183</v>
      </c>
      <c r="G876" s="246">
        <v>48550</v>
      </c>
      <c r="H876" s="246">
        <v>55450</v>
      </c>
      <c r="I876" s="246">
        <v>62400</v>
      </c>
      <c r="J876" s="246">
        <v>69300</v>
      </c>
      <c r="K876" s="246">
        <v>74850</v>
      </c>
      <c r="L876" s="246">
        <v>80400</v>
      </c>
      <c r="M876" s="246">
        <v>85950</v>
      </c>
      <c r="N876" s="246">
        <v>91500</v>
      </c>
    </row>
    <row r="877" spans="3:14" ht="21.95" customHeight="1" x14ac:dyDescent="0.25">
      <c r="C877" s="139" t="str">
        <f t="shared" si="29"/>
        <v>IL_GREENE COUNTY, IL</v>
      </c>
      <c r="D877" s="136" t="s">
        <v>92</v>
      </c>
      <c r="E877" s="262" t="s">
        <v>3526</v>
      </c>
      <c r="F877" s="136" t="s">
        <v>183</v>
      </c>
      <c r="G877" s="246">
        <v>48550</v>
      </c>
      <c r="H877" s="246">
        <v>55450</v>
      </c>
      <c r="I877" s="246">
        <v>62400</v>
      </c>
      <c r="J877" s="246">
        <v>69300</v>
      </c>
      <c r="K877" s="246">
        <v>74850</v>
      </c>
      <c r="L877" s="246">
        <v>80400</v>
      </c>
      <c r="M877" s="246">
        <v>85950</v>
      </c>
      <c r="N877" s="246">
        <v>91500</v>
      </c>
    </row>
    <row r="878" spans="3:14" ht="21.95" customHeight="1" x14ac:dyDescent="0.25">
      <c r="C878" s="139" t="str">
        <f t="shared" si="29"/>
        <v>IL_GRUNDY COUNTY, IL HUD METRO FMR AREA</v>
      </c>
      <c r="D878" s="136" t="s">
        <v>92</v>
      </c>
      <c r="E878" s="262" t="s">
        <v>3527</v>
      </c>
      <c r="F878" s="136" t="s">
        <v>183</v>
      </c>
      <c r="G878" s="246">
        <v>66550</v>
      </c>
      <c r="H878" s="246">
        <v>76050</v>
      </c>
      <c r="I878" s="246">
        <v>85550</v>
      </c>
      <c r="J878" s="246">
        <v>95050</v>
      </c>
      <c r="K878" s="246">
        <v>102700</v>
      </c>
      <c r="L878" s="246">
        <v>110300</v>
      </c>
      <c r="M878" s="246">
        <v>117900</v>
      </c>
      <c r="N878" s="246">
        <v>125500</v>
      </c>
    </row>
    <row r="879" spans="3:14" ht="21.95" customHeight="1" x14ac:dyDescent="0.25">
      <c r="C879" s="139" t="str">
        <f t="shared" si="29"/>
        <v>IL_HAMILTON COUNTY, IL</v>
      </c>
      <c r="D879" s="136" t="s">
        <v>92</v>
      </c>
      <c r="E879" s="262" t="s">
        <v>3528</v>
      </c>
      <c r="F879" s="136" t="s">
        <v>183</v>
      </c>
      <c r="G879" s="246">
        <v>48550</v>
      </c>
      <c r="H879" s="246">
        <v>55450</v>
      </c>
      <c r="I879" s="246">
        <v>62400</v>
      </c>
      <c r="J879" s="246">
        <v>69300</v>
      </c>
      <c r="K879" s="246">
        <v>74850</v>
      </c>
      <c r="L879" s="246">
        <v>80400</v>
      </c>
      <c r="M879" s="246">
        <v>85950</v>
      </c>
      <c r="N879" s="246">
        <v>91500</v>
      </c>
    </row>
    <row r="880" spans="3:14" ht="21.95" customHeight="1" x14ac:dyDescent="0.25">
      <c r="C880" s="139" t="str">
        <f t="shared" si="29"/>
        <v>IL_HANCOCK COUNTY, IL</v>
      </c>
      <c r="D880" s="136" t="s">
        <v>92</v>
      </c>
      <c r="E880" s="262" t="s">
        <v>3529</v>
      </c>
      <c r="F880" s="136" t="s">
        <v>183</v>
      </c>
      <c r="G880" s="246">
        <v>51450</v>
      </c>
      <c r="H880" s="246">
        <v>58800</v>
      </c>
      <c r="I880" s="246">
        <v>66150</v>
      </c>
      <c r="J880" s="246">
        <v>73500</v>
      </c>
      <c r="K880" s="246">
        <v>79400</v>
      </c>
      <c r="L880" s="246">
        <v>85300</v>
      </c>
      <c r="M880" s="246">
        <v>91150</v>
      </c>
      <c r="N880" s="246">
        <v>97050</v>
      </c>
    </row>
    <row r="881" spans="3:14" ht="21.95" customHeight="1" x14ac:dyDescent="0.25">
      <c r="C881" s="139" t="str">
        <f t="shared" si="29"/>
        <v>IL_HARDIN COUNTY, IL</v>
      </c>
      <c r="D881" s="136" t="s">
        <v>92</v>
      </c>
      <c r="E881" s="262" t="s">
        <v>3530</v>
      </c>
      <c r="F881" s="136" t="s">
        <v>183</v>
      </c>
      <c r="G881" s="246">
        <v>48550</v>
      </c>
      <c r="H881" s="246">
        <v>55450</v>
      </c>
      <c r="I881" s="246">
        <v>62400</v>
      </c>
      <c r="J881" s="246">
        <v>69300</v>
      </c>
      <c r="K881" s="246">
        <v>74850</v>
      </c>
      <c r="L881" s="246">
        <v>80400</v>
      </c>
      <c r="M881" s="246">
        <v>85950</v>
      </c>
      <c r="N881" s="246">
        <v>91500</v>
      </c>
    </row>
    <row r="882" spans="3:14" ht="21.95" customHeight="1" x14ac:dyDescent="0.25">
      <c r="C882" s="139" t="str">
        <f t="shared" si="29"/>
        <v>IL_HENDERSON COUNTY, IL</v>
      </c>
      <c r="D882" s="136" t="s">
        <v>92</v>
      </c>
      <c r="E882" s="262" t="s">
        <v>3531</v>
      </c>
      <c r="F882" s="136" t="s">
        <v>183</v>
      </c>
      <c r="G882" s="246">
        <v>48550</v>
      </c>
      <c r="H882" s="246">
        <v>55450</v>
      </c>
      <c r="I882" s="246">
        <v>62400</v>
      </c>
      <c r="J882" s="246">
        <v>69300</v>
      </c>
      <c r="K882" s="246">
        <v>74850</v>
      </c>
      <c r="L882" s="246">
        <v>80400</v>
      </c>
      <c r="M882" s="246">
        <v>85950</v>
      </c>
      <c r="N882" s="246">
        <v>91500</v>
      </c>
    </row>
    <row r="883" spans="3:14" ht="21.95" customHeight="1" x14ac:dyDescent="0.25">
      <c r="C883" s="139" t="str">
        <f t="shared" si="29"/>
        <v>IL_IROQUOIS COUNTY, IL</v>
      </c>
      <c r="D883" s="136" t="s">
        <v>92</v>
      </c>
      <c r="E883" s="262" t="s">
        <v>3532</v>
      </c>
      <c r="F883" s="136" t="s">
        <v>183</v>
      </c>
      <c r="G883" s="246">
        <v>49650</v>
      </c>
      <c r="H883" s="246">
        <v>56750</v>
      </c>
      <c r="I883" s="246">
        <v>63850</v>
      </c>
      <c r="J883" s="246">
        <v>70900</v>
      </c>
      <c r="K883" s="246">
        <v>76600</v>
      </c>
      <c r="L883" s="246">
        <v>82250</v>
      </c>
      <c r="M883" s="246">
        <v>87950</v>
      </c>
      <c r="N883" s="246">
        <v>93600</v>
      </c>
    </row>
    <row r="884" spans="3:14" ht="21.95" customHeight="1" x14ac:dyDescent="0.25">
      <c r="C884" s="139" t="str">
        <f t="shared" si="29"/>
        <v>IL_JACKSON COUNTY, IL</v>
      </c>
      <c r="D884" s="136" t="s">
        <v>92</v>
      </c>
      <c r="E884" s="262" t="s">
        <v>9161</v>
      </c>
      <c r="F884" s="136" t="s">
        <v>183</v>
      </c>
      <c r="G884" s="246">
        <v>48550</v>
      </c>
      <c r="H884" s="246">
        <v>55450</v>
      </c>
      <c r="I884" s="246">
        <v>62400</v>
      </c>
      <c r="J884" s="246">
        <v>69300</v>
      </c>
      <c r="K884" s="246">
        <v>74850</v>
      </c>
      <c r="L884" s="246">
        <v>80400</v>
      </c>
      <c r="M884" s="246">
        <v>85950</v>
      </c>
      <c r="N884" s="246">
        <v>91500</v>
      </c>
    </row>
    <row r="885" spans="3:14" ht="21.95" customHeight="1" x14ac:dyDescent="0.25">
      <c r="C885" s="139" t="str">
        <f t="shared" si="29"/>
        <v>IL_JASPER COUNTY, IL</v>
      </c>
      <c r="D885" s="136" t="s">
        <v>92</v>
      </c>
      <c r="E885" s="262" t="s">
        <v>3533</v>
      </c>
      <c r="F885" s="136" t="s">
        <v>183</v>
      </c>
      <c r="G885" s="246">
        <v>51950</v>
      </c>
      <c r="H885" s="246">
        <v>59350</v>
      </c>
      <c r="I885" s="246">
        <v>66750</v>
      </c>
      <c r="J885" s="246">
        <v>74150</v>
      </c>
      <c r="K885" s="246">
        <v>80100</v>
      </c>
      <c r="L885" s="246">
        <v>86050</v>
      </c>
      <c r="M885" s="246">
        <v>91950</v>
      </c>
      <c r="N885" s="246">
        <v>97900</v>
      </c>
    </row>
    <row r="886" spans="3:14" ht="21.95" customHeight="1" x14ac:dyDescent="0.25">
      <c r="C886" s="139" t="str">
        <f t="shared" si="29"/>
        <v>IL_JEFFERSON COUNTY, IL</v>
      </c>
      <c r="D886" s="136" t="s">
        <v>92</v>
      </c>
      <c r="E886" s="262" t="s">
        <v>3534</v>
      </c>
      <c r="F886" s="136" t="s">
        <v>183</v>
      </c>
      <c r="G886" s="246">
        <v>48550</v>
      </c>
      <c r="H886" s="246">
        <v>55450</v>
      </c>
      <c r="I886" s="246">
        <v>62400</v>
      </c>
      <c r="J886" s="246">
        <v>69300</v>
      </c>
      <c r="K886" s="246">
        <v>74850</v>
      </c>
      <c r="L886" s="246">
        <v>80400</v>
      </c>
      <c r="M886" s="246">
        <v>85950</v>
      </c>
      <c r="N886" s="246">
        <v>91500</v>
      </c>
    </row>
    <row r="887" spans="3:14" ht="21.95" customHeight="1" x14ac:dyDescent="0.25">
      <c r="C887" s="139" t="str">
        <f t="shared" si="29"/>
        <v>IL_JO DAVIESS COUNTY, IL</v>
      </c>
      <c r="D887" s="136" t="s">
        <v>92</v>
      </c>
      <c r="E887" s="262" t="s">
        <v>3535</v>
      </c>
      <c r="F887" s="136" t="s">
        <v>183</v>
      </c>
      <c r="G887" s="246">
        <v>56400</v>
      </c>
      <c r="H887" s="246">
        <v>64450</v>
      </c>
      <c r="I887" s="246">
        <v>72500</v>
      </c>
      <c r="J887" s="246">
        <v>80550</v>
      </c>
      <c r="K887" s="246">
        <v>87000</v>
      </c>
      <c r="L887" s="246">
        <v>93450</v>
      </c>
      <c r="M887" s="246">
        <v>99900</v>
      </c>
      <c r="N887" s="246">
        <v>106350</v>
      </c>
    </row>
    <row r="888" spans="3:14" ht="21.95" customHeight="1" x14ac:dyDescent="0.25">
      <c r="C888" s="139" t="str">
        <f t="shared" si="29"/>
        <v>IL_JOHNSON COUNTY, IL</v>
      </c>
      <c r="D888" s="136" t="s">
        <v>92</v>
      </c>
      <c r="E888" s="262" t="s">
        <v>9162</v>
      </c>
      <c r="F888" s="136" t="s">
        <v>183</v>
      </c>
      <c r="G888" s="246">
        <v>48550</v>
      </c>
      <c r="H888" s="246">
        <v>55450</v>
      </c>
      <c r="I888" s="246">
        <v>62400</v>
      </c>
      <c r="J888" s="246">
        <v>69300</v>
      </c>
      <c r="K888" s="246">
        <v>74850</v>
      </c>
      <c r="L888" s="246">
        <v>80400</v>
      </c>
      <c r="M888" s="246">
        <v>85950</v>
      </c>
      <c r="N888" s="246">
        <v>91500</v>
      </c>
    </row>
    <row r="889" spans="3:14" ht="21.95" customHeight="1" x14ac:dyDescent="0.25">
      <c r="C889" s="139" t="str">
        <f t="shared" si="29"/>
        <v>IL_KANKAKEE, IL MSA</v>
      </c>
      <c r="D889" s="136" t="s">
        <v>92</v>
      </c>
      <c r="E889" s="262" t="s">
        <v>3536</v>
      </c>
      <c r="F889" s="136" t="s">
        <v>183</v>
      </c>
      <c r="G889" s="246">
        <v>51100</v>
      </c>
      <c r="H889" s="246">
        <v>58400</v>
      </c>
      <c r="I889" s="246">
        <v>65700</v>
      </c>
      <c r="J889" s="246">
        <v>72950</v>
      </c>
      <c r="K889" s="246">
        <v>78800</v>
      </c>
      <c r="L889" s="246">
        <v>84650</v>
      </c>
      <c r="M889" s="246">
        <v>90500</v>
      </c>
      <c r="N889" s="246">
        <v>96300</v>
      </c>
    </row>
    <row r="890" spans="3:14" ht="21.95" customHeight="1" x14ac:dyDescent="0.25">
      <c r="C890" s="139" t="str">
        <f t="shared" si="29"/>
        <v>IL_KENDALL COUNTY, IL HUD METRO FMR AREA</v>
      </c>
      <c r="D890" s="136" t="s">
        <v>92</v>
      </c>
      <c r="E890" s="262" t="s">
        <v>3537</v>
      </c>
      <c r="F890" s="136" t="s">
        <v>183</v>
      </c>
      <c r="G890" s="246">
        <v>72950</v>
      </c>
      <c r="H890" s="246">
        <v>83400</v>
      </c>
      <c r="I890" s="246">
        <v>93800</v>
      </c>
      <c r="J890" s="246">
        <v>104200</v>
      </c>
      <c r="K890" s="246">
        <v>112550</v>
      </c>
      <c r="L890" s="246">
        <v>120900</v>
      </c>
      <c r="M890" s="246">
        <v>129250</v>
      </c>
      <c r="N890" s="246">
        <v>137550</v>
      </c>
    </row>
    <row r="891" spans="3:14" ht="21.95" customHeight="1" x14ac:dyDescent="0.25">
      <c r="C891" s="139" t="str">
        <f t="shared" si="29"/>
        <v>IL_KNOX COUNTY, IL</v>
      </c>
      <c r="D891" s="136" t="s">
        <v>92</v>
      </c>
      <c r="E891" s="262" t="s">
        <v>3538</v>
      </c>
      <c r="F891" s="136" t="s">
        <v>183</v>
      </c>
      <c r="G891" s="246">
        <v>48550</v>
      </c>
      <c r="H891" s="246">
        <v>55450</v>
      </c>
      <c r="I891" s="246">
        <v>62400</v>
      </c>
      <c r="J891" s="246">
        <v>69300</v>
      </c>
      <c r="K891" s="246">
        <v>74850</v>
      </c>
      <c r="L891" s="246">
        <v>80400</v>
      </c>
      <c r="M891" s="246">
        <v>85950</v>
      </c>
      <c r="N891" s="246">
        <v>91500</v>
      </c>
    </row>
    <row r="892" spans="3:14" ht="21.95" customHeight="1" x14ac:dyDescent="0.25">
      <c r="C892" s="139" t="str">
        <f t="shared" si="29"/>
        <v>IL_LA SALLE COUNTY, IL</v>
      </c>
      <c r="D892" s="136" t="s">
        <v>92</v>
      </c>
      <c r="E892" s="262" t="s">
        <v>3539</v>
      </c>
      <c r="F892" s="136" t="s">
        <v>183</v>
      </c>
      <c r="G892" s="246">
        <v>51000</v>
      </c>
      <c r="H892" s="246">
        <v>58250</v>
      </c>
      <c r="I892" s="246">
        <v>65550</v>
      </c>
      <c r="J892" s="246">
        <v>72800</v>
      </c>
      <c r="K892" s="246">
        <v>78650</v>
      </c>
      <c r="L892" s="246">
        <v>84450</v>
      </c>
      <c r="M892" s="246">
        <v>90300</v>
      </c>
      <c r="N892" s="246">
        <v>96100</v>
      </c>
    </row>
    <row r="893" spans="3:14" ht="21.95" customHeight="1" x14ac:dyDescent="0.25">
      <c r="C893" s="139" t="str">
        <f t="shared" si="29"/>
        <v>IL_LAWRENCE COUNTY, IL</v>
      </c>
      <c r="D893" s="136" t="s">
        <v>92</v>
      </c>
      <c r="E893" s="262" t="s">
        <v>3540</v>
      </c>
      <c r="F893" s="136" t="s">
        <v>183</v>
      </c>
      <c r="G893" s="246">
        <v>48550</v>
      </c>
      <c r="H893" s="246">
        <v>55450</v>
      </c>
      <c r="I893" s="246">
        <v>62400</v>
      </c>
      <c r="J893" s="246">
        <v>69300</v>
      </c>
      <c r="K893" s="246">
        <v>74850</v>
      </c>
      <c r="L893" s="246">
        <v>80400</v>
      </c>
      <c r="M893" s="246">
        <v>85950</v>
      </c>
      <c r="N893" s="246">
        <v>91500</v>
      </c>
    </row>
    <row r="894" spans="3:14" ht="21.95" customHeight="1" x14ac:dyDescent="0.25">
      <c r="C894" s="139" t="str">
        <f t="shared" si="29"/>
        <v>IL_LEE COUNTY, IL</v>
      </c>
      <c r="D894" s="136" t="s">
        <v>92</v>
      </c>
      <c r="E894" s="262" t="s">
        <v>3541</v>
      </c>
      <c r="F894" s="136" t="s">
        <v>183</v>
      </c>
      <c r="G894" s="246">
        <v>51550</v>
      </c>
      <c r="H894" s="246">
        <v>58900</v>
      </c>
      <c r="I894" s="246">
        <v>66250</v>
      </c>
      <c r="J894" s="246">
        <v>73600</v>
      </c>
      <c r="K894" s="246">
        <v>79500</v>
      </c>
      <c r="L894" s="246">
        <v>85400</v>
      </c>
      <c r="M894" s="246">
        <v>91300</v>
      </c>
      <c r="N894" s="246">
        <v>97200</v>
      </c>
    </row>
    <row r="895" spans="3:14" ht="21.95" customHeight="1" x14ac:dyDescent="0.25">
      <c r="C895" s="139" t="str">
        <f t="shared" si="29"/>
        <v>IL_LIVINGSTON COUNTY, IL</v>
      </c>
      <c r="D895" s="136" t="s">
        <v>92</v>
      </c>
      <c r="E895" s="262" t="s">
        <v>3542</v>
      </c>
      <c r="F895" s="136" t="s">
        <v>183</v>
      </c>
      <c r="G895" s="246">
        <v>54250</v>
      </c>
      <c r="H895" s="246">
        <v>62000</v>
      </c>
      <c r="I895" s="246">
        <v>69750</v>
      </c>
      <c r="J895" s="246">
        <v>77450</v>
      </c>
      <c r="K895" s="246">
        <v>83650</v>
      </c>
      <c r="L895" s="246">
        <v>89850</v>
      </c>
      <c r="M895" s="246">
        <v>96050</v>
      </c>
      <c r="N895" s="246">
        <v>102250</v>
      </c>
    </row>
    <row r="896" spans="3:14" ht="21.95" customHeight="1" x14ac:dyDescent="0.25">
      <c r="C896" s="139" t="str">
        <f t="shared" ref="C896:C959" si="30">TRIM(UPPER(D896))&amp;"_"&amp;TRIM(UPPER(E896))</f>
        <v>IL_LOGAN COUNTY, IL</v>
      </c>
      <c r="D896" s="136" t="s">
        <v>92</v>
      </c>
      <c r="E896" s="262" t="s">
        <v>3543</v>
      </c>
      <c r="F896" s="136" t="s">
        <v>183</v>
      </c>
      <c r="G896" s="246">
        <v>49850</v>
      </c>
      <c r="H896" s="246">
        <v>57000</v>
      </c>
      <c r="I896" s="246">
        <v>64100</v>
      </c>
      <c r="J896" s="246">
        <v>71200</v>
      </c>
      <c r="K896" s="246">
        <v>76900</v>
      </c>
      <c r="L896" s="246">
        <v>82600</v>
      </c>
      <c r="M896" s="246">
        <v>88300</v>
      </c>
      <c r="N896" s="246">
        <v>94000</v>
      </c>
    </row>
    <row r="897" spans="3:14" ht="21.95" customHeight="1" x14ac:dyDescent="0.25">
      <c r="C897" s="139" t="str">
        <f t="shared" si="30"/>
        <v>IL_MACOUPIN COUNTY, IL HUD METRO FMR AREA</v>
      </c>
      <c r="D897" s="136" t="s">
        <v>92</v>
      </c>
      <c r="E897" s="262" t="s">
        <v>3544</v>
      </c>
      <c r="F897" s="136" t="s">
        <v>183</v>
      </c>
      <c r="G897" s="246">
        <v>51050</v>
      </c>
      <c r="H897" s="246">
        <v>58350</v>
      </c>
      <c r="I897" s="246">
        <v>65650</v>
      </c>
      <c r="J897" s="246">
        <v>72900</v>
      </c>
      <c r="K897" s="246">
        <v>78750</v>
      </c>
      <c r="L897" s="246">
        <v>84600</v>
      </c>
      <c r="M897" s="246">
        <v>90400</v>
      </c>
      <c r="N897" s="246">
        <v>96250</v>
      </c>
    </row>
    <row r="898" spans="3:14" ht="21.95" customHeight="1" x14ac:dyDescent="0.25">
      <c r="C898" s="139" t="str">
        <f t="shared" si="30"/>
        <v>IL_MARION COUNTY, IL</v>
      </c>
      <c r="D898" s="136" t="s">
        <v>92</v>
      </c>
      <c r="E898" s="262" t="s">
        <v>3545</v>
      </c>
      <c r="F898" s="136" t="s">
        <v>183</v>
      </c>
      <c r="G898" s="246">
        <v>48550</v>
      </c>
      <c r="H898" s="246">
        <v>55450</v>
      </c>
      <c r="I898" s="246">
        <v>62400</v>
      </c>
      <c r="J898" s="246">
        <v>69300</v>
      </c>
      <c r="K898" s="246">
        <v>74850</v>
      </c>
      <c r="L898" s="246">
        <v>80400</v>
      </c>
      <c r="M898" s="246">
        <v>85950</v>
      </c>
      <c r="N898" s="246">
        <v>91500</v>
      </c>
    </row>
    <row r="899" spans="3:14" ht="21.95" customHeight="1" x14ac:dyDescent="0.25">
      <c r="C899" s="139" t="str">
        <f t="shared" si="30"/>
        <v>IL_MASON COUNTY, IL</v>
      </c>
      <c r="D899" s="136" t="s">
        <v>92</v>
      </c>
      <c r="E899" s="262" t="s">
        <v>3546</v>
      </c>
      <c r="F899" s="136" t="s">
        <v>183</v>
      </c>
      <c r="G899" s="246">
        <v>48650</v>
      </c>
      <c r="H899" s="246">
        <v>55600</v>
      </c>
      <c r="I899" s="246">
        <v>62550</v>
      </c>
      <c r="J899" s="246">
        <v>69500</v>
      </c>
      <c r="K899" s="246">
        <v>75100</v>
      </c>
      <c r="L899" s="246">
        <v>80650</v>
      </c>
      <c r="M899" s="246">
        <v>86200</v>
      </c>
      <c r="N899" s="246">
        <v>91750</v>
      </c>
    </row>
    <row r="900" spans="3:14" ht="21.95" customHeight="1" x14ac:dyDescent="0.25">
      <c r="C900" s="139" t="str">
        <f t="shared" si="30"/>
        <v>IL_MASSAC COUNTY, IL HUD METRO FMR AREA</v>
      </c>
      <c r="D900" s="136" t="s">
        <v>92</v>
      </c>
      <c r="E900" s="262" t="s">
        <v>9164</v>
      </c>
      <c r="F900" s="136" t="s">
        <v>183</v>
      </c>
      <c r="G900" s="246">
        <v>48550</v>
      </c>
      <c r="H900" s="246">
        <v>55450</v>
      </c>
      <c r="I900" s="246">
        <v>62400</v>
      </c>
      <c r="J900" s="246">
        <v>69300</v>
      </c>
      <c r="K900" s="246">
        <v>74850</v>
      </c>
      <c r="L900" s="246">
        <v>80400</v>
      </c>
      <c r="M900" s="246">
        <v>85950</v>
      </c>
      <c r="N900" s="246">
        <v>91500</v>
      </c>
    </row>
    <row r="901" spans="3:14" ht="21.95" customHeight="1" x14ac:dyDescent="0.25">
      <c r="C901" s="139" t="str">
        <f t="shared" si="30"/>
        <v>IL_MCDONOUGH COUNTY, IL</v>
      </c>
      <c r="D901" s="136" t="s">
        <v>92</v>
      </c>
      <c r="E901" s="262" t="s">
        <v>3547</v>
      </c>
      <c r="F901" s="136" t="s">
        <v>183</v>
      </c>
      <c r="G901" s="246">
        <v>48550</v>
      </c>
      <c r="H901" s="246">
        <v>55450</v>
      </c>
      <c r="I901" s="246">
        <v>62400</v>
      </c>
      <c r="J901" s="246">
        <v>69300</v>
      </c>
      <c r="K901" s="246">
        <v>74850</v>
      </c>
      <c r="L901" s="246">
        <v>80400</v>
      </c>
      <c r="M901" s="246">
        <v>85950</v>
      </c>
      <c r="N901" s="246">
        <v>91500</v>
      </c>
    </row>
    <row r="902" spans="3:14" ht="21.95" customHeight="1" x14ac:dyDescent="0.25">
      <c r="C902" s="139" t="str">
        <f t="shared" si="30"/>
        <v>IL_MONTGOMERY COUNTY, IL</v>
      </c>
      <c r="D902" s="136" t="s">
        <v>92</v>
      </c>
      <c r="E902" s="262" t="s">
        <v>3548</v>
      </c>
      <c r="F902" s="136" t="s">
        <v>183</v>
      </c>
      <c r="G902" s="246">
        <v>52400</v>
      </c>
      <c r="H902" s="246">
        <v>59850</v>
      </c>
      <c r="I902" s="246">
        <v>67350</v>
      </c>
      <c r="J902" s="246">
        <v>74800</v>
      </c>
      <c r="K902" s="246">
        <v>80800</v>
      </c>
      <c r="L902" s="246">
        <v>86800</v>
      </c>
      <c r="M902" s="246">
        <v>92800</v>
      </c>
      <c r="N902" s="246">
        <v>98750</v>
      </c>
    </row>
    <row r="903" spans="3:14" ht="21.95" customHeight="1" x14ac:dyDescent="0.25">
      <c r="C903" s="139" t="str">
        <f t="shared" si="30"/>
        <v>IL_MORGAN COUNTY, IL</v>
      </c>
      <c r="D903" s="136" t="s">
        <v>92</v>
      </c>
      <c r="E903" s="262" t="s">
        <v>3549</v>
      </c>
      <c r="F903" s="136" t="s">
        <v>183</v>
      </c>
      <c r="G903" s="246">
        <v>52850</v>
      </c>
      <c r="H903" s="246">
        <v>60400</v>
      </c>
      <c r="I903" s="246">
        <v>67950</v>
      </c>
      <c r="J903" s="246">
        <v>75450</v>
      </c>
      <c r="K903" s="246">
        <v>81500</v>
      </c>
      <c r="L903" s="246">
        <v>87550</v>
      </c>
      <c r="M903" s="246">
        <v>93600</v>
      </c>
      <c r="N903" s="246">
        <v>99600</v>
      </c>
    </row>
    <row r="904" spans="3:14" ht="21.95" customHeight="1" x14ac:dyDescent="0.25">
      <c r="C904" s="139" t="str">
        <f t="shared" si="30"/>
        <v>IL_MOULTRIE COUNTY, IL</v>
      </c>
      <c r="D904" s="136" t="s">
        <v>92</v>
      </c>
      <c r="E904" s="262" t="s">
        <v>3550</v>
      </c>
      <c r="F904" s="136" t="s">
        <v>183</v>
      </c>
      <c r="G904" s="246">
        <v>55450</v>
      </c>
      <c r="H904" s="246">
        <v>63400</v>
      </c>
      <c r="I904" s="246">
        <v>71300</v>
      </c>
      <c r="J904" s="246">
        <v>79200</v>
      </c>
      <c r="K904" s="246">
        <v>85550</v>
      </c>
      <c r="L904" s="246">
        <v>91900</v>
      </c>
      <c r="M904" s="246">
        <v>98250</v>
      </c>
      <c r="N904" s="246">
        <v>104550</v>
      </c>
    </row>
    <row r="905" spans="3:14" ht="21.95" customHeight="1" x14ac:dyDescent="0.25">
      <c r="C905" s="139" t="str">
        <f t="shared" si="30"/>
        <v>IL_OGLE COUNTY, IL</v>
      </c>
      <c r="D905" s="136" t="s">
        <v>92</v>
      </c>
      <c r="E905" s="262" t="s">
        <v>3551</v>
      </c>
      <c r="F905" s="136" t="s">
        <v>183</v>
      </c>
      <c r="G905" s="246">
        <v>56950</v>
      </c>
      <c r="H905" s="246">
        <v>65100</v>
      </c>
      <c r="I905" s="246">
        <v>73250</v>
      </c>
      <c r="J905" s="246">
        <v>81350</v>
      </c>
      <c r="K905" s="246">
        <v>87900</v>
      </c>
      <c r="L905" s="246">
        <v>94400</v>
      </c>
      <c r="M905" s="246">
        <v>100900</v>
      </c>
      <c r="N905" s="246">
        <v>107400</v>
      </c>
    </row>
    <row r="906" spans="3:14" ht="21.95" customHeight="1" x14ac:dyDescent="0.25">
      <c r="C906" s="139" t="str">
        <f t="shared" si="30"/>
        <v>IL_PEORIA, IL MSA</v>
      </c>
      <c r="D906" s="136" t="s">
        <v>92</v>
      </c>
      <c r="E906" s="262" t="s">
        <v>9163</v>
      </c>
      <c r="F906" s="136" t="s">
        <v>183</v>
      </c>
      <c r="G906" s="246">
        <v>54700</v>
      </c>
      <c r="H906" s="246">
        <v>62500</v>
      </c>
      <c r="I906" s="246">
        <v>70300</v>
      </c>
      <c r="J906" s="246">
        <v>78100</v>
      </c>
      <c r="K906" s="246">
        <v>84350</v>
      </c>
      <c r="L906" s="246">
        <v>90600</v>
      </c>
      <c r="M906" s="246">
        <v>96850</v>
      </c>
      <c r="N906" s="246">
        <v>103100</v>
      </c>
    </row>
    <row r="907" spans="3:14" ht="21.95" customHeight="1" x14ac:dyDescent="0.25">
      <c r="C907" s="139" t="str">
        <f t="shared" si="30"/>
        <v>IL_PERRY COUNTY, IL</v>
      </c>
      <c r="D907" s="136" t="s">
        <v>92</v>
      </c>
      <c r="E907" s="262" t="s">
        <v>3552</v>
      </c>
      <c r="F907" s="136" t="s">
        <v>183</v>
      </c>
      <c r="G907" s="246">
        <v>48550</v>
      </c>
      <c r="H907" s="246">
        <v>55450</v>
      </c>
      <c r="I907" s="246">
        <v>62400</v>
      </c>
      <c r="J907" s="246">
        <v>69300</v>
      </c>
      <c r="K907" s="246">
        <v>74850</v>
      </c>
      <c r="L907" s="246">
        <v>80400</v>
      </c>
      <c r="M907" s="246">
        <v>85950</v>
      </c>
      <c r="N907" s="246">
        <v>91500</v>
      </c>
    </row>
    <row r="908" spans="3:14" ht="21.95" customHeight="1" x14ac:dyDescent="0.25">
      <c r="C908" s="139" t="str">
        <f t="shared" si="30"/>
        <v>IL_PIKE COUNTY, IL</v>
      </c>
      <c r="D908" s="136" t="s">
        <v>92</v>
      </c>
      <c r="E908" s="262" t="s">
        <v>3553</v>
      </c>
      <c r="F908" s="136" t="s">
        <v>183</v>
      </c>
      <c r="G908" s="246">
        <v>48550</v>
      </c>
      <c r="H908" s="246">
        <v>55450</v>
      </c>
      <c r="I908" s="246">
        <v>62400</v>
      </c>
      <c r="J908" s="246">
        <v>69300</v>
      </c>
      <c r="K908" s="246">
        <v>74850</v>
      </c>
      <c r="L908" s="246">
        <v>80400</v>
      </c>
      <c r="M908" s="246">
        <v>85950</v>
      </c>
      <c r="N908" s="246">
        <v>91500</v>
      </c>
    </row>
    <row r="909" spans="3:14" ht="21.95" customHeight="1" x14ac:dyDescent="0.25">
      <c r="C909" s="139" t="str">
        <f t="shared" si="30"/>
        <v>IL_POPE COUNTY, IL</v>
      </c>
      <c r="D909" s="136" t="s">
        <v>92</v>
      </c>
      <c r="E909" s="262" t="s">
        <v>3554</v>
      </c>
      <c r="F909" s="136" t="s">
        <v>183</v>
      </c>
      <c r="G909" s="246">
        <v>49800</v>
      </c>
      <c r="H909" s="246">
        <v>56900</v>
      </c>
      <c r="I909" s="246">
        <v>64000</v>
      </c>
      <c r="J909" s="246">
        <v>71100</v>
      </c>
      <c r="K909" s="246">
        <v>76800</v>
      </c>
      <c r="L909" s="246">
        <v>82500</v>
      </c>
      <c r="M909" s="246">
        <v>88200</v>
      </c>
      <c r="N909" s="246">
        <v>93900</v>
      </c>
    </row>
    <row r="910" spans="3:14" ht="21.95" customHeight="1" x14ac:dyDescent="0.25">
      <c r="C910" s="139" t="str">
        <f t="shared" si="30"/>
        <v>IL_PULASKI COUNTY, IL</v>
      </c>
      <c r="D910" s="136" t="s">
        <v>92</v>
      </c>
      <c r="E910" s="262" t="s">
        <v>3555</v>
      </c>
      <c r="F910" s="136" t="s">
        <v>183</v>
      </c>
      <c r="G910" s="246">
        <v>48550</v>
      </c>
      <c r="H910" s="246">
        <v>55450</v>
      </c>
      <c r="I910" s="246">
        <v>62400</v>
      </c>
      <c r="J910" s="246">
        <v>69300</v>
      </c>
      <c r="K910" s="246">
        <v>74850</v>
      </c>
      <c r="L910" s="246">
        <v>80400</v>
      </c>
      <c r="M910" s="246">
        <v>85950</v>
      </c>
      <c r="N910" s="246">
        <v>91500</v>
      </c>
    </row>
    <row r="911" spans="3:14" ht="21.95" customHeight="1" x14ac:dyDescent="0.25">
      <c r="C911" s="139" t="str">
        <f t="shared" si="30"/>
        <v>IL_PUTNAM COUNTY, IL</v>
      </c>
      <c r="D911" s="136" t="s">
        <v>92</v>
      </c>
      <c r="E911" s="262" t="s">
        <v>3556</v>
      </c>
      <c r="F911" s="136" t="s">
        <v>183</v>
      </c>
      <c r="G911" s="246">
        <v>56500</v>
      </c>
      <c r="H911" s="246">
        <v>64550</v>
      </c>
      <c r="I911" s="246">
        <v>72600</v>
      </c>
      <c r="J911" s="246">
        <v>80650</v>
      </c>
      <c r="K911" s="246">
        <v>87150</v>
      </c>
      <c r="L911" s="246">
        <v>93600</v>
      </c>
      <c r="M911" s="246">
        <v>100050</v>
      </c>
      <c r="N911" s="246">
        <v>106500</v>
      </c>
    </row>
    <row r="912" spans="3:14" ht="21.95" customHeight="1" x14ac:dyDescent="0.25">
      <c r="C912" s="139" t="str">
        <f t="shared" si="30"/>
        <v>IL_RANDOLPH COUNTY, IL</v>
      </c>
      <c r="D912" s="136" t="s">
        <v>92</v>
      </c>
      <c r="E912" s="262" t="s">
        <v>3557</v>
      </c>
      <c r="F912" s="136" t="s">
        <v>183</v>
      </c>
      <c r="G912" s="246">
        <v>52750</v>
      </c>
      <c r="H912" s="246">
        <v>60250</v>
      </c>
      <c r="I912" s="246">
        <v>67800</v>
      </c>
      <c r="J912" s="246">
        <v>75300</v>
      </c>
      <c r="K912" s="246">
        <v>81350</v>
      </c>
      <c r="L912" s="246">
        <v>87350</v>
      </c>
      <c r="M912" s="246">
        <v>93400</v>
      </c>
      <c r="N912" s="246">
        <v>99400</v>
      </c>
    </row>
    <row r="913" spans="3:14" ht="21.95" customHeight="1" x14ac:dyDescent="0.25">
      <c r="C913" s="139" t="str">
        <f t="shared" si="30"/>
        <v>IL_RICHLAND COUNTY, IL</v>
      </c>
      <c r="D913" s="136" t="s">
        <v>92</v>
      </c>
      <c r="E913" s="262" t="s">
        <v>3558</v>
      </c>
      <c r="F913" s="136" t="s">
        <v>183</v>
      </c>
      <c r="G913" s="246">
        <v>48550</v>
      </c>
      <c r="H913" s="246">
        <v>55450</v>
      </c>
      <c r="I913" s="246">
        <v>62400</v>
      </c>
      <c r="J913" s="246">
        <v>69300</v>
      </c>
      <c r="K913" s="246">
        <v>74850</v>
      </c>
      <c r="L913" s="246">
        <v>80400</v>
      </c>
      <c r="M913" s="246">
        <v>85950</v>
      </c>
      <c r="N913" s="246">
        <v>91500</v>
      </c>
    </row>
    <row r="914" spans="3:14" ht="21.95" customHeight="1" x14ac:dyDescent="0.25">
      <c r="C914" s="139" t="str">
        <f t="shared" si="30"/>
        <v>IL_ROCKFORD, IL MSA</v>
      </c>
      <c r="D914" s="136" t="s">
        <v>92</v>
      </c>
      <c r="E914" s="262" t="s">
        <v>3559</v>
      </c>
      <c r="F914" s="136" t="s">
        <v>183</v>
      </c>
      <c r="G914" s="246">
        <v>48550</v>
      </c>
      <c r="H914" s="246">
        <v>55450</v>
      </c>
      <c r="I914" s="246">
        <v>62400</v>
      </c>
      <c r="J914" s="246">
        <v>69300</v>
      </c>
      <c r="K914" s="246">
        <v>74850</v>
      </c>
      <c r="L914" s="246">
        <v>80400</v>
      </c>
      <c r="M914" s="246">
        <v>85950</v>
      </c>
      <c r="N914" s="246">
        <v>91500</v>
      </c>
    </row>
    <row r="915" spans="3:14" ht="21.95" customHeight="1" x14ac:dyDescent="0.25">
      <c r="C915" s="139" t="str">
        <f t="shared" si="30"/>
        <v>IL_SALINE COUNTY, IL</v>
      </c>
      <c r="D915" s="136" t="s">
        <v>92</v>
      </c>
      <c r="E915" s="262" t="s">
        <v>3560</v>
      </c>
      <c r="F915" s="136" t="s">
        <v>183</v>
      </c>
      <c r="G915" s="246">
        <v>48550</v>
      </c>
      <c r="H915" s="246">
        <v>55450</v>
      </c>
      <c r="I915" s="246">
        <v>62400</v>
      </c>
      <c r="J915" s="246">
        <v>69300</v>
      </c>
      <c r="K915" s="246">
        <v>74850</v>
      </c>
      <c r="L915" s="246">
        <v>80400</v>
      </c>
      <c r="M915" s="246">
        <v>85950</v>
      </c>
      <c r="N915" s="246">
        <v>91500</v>
      </c>
    </row>
    <row r="916" spans="3:14" ht="21.95" customHeight="1" x14ac:dyDescent="0.25">
      <c r="C916" s="139" t="str">
        <f t="shared" si="30"/>
        <v>IL_SCHUYLER COUNTY, IL</v>
      </c>
      <c r="D916" s="136" t="s">
        <v>92</v>
      </c>
      <c r="E916" s="262" t="s">
        <v>3561</v>
      </c>
      <c r="F916" s="136" t="s">
        <v>183</v>
      </c>
      <c r="G916" s="246">
        <v>51700</v>
      </c>
      <c r="H916" s="246">
        <v>59100</v>
      </c>
      <c r="I916" s="246">
        <v>66500</v>
      </c>
      <c r="J916" s="246">
        <v>73850</v>
      </c>
      <c r="K916" s="246">
        <v>79800</v>
      </c>
      <c r="L916" s="246">
        <v>85700</v>
      </c>
      <c r="M916" s="246">
        <v>91600</v>
      </c>
      <c r="N916" s="246">
        <v>97500</v>
      </c>
    </row>
    <row r="917" spans="3:14" ht="21.95" customHeight="1" x14ac:dyDescent="0.25">
      <c r="C917" s="139" t="str">
        <f t="shared" si="30"/>
        <v>IL_SCOTT COUNTY, IL</v>
      </c>
      <c r="D917" s="136" t="s">
        <v>92</v>
      </c>
      <c r="E917" s="262" t="s">
        <v>3562</v>
      </c>
      <c r="F917" s="136" t="s">
        <v>183</v>
      </c>
      <c r="G917" s="246">
        <v>55350</v>
      </c>
      <c r="H917" s="246">
        <v>63250</v>
      </c>
      <c r="I917" s="246">
        <v>71150</v>
      </c>
      <c r="J917" s="246">
        <v>79050</v>
      </c>
      <c r="K917" s="246">
        <v>85400</v>
      </c>
      <c r="L917" s="246">
        <v>91700</v>
      </c>
      <c r="M917" s="246">
        <v>98050</v>
      </c>
      <c r="N917" s="246">
        <v>104350</v>
      </c>
    </row>
    <row r="918" spans="3:14" ht="21.95" customHeight="1" x14ac:dyDescent="0.25">
      <c r="C918" s="139" t="str">
        <f t="shared" si="30"/>
        <v>IL_SHELBY COUNTY, IL</v>
      </c>
      <c r="D918" s="136" t="s">
        <v>92</v>
      </c>
      <c r="E918" s="262" t="s">
        <v>3563</v>
      </c>
      <c r="F918" s="136" t="s">
        <v>183</v>
      </c>
      <c r="G918" s="246">
        <v>50750</v>
      </c>
      <c r="H918" s="246">
        <v>58000</v>
      </c>
      <c r="I918" s="246">
        <v>65250</v>
      </c>
      <c r="J918" s="246">
        <v>72500</v>
      </c>
      <c r="K918" s="246">
        <v>78300</v>
      </c>
      <c r="L918" s="246">
        <v>84100</v>
      </c>
      <c r="M918" s="246">
        <v>89900</v>
      </c>
      <c r="N918" s="246">
        <v>95700</v>
      </c>
    </row>
    <row r="919" spans="3:14" ht="21.95" customHeight="1" x14ac:dyDescent="0.25">
      <c r="C919" s="139" t="str">
        <f t="shared" si="30"/>
        <v>IL_SPRINGFIELD, IL MSA</v>
      </c>
      <c r="D919" s="136" t="s">
        <v>92</v>
      </c>
      <c r="E919" s="262" t="s">
        <v>3564</v>
      </c>
      <c r="F919" s="136" t="s">
        <v>183</v>
      </c>
      <c r="G919" s="246">
        <v>64250</v>
      </c>
      <c r="H919" s="246">
        <v>73400</v>
      </c>
      <c r="I919" s="246">
        <v>82600</v>
      </c>
      <c r="J919" s="246">
        <v>91750</v>
      </c>
      <c r="K919" s="246">
        <v>99100</v>
      </c>
      <c r="L919" s="246">
        <v>106450</v>
      </c>
      <c r="M919" s="246">
        <v>113800</v>
      </c>
      <c r="N919" s="246">
        <v>121150</v>
      </c>
    </row>
    <row r="920" spans="3:14" ht="21.95" customHeight="1" x14ac:dyDescent="0.25">
      <c r="C920" s="139" t="str">
        <f t="shared" si="30"/>
        <v>IL_STEPHENSON COUNTY, IL</v>
      </c>
      <c r="D920" s="136" t="s">
        <v>92</v>
      </c>
      <c r="E920" s="262" t="s">
        <v>3566</v>
      </c>
      <c r="F920" s="136" t="s">
        <v>183</v>
      </c>
      <c r="G920" s="246">
        <v>48550</v>
      </c>
      <c r="H920" s="246">
        <v>55450</v>
      </c>
      <c r="I920" s="246">
        <v>62400</v>
      </c>
      <c r="J920" s="246">
        <v>69300</v>
      </c>
      <c r="K920" s="246">
        <v>74850</v>
      </c>
      <c r="L920" s="246">
        <v>80400</v>
      </c>
      <c r="M920" s="246">
        <v>85950</v>
      </c>
      <c r="N920" s="246">
        <v>91500</v>
      </c>
    </row>
    <row r="921" spans="3:14" ht="21.95" customHeight="1" x14ac:dyDescent="0.25">
      <c r="C921" s="139" t="str">
        <f t="shared" si="30"/>
        <v>IL_ST. LOUIS, MO-IL HUD METRO FMR AREA</v>
      </c>
      <c r="D921" s="136" t="s">
        <v>92</v>
      </c>
      <c r="E921" s="262" t="s">
        <v>3565</v>
      </c>
      <c r="F921" s="136" t="s">
        <v>183</v>
      </c>
      <c r="G921" s="246">
        <v>62400</v>
      </c>
      <c r="H921" s="246">
        <v>71300</v>
      </c>
      <c r="I921" s="246">
        <v>80200</v>
      </c>
      <c r="J921" s="246">
        <v>89100</v>
      </c>
      <c r="K921" s="246">
        <v>96250</v>
      </c>
      <c r="L921" s="246">
        <v>103400</v>
      </c>
      <c r="M921" s="246">
        <v>110500</v>
      </c>
      <c r="N921" s="246">
        <v>117650</v>
      </c>
    </row>
    <row r="922" spans="3:14" ht="21.95" customHeight="1" x14ac:dyDescent="0.25">
      <c r="C922" s="139" t="str">
        <f t="shared" si="30"/>
        <v>IL_UNION COUNTY, IL</v>
      </c>
      <c r="D922" s="136" t="s">
        <v>92</v>
      </c>
      <c r="E922" s="262" t="s">
        <v>3567</v>
      </c>
      <c r="F922" s="136" t="s">
        <v>183</v>
      </c>
      <c r="G922" s="246">
        <v>50250</v>
      </c>
      <c r="H922" s="246">
        <v>57400</v>
      </c>
      <c r="I922" s="246">
        <v>64600</v>
      </c>
      <c r="J922" s="246">
        <v>71750</v>
      </c>
      <c r="K922" s="246">
        <v>77500</v>
      </c>
      <c r="L922" s="246">
        <v>83250</v>
      </c>
      <c r="M922" s="246">
        <v>89000</v>
      </c>
      <c r="N922" s="246">
        <v>94750</v>
      </c>
    </row>
    <row r="923" spans="3:14" ht="21.95" customHeight="1" x14ac:dyDescent="0.25">
      <c r="C923" s="139" t="str">
        <f t="shared" si="30"/>
        <v>IL_VERMILION COUNTY, IL</v>
      </c>
      <c r="D923" s="136" t="s">
        <v>92</v>
      </c>
      <c r="E923" s="262" t="s">
        <v>9165</v>
      </c>
      <c r="F923" s="136" t="s">
        <v>183</v>
      </c>
      <c r="G923" s="246">
        <v>48550</v>
      </c>
      <c r="H923" s="246">
        <v>55450</v>
      </c>
      <c r="I923" s="246">
        <v>62400</v>
      </c>
      <c r="J923" s="246">
        <v>69300</v>
      </c>
      <c r="K923" s="246">
        <v>74850</v>
      </c>
      <c r="L923" s="246">
        <v>80400</v>
      </c>
      <c r="M923" s="246">
        <v>85950</v>
      </c>
      <c r="N923" s="246">
        <v>91500</v>
      </c>
    </row>
    <row r="924" spans="3:14" ht="21.95" customHeight="1" x14ac:dyDescent="0.25">
      <c r="C924" s="139" t="str">
        <f t="shared" si="30"/>
        <v>IL_WABASH COUNTY, IL</v>
      </c>
      <c r="D924" s="136" t="s">
        <v>92</v>
      </c>
      <c r="E924" s="262" t="s">
        <v>3568</v>
      </c>
      <c r="F924" s="136" t="s">
        <v>183</v>
      </c>
      <c r="G924" s="246">
        <v>50700</v>
      </c>
      <c r="H924" s="246">
        <v>57950</v>
      </c>
      <c r="I924" s="246">
        <v>65200</v>
      </c>
      <c r="J924" s="246">
        <v>72400</v>
      </c>
      <c r="K924" s="246">
        <v>78200</v>
      </c>
      <c r="L924" s="246">
        <v>84000</v>
      </c>
      <c r="M924" s="246">
        <v>89800</v>
      </c>
      <c r="N924" s="246">
        <v>95600</v>
      </c>
    </row>
    <row r="925" spans="3:14" ht="21.95" customHeight="1" x14ac:dyDescent="0.25">
      <c r="C925" s="139" t="str">
        <f t="shared" si="30"/>
        <v>IL_WARREN COUNTY, IL</v>
      </c>
      <c r="D925" s="136" t="s">
        <v>92</v>
      </c>
      <c r="E925" s="262" t="s">
        <v>3569</v>
      </c>
      <c r="F925" s="136" t="s">
        <v>183</v>
      </c>
      <c r="G925" s="246">
        <v>50050</v>
      </c>
      <c r="H925" s="246">
        <v>57200</v>
      </c>
      <c r="I925" s="246">
        <v>64350</v>
      </c>
      <c r="J925" s="246">
        <v>71450</v>
      </c>
      <c r="K925" s="246">
        <v>77200</v>
      </c>
      <c r="L925" s="246">
        <v>82900</v>
      </c>
      <c r="M925" s="246">
        <v>88600</v>
      </c>
      <c r="N925" s="246">
        <v>94350</v>
      </c>
    </row>
    <row r="926" spans="3:14" ht="21.95" customHeight="1" x14ac:dyDescent="0.25">
      <c r="C926" s="139" t="str">
        <f t="shared" si="30"/>
        <v>IL_WASHINGTON COUNTY, IL</v>
      </c>
      <c r="D926" s="136" t="s">
        <v>92</v>
      </c>
      <c r="E926" s="262" t="s">
        <v>3570</v>
      </c>
      <c r="F926" s="136" t="s">
        <v>183</v>
      </c>
      <c r="G926" s="246">
        <v>57200</v>
      </c>
      <c r="H926" s="246">
        <v>65400</v>
      </c>
      <c r="I926" s="246">
        <v>73550</v>
      </c>
      <c r="J926" s="246">
        <v>81700</v>
      </c>
      <c r="K926" s="246">
        <v>88250</v>
      </c>
      <c r="L926" s="246">
        <v>94800</v>
      </c>
      <c r="M926" s="246">
        <v>101350</v>
      </c>
      <c r="N926" s="246">
        <v>107850</v>
      </c>
    </row>
    <row r="927" spans="3:14" ht="21.95" customHeight="1" x14ac:dyDescent="0.25">
      <c r="C927" s="139" t="str">
        <f t="shared" si="30"/>
        <v>IL_WAYNE COUNTY, IL</v>
      </c>
      <c r="D927" s="136" t="s">
        <v>92</v>
      </c>
      <c r="E927" s="262" t="s">
        <v>3571</v>
      </c>
      <c r="F927" s="136" t="s">
        <v>183</v>
      </c>
      <c r="G927" s="246">
        <v>48550</v>
      </c>
      <c r="H927" s="246">
        <v>55450</v>
      </c>
      <c r="I927" s="246">
        <v>62400</v>
      </c>
      <c r="J927" s="246">
        <v>69300</v>
      </c>
      <c r="K927" s="246">
        <v>74850</v>
      </c>
      <c r="L927" s="246">
        <v>80400</v>
      </c>
      <c r="M927" s="246">
        <v>85950</v>
      </c>
      <c r="N927" s="246">
        <v>91500</v>
      </c>
    </row>
    <row r="928" spans="3:14" ht="21.95" customHeight="1" x14ac:dyDescent="0.25">
      <c r="C928" s="139" t="str">
        <f t="shared" si="30"/>
        <v>IL_WHITE COUNTY, IL</v>
      </c>
      <c r="D928" s="136" t="s">
        <v>92</v>
      </c>
      <c r="E928" s="262" t="s">
        <v>3572</v>
      </c>
      <c r="F928" s="136" t="s">
        <v>183</v>
      </c>
      <c r="G928" s="246">
        <v>48550</v>
      </c>
      <c r="H928" s="246">
        <v>55450</v>
      </c>
      <c r="I928" s="246">
        <v>62400</v>
      </c>
      <c r="J928" s="246">
        <v>69300</v>
      </c>
      <c r="K928" s="246">
        <v>74850</v>
      </c>
      <c r="L928" s="246">
        <v>80400</v>
      </c>
      <c r="M928" s="246">
        <v>85950</v>
      </c>
      <c r="N928" s="246">
        <v>91500</v>
      </c>
    </row>
    <row r="929" spans="3:14" ht="21.95" customHeight="1" x14ac:dyDescent="0.25">
      <c r="C929" s="139" t="str">
        <f t="shared" si="30"/>
        <v>IL_WHITESIDE COUNTY, IL</v>
      </c>
      <c r="D929" s="136" t="s">
        <v>92</v>
      </c>
      <c r="E929" s="262" t="s">
        <v>3573</v>
      </c>
      <c r="F929" s="136" t="s">
        <v>183</v>
      </c>
      <c r="G929" s="246">
        <v>51650</v>
      </c>
      <c r="H929" s="246">
        <v>59000</v>
      </c>
      <c r="I929" s="246">
        <v>66400</v>
      </c>
      <c r="J929" s="246">
        <v>73750</v>
      </c>
      <c r="K929" s="246">
        <v>79650</v>
      </c>
      <c r="L929" s="246">
        <v>85550</v>
      </c>
      <c r="M929" s="246">
        <v>91450</v>
      </c>
      <c r="N929" s="246">
        <v>97350</v>
      </c>
    </row>
    <row r="930" spans="3:14" ht="21.95" customHeight="1" x14ac:dyDescent="0.25">
      <c r="C930" s="139" t="str">
        <f t="shared" si="30"/>
        <v>IL_WILLIAMSON COUNTY, IL</v>
      </c>
      <c r="D930" s="136" t="s">
        <v>92</v>
      </c>
      <c r="E930" s="262" t="s">
        <v>9166</v>
      </c>
      <c r="F930" s="136" t="s">
        <v>183</v>
      </c>
      <c r="G930" s="246">
        <v>48550</v>
      </c>
      <c r="H930" s="246">
        <v>55450</v>
      </c>
      <c r="I930" s="246">
        <v>62400</v>
      </c>
      <c r="J930" s="246">
        <v>69300</v>
      </c>
      <c r="K930" s="246">
        <v>74850</v>
      </c>
      <c r="L930" s="246">
        <v>80400</v>
      </c>
      <c r="M930" s="246">
        <v>85950</v>
      </c>
      <c r="N930" s="246">
        <v>91500</v>
      </c>
    </row>
    <row r="931" spans="3:14" ht="21.95" customHeight="1" x14ac:dyDescent="0.25">
      <c r="C931" s="139" t="str">
        <f t="shared" si="30"/>
        <v>IN_ADAMS COUNTY, IN</v>
      </c>
      <c r="D931" s="136" t="s">
        <v>91</v>
      </c>
      <c r="E931" s="262" t="s">
        <v>3574</v>
      </c>
      <c r="F931" s="136" t="s">
        <v>183</v>
      </c>
      <c r="G931" s="246">
        <v>47550</v>
      </c>
      <c r="H931" s="246">
        <v>54350</v>
      </c>
      <c r="I931" s="246">
        <v>61150</v>
      </c>
      <c r="J931" s="246">
        <v>67900</v>
      </c>
      <c r="K931" s="246">
        <v>73350</v>
      </c>
      <c r="L931" s="246">
        <v>78800</v>
      </c>
      <c r="M931" s="246">
        <v>84200</v>
      </c>
      <c r="N931" s="246">
        <v>89650</v>
      </c>
    </row>
    <row r="932" spans="3:14" ht="21.95" customHeight="1" x14ac:dyDescent="0.25">
      <c r="C932" s="139" t="str">
        <f t="shared" si="30"/>
        <v>IN_ANDERSON, IN HUD METRO FMR AREA</v>
      </c>
      <c r="D932" s="136" t="s">
        <v>91</v>
      </c>
      <c r="E932" s="262" t="s">
        <v>3575</v>
      </c>
      <c r="F932" s="136" t="s">
        <v>183</v>
      </c>
      <c r="G932" s="246">
        <v>47550</v>
      </c>
      <c r="H932" s="246">
        <v>54350</v>
      </c>
      <c r="I932" s="246">
        <v>61150</v>
      </c>
      <c r="J932" s="246">
        <v>67900</v>
      </c>
      <c r="K932" s="246">
        <v>73350</v>
      </c>
      <c r="L932" s="246">
        <v>78800</v>
      </c>
      <c r="M932" s="246">
        <v>84200</v>
      </c>
      <c r="N932" s="246">
        <v>89650</v>
      </c>
    </row>
    <row r="933" spans="3:14" ht="21.95" customHeight="1" x14ac:dyDescent="0.25">
      <c r="C933" s="139" t="str">
        <f t="shared" si="30"/>
        <v>IN_BLACKFORD COUNTY, IN</v>
      </c>
      <c r="D933" s="136" t="s">
        <v>91</v>
      </c>
      <c r="E933" s="262" t="s">
        <v>3576</v>
      </c>
      <c r="F933" s="136" t="s">
        <v>183</v>
      </c>
      <c r="G933" s="246">
        <v>47550</v>
      </c>
      <c r="H933" s="246">
        <v>54350</v>
      </c>
      <c r="I933" s="246">
        <v>61150</v>
      </c>
      <c r="J933" s="246">
        <v>67900</v>
      </c>
      <c r="K933" s="246">
        <v>73350</v>
      </c>
      <c r="L933" s="246">
        <v>78800</v>
      </c>
      <c r="M933" s="246">
        <v>84200</v>
      </c>
      <c r="N933" s="246">
        <v>89650</v>
      </c>
    </row>
    <row r="934" spans="3:14" ht="21.95" customHeight="1" x14ac:dyDescent="0.25">
      <c r="C934" s="139" t="str">
        <f t="shared" si="30"/>
        <v>IN_BLOOMINGTON, IN HUD METRO FMR AREA</v>
      </c>
      <c r="D934" s="136" t="s">
        <v>91</v>
      </c>
      <c r="E934" s="262" t="s">
        <v>3577</v>
      </c>
      <c r="F934" s="136" t="s">
        <v>183</v>
      </c>
      <c r="G934" s="246">
        <v>60700</v>
      </c>
      <c r="H934" s="246">
        <v>69400</v>
      </c>
      <c r="I934" s="246">
        <v>78050</v>
      </c>
      <c r="J934" s="246">
        <v>86700</v>
      </c>
      <c r="K934" s="246">
        <v>93650</v>
      </c>
      <c r="L934" s="246">
        <v>100600</v>
      </c>
      <c r="M934" s="246">
        <v>107550</v>
      </c>
      <c r="N934" s="246">
        <v>114450</v>
      </c>
    </row>
    <row r="935" spans="3:14" ht="21.95" customHeight="1" x14ac:dyDescent="0.25">
      <c r="C935" s="139" t="str">
        <f t="shared" si="30"/>
        <v>IN_CARROLL COUNTY, IN HUD METRO FMR AREA</v>
      </c>
      <c r="D935" s="136" t="s">
        <v>91</v>
      </c>
      <c r="E935" s="262" t="s">
        <v>3578</v>
      </c>
      <c r="F935" s="136" t="s">
        <v>183</v>
      </c>
      <c r="G935" s="246">
        <v>48750</v>
      </c>
      <c r="H935" s="246">
        <v>55700</v>
      </c>
      <c r="I935" s="246">
        <v>62650</v>
      </c>
      <c r="J935" s="246">
        <v>69600</v>
      </c>
      <c r="K935" s="246">
        <v>75200</v>
      </c>
      <c r="L935" s="246">
        <v>80750</v>
      </c>
      <c r="M935" s="246">
        <v>86350</v>
      </c>
      <c r="N935" s="246">
        <v>91900</v>
      </c>
    </row>
    <row r="936" spans="3:14" ht="21.95" customHeight="1" x14ac:dyDescent="0.25">
      <c r="C936" s="139" t="str">
        <f t="shared" si="30"/>
        <v>IN_CASS COUNTY, IN</v>
      </c>
      <c r="D936" s="136" t="s">
        <v>91</v>
      </c>
      <c r="E936" s="262" t="s">
        <v>3579</v>
      </c>
      <c r="F936" s="136" t="s">
        <v>183</v>
      </c>
      <c r="G936" s="246">
        <v>47550</v>
      </c>
      <c r="H936" s="246">
        <v>54350</v>
      </c>
      <c r="I936" s="246">
        <v>61150</v>
      </c>
      <c r="J936" s="246">
        <v>67900</v>
      </c>
      <c r="K936" s="246">
        <v>73350</v>
      </c>
      <c r="L936" s="246">
        <v>78800</v>
      </c>
      <c r="M936" s="246">
        <v>84200</v>
      </c>
      <c r="N936" s="246">
        <v>89650</v>
      </c>
    </row>
    <row r="937" spans="3:14" ht="21.95" customHeight="1" x14ac:dyDescent="0.25">
      <c r="C937" s="139" t="str">
        <f t="shared" si="30"/>
        <v>IN_CINCINNATI, OH-KY-IN HUD METRO FMR AREA</v>
      </c>
      <c r="D937" s="136" t="s">
        <v>91</v>
      </c>
      <c r="E937" s="262" t="s">
        <v>3580</v>
      </c>
      <c r="F937" s="136" t="s">
        <v>183</v>
      </c>
      <c r="G937" s="246">
        <v>62650</v>
      </c>
      <c r="H937" s="246">
        <v>71600</v>
      </c>
      <c r="I937" s="246">
        <v>80550</v>
      </c>
      <c r="J937" s="246">
        <v>89450</v>
      </c>
      <c r="K937" s="246">
        <v>96650</v>
      </c>
      <c r="L937" s="246">
        <v>103800</v>
      </c>
      <c r="M937" s="246">
        <v>110950</v>
      </c>
      <c r="N937" s="246">
        <v>118100</v>
      </c>
    </row>
    <row r="938" spans="3:14" ht="21.95" customHeight="1" x14ac:dyDescent="0.25">
      <c r="C938" s="139" t="str">
        <f t="shared" si="30"/>
        <v>IN_CLINTON COUNTY, IN</v>
      </c>
      <c r="D938" s="136" t="s">
        <v>91</v>
      </c>
      <c r="E938" s="262" t="s">
        <v>3581</v>
      </c>
      <c r="F938" s="136" t="s">
        <v>183</v>
      </c>
      <c r="G938" s="246">
        <v>49950</v>
      </c>
      <c r="H938" s="246">
        <v>57050</v>
      </c>
      <c r="I938" s="246">
        <v>64200</v>
      </c>
      <c r="J938" s="246">
        <v>71300</v>
      </c>
      <c r="K938" s="246">
        <v>77050</v>
      </c>
      <c r="L938" s="246">
        <v>82750</v>
      </c>
      <c r="M938" s="246">
        <v>88450</v>
      </c>
      <c r="N938" s="246">
        <v>94150</v>
      </c>
    </row>
    <row r="939" spans="3:14" ht="21.95" customHeight="1" x14ac:dyDescent="0.25">
      <c r="C939" s="139" t="str">
        <f t="shared" si="30"/>
        <v>IN_COLUMBUS, IN MSA</v>
      </c>
      <c r="D939" s="136" t="s">
        <v>91</v>
      </c>
      <c r="E939" s="262" t="s">
        <v>3582</v>
      </c>
      <c r="F939" s="136" t="s">
        <v>183</v>
      </c>
      <c r="G939" s="246">
        <v>57250</v>
      </c>
      <c r="H939" s="246">
        <v>65400</v>
      </c>
      <c r="I939" s="246">
        <v>73600</v>
      </c>
      <c r="J939" s="246">
        <v>81750</v>
      </c>
      <c r="K939" s="246">
        <v>88300</v>
      </c>
      <c r="L939" s="246">
        <v>94850</v>
      </c>
      <c r="M939" s="246">
        <v>101400</v>
      </c>
      <c r="N939" s="246">
        <v>107950</v>
      </c>
    </row>
    <row r="940" spans="3:14" ht="21.95" customHeight="1" x14ac:dyDescent="0.25">
      <c r="C940" s="139" t="str">
        <f t="shared" si="30"/>
        <v>IN_CRAWFORD COUNTY, IN</v>
      </c>
      <c r="D940" s="136" t="s">
        <v>91</v>
      </c>
      <c r="E940" s="262" t="s">
        <v>3583</v>
      </c>
      <c r="F940" s="136" t="s">
        <v>183</v>
      </c>
      <c r="G940" s="246">
        <v>47550</v>
      </c>
      <c r="H940" s="246">
        <v>54350</v>
      </c>
      <c r="I940" s="246">
        <v>61150</v>
      </c>
      <c r="J940" s="246">
        <v>67900</v>
      </c>
      <c r="K940" s="246">
        <v>73350</v>
      </c>
      <c r="L940" s="246">
        <v>78800</v>
      </c>
      <c r="M940" s="246">
        <v>84200</v>
      </c>
      <c r="N940" s="246">
        <v>89650</v>
      </c>
    </row>
    <row r="941" spans="3:14" ht="21.95" customHeight="1" x14ac:dyDescent="0.25">
      <c r="C941" s="139" t="str">
        <f t="shared" si="30"/>
        <v>IN_DAVIESS COUNTY, IN</v>
      </c>
      <c r="D941" s="136" t="s">
        <v>91</v>
      </c>
      <c r="E941" s="262" t="s">
        <v>3584</v>
      </c>
      <c r="F941" s="136" t="s">
        <v>183</v>
      </c>
      <c r="G941" s="246">
        <v>53050</v>
      </c>
      <c r="H941" s="246">
        <v>60600</v>
      </c>
      <c r="I941" s="246">
        <v>68200</v>
      </c>
      <c r="J941" s="246">
        <v>75750</v>
      </c>
      <c r="K941" s="246">
        <v>81850</v>
      </c>
      <c r="L941" s="246">
        <v>87900</v>
      </c>
      <c r="M941" s="246">
        <v>93950</v>
      </c>
      <c r="N941" s="246">
        <v>100000</v>
      </c>
    </row>
    <row r="942" spans="3:14" ht="21.95" customHeight="1" x14ac:dyDescent="0.25">
      <c r="C942" s="139" t="str">
        <f t="shared" si="30"/>
        <v>IN_DECATUR COUNTY, IN</v>
      </c>
      <c r="D942" s="136" t="s">
        <v>91</v>
      </c>
      <c r="E942" s="262" t="s">
        <v>3585</v>
      </c>
      <c r="F942" s="136" t="s">
        <v>183</v>
      </c>
      <c r="G942" s="246">
        <v>52500</v>
      </c>
      <c r="H942" s="246">
        <v>60000</v>
      </c>
      <c r="I942" s="246">
        <v>67500</v>
      </c>
      <c r="J942" s="246">
        <v>74950</v>
      </c>
      <c r="K942" s="246">
        <v>80950</v>
      </c>
      <c r="L942" s="246">
        <v>86950</v>
      </c>
      <c r="M942" s="246">
        <v>92950</v>
      </c>
      <c r="N942" s="246">
        <v>98950</v>
      </c>
    </row>
    <row r="943" spans="3:14" ht="21.95" customHeight="1" x14ac:dyDescent="0.25">
      <c r="C943" s="139" t="str">
        <f t="shared" si="30"/>
        <v>IN_DEKALB COUNTY, IN</v>
      </c>
      <c r="D943" s="136" t="s">
        <v>91</v>
      </c>
      <c r="E943" s="262" t="s">
        <v>3586</v>
      </c>
      <c r="F943" s="136" t="s">
        <v>183</v>
      </c>
      <c r="G943" s="246">
        <v>50750</v>
      </c>
      <c r="H943" s="246">
        <v>58000</v>
      </c>
      <c r="I943" s="246">
        <v>65250</v>
      </c>
      <c r="J943" s="246">
        <v>72500</v>
      </c>
      <c r="K943" s="246">
        <v>78300</v>
      </c>
      <c r="L943" s="246">
        <v>84100</v>
      </c>
      <c r="M943" s="246">
        <v>89900</v>
      </c>
      <c r="N943" s="246">
        <v>95700</v>
      </c>
    </row>
    <row r="944" spans="3:14" ht="21.95" customHeight="1" x14ac:dyDescent="0.25">
      <c r="C944" s="139" t="str">
        <f t="shared" si="30"/>
        <v>IN_DUBOIS COUNTY, IN</v>
      </c>
      <c r="D944" s="136" t="s">
        <v>91</v>
      </c>
      <c r="E944" s="262" t="s">
        <v>3587</v>
      </c>
      <c r="F944" s="136" t="s">
        <v>183</v>
      </c>
      <c r="G944" s="246">
        <v>53350</v>
      </c>
      <c r="H944" s="246">
        <v>60950</v>
      </c>
      <c r="I944" s="246">
        <v>68550</v>
      </c>
      <c r="J944" s="246">
        <v>76150</v>
      </c>
      <c r="K944" s="246">
        <v>82250</v>
      </c>
      <c r="L944" s="246">
        <v>88350</v>
      </c>
      <c r="M944" s="246">
        <v>94450</v>
      </c>
      <c r="N944" s="246">
        <v>100550</v>
      </c>
    </row>
    <row r="945" spans="3:14" ht="21.95" customHeight="1" x14ac:dyDescent="0.25">
      <c r="C945" s="139" t="str">
        <f t="shared" si="30"/>
        <v>IN_ELKHART-GOSHEN, IN MSA</v>
      </c>
      <c r="D945" s="136" t="s">
        <v>91</v>
      </c>
      <c r="E945" s="262" t="s">
        <v>3588</v>
      </c>
      <c r="F945" s="136" t="s">
        <v>183</v>
      </c>
      <c r="G945" s="246">
        <v>50150</v>
      </c>
      <c r="H945" s="246">
        <v>57300</v>
      </c>
      <c r="I945" s="246">
        <v>64450</v>
      </c>
      <c r="J945" s="246">
        <v>71600</v>
      </c>
      <c r="K945" s="246">
        <v>77350</v>
      </c>
      <c r="L945" s="246">
        <v>83100</v>
      </c>
      <c r="M945" s="246">
        <v>88800</v>
      </c>
      <c r="N945" s="246">
        <v>94550</v>
      </c>
    </row>
    <row r="946" spans="3:14" ht="21.95" customHeight="1" x14ac:dyDescent="0.25">
      <c r="C946" s="139" t="str">
        <f t="shared" si="30"/>
        <v>IN_EVANSVILLE, IN MSA</v>
      </c>
      <c r="D946" s="136" t="s">
        <v>91</v>
      </c>
      <c r="E946" s="262" t="s">
        <v>9169</v>
      </c>
      <c r="F946" s="136" t="s">
        <v>183</v>
      </c>
      <c r="G946" s="246">
        <v>50750</v>
      </c>
      <c r="H946" s="246">
        <v>58000</v>
      </c>
      <c r="I946" s="246">
        <v>65250</v>
      </c>
      <c r="J946" s="246">
        <v>72500</v>
      </c>
      <c r="K946" s="246">
        <v>78300</v>
      </c>
      <c r="L946" s="246">
        <v>84100</v>
      </c>
      <c r="M946" s="246">
        <v>89900</v>
      </c>
      <c r="N946" s="246">
        <v>95700</v>
      </c>
    </row>
    <row r="947" spans="3:14" ht="21.95" customHeight="1" x14ac:dyDescent="0.25">
      <c r="C947" s="139" t="str">
        <f t="shared" si="30"/>
        <v>IN_FAYETTE COUNTY, IN</v>
      </c>
      <c r="D947" s="136" t="s">
        <v>91</v>
      </c>
      <c r="E947" s="262" t="s">
        <v>3589</v>
      </c>
      <c r="F947" s="136" t="s">
        <v>183</v>
      </c>
      <c r="G947" s="246">
        <v>47550</v>
      </c>
      <c r="H947" s="246">
        <v>54350</v>
      </c>
      <c r="I947" s="246">
        <v>61150</v>
      </c>
      <c r="J947" s="246">
        <v>67900</v>
      </c>
      <c r="K947" s="246">
        <v>73350</v>
      </c>
      <c r="L947" s="246">
        <v>78800</v>
      </c>
      <c r="M947" s="246">
        <v>84200</v>
      </c>
      <c r="N947" s="246">
        <v>89650</v>
      </c>
    </row>
    <row r="948" spans="3:14" ht="21.95" customHeight="1" x14ac:dyDescent="0.25">
      <c r="C948" s="139" t="str">
        <f t="shared" si="30"/>
        <v>IN_FORT WAYNE, IN HUD METRO FMR AREA</v>
      </c>
      <c r="D948" s="136" t="s">
        <v>91</v>
      </c>
      <c r="E948" s="262" t="s">
        <v>9167</v>
      </c>
      <c r="F948" s="136" t="s">
        <v>183</v>
      </c>
      <c r="G948" s="246">
        <v>50400</v>
      </c>
      <c r="H948" s="246">
        <v>57600</v>
      </c>
      <c r="I948" s="246">
        <v>64800</v>
      </c>
      <c r="J948" s="246">
        <v>72000</v>
      </c>
      <c r="K948" s="246">
        <v>77800</v>
      </c>
      <c r="L948" s="246">
        <v>83550</v>
      </c>
      <c r="M948" s="246">
        <v>89300</v>
      </c>
      <c r="N948" s="246">
        <v>95050</v>
      </c>
    </row>
    <row r="949" spans="3:14" ht="21.95" customHeight="1" x14ac:dyDescent="0.25">
      <c r="C949" s="139" t="str">
        <f t="shared" si="30"/>
        <v>IN_FOUNTAIN COUNTY, IN</v>
      </c>
      <c r="D949" s="136" t="s">
        <v>91</v>
      </c>
      <c r="E949" s="262" t="s">
        <v>3590</v>
      </c>
      <c r="F949" s="136" t="s">
        <v>183</v>
      </c>
      <c r="G949" s="246">
        <v>47550</v>
      </c>
      <c r="H949" s="246">
        <v>54350</v>
      </c>
      <c r="I949" s="246">
        <v>61150</v>
      </c>
      <c r="J949" s="246">
        <v>67900</v>
      </c>
      <c r="K949" s="246">
        <v>73350</v>
      </c>
      <c r="L949" s="246">
        <v>78800</v>
      </c>
      <c r="M949" s="246">
        <v>84200</v>
      </c>
      <c r="N949" s="246">
        <v>89650</v>
      </c>
    </row>
    <row r="950" spans="3:14" ht="21.95" customHeight="1" x14ac:dyDescent="0.25">
      <c r="C950" s="139" t="str">
        <f t="shared" si="30"/>
        <v>IN_FRANKLIN COUNTY, IN HUD METRO FMR AREA</v>
      </c>
      <c r="D950" s="136" t="s">
        <v>91</v>
      </c>
      <c r="E950" s="262" t="s">
        <v>3591</v>
      </c>
      <c r="F950" s="136" t="s">
        <v>183</v>
      </c>
      <c r="G950" s="246">
        <v>54700</v>
      </c>
      <c r="H950" s="246">
        <v>62500</v>
      </c>
      <c r="I950" s="246">
        <v>70300</v>
      </c>
      <c r="J950" s="246">
        <v>78100</v>
      </c>
      <c r="K950" s="246">
        <v>84350</v>
      </c>
      <c r="L950" s="246">
        <v>90600</v>
      </c>
      <c r="M950" s="246">
        <v>96850</v>
      </c>
      <c r="N950" s="246">
        <v>103100</v>
      </c>
    </row>
    <row r="951" spans="3:14" ht="21.95" customHeight="1" x14ac:dyDescent="0.25">
      <c r="C951" s="139" t="str">
        <f t="shared" si="30"/>
        <v>IN_FULTON COUNTY, IN</v>
      </c>
      <c r="D951" s="136" t="s">
        <v>91</v>
      </c>
      <c r="E951" s="262" t="s">
        <v>3592</v>
      </c>
      <c r="F951" s="136" t="s">
        <v>183</v>
      </c>
      <c r="G951" s="246">
        <v>47550</v>
      </c>
      <c r="H951" s="246">
        <v>54350</v>
      </c>
      <c r="I951" s="246">
        <v>61150</v>
      </c>
      <c r="J951" s="246">
        <v>67900</v>
      </c>
      <c r="K951" s="246">
        <v>73350</v>
      </c>
      <c r="L951" s="246">
        <v>78800</v>
      </c>
      <c r="M951" s="246">
        <v>84200</v>
      </c>
      <c r="N951" s="246">
        <v>89650</v>
      </c>
    </row>
    <row r="952" spans="3:14" ht="21.95" customHeight="1" x14ac:dyDescent="0.25">
      <c r="C952" s="139" t="str">
        <f t="shared" si="30"/>
        <v>IN_GARY, IN HUD METRO FMR AREA</v>
      </c>
      <c r="D952" s="136" t="s">
        <v>91</v>
      </c>
      <c r="E952" s="262" t="s">
        <v>3593</v>
      </c>
      <c r="F952" s="136" t="s">
        <v>183</v>
      </c>
      <c r="G952" s="246">
        <v>53550</v>
      </c>
      <c r="H952" s="246">
        <v>61200</v>
      </c>
      <c r="I952" s="246">
        <v>68850</v>
      </c>
      <c r="J952" s="246">
        <v>76500</v>
      </c>
      <c r="K952" s="246">
        <v>82650</v>
      </c>
      <c r="L952" s="246">
        <v>88750</v>
      </c>
      <c r="M952" s="246">
        <v>94900</v>
      </c>
      <c r="N952" s="246">
        <v>101000</v>
      </c>
    </row>
    <row r="953" spans="3:14" ht="21.95" customHeight="1" x14ac:dyDescent="0.25">
      <c r="C953" s="139" t="str">
        <f t="shared" si="30"/>
        <v>IN_GIBSON COUNTY, IN</v>
      </c>
      <c r="D953" s="136" t="s">
        <v>91</v>
      </c>
      <c r="E953" s="262" t="s">
        <v>3594</v>
      </c>
      <c r="F953" s="136" t="s">
        <v>183</v>
      </c>
      <c r="G953" s="246">
        <v>52050</v>
      </c>
      <c r="H953" s="246">
        <v>59450</v>
      </c>
      <c r="I953" s="246">
        <v>66900</v>
      </c>
      <c r="J953" s="246">
        <v>74300</v>
      </c>
      <c r="K953" s="246">
        <v>80250</v>
      </c>
      <c r="L953" s="246">
        <v>86200</v>
      </c>
      <c r="M953" s="246">
        <v>92150</v>
      </c>
      <c r="N953" s="246">
        <v>98100</v>
      </c>
    </row>
    <row r="954" spans="3:14" ht="21.95" customHeight="1" x14ac:dyDescent="0.25">
      <c r="C954" s="139" t="str">
        <f t="shared" si="30"/>
        <v>IN_GRANT COUNTY, IN</v>
      </c>
      <c r="D954" s="136" t="s">
        <v>91</v>
      </c>
      <c r="E954" s="262" t="s">
        <v>3595</v>
      </c>
      <c r="F954" s="136" t="s">
        <v>183</v>
      </c>
      <c r="G954" s="246">
        <v>47550</v>
      </c>
      <c r="H954" s="246">
        <v>54350</v>
      </c>
      <c r="I954" s="246">
        <v>61150</v>
      </c>
      <c r="J954" s="246">
        <v>67900</v>
      </c>
      <c r="K954" s="246">
        <v>73350</v>
      </c>
      <c r="L954" s="246">
        <v>78800</v>
      </c>
      <c r="M954" s="246">
        <v>84200</v>
      </c>
      <c r="N954" s="246">
        <v>89650</v>
      </c>
    </row>
    <row r="955" spans="3:14" ht="21.95" customHeight="1" x14ac:dyDescent="0.25">
      <c r="C955" s="139" t="str">
        <f t="shared" si="30"/>
        <v>IN_GREENE COUNTY, IN</v>
      </c>
      <c r="D955" s="136" t="s">
        <v>91</v>
      </c>
      <c r="E955" s="262" t="s">
        <v>3596</v>
      </c>
      <c r="F955" s="136" t="s">
        <v>183</v>
      </c>
      <c r="G955" s="246">
        <v>47550</v>
      </c>
      <c r="H955" s="246">
        <v>54350</v>
      </c>
      <c r="I955" s="246">
        <v>61150</v>
      </c>
      <c r="J955" s="246">
        <v>67900</v>
      </c>
      <c r="K955" s="246">
        <v>73350</v>
      </c>
      <c r="L955" s="246">
        <v>78800</v>
      </c>
      <c r="M955" s="246">
        <v>84200</v>
      </c>
      <c r="N955" s="246">
        <v>89650</v>
      </c>
    </row>
    <row r="956" spans="3:14" ht="21.95" customHeight="1" x14ac:dyDescent="0.25">
      <c r="C956" s="139" t="str">
        <f t="shared" si="30"/>
        <v>IN_HENRY COUNTY, IN</v>
      </c>
      <c r="D956" s="136" t="s">
        <v>91</v>
      </c>
      <c r="E956" s="262" t="s">
        <v>3597</v>
      </c>
      <c r="F956" s="136" t="s">
        <v>183</v>
      </c>
      <c r="G956" s="246">
        <v>47550</v>
      </c>
      <c r="H956" s="246">
        <v>54350</v>
      </c>
      <c r="I956" s="246">
        <v>61150</v>
      </c>
      <c r="J956" s="246">
        <v>67900</v>
      </c>
      <c r="K956" s="246">
        <v>73350</v>
      </c>
      <c r="L956" s="246">
        <v>78800</v>
      </c>
      <c r="M956" s="246">
        <v>84200</v>
      </c>
      <c r="N956" s="246">
        <v>89650</v>
      </c>
    </row>
    <row r="957" spans="3:14" ht="21.95" customHeight="1" x14ac:dyDescent="0.25">
      <c r="C957" s="139" t="str">
        <f t="shared" si="30"/>
        <v>IN_HUNTINGTON COUNTY, IN</v>
      </c>
      <c r="D957" s="136" t="s">
        <v>91</v>
      </c>
      <c r="E957" s="262" t="s">
        <v>3598</v>
      </c>
      <c r="F957" s="136" t="s">
        <v>183</v>
      </c>
      <c r="G957" s="246">
        <v>48300</v>
      </c>
      <c r="H957" s="246">
        <v>55200</v>
      </c>
      <c r="I957" s="246">
        <v>62100</v>
      </c>
      <c r="J957" s="246">
        <v>68950</v>
      </c>
      <c r="K957" s="246">
        <v>74500</v>
      </c>
      <c r="L957" s="246">
        <v>80000</v>
      </c>
      <c r="M957" s="246">
        <v>85500</v>
      </c>
      <c r="N957" s="246">
        <v>91050</v>
      </c>
    </row>
    <row r="958" spans="3:14" ht="21.95" customHeight="1" x14ac:dyDescent="0.25">
      <c r="C958" s="139" t="str">
        <f t="shared" si="30"/>
        <v>IN_INDIANAPOLIS-CARMEL, IN HUD METRO FMR AREA</v>
      </c>
      <c r="D958" s="136" t="s">
        <v>91</v>
      </c>
      <c r="E958" s="262" t="s">
        <v>3599</v>
      </c>
      <c r="F958" s="136" t="s">
        <v>183</v>
      </c>
      <c r="G958" s="246">
        <v>62000</v>
      </c>
      <c r="H958" s="246">
        <v>70850</v>
      </c>
      <c r="I958" s="246">
        <v>79700</v>
      </c>
      <c r="J958" s="246">
        <v>88550</v>
      </c>
      <c r="K958" s="246">
        <v>95650</v>
      </c>
      <c r="L958" s="246">
        <v>102750</v>
      </c>
      <c r="M958" s="246">
        <v>109850</v>
      </c>
      <c r="N958" s="246">
        <v>116900</v>
      </c>
    </row>
    <row r="959" spans="3:14" ht="21.95" customHeight="1" x14ac:dyDescent="0.25">
      <c r="C959" s="139" t="str">
        <f t="shared" si="30"/>
        <v>IN_JACKSON COUNTY, IN</v>
      </c>
      <c r="D959" s="136" t="s">
        <v>91</v>
      </c>
      <c r="E959" s="262" t="s">
        <v>3600</v>
      </c>
      <c r="F959" s="136" t="s">
        <v>183</v>
      </c>
      <c r="G959" s="246">
        <v>50600</v>
      </c>
      <c r="H959" s="246">
        <v>57800</v>
      </c>
      <c r="I959" s="246">
        <v>65050</v>
      </c>
      <c r="J959" s="246">
        <v>72250</v>
      </c>
      <c r="K959" s="246">
        <v>78050</v>
      </c>
      <c r="L959" s="246">
        <v>83850</v>
      </c>
      <c r="M959" s="246">
        <v>89600</v>
      </c>
      <c r="N959" s="246">
        <v>95400</v>
      </c>
    </row>
    <row r="960" spans="3:14" ht="21.95" customHeight="1" x14ac:dyDescent="0.25">
      <c r="C960" s="139" t="str">
        <f t="shared" ref="C960:C1023" si="31">TRIM(UPPER(D960))&amp;"_"&amp;TRIM(UPPER(E960))</f>
        <v>IN_JASPER COUNTY, IN HUD METRO FMR AREA</v>
      </c>
      <c r="D960" s="136" t="s">
        <v>91</v>
      </c>
      <c r="E960" s="262" t="s">
        <v>3601</v>
      </c>
      <c r="F960" s="136" t="s">
        <v>183</v>
      </c>
      <c r="G960" s="246">
        <v>57500</v>
      </c>
      <c r="H960" s="246">
        <v>65700</v>
      </c>
      <c r="I960" s="246">
        <v>73900</v>
      </c>
      <c r="J960" s="246">
        <v>82100</v>
      </c>
      <c r="K960" s="246">
        <v>88700</v>
      </c>
      <c r="L960" s="246">
        <v>95250</v>
      </c>
      <c r="M960" s="246">
        <v>101850</v>
      </c>
      <c r="N960" s="246">
        <v>108400</v>
      </c>
    </row>
    <row r="961" spans="3:14" ht="21.95" customHeight="1" x14ac:dyDescent="0.25">
      <c r="C961" s="139" t="str">
        <f t="shared" si="31"/>
        <v>IN_JAY COUNTY, IN</v>
      </c>
      <c r="D961" s="136" t="s">
        <v>91</v>
      </c>
      <c r="E961" s="262" t="s">
        <v>3602</v>
      </c>
      <c r="F961" s="136" t="s">
        <v>183</v>
      </c>
      <c r="G961" s="246">
        <v>47550</v>
      </c>
      <c r="H961" s="246">
        <v>54350</v>
      </c>
      <c r="I961" s="246">
        <v>61150</v>
      </c>
      <c r="J961" s="246">
        <v>67900</v>
      </c>
      <c r="K961" s="246">
        <v>73350</v>
      </c>
      <c r="L961" s="246">
        <v>78800</v>
      </c>
      <c r="M961" s="246">
        <v>84200</v>
      </c>
      <c r="N961" s="246">
        <v>89650</v>
      </c>
    </row>
    <row r="962" spans="3:14" ht="21.95" customHeight="1" x14ac:dyDescent="0.25">
      <c r="C962" s="139" t="str">
        <f t="shared" si="31"/>
        <v>IN_JEFFERSON COUNTY, IN</v>
      </c>
      <c r="D962" s="136" t="s">
        <v>91</v>
      </c>
      <c r="E962" s="262" t="s">
        <v>3603</v>
      </c>
      <c r="F962" s="136" t="s">
        <v>183</v>
      </c>
      <c r="G962" s="246">
        <v>47550</v>
      </c>
      <c r="H962" s="246">
        <v>54350</v>
      </c>
      <c r="I962" s="246">
        <v>61150</v>
      </c>
      <c r="J962" s="246">
        <v>67900</v>
      </c>
      <c r="K962" s="246">
        <v>73350</v>
      </c>
      <c r="L962" s="246">
        <v>78800</v>
      </c>
      <c r="M962" s="246">
        <v>84200</v>
      </c>
      <c r="N962" s="246">
        <v>89650</v>
      </c>
    </row>
    <row r="963" spans="3:14" ht="21.95" customHeight="1" x14ac:dyDescent="0.25">
      <c r="C963" s="139" t="str">
        <f t="shared" si="31"/>
        <v>IN_JENNINGS COUNTY, IN</v>
      </c>
      <c r="D963" s="136" t="s">
        <v>91</v>
      </c>
      <c r="E963" s="262" t="s">
        <v>3604</v>
      </c>
      <c r="F963" s="136" t="s">
        <v>183</v>
      </c>
      <c r="G963" s="246">
        <v>47550</v>
      </c>
      <c r="H963" s="246">
        <v>54350</v>
      </c>
      <c r="I963" s="246">
        <v>61150</v>
      </c>
      <c r="J963" s="246">
        <v>67900</v>
      </c>
      <c r="K963" s="246">
        <v>73350</v>
      </c>
      <c r="L963" s="246">
        <v>78800</v>
      </c>
      <c r="M963" s="246">
        <v>84200</v>
      </c>
      <c r="N963" s="246">
        <v>89650</v>
      </c>
    </row>
    <row r="964" spans="3:14" ht="21.95" customHeight="1" x14ac:dyDescent="0.25">
      <c r="C964" s="139" t="str">
        <f t="shared" si="31"/>
        <v>IN_KNOX COUNTY, IN</v>
      </c>
      <c r="D964" s="136" t="s">
        <v>91</v>
      </c>
      <c r="E964" s="262" t="s">
        <v>3605</v>
      </c>
      <c r="F964" s="136" t="s">
        <v>183</v>
      </c>
      <c r="G964" s="246">
        <v>47850</v>
      </c>
      <c r="H964" s="246">
        <v>54650</v>
      </c>
      <c r="I964" s="246">
        <v>61500</v>
      </c>
      <c r="J964" s="246">
        <v>68300</v>
      </c>
      <c r="K964" s="246">
        <v>73800</v>
      </c>
      <c r="L964" s="246">
        <v>79250</v>
      </c>
      <c r="M964" s="246">
        <v>84700</v>
      </c>
      <c r="N964" s="246">
        <v>90200</v>
      </c>
    </row>
    <row r="965" spans="3:14" ht="21.95" customHeight="1" x14ac:dyDescent="0.25">
      <c r="C965" s="139" t="str">
        <f t="shared" si="31"/>
        <v>IN_KOKOMO, IN MSA</v>
      </c>
      <c r="D965" s="136" t="s">
        <v>91</v>
      </c>
      <c r="E965" s="262" t="s">
        <v>3606</v>
      </c>
      <c r="F965" s="136" t="s">
        <v>183</v>
      </c>
      <c r="G965" s="246">
        <v>48550</v>
      </c>
      <c r="H965" s="246">
        <v>55450</v>
      </c>
      <c r="I965" s="246">
        <v>62400</v>
      </c>
      <c r="J965" s="246">
        <v>69300</v>
      </c>
      <c r="K965" s="246">
        <v>74850</v>
      </c>
      <c r="L965" s="246">
        <v>80400</v>
      </c>
      <c r="M965" s="246">
        <v>85950</v>
      </c>
      <c r="N965" s="246">
        <v>91500</v>
      </c>
    </row>
    <row r="966" spans="3:14" ht="21.95" customHeight="1" x14ac:dyDescent="0.25">
      <c r="C966" s="139" t="str">
        <f t="shared" si="31"/>
        <v>IN_KOSCIUSKO COUNTY, IN</v>
      </c>
      <c r="D966" s="136" t="s">
        <v>91</v>
      </c>
      <c r="E966" s="262" t="s">
        <v>3607</v>
      </c>
      <c r="F966" s="136" t="s">
        <v>183</v>
      </c>
      <c r="G966" s="246">
        <v>54800</v>
      </c>
      <c r="H966" s="246">
        <v>62600</v>
      </c>
      <c r="I966" s="246">
        <v>70450</v>
      </c>
      <c r="J966" s="246">
        <v>78250</v>
      </c>
      <c r="K966" s="246">
        <v>84550</v>
      </c>
      <c r="L966" s="246">
        <v>90800</v>
      </c>
      <c r="M966" s="246">
        <v>97050</v>
      </c>
      <c r="N966" s="246">
        <v>103300</v>
      </c>
    </row>
    <row r="967" spans="3:14" ht="21.95" customHeight="1" x14ac:dyDescent="0.25">
      <c r="C967" s="139" t="str">
        <f t="shared" si="31"/>
        <v>IN_LAFAYETTE-WEST LAFAYETTE, IN HUD METRO FMR AREA</v>
      </c>
      <c r="D967" s="136" t="s">
        <v>91</v>
      </c>
      <c r="E967" s="262" t="s">
        <v>3608</v>
      </c>
      <c r="F967" s="136" t="s">
        <v>183</v>
      </c>
      <c r="G967" s="246">
        <v>50750</v>
      </c>
      <c r="H967" s="246">
        <v>58000</v>
      </c>
      <c r="I967" s="246">
        <v>65250</v>
      </c>
      <c r="J967" s="246">
        <v>72500</v>
      </c>
      <c r="K967" s="246">
        <v>78300</v>
      </c>
      <c r="L967" s="246">
        <v>84100</v>
      </c>
      <c r="M967" s="246">
        <v>89900</v>
      </c>
      <c r="N967" s="246">
        <v>95700</v>
      </c>
    </row>
    <row r="968" spans="3:14" ht="21.95" customHeight="1" x14ac:dyDescent="0.25">
      <c r="C968" s="139" t="str">
        <f t="shared" si="31"/>
        <v>IN_LAGRANGE COUNTY, IN</v>
      </c>
      <c r="D968" s="136" t="s">
        <v>91</v>
      </c>
      <c r="E968" s="262" t="s">
        <v>3609</v>
      </c>
      <c r="F968" s="136" t="s">
        <v>183</v>
      </c>
      <c r="G968" s="246">
        <v>55650</v>
      </c>
      <c r="H968" s="246">
        <v>63600</v>
      </c>
      <c r="I968" s="246">
        <v>71550</v>
      </c>
      <c r="J968" s="246">
        <v>79500</v>
      </c>
      <c r="K968" s="246">
        <v>85900</v>
      </c>
      <c r="L968" s="246">
        <v>92250</v>
      </c>
      <c r="M968" s="246">
        <v>98600</v>
      </c>
      <c r="N968" s="246">
        <v>104950</v>
      </c>
    </row>
    <row r="969" spans="3:14" ht="21.95" customHeight="1" x14ac:dyDescent="0.25">
      <c r="C969" s="139" t="str">
        <f t="shared" si="31"/>
        <v>IN_LAWRENCE COUNTY, IN</v>
      </c>
      <c r="D969" s="136" t="s">
        <v>91</v>
      </c>
      <c r="E969" s="262" t="s">
        <v>3610</v>
      </c>
      <c r="F969" s="136" t="s">
        <v>183</v>
      </c>
      <c r="G969" s="246">
        <v>50400</v>
      </c>
      <c r="H969" s="246">
        <v>57600</v>
      </c>
      <c r="I969" s="246">
        <v>64800</v>
      </c>
      <c r="J969" s="246">
        <v>72000</v>
      </c>
      <c r="K969" s="246">
        <v>77800</v>
      </c>
      <c r="L969" s="246">
        <v>83550</v>
      </c>
      <c r="M969" s="246">
        <v>89300</v>
      </c>
      <c r="N969" s="246">
        <v>95050</v>
      </c>
    </row>
    <row r="970" spans="3:14" ht="21.95" customHeight="1" x14ac:dyDescent="0.25">
      <c r="C970" s="139" t="str">
        <f t="shared" si="31"/>
        <v>IN_LOUISVILLE, KY-IN HUD METRO FMR AREA</v>
      </c>
      <c r="D970" s="136" t="s">
        <v>91</v>
      </c>
      <c r="E970" s="262" t="s">
        <v>3611</v>
      </c>
      <c r="F970" s="136" t="s">
        <v>183</v>
      </c>
      <c r="G970" s="246">
        <v>54150</v>
      </c>
      <c r="H970" s="246">
        <v>61850</v>
      </c>
      <c r="I970" s="246">
        <v>69600</v>
      </c>
      <c r="J970" s="246">
        <v>77300</v>
      </c>
      <c r="K970" s="246">
        <v>83500</v>
      </c>
      <c r="L970" s="246">
        <v>89700</v>
      </c>
      <c r="M970" s="246">
        <v>95900</v>
      </c>
      <c r="N970" s="246">
        <v>102050</v>
      </c>
    </row>
    <row r="971" spans="3:14" ht="21.95" customHeight="1" x14ac:dyDescent="0.25">
      <c r="C971" s="139" t="str">
        <f t="shared" si="31"/>
        <v>IN_MARSHALL COUNTY, IN</v>
      </c>
      <c r="D971" s="136" t="s">
        <v>91</v>
      </c>
      <c r="E971" s="262" t="s">
        <v>3612</v>
      </c>
      <c r="F971" s="136" t="s">
        <v>183</v>
      </c>
      <c r="G971" s="246">
        <v>51550</v>
      </c>
      <c r="H971" s="246">
        <v>58900</v>
      </c>
      <c r="I971" s="246">
        <v>66250</v>
      </c>
      <c r="J971" s="246">
        <v>73600</v>
      </c>
      <c r="K971" s="246">
        <v>79500</v>
      </c>
      <c r="L971" s="246">
        <v>85400</v>
      </c>
      <c r="M971" s="246">
        <v>91300</v>
      </c>
      <c r="N971" s="246">
        <v>97200</v>
      </c>
    </row>
    <row r="972" spans="3:14" ht="21.95" customHeight="1" x14ac:dyDescent="0.25">
      <c r="C972" s="139" t="str">
        <f t="shared" si="31"/>
        <v>IN_MARTIN COUNTY, IN</v>
      </c>
      <c r="D972" s="136" t="s">
        <v>91</v>
      </c>
      <c r="E972" s="262" t="s">
        <v>3613</v>
      </c>
      <c r="F972" s="136" t="s">
        <v>183</v>
      </c>
      <c r="G972" s="246">
        <v>53050</v>
      </c>
      <c r="H972" s="246">
        <v>60600</v>
      </c>
      <c r="I972" s="246">
        <v>68200</v>
      </c>
      <c r="J972" s="246">
        <v>75750</v>
      </c>
      <c r="K972" s="246">
        <v>81850</v>
      </c>
      <c r="L972" s="246">
        <v>87900</v>
      </c>
      <c r="M972" s="246">
        <v>93950</v>
      </c>
      <c r="N972" s="246">
        <v>100000</v>
      </c>
    </row>
    <row r="973" spans="3:14" ht="21.95" customHeight="1" x14ac:dyDescent="0.25">
      <c r="C973" s="139" t="str">
        <f t="shared" si="31"/>
        <v>IN_MIAMI COUNTY, IN</v>
      </c>
      <c r="D973" s="136" t="s">
        <v>91</v>
      </c>
      <c r="E973" s="262" t="s">
        <v>3614</v>
      </c>
      <c r="F973" s="136" t="s">
        <v>183</v>
      </c>
      <c r="G973" s="246">
        <v>47550</v>
      </c>
      <c r="H973" s="246">
        <v>54350</v>
      </c>
      <c r="I973" s="246">
        <v>61150</v>
      </c>
      <c r="J973" s="246">
        <v>67900</v>
      </c>
      <c r="K973" s="246">
        <v>73350</v>
      </c>
      <c r="L973" s="246">
        <v>78800</v>
      </c>
      <c r="M973" s="246">
        <v>84200</v>
      </c>
      <c r="N973" s="246">
        <v>89650</v>
      </c>
    </row>
    <row r="974" spans="3:14" ht="21.95" customHeight="1" x14ac:dyDescent="0.25">
      <c r="C974" s="139" t="str">
        <f t="shared" si="31"/>
        <v>IN_MICHIGAN CITY-LA PORTE, IN MSA</v>
      </c>
      <c r="D974" s="136" t="s">
        <v>91</v>
      </c>
      <c r="E974" s="262" t="s">
        <v>3615</v>
      </c>
      <c r="F974" s="136" t="s">
        <v>183</v>
      </c>
      <c r="G974" s="246">
        <v>47550</v>
      </c>
      <c r="H974" s="246">
        <v>54350</v>
      </c>
      <c r="I974" s="246">
        <v>61150</v>
      </c>
      <c r="J974" s="246">
        <v>67900</v>
      </c>
      <c r="K974" s="246">
        <v>73350</v>
      </c>
      <c r="L974" s="246">
        <v>78800</v>
      </c>
      <c r="M974" s="246">
        <v>84200</v>
      </c>
      <c r="N974" s="246">
        <v>89650</v>
      </c>
    </row>
    <row r="975" spans="3:14" ht="21.95" customHeight="1" x14ac:dyDescent="0.25">
      <c r="C975" s="139" t="str">
        <f t="shared" si="31"/>
        <v>IN_MONTGOMERY COUNTY, IN</v>
      </c>
      <c r="D975" s="136" t="s">
        <v>91</v>
      </c>
      <c r="E975" s="262" t="s">
        <v>3616</v>
      </c>
      <c r="F975" s="136" t="s">
        <v>183</v>
      </c>
      <c r="G975" s="246">
        <v>51100</v>
      </c>
      <c r="H975" s="246">
        <v>58400</v>
      </c>
      <c r="I975" s="246">
        <v>65700</v>
      </c>
      <c r="J975" s="246">
        <v>72950</v>
      </c>
      <c r="K975" s="246">
        <v>78800</v>
      </c>
      <c r="L975" s="246">
        <v>84650</v>
      </c>
      <c r="M975" s="246">
        <v>90500</v>
      </c>
      <c r="N975" s="246">
        <v>96300</v>
      </c>
    </row>
    <row r="976" spans="3:14" ht="21.95" customHeight="1" x14ac:dyDescent="0.25">
      <c r="C976" s="139" t="str">
        <f t="shared" si="31"/>
        <v>IN_MUNCIE, IN MSA</v>
      </c>
      <c r="D976" s="136" t="s">
        <v>91</v>
      </c>
      <c r="E976" s="262" t="s">
        <v>3617</v>
      </c>
      <c r="F976" s="136" t="s">
        <v>183</v>
      </c>
      <c r="G976" s="246">
        <v>47550</v>
      </c>
      <c r="H976" s="246">
        <v>54350</v>
      </c>
      <c r="I976" s="246">
        <v>61150</v>
      </c>
      <c r="J976" s="246">
        <v>67900</v>
      </c>
      <c r="K976" s="246">
        <v>73350</v>
      </c>
      <c r="L976" s="246">
        <v>78800</v>
      </c>
      <c r="M976" s="246">
        <v>84200</v>
      </c>
      <c r="N976" s="246">
        <v>89650</v>
      </c>
    </row>
    <row r="977" spans="3:14" ht="21.95" customHeight="1" x14ac:dyDescent="0.25">
      <c r="C977" s="139" t="str">
        <f t="shared" si="31"/>
        <v>IN_NOBLE COUNTY, IN</v>
      </c>
      <c r="D977" s="136" t="s">
        <v>91</v>
      </c>
      <c r="E977" s="262" t="s">
        <v>3618</v>
      </c>
      <c r="F977" s="136" t="s">
        <v>183</v>
      </c>
      <c r="G977" s="246">
        <v>50400</v>
      </c>
      <c r="H977" s="246">
        <v>57600</v>
      </c>
      <c r="I977" s="246">
        <v>64800</v>
      </c>
      <c r="J977" s="246">
        <v>72000</v>
      </c>
      <c r="K977" s="246">
        <v>77800</v>
      </c>
      <c r="L977" s="246">
        <v>83550</v>
      </c>
      <c r="M977" s="246">
        <v>89300</v>
      </c>
      <c r="N977" s="246">
        <v>95050</v>
      </c>
    </row>
    <row r="978" spans="3:14" ht="21.95" customHeight="1" x14ac:dyDescent="0.25">
      <c r="C978" s="139" t="str">
        <f t="shared" si="31"/>
        <v>IN_ORANGE COUNTY, IN</v>
      </c>
      <c r="D978" s="136" t="s">
        <v>91</v>
      </c>
      <c r="E978" s="262" t="s">
        <v>3619</v>
      </c>
      <c r="F978" s="136" t="s">
        <v>183</v>
      </c>
      <c r="G978" s="246">
        <v>50300</v>
      </c>
      <c r="H978" s="246">
        <v>57500</v>
      </c>
      <c r="I978" s="246">
        <v>64700</v>
      </c>
      <c r="J978" s="246">
        <v>71850</v>
      </c>
      <c r="K978" s="246">
        <v>77600</v>
      </c>
      <c r="L978" s="246">
        <v>83350</v>
      </c>
      <c r="M978" s="246">
        <v>89100</v>
      </c>
      <c r="N978" s="246">
        <v>94850</v>
      </c>
    </row>
    <row r="979" spans="3:14" ht="21.95" customHeight="1" x14ac:dyDescent="0.25">
      <c r="C979" s="139" t="str">
        <f t="shared" si="31"/>
        <v>IN_OWEN COUNTY, IN HUD METRO FMR AREA</v>
      </c>
      <c r="D979" s="136" t="s">
        <v>91</v>
      </c>
      <c r="E979" s="262" t="s">
        <v>3620</v>
      </c>
      <c r="F979" s="136" t="s">
        <v>183</v>
      </c>
      <c r="G979" s="246">
        <v>47550</v>
      </c>
      <c r="H979" s="246">
        <v>54350</v>
      </c>
      <c r="I979" s="246">
        <v>61150</v>
      </c>
      <c r="J979" s="246">
        <v>67900</v>
      </c>
      <c r="K979" s="246">
        <v>73350</v>
      </c>
      <c r="L979" s="246">
        <v>78800</v>
      </c>
      <c r="M979" s="246">
        <v>84200</v>
      </c>
      <c r="N979" s="246">
        <v>89650</v>
      </c>
    </row>
    <row r="980" spans="3:14" ht="21.95" customHeight="1" x14ac:dyDescent="0.25">
      <c r="C980" s="139" t="str">
        <f t="shared" si="31"/>
        <v>IN_PARKE COUNTY, IN</v>
      </c>
      <c r="D980" s="136" t="s">
        <v>91</v>
      </c>
      <c r="E980" s="262" t="s">
        <v>9168</v>
      </c>
      <c r="F980" s="136" t="s">
        <v>183</v>
      </c>
      <c r="G980" s="246">
        <v>47550</v>
      </c>
      <c r="H980" s="246">
        <v>54350</v>
      </c>
      <c r="I980" s="246">
        <v>61150</v>
      </c>
      <c r="J980" s="246">
        <v>67900</v>
      </c>
      <c r="K980" s="246">
        <v>73350</v>
      </c>
      <c r="L980" s="246">
        <v>78800</v>
      </c>
      <c r="M980" s="246">
        <v>84200</v>
      </c>
      <c r="N980" s="246">
        <v>89650</v>
      </c>
    </row>
    <row r="981" spans="3:14" ht="21.95" customHeight="1" x14ac:dyDescent="0.25">
      <c r="C981" s="139" t="str">
        <f t="shared" si="31"/>
        <v>IN_PERRY COUNTY, IN</v>
      </c>
      <c r="D981" s="136" t="s">
        <v>91</v>
      </c>
      <c r="E981" s="262" t="s">
        <v>3621</v>
      </c>
      <c r="F981" s="136" t="s">
        <v>183</v>
      </c>
      <c r="G981" s="246">
        <v>50700</v>
      </c>
      <c r="H981" s="246">
        <v>57950</v>
      </c>
      <c r="I981" s="246">
        <v>65200</v>
      </c>
      <c r="J981" s="246">
        <v>72400</v>
      </c>
      <c r="K981" s="246">
        <v>78200</v>
      </c>
      <c r="L981" s="246">
        <v>84000</v>
      </c>
      <c r="M981" s="246">
        <v>89800</v>
      </c>
      <c r="N981" s="246">
        <v>95600</v>
      </c>
    </row>
    <row r="982" spans="3:14" ht="21.95" customHeight="1" x14ac:dyDescent="0.25">
      <c r="C982" s="139" t="str">
        <f t="shared" si="31"/>
        <v>IN_PIKE COUNTY, IN</v>
      </c>
      <c r="D982" s="136" t="s">
        <v>91</v>
      </c>
      <c r="E982" s="262" t="s">
        <v>3622</v>
      </c>
      <c r="F982" s="136" t="s">
        <v>183</v>
      </c>
      <c r="G982" s="246">
        <v>52450</v>
      </c>
      <c r="H982" s="246">
        <v>59950</v>
      </c>
      <c r="I982" s="246">
        <v>67450</v>
      </c>
      <c r="J982" s="246">
        <v>74900</v>
      </c>
      <c r="K982" s="246">
        <v>80900</v>
      </c>
      <c r="L982" s="246">
        <v>86900</v>
      </c>
      <c r="M982" s="246">
        <v>92900</v>
      </c>
      <c r="N982" s="246">
        <v>98900</v>
      </c>
    </row>
    <row r="983" spans="3:14" ht="21.95" customHeight="1" x14ac:dyDescent="0.25">
      <c r="C983" s="139" t="str">
        <f t="shared" si="31"/>
        <v>IN_PULASKI COUNTY, IN</v>
      </c>
      <c r="D983" s="136" t="s">
        <v>91</v>
      </c>
      <c r="E983" s="262" t="s">
        <v>3623</v>
      </c>
      <c r="F983" s="136" t="s">
        <v>183</v>
      </c>
      <c r="G983" s="246">
        <v>47550</v>
      </c>
      <c r="H983" s="246">
        <v>54350</v>
      </c>
      <c r="I983" s="246">
        <v>61150</v>
      </c>
      <c r="J983" s="246">
        <v>67900</v>
      </c>
      <c r="K983" s="246">
        <v>73350</v>
      </c>
      <c r="L983" s="246">
        <v>78800</v>
      </c>
      <c r="M983" s="246">
        <v>84200</v>
      </c>
      <c r="N983" s="246">
        <v>89650</v>
      </c>
    </row>
    <row r="984" spans="3:14" ht="21.95" customHeight="1" x14ac:dyDescent="0.25">
      <c r="C984" s="139" t="str">
        <f t="shared" si="31"/>
        <v>IN_PUTNAM COUNTY, IN</v>
      </c>
      <c r="D984" s="136" t="s">
        <v>91</v>
      </c>
      <c r="E984" s="262" t="s">
        <v>9170</v>
      </c>
      <c r="F984" s="136" t="s">
        <v>183</v>
      </c>
      <c r="G984" s="246">
        <v>52650</v>
      </c>
      <c r="H984" s="246">
        <v>60200</v>
      </c>
      <c r="I984" s="246">
        <v>67700</v>
      </c>
      <c r="J984" s="246">
        <v>75200</v>
      </c>
      <c r="K984" s="246">
        <v>81250</v>
      </c>
      <c r="L984" s="246">
        <v>87250</v>
      </c>
      <c r="M984" s="246">
        <v>93250</v>
      </c>
      <c r="N984" s="246">
        <v>99300</v>
      </c>
    </row>
    <row r="985" spans="3:14" ht="21.95" customHeight="1" x14ac:dyDescent="0.25">
      <c r="C985" s="139" t="str">
        <f t="shared" si="31"/>
        <v>IN_RANDOLPH COUNTY, IN</v>
      </c>
      <c r="D985" s="136" t="s">
        <v>91</v>
      </c>
      <c r="E985" s="262" t="s">
        <v>3624</v>
      </c>
      <c r="F985" s="136" t="s">
        <v>183</v>
      </c>
      <c r="G985" s="246">
        <v>47550</v>
      </c>
      <c r="H985" s="246">
        <v>54350</v>
      </c>
      <c r="I985" s="246">
        <v>61150</v>
      </c>
      <c r="J985" s="246">
        <v>67900</v>
      </c>
      <c r="K985" s="246">
        <v>73350</v>
      </c>
      <c r="L985" s="246">
        <v>78800</v>
      </c>
      <c r="M985" s="246">
        <v>84200</v>
      </c>
      <c r="N985" s="246">
        <v>89650</v>
      </c>
    </row>
    <row r="986" spans="3:14" ht="21.95" customHeight="1" x14ac:dyDescent="0.25">
      <c r="C986" s="139" t="str">
        <f t="shared" si="31"/>
        <v>IN_RIPLEY COUNTY, IN</v>
      </c>
      <c r="D986" s="136" t="s">
        <v>91</v>
      </c>
      <c r="E986" s="262" t="s">
        <v>3625</v>
      </c>
      <c r="F986" s="136" t="s">
        <v>183</v>
      </c>
      <c r="G986" s="246">
        <v>54050</v>
      </c>
      <c r="H986" s="246">
        <v>61800</v>
      </c>
      <c r="I986" s="246">
        <v>69500</v>
      </c>
      <c r="J986" s="246">
        <v>77200</v>
      </c>
      <c r="K986" s="246">
        <v>83400</v>
      </c>
      <c r="L986" s="246">
        <v>89600</v>
      </c>
      <c r="M986" s="246">
        <v>95750</v>
      </c>
      <c r="N986" s="246">
        <v>101950</v>
      </c>
    </row>
    <row r="987" spans="3:14" ht="21.95" customHeight="1" x14ac:dyDescent="0.25">
      <c r="C987" s="139" t="str">
        <f t="shared" si="31"/>
        <v>IN_RUSH COUNTY, IN</v>
      </c>
      <c r="D987" s="136" t="s">
        <v>91</v>
      </c>
      <c r="E987" s="262" t="s">
        <v>3626</v>
      </c>
      <c r="F987" s="136" t="s">
        <v>183</v>
      </c>
      <c r="G987" s="246">
        <v>48100</v>
      </c>
      <c r="H987" s="246">
        <v>55000</v>
      </c>
      <c r="I987" s="246">
        <v>61850</v>
      </c>
      <c r="J987" s="246">
        <v>68700</v>
      </c>
      <c r="K987" s="246">
        <v>74200</v>
      </c>
      <c r="L987" s="246">
        <v>79700</v>
      </c>
      <c r="M987" s="246">
        <v>85200</v>
      </c>
      <c r="N987" s="246">
        <v>90700</v>
      </c>
    </row>
    <row r="988" spans="3:14" ht="21.95" customHeight="1" x14ac:dyDescent="0.25">
      <c r="C988" s="139" t="str">
        <f t="shared" si="31"/>
        <v>IN_SCOTT COUNTY, IN</v>
      </c>
      <c r="D988" s="136" t="s">
        <v>91</v>
      </c>
      <c r="E988" s="262" t="s">
        <v>3627</v>
      </c>
      <c r="F988" s="136" t="s">
        <v>183</v>
      </c>
      <c r="G988" s="246">
        <v>47550</v>
      </c>
      <c r="H988" s="246">
        <v>54350</v>
      </c>
      <c r="I988" s="246">
        <v>61150</v>
      </c>
      <c r="J988" s="246">
        <v>67900</v>
      </c>
      <c r="K988" s="246">
        <v>73350</v>
      </c>
      <c r="L988" s="246">
        <v>78800</v>
      </c>
      <c r="M988" s="246">
        <v>84200</v>
      </c>
      <c r="N988" s="246">
        <v>89650</v>
      </c>
    </row>
    <row r="989" spans="3:14" ht="21.95" customHeight="1" x14ac:dyDescent="0.25">
      <c r="C989" s="139" t="str">
        <f t="shared" si="31"/>
        <v>IN_SOUTH BEND-MISHAWAKA, IN HUD METRO FMR AREA</v>
      </c>
      <c r="D989" s="136" t="s">
        <v>91</v>
      </c>
      <c r="E989" s="262" t="s">
        <v>3628</v>
      </c>
      <c r="F989" s="136" t="s">
        <v>183</v>
      </c>
      <c r="G989" s="246">
        <v>49300</v>
      </c>
      <c r="H989" s="246">
        <v>56350</v>
      </c>
      <c r="I989" s="246">
        <v>63400</v>
      </c>
      <c r="J989" s="246">
        <v>70400</v>
      </c>
      <c r="K989" s="246">
        <v>76050</v>
      </c>
      <c r="L989" s="246">
        <v>81700</v>
      </c>
      <c r="M989" s="246">
        <v>87300</v>
      </c>
      <c r="N989" s="246">
        <v>92950</v>
      </c>
    </row>
    <row r="990" spans="3:14" ht="21.95" customHeight="1" x14ac:dyDescent="0.25">
      <c r="C990" s="139" t="str">
        <f t="shared" si="31"/>
        <v>IN_SPENCER COUNTY, IN</v>
      </c>
      <c r="D990" s="136" t="s">
        <v>91</v>
      </c>
      <c r="E990" s="262" t="s">
        <v>3629</v>
      </c>
      <c r="F990" s="136" t="s">
        <v>183</v>
      </c>
      <c r="G990" s="246">
        <v>57650</v>
      </c>
      <c r="H990" s="246">
        <v>65850</v>
      </c>
      <c r="I990" s="246">
        <v>74100</v>
      </c>
      <c r="J990" s="246">
        <v>82300</v>
      </c>
      <c r="K990" s="246">
        <v>88900</v>
      </c>
      <c r="L990" s="246">
        <v>95500</v>
      </c>
      <c r="M990" s="246">
        <v>102100</v>
      </c>
      <c r="N990" s="246">
        <v>108650</v>
      </c>
    </row>
    <row r="991" spans="3:14" ht="21.95" customHeight="1" x14ac:dyDescent="0.25">
      <c r="C991" s="139" t="str">
        <f t="shared" si="31"/>
        <v>IN_STARKE COUNTY, IN</v>
      </c>
      <c r="D991" s="136" t="s">
        <v>91</v>
      </c>
      <c r="E991" s="262" t="s">
        <v>3630</v>
      </c>
      <c r="F991" s="136" t="s">
        <v>183</v>
      </c>
      <c r="G991" s="246">
        <v>47550</v>
      </c>
      <c r="H991" s="246">
        <v>54350</v>
      </c>
      <c r="I991" s="246">
        <v>61150</v>
      </c>
      <c r="J991" s="246">
        <v>67900</v>
      </c>
      <c r="K991" s="246">
        <v>73350</v>
      </c>
      <c r="L991" s="246">
        <v>78800</v>
      </c>
      <c r="M991" s="246">
        <v>84200</v>
      </c>
      <c r="N991" s="246">
        <v>89650</v>
      </c>
    </row>
    <row r="992" spans="3:14" ht="21.95" customHeight="1" x14ac:dyDescent="0.25">
      <c r="C992" s="139" t="str">
        <f t="shared" si="31"/>
        <v>IN_STEUBEN COUNTY, IN</v>
      </c>
      <c r="D992" s="136" t="s">
        <v>91</v>
      </c>
      <c r="E992" s="262" t="s">
        <v>3631</v>
      </c>
      <c r="F992" s="136" t="s">
        <v>183</v>
      </c>
      <c r="G992" s="246">
        <v>54750</v>
      </c>
      <c r="H992" s="246">
        <v>62550</v>
      </c>
      <c r="I992" s="246">
        <v>70350</v>
      </c>
      <c r="J992" s="246">
        <v>78150</v>
      </c>
      <c r="K992" s="246">
        <v>84450</v>
      </c>
      <c r="L992" s="246">
        <v>90700</v>
      </c>
      <c r="M992" s="246">
        <v>96950</v>
      </c>
      <c r="N992" s="246">
        <v>103200</v>
      </c>
    </row>
    <row r="993" spans="3:14" ht="21.95" customHeight="1" x14ac:dyDescent="0.25">
      <c r="C993" s="139" t="str">
        <f t="shared" si="31"/>
        <v>IN_SULLIVAN COUNTY, IN HUD METRO FMR AREA</v>
      </c>
      <c r="D993" s="136" t="s">
        <v>91</v>
      </c>
      <c r="E993" s="262" t="s">
        <v>3632</v>
      </c>
      <c r="F993" s="136" t="s">
        <v>183</v>
      </c>
      <c r="G993" s="246">
        <v>47550</v>
      </c>
      <c r="H993" s="246">
        <v>54350</v>
      </c>
      <c r="I993" s="246">
        <v>61150</v>
      </c>
      <c r="J993" s="246">
        <v>67900</v>
      </c>
      <c r="K993" s="246">
        <v>73350</v>
      </c>
      <c r="L993" s="246">
        <v>78800</v>
      </c>
      <c r="M993" s="246">
        <v>84200</v>
      </c>
      <c r="N993" s="246">
        <v>89650</v>
      </c>
    </row>
    <row r="994" spans="3:14" ht="21.95" customHeight="1" x14ac:dyDescent="0.25">
      <c r="C994" s="139" t="str">
        <f t="shared" si="31"/>
        <v>IN_SWITZERLAND COUNTY, IN</v>
      </c>
      <c r="D994" s="136" t="s">
        <v>91</v>
      </c>
      <c r="E994" s="262" t="s">
        <v>3633</v>
      </c>
      <c r="F994" s="136" t="s">
        <v>183</v>
      </c>
      <c r="G994" s="246">
        <v>47550</v>
      </c>
      <c r="H994" s="246">
        <v>54350</v>
      </c>
      <c r="I994" s="246">
        <v>61150</v>
      </c>
      <c r="J994" s="246">
        <v>67900</v>
      </c>
      <c r="K994" s="246">
        <v>73350</v>
      </c>
      <c r="L994" s="246">
        <v>78800</v>
      </c>
      <c r="M994" s="246">
        <v>84200</v>
      </c>
      <c r="N994" s="246">
        <v>89650</v>
      </c>
    </row>
    <row r="995" spans="3:14" ht="21.95" customHeight="1" x14ac:dyDescent="0.25">
      <c r="C995" s="139" t="str">
        <f t="shared" si="31"/>
        <v>IN_TERRE HAUTE, IN HUD METRO FMR AREA</v>
      </c>
      <c r="D995" s="136" t="s">
        <v>91</v>
      </c>
      <c r="E995" s="262" t="s">
        <v>3634</v>
      </c>
      <c r="F995" s="136" t="s">
        <v>183</v>
      </c>
      <c r="G995" s="246">
        <v>47550</v>
      </c>
      <c r="H995" s="246">
        <v>54350</v>
      </c>
      <c r="I995" s="246">
        <v>61150</v>
      </c>
      <c r="J995" s="246">
        <v>67900</v>
      </c>
      <c r="K995" s="246">
        <v>73350</v>
      </c>
      <c r="L995" s="246">
        <v>78800</v>
      </c>
      <c r="M995" s="246">
        <v>84200</v>
      </c>
      <c r="N995" s="246">
        <v>89650</v>
      </c>
    </row>
    <row r="996" spans="3:14" ht="21.95" customHeight="1" x14ac:dyDescent="0.25">
      <c r="C996" s="139" t="str">
        <f t="shared" si="31"/>
        <v>IN_TIPTON COUNTY, IN HUD METRO FMR AREA</v>
      </c>
      <c r="D996" s="136" t="s">
        <v>91</v>
      </c>
      <c r="E996" s="262" t="s">
        <v>9171</v>
      </c>
      <c r="F996" s="136" t="s">
        <v>183</v>
      </c>
      <c r="G996" s="246">
        <v>52750</v>
      </c>
      <c r="H996" s="246">
        <v>60250</v>
      </c>
      <c r="I996" s="246">
        <v>67800</v>
      </c>
      <c r="J996" s="246">
        <v>75300</v>
      </c>
      <c r="K996" s="246">
        <v>81350</v>
      </c>
      <c r="L996" s="246">
        <v>87350</v>
      </c>
      <c r="M996" s="246">
        <v>93400</v>
      </c>
      <c r="N996" s="246">
        <v>99400</v>
      </c>
    </row>
    <row r="997" spans="3:14" ht="21.95" customHeight="1" x14ac:dyDescent="0.25">
      <c r="C997" s="139" t="str">
        <f t="shared" si="31"/>
        <v>IN_UNION COUNTY, IN</v>
      </c>
      <c r="D997" s="136" t="s">
        <v>91</v>
      </c>
      <c r="E997" s="262" t="s">
        <v>9172</v>
      </c>
      <c r="F997" s="136" t="s">
        <v>183</v>
      </c>
      <c r="G997" s="246">
        <v>53050</v>
      </c>
      <c r="H997" s="246">
        <v>60600</v>
      </c>
      <c r="I997" s="246">
        <v>68200</v>
      </c>
      <c r="J997" s="246">
        <v>75750</v>
      </c>
      <c r="K997" s="246">
        <v>81850</v>
      </c>
      <c r="L997" s="246">
        <v>87900</v>
      </c>
      <c r="M997" s="246">
        <v>93950</v>
      </c>
      <c r="N997" s="246">
        <v>100000</v>
      </c>
    </row>
    <row r="998" spans="3:14" ht="21.95" customHeight="1" x14ac:dyDescent="0.25">
      <c r="C998" s="139" t="str">
        <f t="shared" si="31"/>
        <v>IN_WABASH COUNTY, IN</v>
      </c>
      <c r="D998" s="136" t="s">
        <v>91</v>
      </c>
      <c r="E998" s="262" t="s">
        <v>3635</v>
      </c>
      <c r="F998" s="136" t="s">
        <v>183</v>
      </c>
      <c r="G998" s="246">
        <v>49950</v>
      </c>
      <c r="H998" s="246">
        <v>57100</v>
      </c>
      <c r="I998" s="246">
        <v>64250</v>
      </c>
      <c r="J998" s="246">
        <v>71350</v>
      </c>
      <c r="K998" s="246">
        <v>77100</v>
      </c>
      <c r="L998" s="246">
        <v>82800</v>
      </c>
      <c r="M998" s="246">
        <v>88500</v>
      </c>
      <c r="N998" s="246">
        <v>94200</v>
      </c>
    </row>
    <row r="999" spans="3:14" ht="21.95" customHeight="1" x14ac:dyDescent="0.25">
      <c r="C999" s="139" t="str">
        <f t="shared" si="31"/>
        <v>IN_WARREN COUNTY, IN HUD METRO FMR AREA</v>
      </c>
      <c r="D999" s="136" t="s">
        <v>91</v>
      </c>
      <c r="E999" s="262" t="s">
        <v>3636</v>
      </c>
      <c r="F999" s="136" t="s">
        <v>183</v>
      </c>
      <c r="G999" s="246">
        <v>54150</v>
      </c>
      <c r="H999" s="246">
        <v>61850</v>
      </c>
      <c r="I999" s="246">
        <v>69600</v>
      </c>
      <c r="J999" s="246">
        <v>77300</v>
      </c>
      <c r="K999" s="246">
        <v>83500</v>
      </c>
      <c r="L999" s="246">
        <v>89700</v>
      </c>
      <c r="M999" s="246">
        <v>95900</v>
      </c>
      <c r="N999" s="246">
        <v>102050</v>
      </c>
    </row>
    <row r="1000" spans="3:14" ht="21.95" customHeight="1" x14ac:dyDescent="0.25">
      <c r="C1000" s="139" t="str">
        <f t="shared" si="31"/>
        <v>IN_WASHINGTON COUNTY, IN HUD METRO FMR AREA</v>
      </c>
      <c r="D1000" s="136" t="s">
        <v>91</v>
      </c>
      <c r="E1000" s="262" t="s">
        <v>3637</v>
      </c>
      <c r="F1000" s="136" t="s">
        <v>183</v>
      </c>
      <c r="G1000" s="246">
        <v>47550</v>
      </c>
      <c r="H1000" s="246">
        <v>54350</v>
      </c>
      <c r="I1000" s="246">
        <v>61150</v>
      </c>
      <c r="J1000" s="246">
        <v>67900</v>
      </c>
      <c r="K1000" s="246">
        <v>73350</v>
      </c>
      <c r="L1000" s="246">
        <v>78800</v>
      </c>
      <c r="M1000" s="246">
        <v>84200</v>
      </c>
      <c r="N1000" s="246">
        <v>89650</v>
      </c>
    </row>
    <row r="1001" spans="3:14" ht="21.95" customHeight="1" x14ac:dyDescent="0.25">
      <c r="C1001" s="139" t="str">
        <f t="shared" si="31"/>
        <v>IN_WAYNE COUNTY, IN</v>
      </c>
      <c r="D1001" s="136" t="s">
        <v>91</v>
      </c>
      <c r="E1001" s="262" t="s">
        <v>3638</v>
      </c>
      <c r="F1001" s="136" t="s">
        <v>183</v>
      </c>
      <c r="G1001" s="246">
        <v>47550</v>
      </c>
      <c r="H1001" s="246">
        <v>54350</v>
      </c>
      <c r="I1001" s="246">
        <v>61150</v>
      </c>
      <c r="J1001" s="246">
        <v>67900</v>
      </c>
      <c r="K1001" s="246">
        <v>73350</v>
      </c>
      <c r="L1001" s="246">
        <v>78800</v>
      </c>
      <c r="M1001" s="246">
        <v>84200</v>
      </c>
      <c r="N1001" s="246">
        <v>89650</v>
      </c>
    </row>
    <row r="1002" spans="3:14" ht="21.95" customHeight="1" x14ac:dyDescent="0.25">
      <c r="C1002" s="139" t="str">
        <f t="shared" si="31"/>
        <v>IN_WELLS COUNTY, IN HUD METRO FMR AREA</v>
      </c>
      <c r="D1002" s="136" t="s">
        <v>91</v>
      </c>
      <c r="E1002" s="262" t="s">
        <v>9173</v>
      </c>
      <c r="F1002" s="136" t="s">
        <v>183</v>
      </c>
      <c r="G1002" s="246">
        <v>51350</v>
      </c>
      <c r="H1002" s="246">
        <v>58650</v>
      </c>
      <c r="I1002" s="246">
        <v>66000</v>
      </c>
      <c r="J1002" s="246">
        <v>73300</v>
      </c>
      <c r="K1002" s="246">
        <v>79200</v>
      </c>
      <c r="L1002" s="246">
        <v>85050</v>
      </c>
      <c r="M1002" s="246">
        <v>90900</v>
      </c>
      <c r="N1002" s="246">
        <v>96800</v>
      </c>
    </row>
    <row r="1003" spans="3:14" ht="21.95" customHeight="1" x14ac:dyDescent="0.25">
      <c r="C1003" s="139" t="str">
        <f t="shared" si="31"/>
        <v>IN_WHITE COUNTY, IN</v>
      </c>
      <c r="D1003" s="136" t="s">
        <v>91</v>
      </c>
      <c r="E1003" s="262" t="s">
        <v>3639</v>
      </c>
      <c r="F1003" s="136" t="s">
        <v>183</v>
      </c>
      <c r="G1003" s="246">
        <v>48650</v>
      </c>
      <c r="H1003" s="246">
        <v>55600</v>
      </c>
      <c r="I1003" s="246">
        <v>62550</v>
      </c>
      <c r="J1003" s="246">
        <v>69450</v>
      </c>
      <c r="K1003" s="246">
        <v>75050</v>
      </c>
      <c r="L1003" s="246">
        <v>80600</v>
      </c>
      <c r="M1003" s="246">
        <v>86150</v>
      </c>
      <c r="N1003" s="246">
        <v>91700</v>
      </c>
    </row>
    <row r="1004" spans="3:14" ht="21.95" customHeight="1" x14ac:dyDescent="0.25">
      <c r="C1004" s="139" t="str">
        <f t="shared" si="31"/>
        <v>KS_ALLEN COUNTY, KS</v>
      </c>
      <c r="D1004" s="136" t="s">
        <v>89</v>
      </c>
      <c r="E1004" s="262" t="s">
        <v>3640</v>
      </c>
      <c r="F1004" s="136" t="s">
        <v>183</v>
      </c>
      <c r="G1004" s="246">
        <v>47150</v>
      </c>
      <c r="H1004" s="246">
        <v>53850</v>
      </c>
      <c r="I1004" s="246">
        <v>60600</v>
      </c>
      <c r="J1004" s="246">
        <v>67300</v>
      </c>
      <c r="K1004" s="246">
        <v>72700</v>
      </c>
      <c r="L1004" s="246">
        <v>78100</v>
      </c>
      <c r="M1004" s="246">
        <v>83500</v>
      </c>
      <c r="N1004" s="246">
        <v>88850</v>
      </c>
    </row>
    <row r="1005" spans="3:14" ht="21.95" customHeight="1" x14ac:dyDescent="0.25">
      <c r="C1005" s="139" t="str">
        <f t="shared" si="31"/>
        <v>KS_ANDERSON COUNTY, KS</v>
      </c>
      <c r="D1005" s="136" t="s">
        <v>89</v>
      </c>
      <c r="E1005" s="262" t="s">
        <v>3641</v>
      </c>
      <c r="F1005" s="136" t="s">
        <v>183</v>
      </c>
      <c r="G1005" s="246">
        <v>47700</v>
      </c>
      <c r="H1005" s="246">
        <v>54500</v>
      </c>
      <c r="I1005" s="246">
        <v>61300</v>
      </c>
      <c r="J1005" s="246">
        <v>68100</v>
      </c>
      <c r="K1005" s="246">
        <v>73550</v>
      </c>
      <c r="L1005" s="246">
        <v>79000</v>
      </c>
      <c r="M1005" s="246">
        <v>84450</v>
      </c>
      <c r="N1005" s="246">
        <v>89900</v>
      </c>
    </row>
    <row r="1006" spans="3:14" ht="21.95" customHeight="1" x14ac:dyDescent="0.25">
      <c r="C1006" s="139" t="str">
        <f t="shared" si="31"/>
        <v>KS_ATCHISON COUNTY, KS</v>
      </c>
      <c r="D1006" s="136" t="s">
        <v>89</v>
      </c>
      <c r="E1006" s="262" t="s">
        <v>3642</v>
      </c>
      <c r="F1006" s="136" t="s">
        <v>183</v>
      </c>
      <c r="G1006" s="246">
        <v>50600</v>
      </c>
      <c r="H1006" s="246">
        <v>57800</v>
      </c>
      <c r="I1006" s="246">
        <v>65050</v>
      </c>
      <c r="J1006" s="246">
        <v>72250</v>
      </c>
      <c r="K1006" s="246">
        <v>78050</v>
      </c>
      <c r="L1006" s="246">
        <v>83850</v>
      </c>
      <c r="M1006" s="246">
        <v>89600</v>
      </c>
      <c r="N1006" s="246">
        <v>95400</v>
      </c>
    </row>
    <row r="1007" spans="3:14" ht="21.95" customHeight="1" x14ac:dyDescent="0.25">
      <c r="C1007" s="139" t="str">
        <f t="shared" si="31"/>
        <v>KS_BARBER COUNTY, KS</v>
      </c>
      <c r="D1007" s="136" t="s">
        <v>89</v>
      </c>
      <c r="E1007" s="262" t="s">
        <v>3643</v>
      </c>
      <c r="F1007" s="136" t="s">
        <v>183</v>
      </c>
      <c r="G1007" s="246">
        <v>47150</v>
      </c>
      <c r="H1007" s="246">
        <v>53850</v>
      </c>
      <c r="I1007" s="246">
        <v>60600</v>
      </c>
      <c r="J1007" s="246">
        <v>67300</v>
      </c>
      <c r="K1007" s="246">
        <v>72700</v>
      </c>
      <c r="L1007" s="246">
        <v>78100</v>
      </c>
      <c r="M1007" s="246">
        <v>83500</v>
      </c>
      <c r="N1007" s="246">
        <v>88850</v>
      </c>
    </row>
    <row r="1008" spans="3:14" ht="21.95" customHeight="1" x14ac:dyDescent="0.25">
      <c r="C1008" s="139" t="str">
        <f t="shared" si="31"/>
        <v>KS_BARTON COUNTY, KS</v>
      </c>
      <c r="D1008" s="136" t="s">
        <v>89</v>
      </c>
      <c r="E1008" s="262" t="s">
        <v>3644</v>
      </c>
      <c r="F1008" s="136" t="s">
        <v>183</v>
      </c>
      <c r="G1008" s="246">
        <v>47150</v>
      </c>
      <c r="H1008" s="246">
        <v>53850</v>
      </c>
      <c r="I1008" s="246">
        <v>60600</v>
      </c>
      <c r="J1008" s="246">
        <v>67300</v>
      </c>
      <c r="K1008" s="246">
        <v>72700</v>
      </c>
      <c r="L1008" s="246">
        <v>78100</v>
      </c>
      <c r="M1008" s="246">
        <v>83500</v>
      </c>
      <c r="N1008" s="246">
        <v>88850</v>
      </c>
    </row>
    <row r="1009" spans="3:14" ht="21.95" customHeight="1" x14ac:dyDescent="0.25">
      <c r="C1009" s="139" t="str">
        <f t="shared" si="31"/>
        <v>KS_BOURBON COUNTY, KS</v>
      </c>
      <c r="D1009" s="136" t="s">
        <v>89</v>
      </c>
      <c r="E1009" s="262" t="s">
        <v>3645</v>
      </c>
      <c r="F1009" s="136" t="s">
        <v>183</v>
      </c>
      <c r="G1009" s="246">
        <v>50600</v>
      </c>
      <c r="H1009" s="246">
        <v>57800</v>
      </c>
      <c r="I1009" s="246">
        <v>65050</v>
      </c>
      <c r="J1009" s="246">
        <v>72250</v>
      </c>
      <c r="K1009" s="246">
        <v>78050</v>
      </c>
      <c r="L1009" s="246">
        <v>83850</v>
      </c>
      <c r="M1009" s="246">
        <v>89600</v>
      </c>
      <c r="N1009" s="246">
        <v>95400</v>
      </c>
    </row>
    <row r="1010" spans="3:14" ht="21.95" customHeight="1" x14ac:dyDescent="0.25">
      <c r="C1010" s="139" t="str">
        <f t="shared" si="31"/>
        <v>KS_BROWN COUNTY, KS</v>
      </c>
      <c r="D1010" s="136" t="s">
        <v>89</v>
      </c>
      <c r="E1010" s="262" t="s">
        <v>3646</v>
      </c>
      <c r="F1010" s="136" t="s">
        <v>183</v>
      </c>
      <c r="G1010" s="246">
        <v>47150</v>
      </c>
      <c r="H1010" s="246">
        <v>53850</v>
      </c>
      <c r="I1010" s="246">
        <v>60600</v>
      </c>
      <c r="J1010" s="246">
        <v>67300</v>
      </c>
      <c r="K1010" s="246">
        <v>72700</v>
      </c>
      <c r="L1010" s="246">
        <v>78100</v>
      </c>
      <c r="M1010" s="246">
        <v>83500</v>
      </c>
      <c r="N1010" s="246">
        <v>88850</v>
      </c>
    </row>
    <row r="1011" spans="3:14" ht="21.95" customHeight="1" x14ac:dyDescent="0.25">
      <c r="C1011" s="139" t="str">
        <f t="shared" si="31"/>
        <v>KS_CHASE COUNTY, KS</v>
      </c>
      <c r="D1011" s="136" t="s">
        <v>89</v>
      </c>
      <c r="E1011" s="262" t="s">
        <v>3647</v>
      </c>
      <c r="F1011" s="136" t="s">
        <v>183</v>
      </c>
      <c r="G1011" s="246">
        <v>47150</v>
      </c>
      <c r="H1011" s="246">
        <v>53850</v>
      </c>
      <c r="I1011" s="246">
        <v>60600</v>
      </c>
      <c r="J1011" s="246">
        <v>67300</v>
      </c>
      <c r="K1011" s="246">
        <v>72700</v>
      </c>
      <c r="L1011" s="246">
        <v>78100</v>
      </c>
      <c r="M1011" s="246">
        <v>83500</v>
      </c>
      <c r="N1011" s="246">
        <v>88850</v>
      </c>
    </row>
    <row r="1012" spans="3:14" ht="21.95" customHeight="1" x14ac:dyDescent="0.25">
      <c r="C1012" s="139" t="str">
        <f t="shared" si="31"/>
        <v>KS_CHAUTAUQUA COUNTY, KS</v>
      </c>
      <c r="D1012" s="136" t="s">
        <v>89</v>
      </c>
      <c r="E1012" s="262" t="s">
        <v>3648</v>
      </c>
      <c r="F1012" s="136" t="s">
        <v>183</v>
      </c>
      <c r="G1012" s="246">
        <v>47150</v>
      </c>
      <c r="H1012" s="246">
        <v>53850</v>
      </c>
      <c r="I1012" s="246">
        <v>60600</v>
      </c>
      <c r="J1012" s="246">
        <v>67300</v>
      </c>
      <c r="K1012" s="246">
        <v>72700</v>
      </c>
      <c r="L1012" s="246">
        <v>78100</v>
      </c>
      <c r="M1012" s="246">
        <v>83500</v>
      </c>
      <c r="N1012" s="246">
        <v>88850</v>
      </c>
    </row>
    <row r="1013" spans="3:14" ht="21.95" customHeight="1" x14ac:dyDescent="0.25">
      <c r="C1013" s="139" t="str">
        <f t="shared" si="31"/>
        <v>KS_CHEROKEE COUNTY, KS HUD METRO FMR AREA</v>
      </c>
      <c r="D1013" s="136" t="s">
        <v>89</v>
      </c>
      <c r="E1013" s="262" t="s">
        <v>9174</v>
      </c>
      <c r="F1013" s="136" t="s">
        <v>183</v>
      </c>
      <c r="G1013" s="246">
        <v>47150</v>
      </c>
      <c r="H1013" s="246">
        <v>53850</v>
      </c>
      <c r="I1013" s="246">
        <v>60600</v>
      </c>
      <c r="J1013" s="246">
        <v>67300</v>
      </c>
      <c r="K1013" s="246">
        <v>72700</v>
      </c>
      <c r="L1013" s="246">
        <v>78100</v>
      </c>
      <c r="M1013" s="246">
        <v>83500</v>
      </c>
      <c r="N1013" s="246">
        <v>88850</v>
      </c>
    </row>
    <row r="1014" spans="3:14" ht="21.95" customHeight="1" x14ac:dyDescent="0.25">
      <c r="C1014" s="139" t="str">
        <f t="shared" si="31"/>
        <v>KS_CHEYENNE COUNTY, KS</v>
      </c>
      <c r="D1014" s="136" t="s">
        <v>89</v>
      </c>
      <c r="E1014" s="262" t="s">
        <v>3649</v>
      </c>
      <c r="F1014" s="136" t="s">
        <v>183</v>
      </c>
      <c r="G1014" s="246">
        <v>47150</v>
      </c>
      <c r="H1014" s="246">
        <v>53850</v>
      </c>
      <c r="I1014" s="246">
        <v>60600</v>
      </c>
      <c r="J1014" s="246">
        <v>67300</v>
      </c>
      <c r="K1014" s="246">
        <v>72700</v>
      </c>
      <c r="L1014" s="246">
        <v>78100</v>
      </c>
      <c r="M1014" s="246">
        <v>83500</v>
      </c>
      <c r="N1014" s="246">
        <v>88850</v>
      </c>
    </row>
    <row r="1015" spans="3:14" ht="21.95" customHeight="1" x14ac:dyDescent="0.25">
      <c r="C1015" s="139" t="str">
        <f t="shared" si="31"/>
        <v>KS_CLARK COUNTY, KS</v>
      </c>
      <c r="D1015" s="136" t="s">
        <v>89</v>
      </c>
      <c r="E1015" s="262" t="s">
        <v>3650</v>
      </c>
      <c r="F1015" s="136" t="s">
        <v>183</v>
      </c>
      <c r="G1015" s="246">
        <v>47700</v>
      </c>
      <c r="H1015" s="246">
        <v>54500</v>
      </c>
      <c r="I1015" s="246">
        <v>61300</v>
      </c>
      <c r="J1015" s="246">
        <v>68100</v>
      </c>
      <c r="K1015" s="246">
        <v>73550</v>
      </c>
      <c r="L1015" s="246">
        <v>79000</v>
      </c>
      <c r="M1015" s="246">
        <v>84450</v>
      </c>
      <c r="N1015" s="246">
        <v>89900</v>
      </c>
    </row>
    <row r="1016" spans="3:14" ht="21.95" customHeight="1" x14ac:dyDescent="0.25">
      <c r="C1016" s="139" t="str">
        <f t="shared" si="31"/>
        <v>KS_CLAY COUNTY, KS</v>
      </c>
      <c r="D1016" s="136" t="s">
        <v>89</v>
      </c>
      <c r="E1016" s="262" t="s">
        <v>3651</v>
      </c>
      <c r="F1016" s="136" t="s">
        <v>183</v>
      </c>
      <c r="G1016" s="246">
        <v>47150</v>
      </c>
      <c r="H1016" s="246">
        <v>53850</v>
      </c>
      <c r="I1016" s="246">
        <v>60600</v>
      </c>
      <c r="J1016" s="246">
        <v>67300</v>
      </c>
      <c r="K1016" s="246">
        <v>72700</v>
      </c>
      <c r="L1016" s="246">
        <v>78100</v>
      </c>
      <c r="M1016" s="246">
        <v>83500</v>
      </c>
      <c r="N1016" s="246">
        <v>88850</v>
      </c>
    </row>
    <row r="1017" spans="3:14" ht="21.95" customHeight="1" x14ac:dyDescent="0.25">
      <c r="C1017" s="139" t="str">
        <f t="shared" si="31"/>
        <v>KS_CLOUD COUNTY, KS</v>
      </c>
      <c r="D1017" s="136" t="s">
        <v>89</v>
      </c>
      <c r="E1017" s="262" t="s">
        <v>3652</v>
      </c>
      <c r="F1017" s="136" t="s">
        <v>183</v>
      </c>
      <c r="G1017" s="246">
        <v>47150</v>
      </c>
      <c r="H1017" s="246">
        <v>53850</v>
      </c>
      <c r="I1017" s="246">
        <v>60600</v>
      </c>
      <c r="J1017" s="246">
        <v>67300</v>
      </c>
      <c r="K1017" s="246">
        <v>72700</v>
      </c>
      <c r="L1017" s="246">
        <v>78100</v>
      </c>
      <c r="M1017" s="246">
        <v>83500</v>
      </c>
      <c r="N1017" s="246">
        <v>88850</v>
      </c>
    </row>
    <row r="1018" spans="3:14" ht="21.95" customHeight="1" x14ac:dyDescent="0.25">
      <c r="C1018" s="139" t="str">
        <f t="shared" si="31"/>
        <v>KS_COFFEY COUNTY, KS</v>
      </c>
      <c r="D1018" s="136" t="s">
        <v>89</v>
      </c>
      <c r="E1018" s="262" t="s">
        <v>3653</v>
      </c>
      <c r="F1018" s="136" t="s">
        <v>183</v>
      </c>
      <c r="G1018" s="246">
        <v>51950</v>
      </c>
      <c r="H1018" s="246">
        <v>59350</v>
      </c>
      <c r="I1018" s="246">
        <v>66750</v>
      </c>
      <c r="J1018" s="246">
        <v>74150</v>
      </c>
      <c r="K1018" s="246">
        <v>80100</v>
      </c>
      <c r="L1018" s="246">
        <v>86050</v>
      </c>
      <c r="M1018" s="246">
        <v>91950</v>
      </c>
      <c r="N1018" s="246">
        <v>97900</v>
      </c>
    </row>
    <row r="1019" spans="3:14" ht="21.95" customHeight="1" x14ac:dyDescent="0.25">
      <c r="C1019" s="139" t="str">
        <f t="shared" si="31"/>
        <v>KS_COMANCHE COUNTY, KS</v>
      </c>
      <c r="D1019" s="136" t="s">
        <v>89</v>
      </c>
      <c r="E1019" s="262" t="s">
        <v>3654</v>
      </c>
      <c r="F1019" s="136" t="s">
        <v>183</v>
      </c>
      <c r="G1019" s="246">
        <v>47850</v>
      </c>
      <c r="H1019" s="246">
        <v>54650</v>
      </c>
      <c r="I1019" s="246">
        <v>61500</v>
      </c>
      <c r="J1019" s="246">
        <v>68300</v>
      </c>
      <c r="K1019" s="246">
        <v>73800</v>
      </c>
      <c r="L1019" s="246">
        <v>79250</v>
      </c>
      <c r="M1019" s="246">
        <v>84700</v>
      </c>
      <c r="N1019" s="246">
        <v>90200</v>
      </c>
    </row>
    <row r="1020" spans="3:14" ht="21.95" customHeight="1" x14ac:dyDescent="0.25">
      <c r="C1020" s="139" t="str">
        <f t="shared" si="31"/>
        <v>KS_COWLEY COUNTY, KS</v>
      </c>
      <c r="D1020" s="136" t="s">
        <v>89</v>
      </c>
      <c r="E1020" s="262" t="s">
        <v>3655</v>
      </c>
      <c r="F1020" s="136" t="s">
        <v>183</v>
      </c>
      <c r="G1020" s="246">
        <v>47150</v>
      </c>
      <c r="H1020" s="246">
        <v>53850</v>
      </c>
      <c r="I1020" s="246">
        <v>60600</v>
      </c>
      <c r="J1020" s="246">
        <v>67300</v>
      </c>
      <c r="K1020" s="246">
        <v>72700</v>
      </c>
      <c r="L1020" s="246">
        <v>78100</v>
      </c>
      <c r="M1020" s="246">
        <v>83500</v>
      </c>
      <c r="N1020" s="246">
        <v>88850</v>
      </c>
    </row>
    <row r="1021" spans="3:14" ht="21.95" customHeight="1" x14ac:dyDescent="0.25">
      <c r="C1021" s="139" t="str">
        <f t="shared" si="31"/>
        <v>KS_CRAWFORD COUNTY, KS</v>
      </c>
      <c r="D1021" s="136" t="s">
        <v>89</v>
      </c>
      <c r="E1021" s="262" t="s">
        <v>3656</v>
      </c>
      <c r="F1021" s="136" t="s">
        <v>183</v>
      </c>
      <c r="G1021" s="246">
        <v>47150</v>
      </c>
      <c r="H1021" s="246">
        <v>53850</v>
      </c>
      <c r="I1021" s="246">
        <v>60600</v>
      </c>
      <c r="J1021" s="246">
        <v>67300</v>
      </c>
      <c r="K1021" s="246">
        <v>72700</v>
      </c>
      <c r="L1021" s="246">
        <v>78100</v>
      </c>
      <c r="M1021" s="246">
        <v>83500</v>
      </c>
      <c r="N1021" s="246">
        <v>88850</v>
      </c>
    </row>
    <row r="1022" spans="3:14" ht="21.95" customHeight="1" x14ac:dyDescent="0.25">
      <c r="C1022" s="139" t="str">
        <f t="shared" si="31"/>
        <v>KS_DECATUR COUNTY, KS</v>
      </c>
      <c r="D1022" s="136" t="s">
        <v>89</v>
      </c>
      <c r="E1022" s="262" t="s">
        <v>3657</v>
      </c>
      <c r="F1022" s="136" t="s">
        <v>183</v>
      </c>
      <c r="G1022" s="246">
        <v>47150</v>
      </c>
      <c r="H1022" s="246">
        <v>53850</v>
      </c>
      <c r="I1022" s="246">
        <v>60600</v>
      </c>
      <c r="J1022" s="246">
        <v>67300</v>
      </c>
      <c r="K1022" s="246">
        <v>72700</v>
      </c>
      <c r="L1022" s="246">
        <v>78100</v>
      </c>
      <c r="M1022" s="246">
        <v>83500</v>
      </c>
      <c r="N1022" s="246">
        <v>88850</v>
      </c>
    </row>
    <row r="1023" spans="3:14" ht="21.95" customHeight="1" x14ac:dyDescent="0.25">
      <c r="C1023" s="139" t="str">
        <f t="shared" si="31"/>
        <v>KS_DICKINSON COUNTY, KS</v>
      </c>
      <c r="D1023" s="136" t="s">
        <v>89</v>
      </c>
      <c r="E1023" s="262" t="s">
        <v>3658</v>
      </c>
      <c r="F1023" s="136" t="s">
        <v>183</v>
      </c>
      <c r="G1023" s="246">
        <v>49600</v>
      </c>
      <c r="H1023" s="246">
        <v>56650</v>
      </c>
      <c r="I1023" s="246">
        <v>63750</v>
      </c>
      <c r="J1023" s="246">
        <v>70800</v>
      </c>
      <c r="K1023" s="246">
        <v>76500</v>
      </c>
      <c r="L1023" s="246">
        <v>82150</v>
      </c>
      <c r="M1023" s="246">
        <v>87800</v>
      </c>
      <c r="N1023" s="246">
        <v>93500</v>
      </c>
    </row>
    <row r="1024" spans="3:14" ht="21.95" customHeight="1" x14ac:dyDescent="0.25">
      <c r="C1024" s="139" t="str">
        <f t="shared" ref="C1024:C1087" si="32">TRIM(UPPER(D1024))&amp;"_"&amp;TRIM(UPPER(E1024))</f>
        <v>KS_EDWARDS COUNTY, KS</v>
      </c>
      <c r="D1024" s="136" t="s">
        <v>89</v>
      </c>
      <c r="E1024" s="262" t="s">
        <v>3659</v>
      </c>
      <c r="F1024" s="136" t="s">
        <v>183</v>
      </c>
      <c r="G1024" s="246">
        <v>47450</v>
      </c>
      <c r="H1024" s="246">
        <v>54200</v>
      </c>
      <c r="I1024" s="246">
        <v>61000</v>
      </c>
      <c r="J1024" s="246">
        <v>67750</v>
      </c>
      <c r="K1024" s="246">
        <v>73200</v>
      </c>
      <c r="L1024" s="246">
        <v>78600</v>
      </c>
      <c r="M1024" s="246">
        <v>84050</v>
      </c>
      <c r="N1024" s="246">
        <v>89450</v>
      </c>
    </row>
    <row r="1025" spans="3:14" ht="21.95" customHeight="1" x14ac:dyDescent="0.25">
      <c r="C1025" s="139" t="str">
        <f t="shared" si="32"/>
        <v>KS_ELK COUNTY, KS</v>
      </c>
      <c r="D1025" s="136" t="s">
        <v>89</v>
      </c>
      <c r="E1025" s="262" t="s">
        <v>3660</v>
      </c>
      <c r="F1025" s="136" t="s">
        <v>183</v>
      </c>
      <c r="G1025" s="246">
        <v>47150</v>
      </c>
      <c r="H1025" s="246">
        <v>53850</v>
      </c>
      <c r="I1025" s="246">
        <v>60600</v>
      </c>
      <c r="J1025" s="246">
        <v>67300</v>
      </c>
      <c r="K1025" s="246">
        <v>72700</v>
      </c>
      <c r="L1025" s="246">
        <v>78100</v>
      </c>
      <c r="M1025" s="246">
        <v>83500</v>
      </c>
      <c r="N1025" s="246">
        <v>88850</v>
      </c>
    </row>
    <row r="1026" spans="3:14" ht="21.95" customHeight="1" x14ac:dyDescent="0.25">
      <c r="C1026" s="139" t="str">
        <f t="shared" si="32"/>
        <v>KS_ELLIS COUNTY, KS</v>
      </c>
      <c r="D1026" s="136" t="s">
        <v>89</v>
      </c>
      <c r="E1026" s="262" t="s">
        <v>3661</v>
      </c>
      <c r="F1026" s="136" t="s">
        <v>183</v>
      </c>
      <c r="G1026" s="246">
        <v>53400</v>
      </c>
      <c r="H1026" s="246">
        <v>61000</v>
      </c>
      <c r="I1026" s="246">
        <v>68650</v>
      </c>
      <c r="J1026" s="246">
        <v>76250</v>
      </c>
      <c r="K1026" s="246">
        <v>82350</v>
      </c>
      <c r="L1026" s="246">
        <v>88450</v>
      </c>
      <c r="M1026" s="246">
        <v>94550</v>
      </c>
      <c r="N1026" s="246">
        <v>100650</v>
      </c>
    </row>
    <row r="1027" spans="3:14" ht="21.95" customHeight="1" x14ac:dyDescent="0.25">
      <c r="C1027" s="139" t="str">
        <f t="shared" si="32"/>
        <v>KS_ELLSWORTH COUNTY, KS</v>
      </c>
      <c r="D1027" s="136" t="s">
        <v>89</v>
      </c>
      <c r="E1027" s="262" t="s">
        <v>3662</v>
      </c>
      <c r="F1027" s="136" t="s">
        <v>183</v>
      </c>
      <c r="G1027" s="246">
        <v>51200</v>
      </c>
      <c r="H1027" s="246">
        <v>58500</v>
      </c>
      <c r="I1027" s="246">
        <v>65800</v>
      </c>
      <c r="J1027" s="246">
        <v>73100</v>
      </c>
      <c r="K1027" s="246">
        <v>78950</v>
      </c>
      <c r="L1027" s="246">
        <v>84800</v>
      </c>
      <c r="M1027" s="246">
        <v>90650</v>
      </c>
      <c r="N1027" s="246">
        <v>96500</v>
      </c>
    </row>
    <row r="1028" spans="3:14" ht="21.95" customHeight="1" x14ac:dyDescent="0.25">
      <c r="C1028" s="139" t="str">
        <f t="shared" si="32"/>
        <v>KS_FINNEY COUNTY, KS</v>
      </c>
      <c r="D1028" s="136" t="s">
        <v>89</v>
      </c>
      <c r="E1028" s="262" t="s">
        <v>3663</v>
      </c>
      <c r="F1028" s="136" t="s">
        <v>183</v>
      </c>
      <c r="G1028" s="246">
        <v>52300</v>
      </c>
      <c r="H1028" s="246">
        <v>59800</v>
      </c>
      <c r="I1028" s="246">
        <v>67250</v>
      </c>
      <c r="J1028" s="246">
        <v>74700</v>
      </c>
      <c r="K1028" s="246">
        <v>80700</v>
      </c>
      <c r="L1028" s="246">
        <v>86700</v>
      </c>
      <c r="M1028" s="246">
        <v>92650</v>
      </c>
      <c r="N1028" s="246">
        <v>98650</v>
      </c>
    </row>
    <row r="1029" spans="3:14" ht="21.95" customHeight="1" x14ac:dyDescent="0.25">
      <c r="C1029" s="139" t="str">
        <f t="shared" si="32"/>
        <v>KS_FORD COUNTY, KS</v>
      </c>
      <c r="D1029" s="136" t="s">
        <v>89</v>
      </c>
      <c r="E1029" s="262" t="s">
        <v>3664</v>
      </c>
      <c r="F1029" s="136" t="s">
        <v>183</v>
      </c>
      <c r="G1029" s="246">
        <v>49250</v>
      </c>
      <c r="H1029" s="246">
        <v>56250</v>
      </c>
      <c r="I1029" s="246">
        <v>63300</v>
      </c>
      <c r="J1029" s="246">
        <v>70300</v>
      </c>
      <c r="K1029" s="246">
        <v>75950</v>
      </c>
      <c r="L1029" s="246">
        <v>81550</v>
      </c>
      <c r="M1029" s="246">
        <v>87200</v>
      </c>
      <c r="N1029" s="246">
        <v>92800</v>
      </c>
    </row>
    <row r="1030" spans="3:14" ht="21.95" customHeight="1" x14ac:dyDescent="0.25">
      <c r="C1030" s="139" t="str">
        <f t="shared" si="32"/>
        <v>KS_FRANKLIN COUNTY, KS</v>
      </c>
      <c r="D1030" s="136" t="s">
        <v>89</v>
      </c>
      <c r="E1030" s="262" t="s">
        <v>3665</v>
      </c>
      <c r="F1030" s="136" t="s">
        <v>183</v>
      </c>
      <c r="G1030" s="246">
        <v>53900</v>
      </c>
      <c r="H1030" s="246">
        <v>61600</v>
      </c>
      <c r="I1030" s="246">
        <v>69300</v>
      </c>
      <c r="J1030" s="246">
        <v>76950</v>
      </c>
      <c r="K1030" s="246">
        <v>83150</v>
      </c>
      <c r="L1030" s="246">
        <v>89300</v>
      </c>
      <c r="M1030" s="246">
        <v>95450</v>
      </c>
      <c r="N1030" s="246">
        <v>101600</v>
      </c>
    </row>
    <row r="1031" spans="3:14" ht="21.95" customHeight="1" x14ac:dyDescent="0.25">
      <c r="C1031" s="139" t="str">
        <f t="shared" si="32"/>
        <v>KS_GEARY COUNTY, KS HUD METRO FMR AREA</v>
      </c>
      <c r="D1031" s="136" t="s">
        <v>89</v>
      </c>
      <c r="E1031" s="262" t="s">
        <v>3666</v>
      </c>
      <c r="F1031" s="136" t="s">
        <v>183</v>
      </c>
      <c r="G1031" s="246">
        <v>47150</v>
      </c>
      <c r="H1031" s="246">
        <v>53850</v>
      </c>
      <c r="I1031" s="246">
        <v>60600</v>
      </c>
      <c r="J1031" s="246">
        <v>67300</v>
      </c>
      <c r="K1031" s="246">
        <v>72700</v>
      </c>
      <c r="L1031" s="246">
        <v>78100</v>
      </c>
      <c r="M1031" s="246">
        <v>83500</v>
      </c>
      <c r="N1031" s="246">
        <v>88850</v>
      </c>
    </row>
    <row r="1032" spans="3:14" ht="21.95" customHeight="1" x14ac:dyDescent="0.25">
      <c r="C1032" s="139" t="str">
        <f t="shared" si="32"/>
        <v>KS_GOVE COUNTY, KS</v>
      </c>
      <c r="D1032" s="136" t="s">
        <v>89</v>
      </c>
      <c r="E1032" s="262" t="s">
        <v>3667</v>
      </c>
      <c r="F1032" s="136" t="s">
        <v>183</v>
      </c>
      <c r="G1032" s="246">
        <v>50200</v>
      </c>
      <c r="H1032" s="246">
        <v>57400</v>
      </c>
      <c r="I1032" s="246">
        <v>64550</v>
      </c>
      <c r="J1032" s="246">
        <v>71700</v>
      </c>
      <c r="K1032" s="246">
        <v>77450</v>
      </c>
      <c r="L1032" s="246">
        <v>83200</v>
      </c>
      <c r="M1032" s="246">
        <v>88950</v>
      </c>
      <c r="N1032" s="246">
        <v>94650</v>
      </c>
    </row>
    <row r="1033" spans="3:14" ht="21.95" customHeight="1" x14ac:dyDescent="0.25">
      <c r="C1033" s="139" t="str">
        <f t="shared" si="32"/>
        <v>KS_GRAHAM COUNTY, KS</v>
      </c>
      <c r="D1033" s="136" t="s">
        <v>89</v>
      </c>
      <c r="E1033" s="262" t="s">
        <v>3668</v>
      </c>
      <c r="F1033" s="136" t="s">
        <v>183</v>
      </c>
      <c r="G1033" s="246">
        <v>47150</v>
      </c>
      <c r="H1033" s="246">
        <v>53850</v>
      </c>
      <c r="I1033" s="246">
        <v>60600</v>
      </c>
      <c r="J1033" s="246">
        <v>67300</v>
      </c>
      <c r="K1033" s="246">
        <v>72700</v>
      </c>
      <c r="L1033" s="246">
        <v>78100</v>
      </c>
      <c r="M1033" s="246">
        <v>83500</v>
      </c>
      <c r="N1033" s="246">
        <v>88850</v>
      </c>
    </row>
    <row r="1034" spans="3:14" ht="21.95" customHeight="1" x14ac:dyDescent="0.25">
      <c r="C1034" s="139" t="str">
        <f t="shared" si="32"/>
        <v>KS_GRANT COUNTY, KS</v>
      </c>
      <c r="D1034" s="136" t="s">
        <v>89</v>
      </c>
      <c r="E1034" s="262" t="s">
        <v>3669</v>
      </c>
      <c r="F1034" s="136" t="s">
        <v>183</v>
      </c>
      <c r="G1034" s="246">
        <v>51350</v>
      </c>
      <c r="H1034" s="246">
        <v>58700</v>
      </c>
      <c r="I1034" s="246">
        <v>66050</v>
      </c>
      <c r="J1034" s="246">
        <v>73350</v>
      </c>
      <c r="K1034" s="246">
        <v>79250</v>
      </c>
      <c r="L1034" s="246">
        <v>85100</v>
      </c>
      <c r="M1034" s="246">
        <v>91000</v>
      </c>
      <c r="N1034" s="246">
        <v>96850</v>
      </c>
    </row>
    <row r="1035" spans="3:14" ht="21.95" customHeight="1" x14ac:dyDescent="0.25">
      <c r="C1035" s="139" t="str">
        <f t="shared" si="32"/>
        <v>KS_GRAY COUNTY, KS</v>
      </c>
      <c r="D1035" s="136" t="s">
        <v>89</v>
      </c>
      <c r="E1035" s="262" t="s">
        <v>3670</v>
      </c>
      <c r="F1035" s="136" t="s">
        <v>183</v>
      </c>
      <c r="G1035" s="246">
        <v>56350</v>
      </c>
      <c r="H1035" s="246">
        <v>64400</v>
      </c>
      <c r="I1035" s="246">
        <v>72450</v>
      </c>
      <c r="J1035" s="246">
        <v>80500</v>
      </c>
      <c r="K1035" s="246">
        <v>86950</v>
      </c>
      <c r="L1035" s="246">
        <v>93400</v>
      </c>
      <c r="M1035" s="246">
        <v>99850</v>
      </c>
      <c r="N1035" s="246">
        <v>106300</v>
      </c>
    </row>
    <row r="1036" spans="3:14" ht="21.95" customHeight="1" x14ac:dyDescent="0.25">
      <c r="C1036" s="139" t="str">
        <f t="shared" si="32"/>
        <v>KS_GREELEY COUNTY, KS</v>
      </c>
      <c r="D1036" s="136" t="s">
        <v>89</v>
      </c>
      <c r="E1036" s="262" t="s">
        <v>3671</v>
      </c>
      <c r="F1036" s="136" t="s">
        <v>183</v>
      </c>
      <c r="G1036" s="246">
        <v>50400</v>
      </c>
      <c r="H1036" s="246">
        <v>57600</v>
      </c>
      <c r="I1036" s="246">
        <v>64800</v>
      </c>
      <c r="J1036" s="246">
        <v>72000</v>
      </c>
      <c r="K1036" s="246">
        <v>77800</v>
      </c>
      <c r="L1036" s="246">
        <v>83550</v>
      </c>
      <c r="M1036" s="246">
        <v>89300</v>
      </c>
      <c r="N1036" s="246">
        <v>95050</v>
      </c>
    </row>
    <row r="1037" spans="3:14" ht="21.95" customHeight="1" x14ac:dyDescent="0.25">
      <c r="C1037" s="139" t="str">
        <f t="shared" si="32"/>
        <v>KS_GREENWOOD COUNTY, KS</v>
      </c>
      <c r="D1037" s="136" t="s">
        <v>89</v>
      </c>
      <c r="E1037" s="262" t="s">
        <v>3672</v>
      </c>
      <c r="F1037" s="136" t="s">
        <v>183</v>
      </c>
      <c r="G1037" s="246">
        <v>47150</v>
      </c>
      <c r="H1037" s="246">
        <v>53850</v>
      </c>
      <c r="I1037" s="246">
        <v>60600</v>
      </c>
      <c r="J1037" s="246">
        <v>67300</v>
      </c>
      <c r="K1037" s="246">
        <v>72700</v>
      </c>
      <c r="L1037" s="246">
        <v>78100</v>
      </c>
      <c r="M1037" s="246">
        <v>83500</v>
      </c>
      <c r="N1037" s="246">
        <v>88850</v>
      </c>
    </row>
    <row r="1038" spans="3:14" ht="21.95" customHeight="1" x14ac:dyDescent="0.25">
      <c r="C1038" s="139" t="str">
        <f t="shared" si="32"/>
        <v>KS_HAMILTON COUNTY, KS</v>
      </c>
      <c r="D1038" s="136" t="s">
        <v>89</v>
      </c>
      <c r="E1038" s="262" t="s">
        <v>3673</v>
      </c>
      <c r="F1038" s="136" t="s">
        <v>183</v>
      </c>
      <c r="G1038" s="246">
        <v>47150</v>
      </c>
      <c r="H1038" s="246">
        <v>53850</v>
      </c>
      <c r="I1038" s="246">
        <v>60600</v>
      </c>
      <c r="J1038" s="246">
        <v>67300</v>
      </c>
      <c r="K1038" s="246">
        <v>72700</v>
      </c>
      <c r="L1038" s="246">
        <v>78100</v>
      </c>
      <c r="M1038" s="246">
        <v>83500</v>
      </c>
      <c r="N1038" s="246">
        <v>88850</v>
      </c>
    </row>
    <row r="1039" spans="3:14" ht="21.95" customHeight="1" x14ac:dyDescent="0.25">
      <c r="C1039" s="139" t="str">
        <f t="shared" si="32"/>
        <v>KS_HARPER COUNTY, KS</v>
      </c>
      <c r="D1039" s="136" t="s">
        <v>89</v>
      </c>
      <c r="E1039" s="262" t="s">
        <v>3674</v>
      </c>
      <c r="F1039" s="136" t="s">
        <v>183</v>
      </c>
      <c r="G1039" s="246">
        <v>47150</v>
      </c>
      <c r="H1039" s="246">
        <v>53850</v>
      </c>
      <c r="I1039" s="246">
        <v>60600</v>
      </c>
      <c r="J1039" s="246">
        <v>67300</v>
      </c>
      <c r="K1039" s="246">
        <v>72700</v>
      </c>
      <c r="L1039" s="246">
        <v>78100</v>
      </c>
      <c r="M1039" s="246">
        <v>83500</v>
      </c>
      <c r="N1039" s="246">
        <v>88850</v>
      </c>
    </row>
    <row r="1040" spans="3:14" ht="21.95" customHeight="1" x14ac:dyDescent="0.25">
      <c r="C1040" s="139" t="str">
        <f t="shared" si="32"/>
        <v>KS_HASKELL COUNTY, KS</v>
      </c>
      <c r="D1040" s="136" t="s">
        <v>89</v>
      </c>
      <c r="E1040" s="262" t="s">
        <v>3675</v>
      </c>
      <c r="F1040" s="136" t="s">
        <v>183</v>
      </c>
      <c r="G1040" s="246">
        <v>51850</v>
      </c>
      <c r="H1040" s="246">
        <v>59250</v>
      </c>
      <c r="I1040" s="246">
        <v>66650</v>
      </c>
      <c r="J1040" s="246">
        <v>74050</v>
      </c>
      <c r="K1040" s="246">
        <v>80000</v>
      </c>
      <c r="L1040" s="246">
        <v>85900</v>
      </c>
      <c r="M1040" s="246">
        <v>91850</v>
      </c>
      <c r="N1040" s="246">
        <v>97750</v>
      </c>
    </row>
    <row r="1041" spans="3:14" ht="21.95" customHeight="1" x14ac:dyDescent="0.25">
      <c r="C1041" s="139" t="str">
        <f t="shared" si="32"/>
        <v>KS_HODGEMAN COUNTY, KS</v>
      </c>
      <c r="D1041" s="136" t="s">
        <v>89</v>
      </c>
      <c r="E1041" s="262" t="s">
        <v>3676</v>
      </c>
      <c r="F1041" s="136" t="s">
        <v>183</v>
      </c>
      <c r="G1041" s="246">
        <v>50700</v>
      </c>
      <c r="H1041" s="246">
        <v>57950</v>
      </c>
      <c r="I1041" s="246">
        <v>65200</v>
      </c>
      <c r="J1041" s="246">
        <v>72400</v>
      </c>
      <c r="K1041" s="246">
        <v>78200</v>
      </c>
      <c r="L1041" s="246">
        <v>84000</v>
      </c>
      <c r="M1041" s="246">
        <v>89800</v>
      </c>
      <c r="N1041" s="246">
        <v>95600</v>
      </c>
    </row>
    <row r="1042" spans="3:14" ht="21.95" customHeight="1" x14ac:dyDescent="0.25">
      <c r="C1042" s="139" t="str">
        <f t="shared" si="32"/>
        <v>KS_JEWELL COUNTY, KS</v>
      </c>
      <c r="D1042" s="136" t="s">
        <v>89</v>
      </c>
      <c r="E1042" s="262" t="s">
        <v>3677</v>
      </c>
      <c r="F1042" s="136" t="s">
        <v>183</v>
      </c>
      <c r="G1042" s="246">
        <v>47150</v>
      </c>
      <c r="H1042" s="246">
        <v>53850</v>
      </c>
      <c r="I1042" s="246">
        <v>60600</v>
      </c>
      <c r="J1042" s="246">
        <v>67300</v>
      </c>
      <c r="K1042" s="246">
        <v>72700</v>
      </c>
      <c r="L1042" s="246">
        <v>78100</v>
      </c>
      <c r="M1042" s="246">
        <v>83500</v>
      </c>
      <c r="N1042" s="246">
        <v>88850</v>
      </c>
    </row>
    <row r="1043" spans="3:14" ht="21.95" customHeight="1" x14ac:dyDescent="0.25">
      <c r="C1043" s="139" t="str">
        <f t="shared" si="32"/>
        <v>KS_KANSAS CITY, MO-KS HUD METRO FMR AREA</v>
      </c>
      <c r="D1043" s="136" t="s">
        <v>89</v>
      </c>
      <c r="E1043" s="262" t="s">
        <v>3678</v>
      </c>
      <c r="F1043" s="136" t="s">
        <v>183</v>
      </c>
      <c r="G1043" s="246">
        <v>62400</v>
      </c>
      <c r="H1043" s="246">
        <v>71300</v>
      </c>
      <c r="I1043" s="246">
        <v>80200</v>
      </c>
      <c r="J1043" s="246">
        <v>89100</v>
      </c>
      <c r="K1043" s="246">
        <v>96250</v>
      </c>
      <c r="L1043" s="246">
        <v>103400</v>
      </c>
      <c r="M1043" s="246">
        <v>110500</v>
      </c>
      <c r="N1043" s="246">
        <v>117650</v>
      </c>
    </row>
    <row r="1044" spans="3:14" ht="21.95" customHeight="1" x14ac:dyDescent="0.25">
      <c r="C1044" s="139" t="str">
        <f t="shared" si="32"/>
        <v>KS_KEARNY COUNTY, KS</v>
      </c>
      <c r="D1044" s="136" t="s">
        <v>89</v>
      </c>
      <c r="E1044" s="262" t="s">
        <v>3679</v>
      </c>
      <c r="F1044" s="136" t="s">
        <v>183</v>
      </c>
      <c r="G1044" s="246">
        <v>47150</v>
      </c>
      <c r="H1044" s="246">
        <v>53850</v>
      </c>
      <c r="I1044" s="246">
        <v>60600</v>
      </c>
      <c r="J1044" s="246">
        <v>67300</v>
      </c>
      <c r="K1044" s="246">
        <v>72700</v>
      </c>
      <c r="L1044" s="246">
        <v>78100</v>
      </c>
      <c r="M1044" s="246">
        <v>83500</v>
      </c>
      <c r="N1044" s="246">
        <v>88850</v>
      </c>
    </row>
    <row r="1045" spans="3:14" ht="21.95" customHeight="1" x14ac:dyDescent="0.25">
      <c r="C1045" s="139" t="str">
        <f t="shared" si="32"/>
        <v>KS_KINGMAN COUNTY, KS</v>
      </c>
      <c r="D1045" s="136" t="s">
        <v>89</v>
      </c>
      <c r="E1045" s="262" t="s">
        <v>3680</v>
      </c>
      <c r="F1045" s="136" t="s">
        <v>183</v>
      </c>
      <c r="G1045" s="246">
        <v>47150</v>
      </c>
      <c r="H1045" s="246">
        <v>53850</v>
      </c>
      <c r="I1045" s="246">
        <v>60600</v>
      </c>
      <c r="J1045" s="246">
        <v>67300</v>
      </c>
      <c r="K1045" s="246">
        <v>72700</v>
      </c>
      <c r="L1045" s="246">
        <v>78100</v>
      </c>
      <c r="M1045" s="246">
        <v>83500</v>
      </c>
      <c r="N1045" s="246">
        <v>88850</v>
      </c>
    </row>
    <row r="1046" spans="3:14" ht="21.95" customHeight="1" x14ac:dyDescent="0.25">
      <c r="C1046" s="139" t="str">
        <f t="shared" si="32"/>
        <v>KS_KIOWA COUNTY, KS</v>
      </c>
      <c r="D1046" s="136" t="s">
        <v>89</v>
      </c>
      <c r="E1046" s="262" t="s">
        <v>3681</v>
      </c>
      <c r="F1046" s="136" t="s">
        <v>183</v>
      </c>
      <c r="G1046" s="246">
        <v>50600</v>
      </c>
      <c r="H1046" s="246">
        <v>57800</v>
      </c>
      <c r="I1046" s="246">
        <v>65050</v>
      </c>
      <c r="J1046" s="246">
        <v>72250</v>
      </c>
      <c r="K1046" s="246">
        <v>78050</v>
      </c>
      <c r="L1046" s="246">
        <v>83850</v>
      </c>
      <c r="M1046" s="246">
        <v>89600</v>
      </c>
      <c r="N1046" s="246">
        <v>95400</v>
      </c>
    </row>
    <row r="1047" spans="3:14" ht="21.95" customHeight="1" x14ac:dyDescent="0.25">
      <c r="C1047" s="139" t="str">
        <f t="shared" si="32"/>
        <v>KS_LABETTE COUNTY, KS</v>
      </c>
      <c r="D1047" s="136" t="s">
        <v>89</v>
      </c>
      <c r="E1047" s="262" t="s">
        <v>3682</v>
      </c>
      <c r="F1047" s="136" t="s">
        <v>183</v>
      </c>
      <c r="G1047" s="246">
        <v>47150</v>
      </c>
      <c r="H1047" s="246">
        <v>53850</v>
      </c>
      <c r="I1047" s="246">
        <v>60600</v>
      </c>
      <c r="J1047" s="246">
        <v>67300</v>
      </c>
      <c r="K1047" s="246">
        <v>72700</v>
      </c>
      <c r="L1047" s="246">
        <v>78100</v>
      </c>
      <c r="M1047" s="246">
        <v>83500</v>
      </c>
      <c r="N1047" s="246">
        <v>88850</v>
      </c>
    </row>
    <row r="1048" spans="3:14" ht="21.95" customHeight="1" x14ac:dyDescent="0.25">
      <c r="C1048" s="139" t="str">
        <f t="shared" si="32"/>
        <v>KS_LANE COUNTY, KS</v>
      </c>
      <c r="D1048" s="136" t="s">
        <v>89</v>
      </c>
      <c r="E1048" s="262" t="s">
        <v>3683</v>
      </c>
      <c r="F1048" s="136" t="s">
        <v>183</v>
      </c>
      <c r="G1048" s="246">
        <v>51450</v>
      </c>
      <c r="H1048" s="246">
        <v>58800</v>
      </c>
      <c r="I1048" s="246">
        <v>66150</v>
      </c>
      <c r="J1048" s="246">
        <v>73450</v>
      </c>
      <c r="K1048" s="246">
        <v>79350</v>
      </c>
      <c r="L1048" s="246">
        <v>85250</v>
      </c>
      <c r="M1048" s="246">
        <v>91100</v>
      </c>
      <c r="N1048" s="246">
        <v>97000</v>
      </c>
    </row>
    <row r="1049" spans="3:14" ht="21.95" customHeight="1" x14ac:dyDescent="0.25">
      <c r="C1049" s="139" t="str">
        <f t="shared" si="32"/>
        <v>KS_LAWRENCE, KS MSA</v>
      </c>
      <c r="D1049" s="136" t="s">
        <v>89</v>
      </c>
      <c r="E1049" s="262" t="s">
        <v>3684</v>
      </c>
      <c r="F1049" s="136" t="s">
        <v>183</v>
      </c>
      <c r="G1049" s="246">
        <v>58000</v>
      </c>
      <c r="H1049" s="246">
        <v>66250</v>
      </c>
      <c r="I1049" s="246">
        <v>74550</v>
      </c>
      <c r="J1049" s="246">
        <v>82800</v>
      </c>
      <c r="K1049" s="246">
        <v>89450</v>
      </c>
      <c r="L1049" s="246">
        <v>96050</v>
      </c>
      <c r="M1049" s="246">
        <v>102700</v>
      </c>
      <c r="N1049" s="246">
        <v>109300</v>
      </c>
    </row>
    <row r="1050" spans="3:14" ht="21.95" customHeight="1" x14ac:dyDescent="0.25">
      <c r="C1050" s="139" t="str">
        <f t="shared" si="32"/>
        <v>KS_LINCOLN COUNTY, KS</v>
      </c>
      <c r="D1050" s="136" t="s">
        <v>89</v>
      </c>
      <c r="E1050" s="262" t="s">
        <v>3685</v>
      </c>
      <c r="F1050" s="136" t="s">
        <v>183</v>
      </c>
      <c r="G1050" s="246">
        <v>47150</v>
      </c>
      <c r="H1050" s="246">
        <v>53850</v>
      </c>
      <c r="I1050" s="246">
        <v>60600</v>
      </c>
      <c r="J1050" s="246">
        <v>67300</v>
      </c>
      <c r="K1050" s="246">
        <v>72700</v>
      </c>
      <c r="L1050" s="246">
        <v>78100</v>
      </c>
      <c r="M1050" s="246">
        <v>83500</v>
      </c>
      <c r="N1050" s="246">
        <v>88850</v>
      </c>
    </row>
    <row r="1051" spans="3:14" ht="21.95" customHeight="1" x14ac:dyDescent="0.25">
      <c r="C1051" s="139" t="str">
        <f t="shared" si="32"/>
        <v>KS_LOGAN COUNTY, KS</v>
      </c>
      <c r="D1051" s="136" t="s">
        <v>89</v>
      </c>
      <c r="E1051" s="262" t="s">
        <v>3686</v>
      </c>
      <c r="F1051" s="136" t="s">
        <v>183</v>
      </c>
      <c r="G1051" s="246">
        <v>51450</v>
      </c>
      <c r="H1051" s="246">
        <v>58800</v>
      </c>
      <c r="I1051" s="246">
        <v>66150</v>
      </c>
      <c r="J1051" s="246">
        <v>73500</v>
      </c>
      <c r="K1051" s="246">
        <v>79400</v>
      </c>
      <c r="L1051" s="246">
        <v>85300</v>
      </c>
      <c r="M1051" s="246">
        <v>91150</v>
      </c>
      <c r="N1051" s="246">
        <v>97050</v>
      </c>
    </row>
    <row r="1052" spans="3:14" ht="21.95" customHeight="1" x14ac:dyDescent="0.25">
      <c r="C1052" s="139" t="str">
        <f t="shared" si="32"/>
        <v>KS_LYON COUNTY, KS</v>
      </c>
      <c r="D1052" s="136" t="s">
        <v>89</v>
      </c>
      <c r="E1052" s="262" t="s">
        <v>3687</v>
      </c>
      <c r="F1052" s="136" t="s">
        <v>183</v>
      </c>
      <c r="G1052" s="246">
        <v>47150</v>
      </c>
      <c r="H1052" s="246">
        <v>53850</v>
      </c>
      <c r="I1052" s="246">
        <v>60600</v>
      </c>
      <c r="J1052" s="246">
        <v>67300</v>
      </c>
      <c r="K1052" s="246">
        <v>72700</v>
      </c>
      <c r="L1052" s="246">
        <v>78100</v>
      </c>
      <c r="M1052" s="246">
        <v>83500</v>
      </c>
      <c r="N1052" s="246">
        <v>88850</v>
      </c>
    </row>
    <row r="1053" spans="3:14" ht="21.95" customHeight="1" x14ac:dyDescent="0.25">
      <c r="C1053" s="139" t="str">
        <f t="shared" si="32"/>
        <v>KS_MANHATTAN, KS HUD METRO FMR AREA</v>
      </c>
      <c r="D1053" s="136" t="s">
        <v>89</v>
      </c>
      <c r="E1053" s="262" t="s">
        <v>3688</v>
      </c>
      <c r="F1053" s="136" t="s">
        <v>183</v>
      </c>
      <c r="G1053" s="246">
        <v>50400</v>
      </c>
      <c r="H1053" s="246">
        <v>57600</v>
      </c>
      <c r="I1053" s="246">
        <v>64800</v>
      </c>
      <c r="J1053" s="246">
        <v>72000</v>
      </c>
      <c r="K1053" s="246">
        <v>77800</v>
      </c>
      <c r="L1053" s="246">
        <v>83550</v>
      </c>
      <c r="M1053" s="246">
        <v>89300</v>
      </c>
      <c r="N1053" s="246">
        <v>95050</v>
      </c>
    </row>
    <row r="1054" spans="3:14" ht="21.95" customHeight="1" x14ac:dyDescent="0.25">
      <c r="C1054" s="139" t="str">
        <f t="shared" si="32"/>
        <v>KS_MARION COUNTY, KS</v>
      </c>
      <c r="D1054" s="136" t="s">
        <v>89</v>
      </c>
      <c r="E1054" s="262" t="s">
        <v>3689</v>
      </c>
      <c r="F1054" s="136" t="s">
        <v>183</v>
      </c>
      <c r="G1054" s="246">
        <v>48300</v>
      </c>
      <c r="H1054" s="246">
        <v>55200</v>
      </c>
      <c r="I1054" s="246">
        <v>62100</v>
      </c>
      <c r="J1054" s="246">
        <v>68950</v>
      </c>
      <c r="K1054" s="246">
        <v>74500</v>
      </c>
      <c r="L1054" s="246">
        <v>80000</v>
      </c>
      <c r="M1054" s="246">
        <v>85500</v>
      </c>
      <c r="N1054" s="246">
        <v>91050</v>
      </c>
    </row>
    <row r="1055" spans="3:14" ht="21.95" customHeight="1" x14ac:dyDescent="0.25">
      <c r="C1055" s="139" t="str">
        <f t="shared" si="32"/>
        <v>KS_MARSHALL COUNTY, KS</v>
      </c>
      <c r="D1055" s="136" t="s">
        <v>89</v>
      </c>
      <c r="E1055" s="262" t="s">
        <v>3690</v>
      </c>
      <c r="F1055" s="136" t="s">
        <v>183</v>
      </c>
      <c r="G1055" s="246">
        <v>50750</v>
      </c>
      <c r="H1055" s="246">
        <v>58000</v>
      </c>
      <c r="I1055" s="246">
        <v>65250</v>
      </c>
      <c r="J1055" s="246">
        <v>72500</v>
      </c>
      <c r="K1055" s="246">
        <v>78300</v>
      </c>
      <c r="L1055" s="246">
        <v>84100</v>
      </c>
      <c r="M1055" s="246">
        <v>89900</v>
      </c>
      <c r="N1055" s="246">
        <v>95700</v>
      </c>
    </row>
    <row r="1056" spans="3:14" ht="21.95" customHeight="1" x14ac:dyDescent="0.25">
      <c r="C1056" s="139" t="str">
        <f t="shared" si="32"/>
        <v>KS_MCPHERSON COUNTY, KS</v>
      </c>
      <c r="D1056" s="136" t="s">
        <v>89</v>
      </c>
      <c r="E1056" s="262" t="s">
        <v>3691</v>
      </c>
      <c r="F1056" s="136" t="s">
        <v>183</v>
      </c>
      <c r="G1056" s="246">
        <v>56300</v>
      </c>
      <c r="H1056" s="246">
        <v>64350</v>
      </c>
      <c r="I1056" s="246">
        <v>72400</v>
      </c>
      <c r="J1056" s="246">
        <v>80400</v>
      </c>
      <c r="K1056" s="246">
        <v>86850</v>
      </c>
      <c r="L1056" s="246">
        <v>93300</v>
      </c>
      <c r="M1056" s="246">
        <v>99700</v>
      </c>
      <c r="N1056" s="246">
        <v>106150</v>
      </c>
    </row>
    <row r="1057" spans="3:14" ht="21.95" customHeight="1" x14ac:dyDescent="0.25">
      <c r="C1057" s="139" t="str">
        <f t="shared" si="32"/>
        <v>KS_MEADE COUNTY, KS</v>
      </c>
      <c r="D1057" s="136" t="s">
        <v>89</v>
      </c>
      <c r="E1057" s="262" t="s">
        <v>3692</v>
      </c>
      <c r="F1057" s="136" t="s">
        <v>183</v>
      </c>
      <c r="G1057" s="246">
        <v>54850</v>
      </c>
      <c r="H1057" s="246">
        <v>62650</v>
      </c>
      <c r="I1057" s="246">
        <v>70500</v>
      </c>
      <c r="J1057" s="246">
        <v>78300</v>
      </c>
      <c r="K1057" s="246">
        <v>84600</v>
      </c>
      <c r="L1057" s="246">
        <v>90850</v>
      </c>
      <c r="M1057" s="246">
        <v>97100</v>
      </c>
      <c r="N1057" s="246">
        <v>103400</v>
      </c>
    </row>
    <row r="1058" spans="3:14" ht="21.95" customHeight="1" x14ac:dyDescent="0.25">
      <c r="C1058" s="139" t="str">
        <f t="shared" si="32"/>
        <v>KS_MITCHELL COUNTY, KS</v>
      </c>
      <c r="D1058" s="136" t="s">
        <v>89</v>
      </c>
      <c r="E1058" s="262" t="s">
        <v>3693</v>
      </c>
      <c r="F1058" s="136" t="s">
        <v>183</v>
      </c>
      <c r="G1058" s="246">
        <v>47150</v>
      </c>
      <c r="H1058" s="246">
        <v>53850</v>
      </c>
      <c r="I1058" s="246">
        <v>60600</v>
      </c>
      <c r="J1058" s="246">
        <v>67300</v>
      </c>
      <c r="K1058" s="246">
        <v>72700</v>
      </c>
      <c r="L1058" s="246">
        <v>78100</v>
      </c>
      <c r="M1058" s="246">
        <v>83500</v>
      </c>
      <c r="N1058" s="246">
        <v>88850</v>
      </c>
    </row>
    <row r="1059" spans="3:14" ht="21.95" customHeight="1" x14ac:dyDescent="0.25">
      <c r="C1059" s="139" t="str">
        <f t="shared" si="32"/>
        <v>KS_MONTGOMERY COUNTY, KS</v>
      </c>
      <c r="D1059" s="136" t="s">
        <v>89</v>
      </c>
      <c r="E1059" s="262" t="s">
        <v>3694</v>
      </c>
      <c r="F1059" s="136" t="s">
        <v>183</v>
      </c>
      <c r="G1059" s="246">
        <v>47150</v>
      </c>
      <c r="H1059" s="246">
        <v>53850</v>
      </c>
      <c r="I1059" s="246">
        <v>60600</v>
      </c>
      <c r="J1059" s="246">
        <v>67300</v>
      </c>
      <c r="K1059" s="246">
        <v>72700</v>
      </c>
      <c r="L1059" s="246">
        <v>78100</v>
      </c>
      <c r="M1059" s="246">
        <v>83500</v>
      </c>
      <c r="N1059" s="246">
        <v>88850</v>
      </c>
    </row>
    <row r="1060" spans="3:14" ht="21.95" customHeight="1" x14ac:dyDescent="0.25">
      <c r="C1060" s="139" t="str">
        <f t="shared" si="32"/>
        <v>KS_MORRIS COUNTY, KS</v>
      </c>
      <c r="D1060" s="136" t="s">
        <v>89</v>
      </c>
      <c r="E1060" s="262" t="s">
        <v>3695</v>
      </c>
      <c r="F1060" s="136" t="s">
        <v>183</v>
      </c>
      <c r="G1060" s="246">
        <v>47150</v>
      </c>
      <c r="H1060" s="246">
        <v>53850</v>
      </c>
      <c r="I1060" s="246">
        <v>60600</v>
      </c>
      <c r="J1060" s="246">
        <v>67300</v>
      </c>
      <c r="K1060" s="246">
        <v>72700</v>
      </c>
      <c r="L1060" s="246">
        <v>78100</v>
      </c>
      <c r="M1060" s="246">
        <v>83500</v>
      </c>
      <c r="N1060" s="246">
        <v>88850</v>
      </c>
    </row>
    <row r="1061" spans="3:14" ht="21.95" customHeight="1" x14ac:dyDescent="0.25">
      <c r="C1061" s="139" t="str">
        <f t="shared" si="32"/>
        <v>KS_MORTON COUNTY, KS</v>
      </c>
      <c r="D1061" s="136" t="s">
        <v>89</v>
      </c>
      <c r="E1061" s="262" t="s">
        <v>3696</v>
      </c>
      <c r="F1061" s="136" t="s">
        <v>183</v>
      </c>
      <c r="G1061" s="246">
        <v>50350</v>
      </c>
      <c r="H1061" s="246">
        <v>57550</v>
      </c>
      <c r="I1061" s="246">
        <v>64750</v>
      </c>
      <c r="J1061" s="246">
        <v>71900</v>
      </c>
      <c r="K1061" s="246">
        <v>77700</v>
      </c>
      <c r="L1061" s="246">
        <v>83450</v>
      </c>
      <c r="M1061" s="246">
        <v>89200</v>
      </c>
      <c r="N1061" s="246">
        <v>94950</v>
      </c>
    </row>
    <row r="1062" spans="3:14" ht="21.95" customHeight="1" x14ac:dyDescent="0.25">
      <c r="C1062" s="139" t="str">
        <f t="shared" si="32"/>
        <v>KS_NEMAHA COUNTY, KS</v>
      </c>
      <c r="D1062" s="136" t="s">
        <v>89</v>
      </c>
      <c r="E1062" s="262" t="s">
        <v>3697</v>
      </c>
      <c r="F1062" s="136" t="s">
        <v>183</v>
      </c>
      <c r="G1062" s="246">
        <v>59750</v>
      </c>
      <c r="H1062" s="246">
        <v>68250</v>
      </c>
      <c r="I1062" s="246">
        <v>76800</v>
      </c>
      <c r="J1062" s="246">
        <v>85300</v>
      </c>
      <c r="K1062" s="246">
        <v>92150</v>
      </c>
      <c r="L1062" s="246">
        <v>98950</v>
      </c>
      <c r="M1062" s="246">
        <v>105800</v>
      </c>
      <c r="N1062" s="246">
        <v>112600</v>
      </c>
    </row>
    <row r="1063" spans="3:14" ht="21.95" customHeight="1" x14ac:dyDescent="0.25">
      <c r="C1063" s="139" t="str">
        <f t="shared" si="32"/>
        <v>KS_NEOSHO COUNTY, KS</v>
      </c>
      <c r="D1063" s="136" t="s">
        <v>89</v>
      </c>
      <c r="E1063" s="262" t="s">
        <v>3698</v>
      </c>
      <c r="F1063" s="136" t="s">
        <v>183</v>
      </c>
      <c r="G1063" s="246">
        <v>47450</v>
      </c>
      <c r="H1063" s="246">
        <v>54200</v>
      </c>
      <c r="I1063" s="246">
        <v>61000</v>
      </c>
      <c r="J1063" s="246">
        <v>67750</v>
      </c>
      <c r="K1063" s="246">
        <v>73200</v>
      </c>
      <c r="L1063" s="246">
        <v>78600</v>
      </c>
      <c r="M1063" s="246">
        <v>84050</v>
      </c>
      <c r="N1063" s="246">
        <v>89450</v>
      </c>
    </row>
    <row r="1064" spans="3:14" ht="21.95" customHeight="1" x14ac:dyDescent="0.25">
      <c r="C1064" s="139" t="str">
        <f t="shared" si="32"/>
        <v>KS_NESS COUNTY, KS</v>
      </c>
      <c r="D1064" s="136" t="s">
        <v>89</v>
      </c>
      <c r="E1064" s="262" t="s">
        <v>3699</v>
      </c>
      <c r="F1064" s="136" t="s">
        <v>183</v>
      </c>
      <c r="G1064" s="246">
        <v>51850</v>
      </c>
      <c r="H1064" s="246">
        <v>59250</v>
      </c>
      <c r="I1064" s="246">
        <v>66650</v>
      </c>
      <c r="J1064" s="246">
        <v>74050</v>
      </c>
      <c r="K1064" s="246">
        <v>80000</v>
      </c>
      <c r="L1064" s="246">
        <v>85900</v>
      </c>
      <c r="M1064" s="246">
        <v>91850</v>
      </c>
      <c r="N1064" s="246">
        <v>97750</v>
      </c>
    </row>
    <row r="1065" spans="3:14" ht="21.95" customHeight="1" x14ac:dyDescent="0.25">
      <c r="C1065" s="139" t="str">
        <f t="shared" si="32"/>
        <v>KS_NORTON COUNTY, KS</v>
      </c>
      <c r="D1065" s="136" t="s">
        <v>89</v>
      </c>
      <c r="E1065" s="262" t="s">
        <v>3700</v>
      </c>
      <c r="F1065" s="136" t="s">
        <v>183</v>
      </c>
      <c r="G1065" s="246">
        <v>47150</v>
      </c>
      <c r="H1065" s="246">
        <v>53850</v>
      </c>
      <c r="I1065" s="246">
        <v>60600</v>
      </c>
      <c r="J1065" s="246">
        <v>67300</v>
      </c>
      <c r="K1065" s="246">
        <v>72700</v>
      </c>
      <c r="L1065" s="246">
        <v>78100</v>
      </c>
      <c r="M1065" s="246">
        <v>83500</v>
      </c>
      <c r="N1065" s="246">
        <v>88850</v>
      </c>
    </row>
    <row r="1066" spans="3:14" ht="21.95" customHeight="1" x14ac:dyDescent="0.25">
      <c r="C1066" s="139" t="str">
        <f t="shared" si="32"/>
        <v>KS_OSBORNE COUNTY, KS</v>
      </c>
      <c r="D1066" s="136" t="s">
        <v>89</v>
      </c>
      <c r="E1066" s="262" t="s">
        <v>3701</v>
      </c>
      <c r="F1066" s="136" t="s">
        <v>183</v>
      </c>
      <c r="G1066" s="246">
        <v>48750</v>
      </c>
      <c r="H1066" s="246">
        <v>55700</v>
      </c>
      <c r="I1066" s="246">
        <v>62650</v>
      </c>
      <c r="J1066" s="246">
        <v>69600</v>
      </c>
      <c r="K1066" s="246">
        <v>75200</v>
      </c>
      <c r="L1066" s="246">
        <v>80750</v>
      </c>
      <c r="M1066" s="246">
        <v>86350</v>
      </c>
      <c r="N1066" s="246">
        <v>91900</v>
      </c>
    </row>
    <row r="1067" spans="3:14" ht="21.95" customHeight="1" x14ac:dyDescent="0.25">
      <c r="C1067" s="139" t="str">
        <f t="shared" si="32"/>
        <v>KS_OTTAWA COUNTY, KS</v>
      </c>
      <c r="D1067" s="136" t="s">
        <v>89</v>
      </c>
      <c r="E1067" s="262" t="s">
        <v>3702</v>
      </c>
      <c r="F1067" s="136" t="s">
        <v>183</v>
      </c>
      <c r="G1067" s="246">
        <v>53800</v>
      </c>
      <c r="H1067" s="246">
        <v>61450</v>
      </c>
      <c r="I1067" s="246">
        <v>69150</v>
      </c>
      <c r="J1067" s="246">
        <v>76800</v>
      </c>
      <c r="K1067" s="246">
        <v>82950</v>
      </c>
      <c r="L1067" s="246">
        <v>89100</v>
      </c>
      <c r="M1067" s="246">
        <v>95250</v>
      </c>
      <c r="N1067" s="246">
        <v>101400</v>
      </c>
    </row>
    <row r="1068" spans="3:14" ht="21.95" customHeight="1" x14ac:dyDescent="0.25">
      <c r="C1068" s="139" t="str">
        <f t="shared" si="32"/>
        <v>KS_PAWNEE COUNTY, KS</v>
      </c>
      <c r="D1068" s="136" t="s">
        <v>89</v>
      </c>
      <c r="E1068" s="262" t="s">
        <v>3703</v>
      </c>
      <c r="F1068" s="136" t="s">
        <v>183</v>
      </c>
      <c r="G1068" s="246">
        <v>51850</v>
      </c>
      <c r="H1068" s="246">
        <v>59250</v>
      </c>
      <c r="I1068" s="246">
        <v>66650</v>
      </c>
      <c r="J1068" s="246">
        <v>74050</v>
      </c>
      <c r="K1068" s="246">
        <v>80000</v>
      </c>
      <c r="L1068" s="246">
        <v>85900</v>
      </c>
      <c r="M1068" s="246">
        <v>91850</v>
      </c>
      <c r="N1068" s="246">
        <v>97750</v>
      </c>
    </row>
    <row r="1069" spans="3:14" ht="21.95" customHeight="1" x14ac:dyDescent="0.25">
      <c r="C1069" s="139" t="str">
        <f t="shared" si="32"/>
        <v>KS_PHILLIPS COUNTY, KS</v>
      </c>
      <c r="D1069" s="136" t="s">
        <v>89</v>
      </c>
      <c r="E1069" s="262" t="s">
        <v>3704</v>
      </c>
      <c r="F1069" s="136" t="s">
        <v>183</v>
      </c>
      <c r="G1069" s="246">
        <v>47850</v>
      </c>
      <c r="H1069" s="246">
        <v>54650</v>
      </c>
      <c r="I1069" s="246">
        <v>61500</v>
      </c>
      <c r="J1069" s="246">
        <v>68300</v>
      </c>
      <c r="K1069" s="246">
        <v>73800</v>
      </c>
      <c r="L1069" s="246">
        <v>79250</v>
      </c>
      <c r="M1069" s="246">
        <v>84700</v>
      </c>
      <c r="N1069" s="246">
        <v>90200</v>
      </c>
    </row>
    <row r="1070" spans="3:14" ht="21.95" customHeight="1" x14ac:dyDescent="0.25">
      <c r="C1070" s="139" t="str">
        <f t="shared" si="32"/>
        <v>KS_PRATT COUNTY, KS</v>
      </c>
      <c r="D1070" s="136" t="s">
        <v>89</v>
      </c>
      <c r="E1070" s="262" t="s">
        <v>3705</v>
      </c>
      <c r="F1070" s="136" t="s">
        <v>183</v>
      </c>
      <c r="G1070" s="246">
        <v>49000</v>
      </c>
      <c r="H1070" s="246">
        <v>56000</v>
      </c>
      <c r="I1070" s="246">
        <v>63000</v>
      </c>
      <c r="J1070" s="246">
        <v>70000</v>
      </c>
      <c r="K1070" s="246">
        <v>75600</v>
      </c>
      <c r="L1070" s="246">
        <v>81200</v>
      </c>
      <c r="M1070" s="246">
        <v>86800</v>
      </c>
      <c r="N1070" s="246">
        <v>92400</v>
      </c>
    </row>
    <row r="1071" spans="3:14" ht="21.95" customHeight="1" x14ac:dyDescent="0.25">
      <c r="C1071" s="139" t="str">
        <f t="shared" si="32"/>
        <v>KS_RAWLINS COUNTY, KS</v>
      </c>
      <c r="D1071" s="136" t="s">
        <v>89</v>
      </c>
      <c r="E1071" s="262" t="s">
        <v>3706</v>
      </c>
      <c r="F1071" s="136" t="s">
        <v>183</v>
      </c>
      <c r="G1071" s="246">
        <v>47150</v>
      </c>
      <c r="H1071" s="246">
        <v>53850</v>
      </c>
      <c r="I1071" s="246">
        <v>60600</v>
      </c>
      <c r="J1071" s="246">
        <v>67300</v>
      </c>
      <c r="K1071" s="246">
        <v>72700</v>
      </c>
      <c r="L1071" s="246">
        <v>78100</v>
      </c>
      <c r="M1071" s="246">
        <v>83500</v>
      </c>
      <c r="N1071" s="246">
        <v>88850</v>
      </c>
    </row>
    <row r="1072" spans="3:14" ht="21.95" customHeight="1" x14ac:dyDescent="0.25">
      <c r="C1072" s="139" t="str">
        <f t="shared" si="32"/>
        <v>KS_RENO COUNTY, KS</v>
      </c>
      <c r="D1072" s="136" t="s">
        <v>89</v>
      </c>
      <c r="E1072" s="262" t="s">
        <v>3707</v>
      </c>
      <c r="F1072" s="136" t="s">
        <v>183</v>
      </c>
      <c r="G1072" s="246">
        <v>47450</v>
      </c>
      <c r="H1072" s="246">
        <v>54200</v>
      </c>
      <c r="I1072" s="246">
        <v>61000</v>
      </c>
      <c r="J1072" s="246">
        <v>67750</v>
      </c>
      <c r="K1072" s="246">
        <v>73200</v>
      </c>
      <c r="L1072" s="246">
        <v>78600</v>
      </c>
      <c r="M1072" s="246">
        <v>84050</v>
      </c>
      <c r="N1072" s="246">
        <v>89450</v>
      </c>
    </row>
    <row r="1073" spans="3:14" ht="21.95" customHeight="1" x14ac:dyDescent="0.25">
      <c r="C1073" s="139" t="str">
        <f t="shared" si="32"/>
        <v>KS_REPUBLIC COUNTY, KS</v>
      </c>
      <c r="D1073" s="136" t="s">
        <v>89</v>
      </c>
      <c r="E1073" s="262" t="s">
        <v>3708</v>
      </c>
      <c r="F1073" s="136" t="s">
        <v>183</v>
      </c>
      <c r="G1073" s="246">
        <v>47150</v>
      </c>
      <c r="H1073" s="246">
        <v>53850</v>
      </c>
      <c r="I1073" s="246">
        <v>60600</v>
      </c>
      <c r="J1073" s="246">
        <v>67300</v>
      </c>
      <c r="K1073" s="246">
        <v>72700</v>
      </c>
      <c r="L1073" s="246">
        <v>78100</v>
      </c>
      <c r="M1073" s="246">
        <v>83500</v>
      </c>
      <c r="N1073" s="246">
        <v>88850</v>
      </c>
    </row>
    <row r="1074" spans="3:14" ht="21.95" customHeight="1" x14ac:dyDescent="0.25">
      <c r="C1074" s="139" t="str">
        <f t="shared" si="32"/>
        <v>KS_RICE COUNTY, KS</v>
      </c>
      <c r="D1074" s="136" t="s">
        <v>89</v>
      </c>
      <c r="E1074" s="262" t="s">
        <v>3709</v>
      </c>
      <c r="F1074" s="136" t="s">
        <v>183</v>
      </c>
      <c r="G1074" s="246">
        <v>47150</v>
      </c>
      <c r="H1074" s="246">
        <v>53850</v>
      </c>
      <c r="I1074" s="246">
        <v>60600</v>
      </c>
      <c r="J1074" s="246">
        <v>67300</v>
      </c>
      <c r="K1074" s="246">
        <v>72700</v>
      </c>
      <c r="L1074" s="246">
        <v>78100</v>
      </c>
      <c r="M1074" s="246">
        <v>83500</v>
      </c>
      <c r="N1074" s="246">
        <v>88850</v>
      </c>
    </row>
    <row r="1075" spans="3:14" ht="21.95" customHeight="1" x14ac:dyDescent="0.25">
      <c r="C1075" s="139" t="str">
        <f t="shared" si="32"/>
        <v>KS_ROOKS COUNTY, KS</v>
      </c>
      <c r="D1075" s="136" t="s">
        <v>89</v>
      </c>
      <c r="E1075" s="262" t="s">
        <v>3710</v>
      </c>
      <c r="F1075" s="136" t="s">
        <v>183</v>
      </c>
      <c r="G1075" s="246">
        <v>49600</v>
      </c>
      <c r="H1075" s="246">
        <v>56650</v>
      </c>
      <c r="I1075" s="246">
        <v>63750</v>
      </c>
      <c r="J1075" s="246">
        <v>70800</v>
      </c>
      <c r="K1075" s="246">
        <v>76500</v>
      </c>
      <c r="L1075" s="246">
        <v>82150</v>
      </c>
      <c r="M1075" s="246">
        <v>87800</v>
      </c>
      <c r="N1075" s="246">
        <v>93500</v>
      </c>
    </row>
    <row r="1076" spans="3:14" ht="21.95" customHeight="1" x14ac:dyDescent="0.25">
      <c r="C1076" s="139" t="str">
        <f t="shared" si="32"/>
        <v>KS_RUSH COUNTY, KS</v>
      </c>
      <c r="D1076" s="136" t="s">
        <v>89</v>
      </c>
      <c r="E1076" s="262" t="s">
        <v>3711</v>
      </c>
      <c r="F1076" s="136" t="s">
        <v>183</v>
      </c>
      <c r="G1076" s="246">
        <v>47150</v>
      </c>
      <c r="H1076" s="246">
        <v>53850</v>
      </c>
      <c r="I1076" s="246">
        <v>60600</v>
      </c>
      <c r="J1076" s="246">
        <v>67300</v>
      </c>
      <c r="K1076" s="246">
        <v>72700</v>
      </c>
      <c r="L1076" s="246">
        <v>78100</v>
      </c>
      <c r="M1076" s="246">
        <v>83500</v>
      </c>
      <c r="N1076" s="246">
        <v>88850</v>
      </c>
    </row>
    <row r="1077" spans="3:14" ht="21.95" customHeight="1" x14ac:dyDescent="0.25">
      <c r="C1077" s="139" t="str">
        <f t="shared" si="32"/>
        <v>KS_RUSSELL COUNTY, KS</v>
      </c>
      <c r="D1077" s="136" t="s">
        <v>89</v>
      </c>
      <c r="E1077" s="262" t="s">
        <v>3712</v>
      </c>
      <c r="F1077" s="136" t="s">
        <v>183</v>
      </c>
      <c r="G1077" s="246">
        <v>47150</v>
      </c>
      <c r="H1077" s="246">
        <v>53850</v>
      </c>
      <c r="I1077" s="246">
        <v>60600</v>
      </c>
      <c r="J1077" s="246">
        <v>67300</v>
      </c>
      <c r="K1077" s="246">
        <v>72700</v>
      </c>
      <c r="L1077" s="246">
        <v>78100</v>
      </c>
      <c r="M1077" s="246">
        <v>83500</v>
      </c>
      <c r="N1077" s="246">
        <v>88850</v>
      </c>
    </row>
    <row r="1078" spans="3:14" ht="21.95" customHeight="1" x14ac:dyDescent="0.25">
      <c r="C1078" s="139" t="str">
        <f t="shared" si="32"/>
        <v>KS_SALINE COUNTY, KS</v>
      </c>
      <c r="D1078" s="136" t="s">
        <v>89</v>
      </c>
      <c r="E1078" s="262" t="s">
        <v>3713</v>
      </c>
      <c r="F1078" s="136" t="s">
        <v>183</v>
      </c>
      <c r="G1078" s="246">
        <v>51450</v>
      </c>
      <c r="H1078" s="246">
        <v>58800</v>
      </c>
      <c r="I1078" s="246">
        <v>66150</v>
      </c>
      <c r="J1078" s="246">
        <v>73500</v>
      </c>
      <c r="K1078" s="246">
        <v>79400</v>
      </c>
      <c r="L1078" s="246">
        <v>85300</v>
      </c>
      <c r="M1078" s="246">
        <v>91150</v>
      </c>
      <c r="N1078" s="246">
        <v>97050</v>
      </c>
    </row>
    <row r="1079" spans="3:14" ht="21.95" customHeight="1" x14ac:dyDescent="0.25">
      <c r="C1079" s="139" t="str">
        <f t="shared" si="32"/>
        <v>KS_SCOTT COUNTY, KS</v>
      </c>
      <c r="D1079" s="136" t="s">
        <v>89</v>
      </c>
      <c r="E1079" s="262" t="s">
        <v>3714</v>
      </c>
      <c r="F1079" s="136" t="s">
        <v>183</v>
      </c>
      <c r="G1079" s="246">
        <v>47150</v>
      </c>
      <c r="H1079" s="246">
        <v>53850</v>
      </c>
      <c r="I1079" s="246">
        <v>60600</v>
      </c>
      <c r="J1079" s="246">
        <v>67300</v>
      </c>
      <c r="K1079" s="246">
        <v>72700</v>
      </c>
      <c r="L1079" s="246">
        <v>78100</v>
      </c>
      <c r="M1079" s="246">
        <v>83500</v>
      </c>
      <c r="N1079" s="246">
        <v>88850</v>
      </c>
    </row>
    <row r="1080" spans="3:14" ht="21.95" customHeight="1" x14ac:dyDescent="0.25">
      <c r="C1080" s="139" t="str">
        <f t="shared" si="32"/>
        <v>KS_SEWARD COUNTY, KS</v>
      </c>
      <c r="D1080" s="136" t="s">
        <v>89</v>
      </c>
      <c r="E1080" s="262" t="s">
        <v>3715</v>
      </c>
      <c r="F1080" s="136" t="s">
        <v>183</v>
      </c>
      <c r="G1080" s="246">
        <v>47150</v>
      </c>
      <c r="H1080" s="246">
        <v>53850</v>
      </c>
      <c r="I1080" s="246">
        <v>60600</v>
      </c>
      <c r="J1080" s="246">
        <v>67300</v>
      </c>
      <c r="K1080" s="246">
        <v>72700</v>
      </c>
      <c r="L1080" s="246">
        <v>78100</v>
      </c>
      <c r="M1080" s="246">
        <v>83500</v>
      </c>
      <c r="N1080" s="246">
        <v>88850</v>
      </c>
    </row>
    <row r="1081" spans="3:14" ht="21.95" customHeight="1" x14ac:dyDescent="0.25">
      <c r="C1081" s="139" t="str">
        <f t="shared" si="32"/>
        <v>KS_SHERIDAN COUNTY, KS</v>
      </c>
      <c r="D1081" s="136" t="s">
        <v>89</v>
      </c>
      <c r="E1081" s="262" t="s">
        <v>3716</v>
      </c>
      <c r="F1081" s="136" t="s">
        <v>183</v>
      </c>
      <c r="G1081" s="246">
        <v>57950</v>
      </c>
      <c r="H1081" s="246">
        <v>66200</v>
      </c>
      <c r="I1081" s="246">
        <v>74500</v>
      </c>
      <c r="J1081" s="246">
        <v>82750</v>
      </c>
      <c r="K1081" s="246">
        <v>89400</v>
      </c>
      <c r="L1081" s="246">
        <v>96000</v>
      </c>
      <c r="M1081" s="246">
        <v>102650</v>
      </c>
      <c r="N1081" s="246">
        <v>109250</v>
      </c>
    </row>
    <row r="1082" spans="3:14" ht="21.95" customHeight="1" x14ac:dyDescent="0.25">
      <c r="C1082" s="139" t="str">
        <f t="shared" si="32"/>
        <v>KS_SHERMAN COUNTY, KS</v>
      </c>
      <c r="D1082" s="136" t="s">
        <v>89</v>
      </c>
      <c r="E1082" s="262" t="s">
        <v>3717</v>
      </c>
      <c r="F1082" s="136" t="s">
        <v>183</v>
      </c>
      <c r="G1082" s="246">
        <v>47150</v>
      </c>
      <c r="H1082" s="246">
        <v>53850</v>
      </c>
      <c r="I1082" s="246">
        <v>60600</v>
      </c>
      <c r="J1082" s="246">
        <v>67300</v>
      </c>
      <c r="K1082" s="246">
        <v>72700</v>
      </c>
      <c r="L1082" s="246">
        <v>78100</v>
      </c>
      <c r="M1082" s="246">
        <v>83500</v>
      </c>
      <c r="N1082" s="246">
        <v>88850</v>
      </c>
    </row>
    <row r="1083" spans="3:14" ht="21.95" customHeight="1" x14ac:dyDescent="0.25">
      <c r="C1083" s="139" t="str">
        <f t="shared" si="32"/>
        <v>KS_SMITH COUNTY, KS</v>
      </c>
      <c r="D1083" s="136" t="s">
        <v>89</v>
      </c>
      <c r="E1083" s="262" t="s">
        <v>3718</v>
      </c>
      <c r="F1083" s="136" t="s">
        <v>183</v>
      </c>
      <c r="G1083" s="246">
        <v>50600</v>
      </c>
      <c r="H1083" s="246">
        <v>57800</v>
      </c>
      <c r="I1083" s="246">
        <v>65050</v>
      </c>
      <c r="J1083" s="246">
        <v>72250</v>
      </c>
      <c r="K1083" s="246">
        <v>78050</v>
      </c>
      <c r="L1083" s="246">
        <v>83850</v>
      </c>
      <c r="M1083" s="246">
        <v>89600</v>
      </c>
      <c r="N1083" s="246">
        <v>95400</v>
      </c>
    </row>
    <row r="1084" spans="3:14" ht="21.95" customHeight="1" x14ac:dyDescent="0.25">
      <c r="C1084" s="139" t="str">
        <f t="shared" si="32"/>
        <v>KS_STAFFORD COUNTY, KS</v>
      </c>
      <c r="D1084" s="136" t="s">
        <v>89</v>
      </c>
      <c r="E1084" s="262" t="s">
        <v>3720</v>
      </c>
      <c r="F1084" s="136" t="s">
        <v>183</v>
      </c>
      <c r="G1084" s="246">
        <v>50400</v>
      </c>
      <c r="H1084" s="246">
        <v>57600</v>
      </c>
      <c r="I1084" s="246">
        <v>64800</v>
      </c>
      <c r="J1084" s="246">
        <v>72000</v>
      </c>
      <c r="K1084" s="246">
        <v>77800</v>
      </c>
      <c r="L1084" s="246">
        <v>83550</v>
      </c>
      <c r="M1084" s="246">
        <v>89300</v>
      </c>
      <c r="N1084" s="246">
        <v>95050</v>
      </c>
    </row>
    <row r="1085" spans="3:14" ht="21.95" customHeight="1" x14ac:dyDescent="0.25">
      <c r="C1085" s="139" t="str">
        <f t="shared" si="32"/>
        <v>KS_STANTON COUNTY, KS</v>
      </c>
      <c r="D1085" s="136" t="s">
        <v>89</v>
      </c>
      <c r="E1085" s="262" t="s">
        <v>3721</v>
      </c>
      <c r="F1085" s="136" t="s">
        <v>183</v>
      </c>
      <c r="G1085" s="246">
        <v>47150</v>
      </c>
      <c r="H1085" s="246">
        <v>53850</v>
      </c>
      <c r="I1085" s="246">
        <v>60600</v>
      </c>
      <c r="J1085" s="246">
        <v>67300</v>
      </c>
      <c r="K1085" s="246">
        <v>72700</v>
      </c>
      <c r="L1085" s="246">
        <v>78100</v>
      </c>
      <c r="M1085" s="246">
        <v>83500</v>
      </c>
      <c r="N1085" s="246">
        <v>88850</v>
      </c>
    </row>
    <row r="1086" spans="3:14" ht="21.95" customHeight="1" x14ac:dyDescent="0.25">
      <c r="C1086" s="139" t="str">
        <f t="shared" si="32"/>
        <v>KS_STEVENS COUNTY, KS</v>
      </c>
      <c r="D1086" s="136" t="s">
        <v>89</v>
      </c>
      <c r="E1086" s="262" t="s">
        <v>3722</v>
      </c>
      <c r="F1086" s="136" t="s">
        <v>183</v>
      </c>
      <c r="G1086" s="246">
        <v>47150</v>
      </c>
      <c r="H1086" s="246">
        <v>53850</v>
      </c>
      <c r="I1086" s="246">
        <v>60600</v>
      </c>
      <c r="J1086" s="246">
        <v>67300</v>
      </c>
      <c r="K1086" s="246">
        <v>72700</v>
      </c>
      <c r="L1086" s="246">
        <v>78100</v>
      </c>
      <c r="M1086" s="246">
        <v>83500</v>
      </c>
      <c r="N1086" s="246">
        <v>88850</v>
      </c>
    </row>
    <row r="1087" spans="3:14" ht="21.95" customHeight="1" x14ac:dyDescent="0.25">
      <c r="C1087" s="139" t="str">
        <f t="shared" si="32"/>
        <v>KS_ST. JOSEPH, MO-KS MSA</v>
      </c>
      <c r="D1087" s="136" t="s">
        <v>89</v>
      </c>
      <c r="E1087" s="262" t="s">
        <v>3719</v>
      </c>
      <c r="F1087" s="136" t="s">
        <v>183</v>
      </c>
      <c r="G1087" s="246">
        <v>46700</v>
      </c>
      <c r="H1087" s="246">
        <v>53400</v>
      </c>
      <c r="I1087" s="246">
        <v>60050</v>
      </c>
      <c r="J1087" s="246">
        <v>66700</v>
      </c>
      <c r="K1087" s="246">
        <v>72050</v>
      </c>
      <c r="L1087" s="246">
        <v>77400</v>
      </c>
      <c r="M1087" s="246">
        <v>82750</v>
      </c>
      <c r="N1087" s="246">
        <v>88050</v>
      </c>
    </row>
    <row r="1088" spans="3:14" ht="21.95" customHeight="1" x14ac:dyDescent="0.25">
      <c r="C1088" s="139" t="str">
        <f t="shared" ref="C1088:C1151" si="33">TRIM(UPPER(D1088))&amp;"_"&amp;TRIM(UPPER(E1088))</f>
        <v>KS_SUMNER COUNTY, KS HUD METRO FMR AREA</v>
      </c>
      <c r="D1088" s="136" t="s">
        <v>89</v>
      </c>
      <c r="E1088" s="262" t="s">
        <v>3723</v>
      </c>
      <c r="F1088" s="136" t="s">
        <v>183</v>
      </c>
      <c r="G1088" s="246">
        <v>49850</v>
      </c>
      <c r="H1088" s="246">
        <v>57000</v>
      </c>
      <c r="I1088" s="246">
        <v>64100</v>
      </c>
      <c r="J1088" s="246">
        <v>71200</v>
      </c>
      <c r="K1088" s="246">
        <v>76900</v>
      </c>
      <c r="L1088" s="246">
        <v>82600</v>
      </c>
      <c r="M1088" s="246">
        <v>88300</v>
      </c>
      <c r="N1088" s="246">
        <v>94000</v>
      </c>
    </row>
    <row r="1089" spans="3:14" ht="21.95" customHeight="1" x14ac:dyDescent="0.25">
      <c r="C1089" s="139" t="str">
        <f t="shared" si="33"/>
        <v>KS_THOMAS COUNTY, KS</v>
      </c>
      <c r="D1089" s="136" t="s">
        <v>89</v>
      </c>
      <c r="E1089" s="262" t="s">
        <v>3724</v>
      </c>
      <c r="F1089" s="136" t="s">
        <v>183</v>
      </c>
      <c r="G1089" s="246">
        <v>56800</v>
      </c>
      <c r="H1089" s="246">
        <v>64900</v>
      </c>
      <c r="I1089" s="246">
        <v>73000</v>
      </c>
      <c r="J1089" s="246">
        <v>81100</v>
      </c>
      <c r="K1089" s="246">
        <v>87600</v>
      </c>
      <c r="L1089" s="246">
        <v>94100</v>
      </c>
      <c r="M1089" s="246">
        <v>100600</v>
      </c>
      <c r="N1089" s="246">
        <v>107100</v>
      </c>
    </row>
    <row r="1090" spans="3:14" ht="21.95" customHeight="1" x14ac:dyDescent="0.25">
      <c r="C1090" s="139" t="str">
        <f t="shared" si="33"/>
        <v>KS_TOPEKA, KS MSA</v>
      </c>
      <c r="D1090" s="136" t="s">
        <v>89</v>
      </c>
      <c r="E1090" s="262" t="s">
        <v>3725</v>
      </c>
      <c r="F1090" s="136" t="s">
        <v>183</v>
      </c>
      <c r="G1090" s="246">
        <v>53400</v>
      </c>
      <c r="H1090" s="246">
        <v>61000</v>
      </c>
      <c r="I1090" s="246">
        <v>68650</v>
      </c>
      <c r="J1090" s="246">
        <v>76250</v>
      </c>
      <c r="K1090" s="246">
        <v>82350</v>
      </c>
      <c r="L1090" s="246">
        <v>88450</v>
      </c>
      <c r="M1090" s="246">
        <v>94550</v>
      </c>
      <c r="N1090" s="246">
        <v>100650</v>
      </c>
    </row>
    <row r="1091" spans="3:14" ht="21.95" customHeight="1" x14ac:dyDescent="0.25">
      <c r="C1091" s="139" t="str">
        <f t="shared" si="33"/>
        <v>KS_TREGO COUNTY, KS</v>
      </c>
      <c r="D1091" s="136" t="s">
        <v>89</v>
      </c>
      <c r="E1091" s="262" t="s">
        <v>3726</v>
      </c>
      <c r="F1091" s="136" t="s">
        <v>183</v>
      </c>
      <c r="G1091" s="246">
        <v>55750</v>
      </c>
      <c r="H1091" s="246">
        <v>63700</v>
      </c>
      <c r="I1091" s="246">
        <v>71650</v>
      </c>
      <c r="J1091" s="246">
        <v>79600</v>
      </c>
      <c r="K1091" s="246">
        <v>86000</v>
      </c>
      <c r="L1091" s="246">
        <v>92350</v>
      </c>
      <c r="M1091" s="246">
        <v>98750</v>
      </c>
      <c r="N1091" s="246">
        <v>105100</v>
      </c>
    </row>
    <row r="1092" spans="3:14" ht="21.95" customHeight="1" x14ac:dyDescent="0.25">
      <c r="C1092" s="139" t="str">
        <f t="shared" si="33"/>
        <v>KS_WALLACE COUNTY, KS</v>
      </c>
      <c r="D1092" s="136" t="s">
        <v>89</v>
      </c>
      <c r="E1092" s="262" t="s">
        <v>3727</v>
      </c>
      <c r="F1092" s="136" t="s">
        <v>183</v>
      </c>
      <c r="G1092" s="246">
        <v>47850</v>
      </c>
      <c r="H1092" s="246">
        <v>54650</v>
      </c>
      <c r="I1092" s="246">
        <v>61500</v>
      </c>
      <c r="J1092" s="246">
        <v>68300</v>
      </c>
      <c r="K1092" s="246">
        <v>73800</v>
      </c>
      <c r="L1092" s="246">
        <v>79250</v>
      </c>
      <c r="M1092" s="246">
        <v>84700</v>
      </c>
      <c r="N1092" s="246">
        <v>90200</v>
      </c>
    </row>
    <row r="1093" spans="3:14" ht="21.95" customHeight="1" x14ac:dyDescent="0.25">
      <c r="C1093" s="139" t="str">
        <f t="shared" si="33"/>
        <v>KS_WASHINGTON COUNTY, KS</v>
      </c>
      <c r="D1093" s="136" t="s">
        <v>89</v>
      </c>
      <c r="E1093" s="262" t="s">
        <v>3728</v>
      </c>
      <c r="F1093" s="136" t="s">
        <v>183</v>
      </c>
      <c r="G1093" s="246">
        <v>47950</v>
      </c>
      <c r="H1093" s="246">
        <v>54800</v>
      </c>
      <c r="I1093" s="246">
        <v>61650</v>
      </c>
      <c r="J1093" s="246">
        <v>68500</v>
      </c>
      <c r="K1093" s="246">
        <v>74000</v>
      </c>
      <c r="L1093" s="246">
        <v>79500</v>
      </c>
      <c r="M1093" s="246">
        <v>84950</v>
      </c>
      <c r="N1093" s="246">
        <v>90450</v>
      </c>
    </row>
    <row r="1094" spans="3:14" ht="21.95" customHeight="1" x14ac:dyDescent="0.25">
      <c r="C1094" s="139" t="str">
        <f t="shared" si="33"/>
        <v>KS_WICHITA COUNTY, KS</v>
      </c>
      <c r="D1094" s="136" t="s">
        <v>89</v>
      </c>
      <c r="E1094" s="262" t="s">
        <v>3729</v>
      </c>
      <c r="F1094" s="136" t="s">
        <v>183</v>
      </c>
      <c r="G1094" s="246">
        <v>52200</v>
      </c>
      <c r="H1094" s="246">
        <v>59650</v>
      </c>
      <c r="I1094" s="246">
        <v>67100</v>
      </c>
      <c r="J1094" s="246">
        <v>74550</v>
      </c>
      <c r="K1094" s="246">
        <v>80550</v>
      </c>
      <c r="L1094" s="246">
        <v>86500</v>
      </c>
      <c r="M1094" s="246">
        <v>92450</v>
      </c>
      <c r="N1094" s="246">
        <v>98450</v>
      </c>
    </row>
    <row r="1095" spans="3:14" ht="21.95" customHeight="1" x14ac:dyDescent="0.25">
      <c r="C1095" s="139" t="str">
        <f t="shared" si="33"/>
        <v>KS_WICHITA, KS HUD METRO FMR AREA</v>
      </c>
      <c r="D1095" s="136" t="s">
        <v>89</v>
      </c>
      <c r="E1095" s="262" t="s">
        <v>3730</v>
      </c>
      <c r="F1095" s="136" t="s">
        <v>183</v>
      </c>
      <c r="G1095" s="246">
        <v>52550</v>
      </c>
      <c r="H1095" s="246">
        <v>60050</v>
      </c>
      <c r="I1095" s="246">
        <v>67550</v>
      </c>
      <c r="J1095" s="246">
        <v>75050</v>
      </c>
      <c r="K1095" s="246">
        <v>81100</v>
      </c>
      <c r="L1095" s="246">
        <v>87100</v>
      </c>
      <c r="M1095" s="246">
        <v>93100</v>
      </c>
      <c r="N1095" s="246">
        <v>99100</v>
      </c>
    </row>
    <row r="1096" spans="3:14" ht="21.95" customHeight="1" x14ac:dyDescent="0.25">
      <c r="C1096" s="139" t="str">
        <f t="shared" si="33"/>
        <v>KS_WILSON COUNTY, KS</v>
      </c>
      <c r="D1096" s="136" t="s">
        <v>89</v>
      </c>
      <c r="E1096" s="262" t="s">
        <v>3731</v>
      </c>
      <c r="F1096" s="136" t="s">
        <v>183</v>
      </c>
      <c r="G1096" s="246">
        <v>47150</v>
      </c>
      <c r="H1096" s="246">
        <v>53850</v>
      </c>
      <c r="I1096" s="246">
        <v>60600</v>
      </c>
      <c r="J1096" s="246">
        <v>67300</v>
      </c>
      <c r="K1096" s="246">
        <v>72700</v>
      </c>
      <c r="L1096" s="246">
        <v>78100</v>
      </c>
      <c r="M1096" s="246">
        <v>83500</v>
      </c>
      <c r="N1096" s="246">
        <v>88850</v>
      </c>
    </row>
    <row r="1097" spans="3:14" ht="21.95" customHeight="1" x14ac:dyDescent="0.25">
      <c r="C1097" s="139" t="str">
        <f t="shared" si="33"/>
        <v>KS_WOODSON COUNTY, KS</v>
      </c>
      <c r="D1097" s="136" t="s">
        <v>89</v>
      </c>
      <c r="E1097" s="262" t="s">
        <v>3732</v>
      </c>
      <c r="F1097" s="136" t="s">
        <v>183</v>
      </c>
      <c r="G1097" s="246">
        <v>47150</v>
      </c>
      <c r="H1097" s="246">
        <v>53850</v>
      </c>
      <c r="I1097" s="246">
        <v>60600</v>
      </c>
      <c r="J1097" s="246">
        <v>67300</v>
      </c>
      <c r="K1097" s="246">
        <v>72700</v>
      </c>
      <c r="L1097" s="246">
        <v>78100</v>
      </c>
      <c r="M1097" s="246">
        <v>83500</v>
      </c>
      <c r="N1097" s="246">
        <v>88850</v>
      </c>
    </row>
    <row r="1098" spans="3:14" ht="21.95" customHeight="1" x14ac:dyDescent="0.25">
      <c r="C1098" s="139" t="str">
        <f t="shared" si="33"/>
        <v>KY_ADAIR COUNTY, KY</v>
      </c>
      <c r="D1098" s="136" t="s">
        <v>88</v>
      </c>
      <c r="E1098" s="262" t="s">
        <v>3733</v>
      </c>
      <c r="F1098" s="136" t="s">
        <v>183</v>
      </c>
      <c r="G1098" s="246">
        <v>39700</v>
      </c>
      <c r="H1098" s="246">
        <v>45400</v>
      </c>
      <c r="I1098" s="246">
        <v>51050</v>
      </c>
      <c r="J1098" s="246">
        <v>56700</v>
      </c>
      <c r="K1098" s="246">
        <v>61250</v>
      </c>
      <c r="L1098" s="246">
        <v>65800</v>
      </c>
      <c r="M1098" s="246">
        <v>70350</v>
      </c>
      <c r="N1098" s="246">
        <v>74850</v>
      </c>
    </row>
    <row r="1099" spans="3:14" ht="21.95" customHeight="1" x14ac:dyDescent="0.25">
      <c r="C1099" s="139" t="str">
        <f t="shared" si="33"/>
        <v>KY_ALLEN COUNTY, KY HUD METRO FMR AREA</v>
      </c>
      <c r="D1099" s="136" t="s">
        <v>88</v>
      </c>
      <c r="E1099" s="262" t="s">
        <v>3734</v>
      </c>
      <c r="F1099" s="136" t="s">
        <v>183</v>
      </c>
      <c r="G1099" s="246">
        <v>43900</v>
      </c>
      <c r="H1099" s="246">
        <v>50200</v>
      </c>
      <c r="I1099" s="246">
        <v>56450</v>
      </c>
      <c r="J1099" s="246">
        <v>62700</v>
      </c>
      <c r="K1099" s="246">
        <v>67750</v>
      </c>
      <c r="L1099" s="246">
        <v>72750</v>
      </c>
      <c r="M1099" s="246">
        <v>77750</v>
      </c>
      <c r="N1099" s="246">
        <v>82800</v>
      </c>
    </row>
    <row r="1100" spans="3:14" ht="21.95" customHeight="1" x14ac:dyDescent="0.25">
      <c r="C1100" s="139" t="str">
        <f t="shared" si="33"/>
        <v>KY_ANDERSON COUNTY, KY</v>
      </c>
      <c r="D1100" s="136" t="s">
        <v>88</v>
      </c>
      <c r="E1100" s="262" t="s">
        <v>3735</v>
      </c>
      <c r="F1100" s="136" t="s">
        <v>183</v>
      </c>
      <c r="G1100" s="246">
        <v>52000</v>
      </c>
      <c r="H1100" s="246">
        <v>59400</v>
      </c>
      <c r="I1100" s="246">
        <v>66850</v>
      </c>
      <c r="J1100" s="246">
        <v>74250</v>
      </c>
      <c r="K1100" s="246">
        <v>80200</v>
      </c>
      <c r="L1100" s="246">
        <v>86150</v>
      </c>
      <c r="M1100" s="246">
        <v>92100</v>
      </c>
      <c r="N1100" s="246">
        <v>98050</v>
      </c>
    </row>
    <row r="1101" spans="3:14" ht="21.95" customHeight="1" x14ac:dyDescent="0.25">
      <c r="C1101" s="139" t="str">
        <f t="shared" si="33"/>
        <v>KY_BALLARD COUNTY, KY HUD METRO FMR AREA</v>
      </c>
      <c r="D1101" s="136" t="s">
        <v>88</v>
      </c>
      <c r="E1101" s="262" t="s">
        <v>9175</v>
      </c>
      <c r="F1101" s="136" t="s">
        <v>183</v>
      </c>
      <c r="G1101" s="246">
        <v>45050</v>
      </c>
      <c r="H1101" s="246">
        <v>51500</v>
      </c>
      <c r="I1101" s="246">
        <v>57950</v>
      </c>
      <c r="J1101" s="246">
        <v>64350</v>
      </c>
      <c r="K1101" s="246">
        <v>69500</v>
      </c>
      <c r="L1101" s="246">
        <v>74650</v>
      </c>
      <c r="M1101" s="246">
        <v>79800</v>
      </c>
      <c r="N1101" s="246">
        <v>84950</v>
      </c>
    </row>
    <row r="1102" spans="3:14" ht="21.95" customHeight="1" x14ac:dyDescent="0.25">
      <c r="C1102" s="139" t="str">
        <f t="shared" si="33"/>
        <v>KY_BARREN COUNTY, KY</v>
      </c>
      <c r="D1102" s="136" t="s">
        <v>88</v>
      </c>
      <c r="E1102" s="262" t="s">
        <v>3736</v>
      </c>
      <c r="F1102" s="136" t="s">
        <v>183</v>
      </c>
      <c r="G1102" s="246">
        <v>39700</v>
      </c>
      <c r="H1102" s="246">
        <v>45400</v>
      </c>
      <c r="I1102" s="246">
        <v>51050</v>
      </c>
      <c r="J1102" s="246">
        <v>56700</v>
      </c>
      <c r="K1102" s="246">
        <v>61250</v>
      </c>
      <c r="L1102" s="246">
        <v>65800</v>
      </c>
      <c r="M1102" s="246">
        <v>70350</v>
      </c>
      <c r="N1102" s="246">
        <v>74850</v>
      </c>
    </row>
    <row r="1103" spans="3:14" ht="21.95" customHeight="1" x14ac:dyDescent="0.25">
      <c r="C1103" s="139" t="str">
        <f t="shared" si="33"/>
        <v>KY_BATH COUNTY, KY</v>
      </c>
      <c r="D1103" s="136" t="s">
        <v>88</v>
      </c>
      <c r="E1103" s="262" t="s">
        <v>3737</v>
      </c>
      <c r="F1103" s="136" t="s">
        <v>183</v>
      </c>
      <c r="G1103" s="246">
        <v>40150</v>
      </c>
      <c r="H1103" s="246">
        <v>45850</v>
      </c>
      <c r="I1103" s="246">
        <v>51600</v>
      </c>
      <c r="J1103" s="246">
        <v>57300</v>
      </c>
      <c r="K1103" s="246">
        <v>61900</v>
      </c>
      <c r="L1103" s="246">
        <v>66500</v>
      </c>
      <c r="M1103" s="246">
        <v>71100</v>
      </c>
      <c r="N1103" s="246">
        <v>75650</v>
      </c>
    </row>
    <row r="1104" spans="3:14" ht="21.95" customHeight="1" x14ac:dyDescent="0.25">
      <c r="C1104" s="139" t="str">
        <f t="shared" si="33"/>
        <v>KY_BELL COUNTY, KY</v>
      </c>
      <c r="D1104" s="136" t="s">
        <v>88</v>
      </c>
      <c r="E1104" s="262" t="s">
        <v>3738</v>
      </c>
      <c r="F1104" s="136" t="s">
        <v>183</v>
      </c>
      <c r="G1104" s="246">
        <v>39700</v>
      </c>
      <c r="H1104" s="246">
        <v>45400</v>
      </c>
      <c r="I1104" s="246">
        <v>51050</v>
      </c>
      <c r="J1104" s="246">
        <v>56700</v>
      </c>
      <c r="K1104" s="246">
        <v>61250</v>
      </c>
      <c r="L1104" s="246">
        <v>65800</v>
      </c>
      <c r="M1104" s="246">
        <v>70350</v>
      </c>
      <c r="N1104" s="246">
        <v>74850</v>
      </c>
    </row>
    <row r="1105" spans="3:14" ht="21.95" customHeight="1" x14ac:dyDescent="0.25">
      <c r="C1105" s="139" t="str">
        <f t="shared" si="33"/>
        <v>KY_BOWLING GREEN, KY HUD METRO FMR AREA</v>
      </c>
      <c r="D1105" s="136" t="s">
        <v>88</v>
      </c>
      <c r="E1105" s="262" t="s">
        <v>3739</v>
      </c>
      <c r="F1105" s="136" t="s">
        <v>183</v>
      </c>
      <c r="G1105" s="246">
        <v>46450</v>
      </c>
      <c r="H1105" s="246">
        <v>53050</v>
      </c>
      <c r="I1105" s="246">
        <v>59700</v>
      </c>
      <c r="J1105" s="246">
        <v>66300</v>
      </c>
      <c r="K1105" s="246">
        <v>71650</v>
      </c>
      <c r="L1105" s="246">
        <v>76950</v>
      </c>
      <c r="M1105" s="246">
        <v>82250</v>
      </c>
      <c r="N1105" s="246">
        <v>87550</v>
      </c>
    </row>
    <row r="1106" spans="3:14" ht="21.95" customHeight="1" x14ac:dyDescent="0.25">
      <c r="C1106" s="139" t="str">
        <f t="shared" si="33"/>
        <v>KY_BOYLE COUNTY, KY</v>
      </c>
      <c r="D1106" s="136" t="s">
        <v>88</v>
      </c>
      <c r="E1106" s="262" t="s">
        <v>3740</v>
      </c>
      <c r="F1106" s="136" t="s">
        <v>183</v>
      </c>
      <c r="G1106" s="246">
        <v>45300</v>
      </c>
      <c r="H1106" s="246">
        <v>51750</v>
      </c>
      <c r="I1106" s="246">
        <v>58200</v>
      </c>
      <c r="J1106" s="246">
        <v>64650</v>
      </c>
      <c r="K1106" s="246">
        <v>69850</v>
      </c>
      <c r="L1106" s="246">
        <v>75000</v>
      </c>
      <c r="M1106" s="246">
        <v>80200</v>
      </c>
      <c r="N1106" s="246">
        <v>85350</v>
      </c>
    </row>
    <row r="1107" spans="3:14" ht="21.95" customHeight="1" x14ac:dyDescent="0.25">
      <c r="C1107" s="139" t="str">
        <f t="shared" si="33"/>
        <v>KY_BREATHITT COUNTY, KY</v>
      </c>
      <c r="D1107" s="136" t="s">
        <v>88</v>
      </c>
      <c r="E1107" s="262" t="s">
        <v>3741</v>
      </c>
      <c r="F1107" s="136" t="s">
        <v>183</v>
      </c>
      <c r="G1107" s="246">
        <v>39700</v>
      </c>
      <c r="H1107" s="246">
        <v>45400</v>
      </c>
      <c r="I1107" s="246">
        <v>51050</v>
      </c>
      <c r="J1107" s="246">
        <v>56700</v>
      </c>
      <c r="K1107" s="246">
        <v>61250</v>
      </c>
      <c r="L1107" s="246">
        <v>65800</v>
      </c>
      <c r="M1107" s="246">
        <v>70350</v>
      </c>
      <c r="N1107" s="246">
        <v>74850</v>
      </c>
    </row>
    <row r="1108" spans="3:14" ht="21.95" customHeight="1" x14ac:dyDescent="0.25">
      <c r="C1108" s="139" t="str">
        <f t="shared" si="33"/>
        <v>KY_BRECKINRIDGE COUNTY, KY</v>
      </c>
      <c r="D1108" s="136" t="s">
        <v>88</v>
      </c>
      <c r="E1108" s="262" t="s">
        <v>3742</v>
      </c>
      <c r="F1108" s="136" t="s">
        <v>183</v>
      </c>
      <c r="G1108" s="246">
        <v>42850</v>
      </c>
      <c r="H1108" s="246">
        <v>49000</v>
      </c>
      <c r="I1108" s="246">
        <v>55100</v>
      </c>
      <c r="J1108" s="246">
        <v>61200</v>
      </c>
      <c r="K1108" s="246">
        <v>66100</v>
      </c>
      <c r="L1108" s="246">
        <v>71000</v>
      </c>
      <c r="M1108" s="246">
        <v>75900</v>
      </c>
      <c r="N1108" s="246">
        <v>80800</v>
      </c>
    </row>
    <row r="1109" spans="3:14" ht="21.95" customHeight="1" x14ac:dyDescent="0.25">
      <c r="C1109" s="139" t="str">
        <f t="shared" si="33"/>
        <v>KY_BUTLER COUNTY, KY HUD METRO FMR AREA</v>
      </c>
      <c r="D1109" s="136" t="s">
        <v>88</v>
      </c>
      <c r="E1109" s="262" t="s">
        <v>3743</v>
      </c>
      <c r="F1109" s="136" t="s">
        <v>183</v>
      </c>
      <c r="G1109" s="246">
        <v>40600</v>
      </c>
      <c r="H1109" s="246">
        <v>46400</v>
      </c>
      <c r="I1109" s="246">
        <v>52200</v>
      </c>
      <c r="J1109" s="246">
        <v>58000</v>
      </c>
      <c r="K1109" s="246">
        <v>62650</v>
      </c>
      <c r="L1109" s="246">
        <v>67300</v>
      </c>
      <c r="M1109" s="246">
        <v>71950</v>
      </c>
      <c r="N1109" s="246">
        <v>76600</v>
      </c>
    </row>
    <row r="1110" spans="3:14" ht="21.95" customHeight="1" x14ac:dyDescent="0.25">
      <c r="C1110" s="139" t="str">
        <f t="shared" si="33"/>
        <v>KY_CALDWELL COUNTY, KY</v>
      </c>
      <c r="D1110" s="136" t="s">
        <v>88</v>
      </c>
      <c r="E1110" s="262" t="s">
        <v>3744</v>
      </c>
      <c r="F1110" s="136" t="s">
        <v>183</v>
      </c>
      <c r="G1110" s="246">
        <v>40900</v>
      </c>
      <c r="H1110" s="246">
        <v>46750</v>
      </c>
      <c r="I1110" s="246">
        <v>52600</v>
      </c>
      <c r="J1110" s="246">
        <v>58400</v>
      </c>
      <c r="K1110" s="246">
        <v>63100</v>
      </c>
      <c r="L1110" s="246">
        <v>67750</v>
      </c>
      <c r="M1110" s="246">
        <v>72450</v>
      </c>
      <c r="N1110" s="246">
        <v>77100</v>
      </c>
    </row>
    <row r="1111" spans="3:14" ht="21.95" customHeight="1" x14ac:dyDescent="0.25">
      <c r="C1111" s="139" t="str">
        <f t="shared" si="33"/>
        <v>KY_CALLOWAY COUNTY, KY</v>
      </c>
      <c r="D1111" s="136" t="s">
        <v>88</v>
      </c>
      <c r="E1111" s="262" t="s">
        <v>3745</v>
      </c>
      <c r="F1111" s="136" t="s">
        <v>183</v>
      </c>
      <c r="G1111" s="246">
        <v>46200</v>
      </c>
      <c r="H1111" s="246">
        <v>52800</v>
      </c>
      <c r="I1111" s="246">
        <v>59400</v>
      </c>
      <c r="J1111" s="246">
        <v>66000</v>
      </c>
      <c r="K1111" s="246">
        <v>71300</v>
      </c>
      <c r="L1111" s="246">
        <v>76600</v>
      </c>
      <c r="M1111" s="246">
        <v>81850</v>
      </c>
      <c r="N1111" s="246">
        <v>87150</v>
      </c>
    </row>
    <row r="1112" spans="3:14" ht="21.95" customHeight="1" x14ac:dyDescent="0.25">
      <c r="C1112" s="139" t="str">
        <f t="shared" si="33"/>
        <v>KY_CARLISLE COUNTY, KY HUD METRO FMR AREA</v>
      </c>
      <c r="D1112" s="136" t="s">
        <v>88</v>
      </c>
      <c r="E1112" s="262" t="s">
        <v>9176</v>
      </c>
      <c r="F1112" s="136" t="s">
        <v>183</v>
      </c>
      <c r="G1112" s="246">
        <v>42950</v>
      </c>
      <c r="H1112" s="246">
        <v>49100</v>
      </c>
      <c r="I1112" s="246">
        <v>55250</v>
      </c>
      <c r="J1112" s="246">
        <v>61350</v>
      </c>
      <c r="K1112" s="246">
        <v>66300</v>
      </c>
      <c r="L1112" s="246">
        <v>71200</v>
      </c>
      <c r="M1112" s="246">
        <v>76100</v>
      </c>
      <c r="N1112" s="246">
        <v>81000</v>
      </c>
    </row>
    <row r="1113" spans="3:14" ht="21.95" customHeight="1" x14ac:dyDescent="0.25">
      <c r="C1113" s="139" t="str">
        <f t="shared" si="33"/>
        <v>KY_CARROLL COUNTY, KY</v>
      </c>
      <c r="D1113" s="136" t="s">
        <v>88</v>
      </c>
      <c r="E1113" s="262" t="s">
        <v>3746</v>
      </c>
      <c r="F1113" s="136" t="s">
        <v>183</v>
      </c>
      <c r="G1113" s="246">
        <v>40150</v>
      </c>
      <c r="H1113" s="246">
        <v>45850</v>
      </c>
      <c r="I1113" s="246">
        <v>51600</v>
      </c>
      <c r="J1113" s="246">
        <v>57300</v>
      </c>
      <c r="K1113" s="246">
        <v>61900</v>
      </c>
      <c r="L1113" s="246">
        <v>66500</v>
      </c>
      <c r="M1113" s="246">
        <v>71100</v>
      </c>
      <c r="N1113" s="246">
        <v>75650</v>
      </c>
    </row>
    <row r="1114" spans="3:14" ht="21.95" customHeight="1" x14ac:dyDescent="0.25">
      <c r="C1114" s="139" t="str">
        <f t="shared" si="33"/>
        <v>KY_CARTER COUNTY, KY HUD METRO FMR AREA</v>
      </c>
      <c r="D1114" s="136" t="s">
        <v>88</v>
      </c>
      <c r="E1114" s="262" t="s">
        <v>3747</v>
      </c>
      <c r="F1114" s="136" t="s">
        <v>183</v>
      </c>
      <c r="G1114" s="246">
        <v>39700</v>
      </c>
      <c r="H1114" s="246">
        <v>45400</v>
      </c>
      <c r="I1114" s="246">
        <v>51050</v>
      </c>
      <c r="J1114" s="246">
        <v>56700</v>
      </c>
      <c r="K1114" s="246">
        <v>61250</v>
      </c>
      <c r="L1114" s="246">
        <v>65800</v>
      </c>
      <c r="M1114" s="246">
        <v>70350</v>
      </c>
      <c r="N1114" s="246">
        <v>74850</v>
      </c>
    </row>
    <row r="1115" spans="3:14" ht="21.95" customHeight="1" x14ac:dyDescent="0.25">
      <c r="C1115" s="139" t="str">
        <f t="shared" si="33"/>
        <v>KY_CASEY COUNTY, KY</v>
      </c>
      <c r="D1115" s="136" t="s">
        <v>88</v>
      </c>
      <c r="E1115" s="262" t="s">
        <v>3748</v>
      </c>
      <c r="F1115" s="136" t="s">
        <v>183</v>
      </c>
      <c r="G1115" s="246">
        <v>39700</v>
      </c>
      <c r="H1115" s="246">
        <v>45400</v>
      </c>
      <c r="I1115" s="246">
        <v>51050</v>
      </c>
      <c r="J1115" s="246">
        <v>56700</v>
      </c>
      <c r="K1115" s="246">
        <v>61250</v>
      </c>
      <c r="L1115" s="246">
        <v>65800</v>
      </c>
      <c r="M1115" s="246">
        <v>70350</v>
      </c>
      <c r="N1115" s="246">
        <v>74850</v>
      </c>
    </row>
    <row r="1116" spans="3:14" ht="21.95" customHeight="1" x14ac:dyDescent="0.25">
      <c r="C1116" s="139" t="str">
        <f t="shared" si="33"/>
        <v>KY_CINCINNATI, OH-KY-IN HUD METRO FMR AREA</v>
      </c>
      <c r="D1116" s="136" t="s">
        <v>88</v>
      </c>
      <c r="E1116" s="262" t="s">
        <v>3580</v>
      </c>
      <c r="F1116" s="136" t="s">
        <v>183</v>
      </c>
      <c r="G1116" s="246">
        <v>62650</v>
      </c>
      <c r="H1116" s="246">
        <v>71600</v>
      </c>
      <c r="I1116" s="246">
        <v>80550</v>
      </c>
      <c r="J1116" s="246">
        <v>89450</v>
      </c>
      <c r="K1116" s="246">
        <v>96650</v>
      </c>
      <c r="L1116" s="246">
        <v>103800</v>
      </c>
      <c r="M1116" s="246">
        <v>110950</v>
      </c>
      <c r="N1116" s="246">
        <v>118100</v>
      </c>
    </row>
    <row r="1117" spans="3:14" ht="21.95" customHeight="1" x14ac:dyDescent="0.25">
      <c r="C1117" s="139" t="str">
        <f t="shared" si="33"/>
        <v>KY_CLARKSVILLE, TN-KY HUD METRO FMR AREA</v>
      </c>
      <c r="D1117" s="136" t="s">
        <v>88</v>
      </c>
      <c r="E1117" s="262" t="s">
        <v>3749</v>
      </c>
      <c r="F1117" s="136" t="s">
        <v>183</v>
      </c>
      <c r="G1117" s="246">
        <v>49100</v>
      </c>
      <c r="H1117" s="246">
        <v>56100</v>
      </c>
      <c r="I1117" s="246">
        <v>63100</v>
      </c>
      <c r="J1117" s="246">
        <v>70100</v>
      </c>
      <c r="K1117" s="246">
        <v>75750</v>
      </c>
      <c r="L1117" s="246">
        <v>81350</v>
      </c>
      <c r="M1117" s="246">
        <v>86950</v>
      </c>
      <c r="N1117" s="246">
        <v>92550</v>
      </c>
    </row>
    <row r="1118" spans="3:14" ht="21.95" customHeight="1" x14ac:dyDescent="0.25">
      <c r="C1118" s="139" t="str">
        <f t="shared" si="33"/>
        <v>KY_CLAY COUNTY, KY</v>
      </c>
      <c r="D1118" s="136" t="s">
        <v>88</v>
      </c>
      <c r="E1118" s="262" t="s">
        <v>3750</v>
      </c>
      <c r="F1118" s="136" t="s">
        <v>183</v>
      </c>
      <c r="G1118" s="246">
        <v>39700</v>
      </c>
      <c r="H1118" s="246">
        <v>45400</v>
      </c>
      <c r="I1118" s="246">
        <v>51050</v>
      </c>
      <c r="J1118" s="246">
        <v>56700</v>
      </c>
      <c r="K1118" s="246">
        <v>61250</v>
      </c>
      <c r="L1118" s="246">
        <v>65800</v>
      </c>
      <c r="M1118" s="246">
        <v>70350</v>
      </c>
      <c r="N1118" s="246">
        <v>74850</v>
      </c>
    </row>
    <row r="1119" spans="3:14" ht="21.95" customHeight="1" x14ac:dyDescent="0.25">
      <c r="C1119" s="139" t="str">
        <f t="shared" si="33"/>
        <v>KY_CLINTON COUNTY, KY</v>
      </c>
      <c r="D1119" s="136" t="s">
        <v>88</v>
      </c>
      <c r="E1119" s="262" t="s">
        <v>3751</v>
      </c>
      <c r="F1119" s="136" t="s">
        <v>183</v>
      </c>
      <c r="G1119" s="246">
        <v>39700</v>
      </c>
      <c r="H1119" s="246">
        <v>45400</v>
      </c>
      <c r="I1119" s="246">
        <v>51050</v>
      </c>
      <c r="J1119" s="246">
        <v>56700</v>
      </c>
      <c r="K1119" s="246">
        <v>61250</v>
      </c>
      <c r="L1119" s="246">
        <v>65800</v>
      </c>
      <c r="M1119" s="246">
        <v>70350</v>
      </c>
      <c r="N1119" s="246">
        <v>74850</v>
      </c>
    </row>
    <row r="1120" spans="3:14" ht="21.95" customHeight="1" x14ac:dyDescent="0.25">
      <c r="C1120" s="139" t="str">
        <f t="shared" si="33"/>
        <v>KY_CRITTENDEN COUNTY, KY</v>
      </c>
      <c r="D1120" s="136" t="s">
        <v>88</v>
      </c>
      <c r="E1120" s="262" t="s">
        <v>3752</v>
      </c>
      <c r="F1120" s="136" t="s">
        <v>183</v>
      </c>
      <c r="G1120" s="246">
        <v>46100</v>
      </c>
      <c r="H1120" s="246">
        <v>52700</v>
      </c>
      <c r="I1120" s="246">
        <v>59300</v>
      </c>
      <c r="J1120" s="246">
        <v>65850</v>
      </c>
      <c r="K1120" s="246">
        <v>71150</v>
      </c>
      <c r="L1120" s="246">
        <v>76400</v>
      </c>
      <c r="M1120" s="246">
        <v>81700</v>
      </c>
      <c r="N1120" s="246">
        <v>86950</v>
      </c>
    </row>
    <row r="1121" spans="3:14" ht="21.95" customHeight="1" x14ac:dyDescent="0.25">
      <c r="C1121" s="139" t="str">
        <f t="shared" si="33"/>
        <v>KY_CUMBERLAND COUNTY, KY</v>
      </c>
      <c r="D1121" s="136" t="s">
        <v>88</v>
      </c>
      <c r="E1121" s="262" t="s">
        <v>3753</v>
      </c>
      <c r="F1121" s="136" t="s">
        <v>183</v>
      </c>
      <c r="G1121" s="246">
        <v>39700</v>
      </c>
      <c r="H1121" s="246">
        <v>45400</v>
      </c>
      <c r="I1121" s="246">
        <v>51050</v>
      </c>
      <c r="J1121" s="246">
        <v>56700</v>
      </c>
      <c r="K1121" s="246">
        <v>61250</v>
      </c>
      <c r="L1121" s="246">
        <v>65800</v>
      </c>
      <c r="M1121" s="246">
        <v>70350</v>
      </c>
      <c r="N1121" s="246">
        <v>74850</v>
      </c>
    </row>
    <row r="1122" spans="3:14" ht="21.95" customHeight="1" x14ac:dyDescent="0.25">
      <c r="C1122" s="139" t="str">
        <f t="shared" si="33"/>
        <v>KY_ELIZABETHTOWN, KY HUD METRO FMR AREA</v>
      </c>
      <c r="D1122" s="136" t="s">
        <v>88</v>
      </c>
      <c r="E1122" s="262" t="s">
        <v>3754</v>
      </c>
      <c r="F1122" s="136" t="s">
        <v>183</v>
      </c>
      <c r="G1122" s="246">
        <v>44950</v>
      </c>
      <c r="H1122" s="246">
        <v>51350</v>
      </c>
      <c r="I1122" s="246">
        <v>57750</v>
      </c>
      <c r="J1122" s="246">
        <v>64150</v>
      </c>
      <c r="K1122" s="246">
        <v>69300</v>
      </c>
      <c r="L1122" s="246">
        <v>74450</v>
      </c>
      <c r="M1122" s="246">
        <v>79550</v>
      </c>
      <c r="N1122" s="246">
        <v>84700</v>
      </c>
    </row>
    <row r="1123" spans="3:14" ht="21.95" customHeight="1" x14ac:dyDescent="0.25">
      <c r="C1123" s="139" t="str">
        <f t="shared" si="33"/>
        <v>KY_ELLIOTT COUNTY, KY</v>
      </c>
      <c r="D1123" s="136" t="s">
        <v>88</v>
      </c>
      <c r="E1123" s="262" t="s">
        <v>3755</v>
      </c>
      <c r="F1123" s="136" t="s">
        <v>183</v>
      </c>
      <c r="G1123" s="246">
        <v>39700</v>
      </c>
      <c r="H1123" s="246">
        <v>45400</v>
      </c>
      <c r="I1123" s="246">
        <v>51050</v>
      </c>
      <c r="J1123" s="246">
        <v>56700</v>
      </c>
      <c r="K1123" s="246">
        <v>61250</v>
      </c>
      <c r="L1123" s="246">
        <v>65800</v>
      </c>
      <c r="M1123" s="246">
        <v>70350</v>
      </c>
      <c r="N1123" s="246">
        <v>74850</v>
      </c>
    </row>
    <row r="1124" spans="3:14" ht="21.95" customHeight="1" x14ac:dyDescent="0.25">
      <c r="C1124" s="139" t="str">
        <f t="shared" si="33"/>
        <v>KY_ESTILL COUNTY, KY</v>
      </c>
      <c r="D1124" s="136" t="s">
        <v>88</v>
      </c>
      <c r="E1124" s="262" t="s">
        <v>3756</v>
      </c>
      <c r="F1124" s="136" t="s">
        <v>183</v>
      </c>
      <c r="G1124" s="246">
        <v>39700</v>
      </c>
      <c r="H1124" s="246">
        <v>45400</v>
      </c>
      <c r="I1124" s="246">
        <v>51050</v>
      </c>
      <c r="J1124" s="246">
        <v>56700</v>
      </c>
      <c r="K1124" s="246">
        <v>61250</v>
      </c>
      <c r="L1124" s="246">
        <v>65800</v>
      </c>
      <c r="M1124" s="246">
        <v>70350</v>
      </c>
      <c r="N1124" s="246">
        <v>74850</v>
      </c>
    </row>
    <row r="1125" spans="3:14" ht="21.95" customHeight="1" x14ac:dyDescent="0.25">
      <c r="C1125" s="139" t="str">
        <f t="shared" si="33"/>
        <v>KY_FLEMING COUNTY, KY</v>
      </c>
      <c r="D1125" s="136" t="s">
        <v>88</v>
      </c>
      <c r="E1125" s="262" t="s">
        <v>3757</v>
      </c>
      <c r="F1125" s="136" t="s">
        <v>183</v>
      </c>
      <c r="G1125" s="246">
        <v>39700</v>
      </c>
      <c r="H1125" s="246">
        <v>45400</v>
      </c>
      <c r="I1125" s="246">
        <v>51050</v>
      </c>
      <c r="J1125" s="246">
        <v>56700</v>
      </c>
      <c r="K1125" s="246">
        <v>61250</v>
      </c>
      <c r="L1125" s="246">
        <v>65800</v>
      </c>
      <c r="M1125" s="246">
        <v>70350</v>
      </c>
      <c r="N1125" s="246">
        <v>74850</v>
      </c>
    </row>
    <row r="1126" spans="3:14" ht="21.95" customHeight="1" x14ac:dyDescent="0.25">
      <c r="C1126" s="139" t="str">
        <f t="shared" si="33"/>
        <v>KY_FLOYD COUNTY, KY</v>
      </c>
      <c r="D1126" s="136" t="s">
        <v>88</v>
      </c>
      <c r="E1126" s="262" t="s">
        <v>3758</v>
      </c>
      <c r="F1126" s="136" t="s">
        <v>183</v>
      </c>
      <c r="G1126" s="246">
        <v>39700</v>
      </c>
      <c r="H1126" s="246">
        <v>45400</v>
      </c>
      <c r="I1126" s="246">
        <v>51050</v>
      </c>
      <c r="J1126" s="246">
        <v>56700</v>
      </c>
      <c r="K1126" s="246">
        <v>61250</v>
      </c>
      <c r="L1126" s="246">
        <v>65800</v>
      </c>
      <c r="M1126" s="246">
        <v>70350</v>
      </c>
      <c r="N1126" s="246">
        <v>74850</v>
      </c>
    </row>
    <row r="1127" spans="3:14" ht="21.95" customHeight="1" x14ac:dyDescent="0.25">
      <c r="C1127" s="139" t="str">
        <f t="shared" si="33"/>
        <v>KY_FRANKLIN COUNTY, KY</v>
      </c>
      <c r="D1127" s="136" t="s">
        <v>88</v>
      </c>
      <c r="E1127" s="262" t="s">
        <v>3759</v>
      </c>
      <c r="F1127" s="136" t="s">
        <v>183</v>
      </c>
      <c r="G1127" s="246">
        <v>51550</v>
      </c>
      <c r="H1127" s="246">
        <v>58900</v>
      </c>
      <c r="I1127" s="246">
        <v>66250</v>
      </c>
      <c r="J1127" s="246">
        <v>73600</v>
      </c>
      <c r="K1127" s="246">
        <v>79500</v>
      </c>
      <c r="L1127" s="246">
        <v>85400</v>
      </c>
      <c r="M1127" s="246">
        <v>91300</v>
      </c>
      <c r="N1127" s="246">
        <v>97200</v>
      </c>
    </row>
    <row r="1128" spans="3:14" ht="21.95" customHeight="1" x14ac:dyDescent="0.25">
      <c r="C1128" s="139" t="str">
        <f t="shared" si="33"/>
        <v>KY_FULTON COUNTY, KY</v>
      </c>
      <c r="D1128" s="136" t="s">
        <v>88</v>
      </c>
      <c r="E1128" s="262" t="s">
        <v>3760</v>
      </c>
      <c r="F1128" s="136" t="s">
        <v>183</v>
      </c>
      <c r="G1128" s="246">
        <v>39700</v>
      </c>
      <c r="H1128" s="246">
        <v>45400</v>
      </c>
      <c r="I1128" s="246">
        <v>51050</v>
      </c>
      <c r="J1128" s="246">
        <v>56700</v>
      </c>
      <c r="K1128" s="246">
        <v>61250</v>
      </c>
      <c r="L1128" s="246">
        <v>65800</v>
      </c>
      <c r="M1128" s="246">
        <v>70350</v>
      </c>
      <c r="N1128" s="246">
        <v>74850</v>
      </c>
    </row>
    <row r="1129" spans="3:14" ht="21.95" customHeight="1" x14ac:dyDescent="0.25">
      <c r="C1129" s="139" t="str">
        <f t="shared" si="33"/>
        <v>KY_GARRARD COUNTY, KY</v>
      </c>
      <c r="D1129" s="136" t="s">
        <v>88</v>
      </c>
      <c r="E1129" s="262" t="s">
        <v>3761</v>
      </c>
      <c r="F1129" s="136" t="s">
        <v>183</v>
      </c>
      <c r="G1129" s="246">
        <v>42700</v>
      </c>
      <c r="H1129" s="246">
        <v>48800</v>
      </c>
      <c r="I1129" s="246">
        <v>54900</v>
      </c>
      <c r="J1129" s="246">
        <v>60950</v>
      </c>
      <c r="K1129" s="246">
        <v>65850</v>
      </c>
      <c r="L1129" s="246">
        <v>70750</v>
      </c>
      <c r="M1129" s="246">
        <v>75600</v>
      </c>
      <c r="N1129" s="246">
        <v>80500</v>
      </c>
    </row>
    <row r="1130" spans="3:14" ht="21.95" customHeight="1" x14ac:dyDescent="0.25">
      <c r="C1130" s="139" t="str">
        <f t="shared" si="33"/>
        <v>KY_GRANT COUNTY, KY HUD METRO FMR AREA</v>
      </c>
      <c r="D1130" s="136" t="s">
        <v>88</v>
      </c>
      <c r="E1130" s="262" t="s">
        <v>3762</v>
      </c>
      <c r="F1130" s="136" t="s">
        <v>183</v>
      </c>
      <c r="G1130" s="246">
        <v>44600</v>
      </c>
      <c r="H1130" s="246">
        <v>50950</v>
      </c>
      <c r="I1130" s="246">
        <v>57300</v>
      </c>
      <c r="J1130" s="246">
        <v>63650</v>
      </c>
      <c r="K1130" s="246">
        <v>68750</v>
      </c>
      <c r="L1130" s="246">
        <v>73850</v>
      </c>
      <c r="M1130" s="246">
        <v>78950</v>
      </c>
      <c r="N1130" s="246">
        <v>84050</v>
      </c>
    </row>
    <row r="1131" spans="3:14" ht="21.95" customHeight="1" x14ac:dyDescent="0.25">
      <c r="C1131" s="139" t="str">
        <f t="shared" si="33"/>
        <v>KY_GRAVES COUNTY, KY</v>
      </c>
      <c r="D1131" s="136" t="s">
        <v>88</v>
      </c>
      <c r="E1131" s="262" t="s">
        <v>3763</v>
      </c>
      <c r="F1131" s="136" t="s">
        <v>183</v>
      </c>
      <c r="G1131" s="246">
        <v>39700</v>
      </c>
      <c r="H1131" s="246">
        <v>45400</v>
      </c>
      <c r="I1131" s="246">
        <v>51050</v>
      </c>
      <c r="J1131" s="246">
        <v>56700</v>
      </c>
      <c r="K1131" s="246">
        <v>61250</v>
      </c>
      <c r="L1131" s="246">
        <v>65800</v>
      </c>
      <c r="M1131" s="246">
        <v>70350</v>
      </c>
      <c r="N1131" s="246">
        <v>74850</v>
      </c>
    </row>
    <row r="1132" spans="3:14" ht="21.95" customHeight="1" x14ac:dyDescent="0.25">
      <c r="C1132" s="139" t="str">
        <f t="shared" si="33"/>
        <v>KY_GRAYSON COUNTY, KY</v>
      </c>
      <c r="D1132" s="136" t="s">
        <v>88</v>
      </c>
      <c r="E1132" s="262" t="s">
        <v>3764</v>
      </c>
      <c r="F1132" s="136" t="s">
        <v>183</v>
      </c>
      <c r="G1132" s="246">
        <v>39700</v>
      </c>
      <c r="H1132" s="246">
        <v>45400</v>
      </c>
      <c r="I1132" s="246">
        <v>51050</v>
      </c>
      <c r="J1132" s="246">
        <v>56700</v>
      </c>
      <c r="K1132" s="246">
        <v>61250</v>
      </c>
      <c r="L1132" s="246">
        <v>65800</v>
      </c>
      <c r="M1132" s="246">
        <v>70350</v>
      </c>
      <c r="N1132" s="246">
        <v>74850</v>
      </c>
    </row>
    <row r="1133" spans="3:14" ht="21.95" customHeight="1" x14ac:dyDescent="0.25">
      <c r="C1133" s="139" t="str">
        <f t="shared" si="33"/>
        <v>KY_GREEN COUNTY, KY</v>
      </c>
      <c r="D1133" s="136" t="s">
        <v>88</v>
      </c>
      <c r="E1133" s="262" t="s">
        <v>3765</v>
      </c>
      <c r="F1133" s="136" t="s">
        <v>183</v>
      </c>
      <c r="G1133" s="246">
        <v>39700</v>
      </c>
      <c r="H1133" s="246">
        <v>45400</v>
      </c>
      <c r="I1133" s="246">
        <v>51050</v>
      </c>
      <c r="J1133" s="246">
        <v>56700</v>
      </c>
      <c r="K1133" s="246">
        <v>61250</v>
      </c>
      <c r="L1133" s="246">
        <v>65800</v>
      </c>
      <c r="M1133" s="246">
        <v>70350</v>
      </c>
      <c r="N1133" s="246">
        <v>74850</v>
      </c>
    </row>
    <row r="1134" spans="3:14" ht="21.95" customHeight="1" x14ac:dyDescent="0.25">
      <c r="C1134" s="139" t="str">
        <f t="shared" si="33"/>
        <v>KY_HANCOCK COUNTY, KY</v>
      </c>
      <c r="D1134" s="136" t="s">
        <v>88</v>
      </c>
      <c r="E1134" s="262" t="s">
        <v>9177</v>
      </c>
      <c r="F1134" s="136" t="s">
        <v>183</v>
      </c>
      <c r="G1134" s="246">
        <v>47700</v>
      </c>
      <c r="H1134" s="246">
        <v>54500</v>
      </c>
      <c r="I1134" s="246">
        <v>61300</v>
      </c>
      <c r="J1134" s="246">
        <v>68100</v>
      </c>
      <c r="K1134" s="246">
        <v>73550</v>
      </c>
      <c r="L1134" s="246">
        <v>79000</v>
      </c>
      <c r="M1134" s="246">
        <v>84450</v>
      </c>
      <c r="N1134" s="246">
        <v>89900</v>
      </c>
    </row>
    <row r="1135" spans="3:14" ht="21.95" customHeight="1" x14ac:dyDescent="0.25">
      <c r="C1135" s="139" t="str">
        <f t="shared" si="33"/>
        <v>KY_HARLAN COUNTY, KY</v>
      </c>
      <c r="D1135" s="136" t="s">
        <v>88</v>
      </c>
      <c r="E1135" s="262" t="s">
        <v>3766</v>
      </c>
      <c r="F1135" s="136" t="s">
        <v>183</v>
      </c>
      <c r="G1135" s="246">
        <v>39700</v>
      </c>
      <c r="H1135" s="246">
        <v>45400</v>
      </c>
      <c r="I1135" s="246">
        <v>51050</v>
      </c>
      <c r="J1135" s="246">
        <v>56700</v>
      </c>
      <c r="K1135" s="246">
        <v>61250</v>
      </c>
      <c r="L1135" s="246">
        <v>65800</v>
      </c>
      <c r="M1135" s="246">
        <v>70350</v>
      </c>
      <c r="N1135" s="246">
        <v>74850</v>
      </c>
    </row>
    <row r="1136" spans="3:14" ht="21.95" customHeight="1" x14ac:dyDescent="0.25">
      <c r="C1136" s="139" t="str">
        <f t="shared" si="33"/>
        <v>KY_HARRISON COUNTY, KY</v>
      </c>
      <c r="D1136" s="136" t="s">
        <v>88</v>
      </c>
      <c r="E1136" s="262" t="s">
        <v>3767</v>
      </c>
      <c r="F1136" s="136" t="s">
        <v>183</v>
      </c>
      <c r="G1136" s="246">
        <v>47450</v>
      </c>
      <c r="H1136" s="246">
        <v>54200</v>
      </c>
      <c r="I1136" s="246">
        <v>61000</v>
      </c>
      <c r="J1136" s="246">
        <v>67750</v>
      </c>
      <c r="K1136" s="246">
        <v>73200</v>
      </c>
      <c r="L1136" s="246">
        <v>78600</v>
      </c>
      <c r="M1136" s="246">
        <v>84050</v>
      </c>
      <c r="N1136" s="246">
        <v>89450</v>
      </c>
    </row>
    <row r="1137" spans="3:14" ht="21.95" customHeight="1" x14ac:dyDescent="0.25">
      <c r="C1137" s="139" t="str">
        <f t="shared" si="33"/>
        <v>KY_HART COUNTY, KY</v>
      </c>
      <c r="D1137" s="136" t="s">
        <v>88</v>
      </c>
      <c r="E1137" s="262" t="s">
        <v>3768</v>
      </c>
      <c r="F1137" s="136" t="s">
        <v>183</v>
      </c>
      <c r="G1137" s="246">
        <v>39700</v>
      </c>
      <c r="H1137" s="246">
        <v>45400</v>
      </c>
      <c r="I1137" s="246">
        <v>51050</v>
      </c>
      <c r="J1137" s="246">
        <v>56700</v>
      </c>
      <c r="K1137" s="246">
        <v>61250</v>
      </c>
      <c r="L1137" s="246">
        <v>65800</v>
      </c>
      <c r="M1137" s="246">
        <v>70350</v>
      </c>
      <c r="N1137" s="246">
        <v>74850</v>
      </c>
    </row>
    <row r="1138" spans="3:14" ht="21.95" customHeight="1" x14ac:dyDescent="0.25">
      <c r="C1138" s="139" t="str">
        <f t="shared" si="33"/>
        <v>KY_HENDERSON COUNTY, KY</v>
      </c>
      <c r="D1138" s="136" t="s">
        <v>88</v>
      </c>
      <c r="E1138" s="262" t="s">
        <v>9178</v>
      </c>
      <c r="F1138" s="136" t="s">
        <v>183</v>
      </c>
      <c r="G1138" s="246">
        <v>45300</v>
      </c>
      <c r="H1138" s="246">
        <v>51800</v>
      </c>
      <c r="I1138" s="246">
        <v>58250</v>
      </c>
      <c r="J1138" s="246">
        <v>64700</v>
      </c>
      <c r="K1138" s="246">
        <v>69900</v>
      </c>
      <c r="L1138" s="246">
        <v>75100</v>
      </c>
      <c r="M1138" s="246">
        <v>80250</v>
      </c>
      <c r="N1138" s="246">
        <v>85450</v>
      </c>
    </row>
    <row r="1139" spans="3:14" ht="21.95" customHeight="1" x14ac:dyDescent="0.25">
      <c r="C1139" s="139" t="str">
        <f t="shared" si="33"/>
        <v>KY_HICKMAN COUNTY, KY</v>
      </c>
      <c r="D1139" s="136" t="s">
        <v>88</v>
      </c>
      <c r="E1139" s="262" t="s">
        <v>3769</v>
      </c>
      <c r="F1139" s="136" t="s">
        <v>183</v>
      </c>
      <c r="G1139" s="246">
        <v>44600</v>
      </c>
      <c r="H1139" s="246">
        <v>50950</v>
      </c>
      <c r="I1139" s="246">
        <v>57300</v>
      </c>
      <c r="J1139" s="246">
        <v>63650</v>
      </c>
      <c r="K1139" s="246">
        <v>68750</v>
      </c>
      <c r="L1139" s="246">
        <v>73850</v>
      </c>
      <c r="M1139" s="246">
        <v>78950</v>
      </c>
      <c r="N1139" s="246">
        <v>84050</v>
      </c>
    </row>
    <row r="1140" spans="3:14" ht="21.95" customHeight="1" x14ac:dyDescent="0.25">
      <c r="C1140" s="139" t="str">
        <f t="shared" si="33"/>
        <v>KY_HOPKINS COUNTY, KY</v>
      </c>
      <c r="D1140" s="136" t="s">
        <v>88</v>
      </c>
      <c r="E1140" s="262" t="s">
        <v>3770</v>
      </c>
      <c r="F1140" s="136" t="s">
        <v>183</v>
      </c>
      <c r="G1140" s="246">
        <v>42100</v>
      </c>
      <c r="H1140" s="246">
        <v>48100</v>
      </c>
      <c r="I1140" s="246">
        <v>54100</v>
      </c>
      <c r="J1140" s="246">
        <v>60100</v>
      </c>
      <c r="K1140" s="246">
        <v>64950</v>
      </c>
      <c r="L1140" s="246">
        <v>69750</v>
      </c>
      <c r="M1140" s="246">
        <v>74550</v>
      </c>
      <c r="N1140" s="246">
        <v>79350</v>
      </c>
    </row>
    <row r="1141" spans="3:14" ht="21.95" customHeight="1" x14ac:dyDescent="0.25">
      <c r="C1141" s="139" t="str">
        <f t="shared" si="33"/>
        <v>KY_HUNTINGTON-ASHLAND, WV-KY-OH HUD METRO FMR AREA</v>
      </c>
      <c r="D1141" s="136" t="s">
        <v>88</v>
      </c>
      <c r="E1141" s="262" t="s">
        <v>3771</v>
      </c>
      <c r="F1141" s="136" t="s">
        <v>183</v>
      </c>
      <c r="G1141" s="246">
        <v>43600</v>
      </c>
      <c r="H1141" s="246">
        <v>49800</v>
      </c>
      <c r="I1141" s="246">
        <v>56050</v>
      </c>
      <c r="J1141" s="246">
        <v>62250</v>
      </c>
      <c r="K1141" s="246">
        <v>67250</v>
      </c>
      <c r="L1141" s="246">
        <v>72250</v>
      </c>
      <c r="M1141" s="246">
        <v>77200</v>
      </c>
      <c r="N1141" s="246">
        <v>82200</v>
      </c>
    </row>
    <row r="1142" spans="3:14" ht="21.95" customHeight="1" x14ac:dyDescent="0.25">
      <c r="C1142" s="139" t="str">
        <f t="shared" si="33"/>
        <v>KY_JACKSON COUNTY, KY</v>
      </c>
      <c r="D1142" s="136" t="s">
        <v>88</v>
      </c>
      <c r="E1142" s="262" t="s">
        <v>3772</v>
      </c>
      <c r="F1142" s="136" t="s">
        <v>183</v>
      </c>
      <c r="G1142" s="246">
        <v>39700</v>
      </c>
      <c r="H1142" s="246">
        <v>45400</v>
      </c>
      <c r="I1142" s="246">
        <v>51050</v>
      </c>
      <c r="J1142" s="246">
        <v>56700</v>
      </c>
      <c r="K1142" s="246">
        <v>61250</v>
      </c>
      <c r="L1142" s="246">
        <v>65800</v>
      </c>
      <c r="M1142" s="246">
        <v>70350</v>
      </c>
      <c r="N1142" s="246">
        <v>74850</v>
      </c>
    </row>
    <row r="1143" spans="3:14" ht="21.95" customHeight="1" x14ac:dyDescent="0.25">
      <c r="C1143" s="139" t="str">
        <f t="shared" si="33"/>
        <v>KY_JOHNSON COUNTY, KY</v>
      </c>
      <c r="D1143" s="136" t="s">
        <v>88</v>
      </c>
      <c r="E1143" s="262" t="s">
        <v>3773</v>
      </c>
      <c r="F1143" s="136" t="s">
        <v>183</v>
      </c>
      <c r="G1143" s="246">
        <v>39700</v>
      </c>
      <c r="H1143" s="246">
        <v>45400</v>
      </c>
      <c r="I1143" s="246">
        <v>51050</v>
      </c>
      <c r="J1143" s="246">
        <v>56700</v>
      </c>
      <c r="K1143" s="246">
        <v>61250</v>
      </c>
      <c r="L1143" s="246">
        <v>65800</v>
      </c>
      <c r="M1143" s="246">
        <v>70350</v>
      </c>
      <c r="N1143" s="246">
        <v>74850</v>
      </c>
    </row>
    <row r="1144" spans="3:14" ht="21.95" customHeight="1" x14ac:dyDescent="0.25">
      <c r="C1144" s="139" t="str">
        <f t="shared" si="33"/>
        <v>KY_KNOTT COUNTY, KY</v>
      </c>
      <c r="D1144" s="136" t="s">
        <v>88</v>
      </c>
      <c r="E1144" s="262" t="s">
        <v>3774</v>
      </c>
      <c r="F1144" s="136" t="s">
        <v>183</v>
      </c>
      <c r="G1144" s="246">
        <v>39700</v>
      </c>
      <c r="H1144" s="246">
        <v>45400</v>
      </c>
      <c r="I1144" s="246">
        <v>51050</v>
      </c>
      <c r="J1144" s="246">
        <v>56700</v>
      </c>
      <c r="K1144" s="246">
        <v>61250</v>
      </c>
      <c r="L1144" s="246">
        <v>65800</v>
      </c>
      <c r="M1144" s="246">
        <v>70350</v>
      </c>
      <c r="N1144" s="246">
        <v>74850</v>
      </c>
    </row>
    <row r="1145" spans="3:14" ht="21.95" customHeight="1" x14ac:dyDescent="0.25">
      <c r="C1145" s="139" t="str">
        <f t="shared" si="33"/>
        <v>KY_KNOX COUNTY, KY</v>
      </c>
      <c r="D1145" s="136" t="s">
        <v>88</v>
      </c>
      <c r="E1145" s="262" t="s">
        <v>3775</v>
      </c>
      <c r="F1145" s="136" t="s">
        <v>183</v>
      </c>
      <c r="G1145" s="246">
        <v>39700</v>
      </c>
      <c r="H1145" s="246">
        <v>45400</v>
      </c>
      <c r="I1145" s="246">
        <v>51050</v>
      </c>
      <c r="J1145" s="246">
        <v>56700</v>
      </c>
      <c r="K1145" s="246">
        <v>61250</v>
      </c>
      <c r="L1145" s="246">
        <v>65800</v>
      </c>
      <c r="M1145" s="246">
        <v>70350</v>
      </c>
      <c r="N1145" s="246">
        <v>74850</v>
      </c>
    </row>
    <row r="1146" spans="3:14" ht="21.95" customHeight="1" x14ac:dyDescent="0.25">
      <c r="C1146" s="139" t="str">
        <f t="shared" si="33"/>
        <v>KY_LAUREL COUNTY, KY</v>
      </c>
      <c r="D1146" s="136" t="s">
        <v>88</v>
      </c>
      <c r="E1146" s="262" t="s">
        <v>3776</v>
      </c>
      <c r="F1146" s="136" t="s">
        <v>183</v>
      </c>
      <c r="G1146" s="246">
        <v>40450</v>
      </c>
      <c r="H1146" s="246">
        <v>46200</v>
      </c>
      <c r="I1146" s="246">
        <v>52000</v>
      </c>
      <c r="J1146" s="246">
        <v>57750</v>
      </c>
      <c r="K1146" s="246">
        <v>62400</v>
      </c>
      <c r="L1146" s="246">
        <v>67000</v>
      </c>
      <c r="M1146" s="246">
        <v>71650</v>
      </c>
      <c r="N1146" s="246">
        <v>76250</v>
      </c>
    </row>
    <row r="1147" spans="3:14" ht="21.95" customHeight="1" x14ac:dyDescent="0.25">
      <c r="C1147" s="139" t="str">
        <f t="shared" si="33"/>
        <v>KY_LAWRENCE COUNTY, KY HUD METRO FMR AREA</v>
      </c>
      <c r="D1147" s="136" t="s">
        <v>88</v>
      </c>
      <c r="E1147" s="262" t="s">
        <v>9179</v>
      </c>
      <c r="F1147" s="136" t="s">
        <v>183</v>
      </c>
      <c r="G1147" s="246">
        <v>39700</v>
      </c>
      <c r="H1147" s="246">
        <v>45400</v>
      </c>
      <c r="I1147" s="246">
        <v>51050</v>
      </c>
      <c r="J1147" s="246">
        <v>56700</v>
      </c>
      <c r="K1147" s="246">
        <v>61250</v>
      </c>
      <c r="L1147" s="246">
        <v>65800</v>
      </c>
      <c r="M1147" s="246">
        <v>70350</v>
      </c>
      <c r="N1147" s="246">
        <v>74850</v>
      </c>
    </row>
    <row r="1148" spans="3:14" ht="21.95" customHeight="1" x14ac:dyDescent="0.25">
      <c r="C1148" s="139" t="str">
        <f t="shared" si="33"/>
        <v>KY_LEE COUNTY, KY</v>
      </c>
      <c r="D1148" s="136" t="s">
        <v>88</v>
      </c>
      <c r="E1148" s="262" t="s">
        <v>3777</v>
      </c>
      <c r="F1148" s="136" t="s">
        <v>183</v>
      </c>
      <c r="G1148" s="246">
        <v>39700</v>
      </c>
      <c r="H1148" s="246">
        <v>45400</v>
      </c>
      <c r="I1148" s="246">
        <v>51050</v>
      </c>
      <c r="J1148" s="246">
        <v>56700</v>
      </c>
      <c r="K1148" s="246">
        <v>61250</v>
      </c>
      <c r="L1148" s="246">
        <v>65800</v>
      </c>
      <c r="M1148" s="246">
        <v>70350</v>
      </c>
      <c r="N1148" s="246">
        <v>74850</v>
      </c>
    </row>
    <row r="1149" spans="3:14" ht="21.95" customHeight="1" x14ac:dyDescent="0.25">
      <c r="C1149" s="139" t="str">
        <f t="shared" si="33"/>
        <v>KY_LESLIE COUNTY, KY</v>
      </c>
      <c r="D1149" s="136" t="s">
        <v>88</v>
      </c>
      <c r="E1149" s="262" t="s">
        <v>3778</v>
      </c>
      <c r="F1149" s="136" t="s">
        <v>183</v>
      </c>
      <c r="G1149" s="246">
        <v>39700</v>
      </c>
      <c r="H1149" s="246">
        <v>45400</v>
      </c>
      <c r="I1149" s="246">
        <v>51050</v>
      </c>
      <c r="J1149" s="246">
        <v>56700</v>
      </c>
      <c r="K1149" s="246">
        <v>61250</v>
      </c>
      <c r="L1149" s="246">
        <v>65800</v>
      </c>
      <c r="M1149" s="246">
        <v>70350</v>
      </c>
      <c r="N1149" s="246">
        <v>74850</v>
      </c>
    </row>
    <row r="1150" spans="3:14" ht="21.95" customHeight="1" x14ac:dyDescent="0.25">
      <c r="C1150" s="139" t="str">
        <f t="shared" si="33"/>
        <v>KY_LETCHER COUNTY, KY</v>
      </c>
      <c r="D1150" s="136" t="s">
        <v>88</v>
      </c>
      <c r="E1150" s="262" t="s">
        <v>3779</v>
      </c>
      <c r="F1150" s="136" t="s">
        <v>183</v>
      </c>
      <c r="G1150" s="246">
        <v>39700</v>
      </c>
      <c r="H1150" s="246">
        <v>45400</v>
      </c>
      <c r="I1150" s="246">
        <v>51050</v>
      </c>
      <c r="J1150" s="246">
        <v>56700</v>
      </c>
      <c r="K1150" s="246">
        <v>61250</v>
      </c>
      <c r="L1150" s="246">
        <v>65800</v>
      </c>
      <c r="M1150" s="246">
        <v>70350</v>
      </c>
      <c r="N1150" s="246">
        <v>74850</v>
      </c>
    </row>
    <row r="1151" spans="3:14" ht="21.95" customHeight="1" x14ac:dyDescent="0.25">
      <c r="C1151" s="139" t="str">
        <f t="shared" si="33"/>
        <v>KY_LEWIS COUNTY, KY</v>
      </c>
      <c r="D1151" s="136" t="s">
        <v>88</v>
      </c>
      <c r="E1151" s="262" t="s">
        <v>3780</v>
      </c>
      <c r="F1151" s="136" t="s">
        <v>183</v>
      </c>
      <c r="G1151" s="246">
        <v>39700</v>
      </c>
      <c r="H1151" s="246">
        <v>45400</v>
      </c>
      <c r="I1151" s="246">
        <v>51050</v>
      </c>
      <c r="J1151" s="246">
        <v>56700</v>
      </c>
      <c r="K1151" s="246">
        <v>61250</v>
      </c>
      <c r="L1151" s="246">
        <v>65800</v>
      </c>
      <c r="M1151" s="246">
        <v>70350</v>
      </c>
      <c r="N1151" s="246">
        <v>74850</v>
      </c>
    </row>
    <row r="1152" spans="3:14" ht="21.95" customHeight="1" x14ac:dyDescent="0.25">
      <c r="C1152" s="139" t="str">
        <f t="shared" ref="C1152:C1215" si="34">TRIM(UPPER(D1152))&amp;"_"&amp;TRIM(UPPER(E1152))</f>
        <v>KY_LEXINGTON-FAYETTE, KY MSA</v>
      </c>
      <c r="D1152" s="136" t="s">
        <v>88</v>
      </c>
      <c r="E1152" s="262" t="s">
        <v>3781</v>
      </c>
      <c r="F1152" s="136" t="s">
        <v>183</v>
      </c>
      <c r="G1152" s="246">
        <v>57350</v>
      </c>
      <c r="H1152" s="246">
        <v>65550</v>
      </c>
      <c r="I1152" s="246">
        <v>73750</v>
      </c>
      <c r="J1152" s="246">
        <v>81900</v>
      </c>
      <c r="K1152" s="246">
        <v>88500</v>
      </c>
      <c r="L1152" s="246">
        <v>95050</v>
      </c>
      <c r="M1152" s="246">
        <v>101600</v>
      </c>
      <c r="N1152" s="246">
        <v>108150</v>
      </c>
    </row>
    <row r="1153" spans="3:14" ht="21.95" customHeight="1" x14ac:dyDescent="0.25">
      <c r="C1153" s="139" t="str">
        <f t="shared" si="34"/>
        <v>KY_LINCOLN COUNTY, KY</v>
      </c>
      <c r="D1153" s="136" t="s">
        <v>88</v>
      </c>
      <c r="E1153" s="262" t="s">
        <v>3782</v>
      </c>
      <c r="F1153" s="136" t="s">
        <v>183</v>
      </c>
      <c r="G1153" s="246">
        <v>39700</v>
      </c>
      <c r="H1153" s="246">
        <v>45400</v>
      </c>
      <c r="I1153" s="246">
        <v>51050</v>
      </c>
      <c r="J1153" s="246">
        <v>56700</v>
      </c>
      <c r="K1153" s="246">
        <v>61250</v>
      </c>
      <c r="L1153" s="246">
        <v>65800</v>
      </c>
      <c r="M1153" s="246">
        <v>70350</v>
      </c>
      <c r="N1153" s="246">
        <v>74850</v>
      </c>
    </row>
    <row r="1154" spans="3:14" ht="21.95" customHeight="1" x14ac:dyDescent="0.25">
      <c r="C1154" s="139" t="str">
        <f t="shared" si="34"/>
        <v>KY_LIVINGSTON COUNTY, KY HUD METRO FMR AREA</v>
      </c>
      <c r="D1154" s="136" t="s">
        <v>88</v>
      </c>
      <c r="E1154" s="262" t="s">
        <v>9180</v>
      </c>
      <c r="F1154" s="136" t="s">
        <v>183</v>
      </c>
      <c r="G1154" s="246">
        <v>43850</v>
      </c>
      <c r="H1154" s="246">
        <v>50100</v>
      </c>
      <c r="I1154" s="246">
        <v>56350</v>
      </c>
      <c r="J1154" s="246">
        <v>62600</v>
      </c>
      <c r="K1154" s="246">
        <v>67650</v>
      </c>
      <c r="L1154" s="246">
        <v>72650</v>
      </c>
      <c r="M1154" s="246">
        <v>77650</v>
      </c>
      <c r="N1154" s="246">
        <v>82650</v>
      </c>
    </row>
    <row r="1155" spans="3:14" ht="21.95" customHeight="1" x14ac:dyDescent="0.25">
      <c r="C1155" s="139" t="str">
        <f t="shared" si="34"/>
        <v>KY_LOGAN COUNTY, KY</v>
      </c>
      <c r="D1155" s="136" t="s">
        <v>88</v>
      </c>
      <c r="E1155" s="262" t="s">
        <v>3783</v>
      </c>
      <c r="F1155" s="136" t="s">
        <v>183</v>
      </c>
      <c r="G1155" s="246">
        <v>45300</v>
      </c>
      <c r="H1155" s="246">
        <v>51750</v>
      </c>
      <c r="I1155" s="246">
        <v>58200</v>
      </c>
      <c r="J1155" s="246">
        <v>64650</v>
      </c>
      <c r="K1155" s="246">
        <v>69850</v>
      </c>
      <c r="L1155" s="246">
        <v>75000</v>
      </c>
      <c r="M1155" s="246">
        <v>80200</v>
      </c>
      <c r="N1155" s="246">
        <v>85350</v>
      </c>
    </row>
    <row r="1156" spans="3:14" ht="21.95" customHeight="1" x14ac:dyDescent="0.25">
      <c r="C1156" s="139" t="str">
        <f t="shared" si="34"/>
        <v>KY_LOUISVILLE, KY-IN HUD METRO FMR AREA</v>
      </c>
      <c r="D1156" s="136" t="s">
        <v>88</v>
      </c>
      <c r="E1156" s="262" t="s">
        <v>3611</v>
      </c>
      <c r="F1156" s="136" t="s">
        <v>183</v>
      </c>
      <c r="G1156" s="246">
        <v>54150</v>
      </c>
      <c r="H1156" s="246">
        <v>61850</v>
      </c>
      <c r="I1156" s="246">
        <v>69600</v>
      </c>
      <c r="J1156" s="246">
        <v>77300</v>
      </c>
      <c r="K1156" s="246">
        <v>83500</v>
      </c>
      <c r="L1156" s="246">
        <v>89700</v>
      </c>
      <c r="M1156" s="246">
        <v>95900</v>
      </c>
      <c r="N1156" s="246">
        <v>102050</v>
      </c>
    </row>
    <row r="1157" spans="3:14" ht="21.95" customHeight="1" x14ac:dyDescent="0.25">
      <c r="C1157" s="139" t="str">
        <f t="shared" si="34"/>
        <v>KY_LYON COUNTY, KY</v>
      </c>
      <c r="D1157" s="136" t="s">
        <v>88</v>
      </c>
      <c r="E1157" s="262" t="s">
        <v>3784</v>
      </c>
      <c r="F1157" s="136" t="s">
        <v>183</v>
      </c>
      <c r="G1157" s="246">
        <v>50050</v>
      </c>
      <c r="H1157" s="246">
        <v>57200</v>
      </c>
      <c r="I1157" s="246">
        <v>64350</v>
      </c>
      <c r="J1157" s="246">
        <v>71450</v>
      </c>
      <c r="K1157" s="246">
        <v>77200</v>
      </c>
      <c r="L1157" s="246">
        <v>82900</v>
      </c>
      <c r="M1157" s="246">
        <v>88600</v>
      </c>
      <c r="N1157" s="246">
        <v>94350</v>
      </c>
    </row>
    <row r="1158" spans="3:14" ht="21.95" customHeight="1" x14ac:dyDescent="0.25">
      <c r="C1158" s="139" t="str">
        <f t="shared" si="34"/>
        <v>KY_MADISON COUNTY, KY</v>
      </c>
      <c r="D1158" s="136" t="s">
        <v>88</v>
      </c>
      <c r="E1158" s="262" t="s">
        <v>3785</v>
      </c>
      <c r="F1158" s="136" t="s">
        <v>183</v>
      </c>
      <c r="G1158" s="246">
        <v>49500</v>
      </c>
      <c r="H1158" s="246">
        <v>56600</v>
      </c>
      <c r="I1158" s="246">
        <v>63650</v>
      </c>
      <c r="J1158" s="246">
        <v>70700</v>
      </c>
      <c r="K1158" s="246">
        <v>76400</v>
      </c>
      <c r="L1158" s="246">
        <v>82050</v>
      </c>
      <c r="M1158" s="246">
        <v>87700</v>
      </c>
      <c r="N1158" s="246">
        <v>93350</v>
      </c>
    </row>
    <row r="1159" spans="3:14" ht="21.95" customHeight="1" x14ac:dyDescent="0.25">
      <c r="C1159" s="139" t="str">
        <f t="shared" si="34"/>
        <v>KY_MAGOFFIN COUNTY, KY</v>
      </c>
      <c r="D1159" s="136" t="s">
        <v>88</v>
      </c>
      <c r="E1159" s="262" t="s">
        <v>3786</v>
      </c>
      <c r="F1159" s="136" t="s">
        <v>183</v>
      </c>
      <c r="G1159" s="246">
        <v>39700</v>
      </c>
      <c r="H1159" s="246">
        <v>45400</v>
      </c>
      <c r="I1159" s="246">
        <v>51050</v>
      </c>
      <c r="J1159" s="246">
        <v>56700</v>
      </c>
      <c r="K1159" s="246">
        <v>61250</v>
      </c>
      <c r="L1159" s="246">
        <v>65800</v>
      </c>
      <c r="M1159" s="246">
        <v>70350</v>
      </c>
      <c r="N1159" s="246">
        <v>74850</v>
      </c>
    </row>
    <row r="1160" spans="3:14" ht="21.95" customHeight="1" x14ac:dyDescent="0.25">
      <c r="C1160" s="139" t="str">
        <f t="shared" si="34"/>
        <v>KY_MARION COUNTY, KY</v>
      </c>
      <c r="D1160" s="136" t="s">
        <v>88</v>
      </c>
      <c r="E1160" s="262" t="s">
        <v>3787</v>
      </c>
      <c r="F1160" s="136" t="s">
        <v>183</v>
      </c>
      <c r="G1160" s="246">
        <v>41400</v>
      </c>
      <c r="H1160" s="246">
        <v>47300</v>
      </c>
      <c r="I1160" s="246">
        <v>53200</v>
      </c>
      <c r="J1160" s="246">
        <v>59100</v>
      </c>
      <c r="K1160" s="246">
        <v>63850</v>
      </c>
      <c r="L1160" s="246">
        <v>68600</v>
      </c>
      <c r="M1160" s="246">
        <v>73300</v>
      </c>
      <c r="N1160" s="246">
        <v>78050</v>
      </c>
    </row>
    <row r="1161" spans="3:14" ht="21.95" customHeight="1" x14ac:dyDescent="0.25">
      <c r="C1161" s="139" t="str">
        <f t="shared" si="34"/>
        <v>KY_MARSHALL COUNTY, KY</v>
      </c>
      <c r="D1161" s="136" t="s">
        <v>88</v>
      </c>
      <c r="E1161" s="262" t="s">
        <v>3788</v>
      </c>
      <c r="F1161" s="136" t="s">
        <v>183</v>
      </c>
      <c r="G1161" s="246">
        <v>47150</v>
      </c>
      <c r="H1161" s="246">
        <v>53900</v>
      </c>
      <c r="I1161" s="246">
        <v>60650</v>
      </c>
      <c r="J1161" s="246">
        <v>67350</v>
      </c>
      <c r="K1161" s="246">
        <v>72750</v>
      </c>
      <c r="L1161" s="246">
        <v>78150</v>
      </c>
      <c r="M1161" s="246">
        <v>83550</v>
      </c>
      <c r="N1161" s="246">
        <v>88950</v>
      </c>
    </row>
    <row r="1162" spans="3:14" ht="21.95" customHeight="1" x14ac:dyDescent="0.25">
      <c r="C1162" s="139" t="str">
        <f t="shared" si="34"/>
        <v>KY_MARTIN COUNTY, KY</v>
      </c>
      <c r="D1162" s="136" t="s">
        <v>88</v>
      </c>
      <c r="E1162" s="262" t="s">
        <v>3789</v>
      </c>
      <c r="F1162" s="136" t="s">
        <v>183</v>
      </c>
      <c r="G1162" s="246">
        <v>39700</v>
      </c>
      <c r="H1162" s="246">
        <v>45400</v>
      </c>
      <c r="I1162" s="246">
        <v>51050</v>
      </c>
      <c r="J1162" s="246">
        <v>56700</v>
      </c>
      <c r="K1162" s="246">
        <v>61250</v>
      </c>
      <c r="L1162" s="246">
        <v>65800</v>
      </c>
      <c r="M1162" s="246">
        <v>70350</v>
      </c>
      <c r="N1162" s="246">
        <v>74850</v>
      </c>
    </row>
    <row r="1163" spans="3:14" ht="21.95" customHeight="1" x14ac:dyDescent="0.25">
      <c r="C1163" s="139" t="str">
        <f t="shared" si="34"/>
        <v>KY_MASON COUNTY, KY</v>
      </c>
      <c r="D1163" s="136" t="s">
        <v>88</v>
      </c>
      <c r="E1163" s="262" t="s">
        <v>3790</v>
      </c>
      <c r="F1163" s="136" t="s">
        <v>183</v>
      </c>
      <c r="G1163" s="246">
        <v>40150</v>
      </c>
      <c r="H1163" s="246">
        <v>45850</v>
      </c>
      <c r="I1163" s="246">
        <v>51600</v>
      </c>
      <c r="J1163" s="246">
        <v>57300</v>
      </c>
      <c r="K1163" s="246">
        <v>61900</v>
      </c>
      <c r="L1163" s="246">
        <v>66500</v>
      </c>
      <c r="M1163" s="246">
        <v>71100</v>
      </c>
      <c r="N1163" s="246">
        <v>75650</v>
      </c>
    </row>
    <row r="1164" spans="3:14" ht="21.95" customHeight="1" x14ac:dyDescent="0.25">
      <c r="C1164" s="139" t="str">
        <f t="shared" si="34"/>
        <v>KY_MCCRACKEN COUNTY, KY HUD METRO FMR AREA</v>
      </c>
      <c r="D1164" s="136" t="s">
        <v>88</v>
      </c>
      <c r="E1164" s="262" t="s">
        <v>9181</v>
      </c>
      <c r="F1164" s="136" t="s">
        <v>183</v>
      </c>
      <c r="G1164" s="246">
        <v>50550</v>
      </c>
      <c r="H1164" s="246">
        <v>57750</v>
      </c>
      <c r="I1164" s="246">
        <v>64950</v>
      </c>
      <c r="J1164" s="246">
        <v>72150</v>
      </c>
      <c r="K1164" s="246">
        <v>77950</v>
      </c>
      <c r="L1164" s="246">
        <v>83700</v>
      </c>
      <c r="M1164" s="246">
        <v>89500</v>
      </c>
      <c r="N1164" s="246">
        <v>95250</v>
      </c>
    </row>
    <row r="1165" spans="3:14" ht="21.95" customHeight="1" x14ac:dyDescent="0.25">
      <c r="C1165" s="139" t="str">
        <f t="shared" si="34"/>
        <v>KY_MCCREARY COUNTY, KY</v>
      </c>
      <c r="D1165" s="136" t="s">
        <v>88</v>
      </c>
      <c r="E1165" s="262" t="s">
        <v>3791</v>
      </c>
      <c r="F1165" s="136" t="s">
        <v>183</v>
      </c>
      <c r="G1165" s="246">
        <v>39700</v>
      </c>
      <c r="H1165" s="246">
        <v>45400</v>
      </c>
      <c r="I1165" s="246">
        <v>51050</v>
      </c>
      <c r="J1165" s="246">
        <v>56700</v>
      </c>
      <c r="K1165" s="246">
        <v>61250</v>
      </c>
      <c r="L1165" s="246">
        <v>65800</v>
      </c>
      <c r="M1165" s="246">
        <v>70350</v>
      </c>
      <c r="N1165" s="246">
        <v>74850</v>
      </c>
    </row>
    <row r="1166" spans="3:14" ht="21.95" customHeight="1" x14ac:dyDescent="0.25">
      <c r="C1166" s="139" t="str">
        <f t="shared" si="34"/>
        <v>KY_MEADE COUNTY, KY HUD METRO FMR AREA</v>
      </c>
      <c r="D1166" s="136" t="s">
        <v>88</v>
      </c>
      <c r="E1166" s="262" t="s">
        <v>3792</v>
      </c>
      <c r="F1166" s="136" t="s">
        <v>183</v>
      </c>
      <c r="G1166" s="246">
        <v>48650</v>
      </c>
      <c r="H1166" s="246">
        <v>55600</v>
      </c>
      <c r="I1166" s="246">
        <v>62550</v>
      </c>
      <c r="J1166" s="246">
        <v>69450</v>
      </c>
      <c r="K1166" s="246">
        <v>75050</v>
      </c>
      <c r="L1166" s="246">
        <v>80600</v>
      </c>
      <c r="M1166" s="246">
        <v>86150</v>
      </c>
      <c r="N1166" s="246">
        <v>91700</v>
      </c>
    </row>
    <row r="1167" spans="3:14" ht="21.95" customHeight="1" x14ac:dyDescent="0.25">
      <c r="C1167" s="139" t="str">
        <f t="shared" si="34"/>
        <v>KY_MENIFEE COUNTY, KY</v>
      </c>
      <c r="D1167" s="136" t="s">
        <v>88</v>
      </c>
      <c r="E1167" s="262" t="s">
        <v>3793</v>
      </c>
      <c r="F1167" s="136" t="s">
        <v>183</v>
      </c>
      <c r="G1167" s="246">
        <v>39700</v>
      </c>
      <c r="H1167" s="246">
        <v>45400</v>
      </c>
      <c r="I1167" s="246">
        <v>51050</v>
      </c>
      <c r="J1167" s="246">
        <v>56700</v>
      </c>
      <c r="K1167" s="246">
        <v>61250</v>
      </c>
      <c r="L1167" s="246">
        <v>65800</v>
      </c>
      <c r="M1167" s="246">
        <v>70350</v>
      </c>
      <c r="N1167" s="246">
        <v>74850</v>
      </c>
    </row>
    <row r="1168" spans="3:14" ht="21.95" customHeight="1" x14ac:dyDescent="0.25">
      <c r="C1168" s="139" t="str">
        <f t="shared" si="34"/>
        <v>KY_MERCER COUNTY, KY</v>
      </c>
      <c r="D1168" s="136" t="s">
        <v>88</v>
      </c>
      <c r="E1168" s="262" t="s">
        <v>3794</v>
      </c>
      <c r="F1168" s="136" t="s">
        <v>183</v>
      </c>
      <c r="G1168" s="246">
        <v>50900</v>
      </c>
      <c r="H1168" s="246">
        <v>58200</v>
      </c>
      <c r="I1168" s="246">
        <v>65450</v>
      </c>
      <c r="J1168" s="246">
        <v>72700</v>
      </c>
      <c r="K1168" s="246">
        <v>78550</v>
      </c>
      <c r="L1168" s="246">
        <v>84350</v>
      </c>
      <c r="M1168" s="246">
        <v>90150</v>
      </c>
      <c r="N1168" s="246">
        <v>96000</v>
      </c>
    </row>
    <row r="1169" spans="3:14" ht="21.95" customHeight="1" x14ac:dyDescent="0.25">
      <c r="C1169" s="139" t="str">
        <f t="shared" si="34"/>
        <v>KY_METCALFE COUNTY, KY</v>
      </c>
      <c r="D1169" s="136" t="s">
        <v>88</v>
      </c>
      <c r="E1169" s="262" t="s">
        <v>3795</v>
      </c>
      <c r="F1169" s="136" t="s">
        <v>183</v>
      </c>
      <c r="G1169" s="246">
        <v>39700</v>
      </c>
      <c r="H1169" s="246">
        <v>45400</v>
      </c>
      <c r="I1169" s="246">
        <v>51050</v>
      </c>
      <c r="J1169" s="246">
        <v>56700</v>
      </c>
      <c r="K1169" s="246">
        <v>61250</v>
      </c>
      <c r="L1169" s="246">
        <v>65800</v>
      </c>
      <c r="M1169" s="246">
        <v>70350</v>
      </c>
      <c r="N1169" s="246">
        <v>74850</v>
      </c>
    </row>
    <row r="1170" spans="3:14" ht="21.95" customHeight="1" x14ac:dyDescent="0.25">
      <c r="C1170" s="139" t="str">
        <f t="shared" si="34"/>
        <v>KY_MONROE COUNTY, KY</v>
      </c>
      <c r="D1170" s="136" t="s">
        <v>88</v>
      </c>
      <c r="E1170" s="262" t="s">
        <v>3796</v>
      </c>
      <c r="F1170" s="136" t="s">
        <v>183</v>
      </c>
      <c r="G1170" s="246">
        <v>39700</v>
      </c>
      <c r="H1170" s="246">
        <v>45400</v>
      </c>
      <c r="I1170" s="246">
        <v>51050</v>
      </c>
      <c r="J1170" s="246">
        <v>56700</v>
      </c>
      <c r="K1170" s="246">
        <v>61250</v>
      </c>
      <c r="L1170" s="246">
        <v>65800</v>
      </c>
      <c r="M1170" s="246">
        <v>70350</v>
      </c>
      <c r="N1170" s="246">
        <v>74850</v>
      </c>
    </row>
    <row r="1171" spans="3:14" ht="21.95" customHeight="1" x14ac:dyDescent="0.25">
      <c r="C1171" s="139" t="str">
        <f t="shared" si="34"/>
        <v>KY_MONTGOMERY COUNTY, KY</v>
      </c>
      <c r="D1171" s="136" t="s">
        <v>88</v>
      </c>
      <c r="E1171" s="262" t="s">
        <v>3797</v>
      </c>
      <c r="F1171" s="136" t="s">
        <v>183</v>
      </c>
      <c r="G1171" s="246">
        <v>43800</v>
      </c>
      <c r="H1171" s="246">
        <v>50050</v>
      </c>
      <c r="I1171" s="246">
        <v>56300</v>
      </c>
      <c r="J1171" s="246">
        <v>62550</v>
      </c>
      <c r="K1171" s="246">
        <v>67600</v>
      </c>
      <c r="L1171" s="246">
        <v>72600</v>
      </c>
      <c r="M1171" s="246">
        <v>77600</v>
      </c>
      <c r="N1171" s="246">
        <v>82600</v>
      </c>
    </row>
    <row r="1172" spans="3:14" ht="21.95" customHeight="1" x14ac:dyDescent="0.25">
      <c r="C1172" s="139" t="str">
        <f t="shared" si="34"/>
        <v>KY_MORGAN COUNTY, KY</v>
      </c>
      <c r="D1172" s="136" t="s">
        <v>88</v>
      </c>
      <c r="E1172" s="262" t="s">
        <v>3798</v>
      </c>
      <c r="F1172" s="136" t="s">
        <v>183</v>
      </c>
      <c r="G1172" s="246">
        <v>39700</v>
      </c>
      <c r="H1172" s="246">
        <v>45400</v>
      </c>
      <c r="I1172" s="246">
        <v>51050</v>
      </c>
      <c r="J1172" s="246">
        <v>56700</v>
      </c>
      <c r="K1172" s="246">
        <v>61250</v>
      </c>
      <c r="L1172" s="246">
        <v>65800</v>
      </c>
      <c r="M1172" s="246">
        <v>70350</v>
      </c>
      <c r="N1172" s="246">
        <v>74850</v>
      </c>
    </row>
    <row r="1173" spans="3:14" ht="21.95" customHeight="1" x14ac:dyDescent="0.25">
      <c r="C1173" s="139" t="str">
        <f t="shared" si="34"/>
        <v>KY_MUHLENBERG COUNTY, KY</v>
      </c>
      <c r="D1173" s="136" t="s">
        <v>88</v>
      </c>
      <c r="E1173" s="262" t="s">
        <v>3799</v>
      </c>
      <c r="F1173" s="136" t="s">
        <v>183</v>
      </c>
      <c r="G1173" s="246">
        <v>42500</v>
      </c>
      <c r="H1173" s="246">
        <v>48550</v>
      </c>
      <c r="I1173" s="246">
        <v>54600</v>
      </c>
      <c r="J1173" s="246">
        <v>60650</v>
      </c>
      <c r="K1173" s="246">
        <v>65550</v>
      </c>
      <c r="L1173" s="246">
        <v>70400</v>
      </c>
      <c r="M1173" s="246">
        <v>75250</v>
      </c>
      <c r="N1173" s="246">
        <v>80100</v>
      </c>
    </row>
    <row r="1174" spans="3:14" ht="21.95" customHeight="1" x14ac:dyDescent="0.25">
      <c r="C1174" s="139" t="str">
        <f t="shared" si="34"/>
        <v>KY_NELSON COUNTY, KY HUD METRO FMR AREA</v>
      </c>
      <c r="D1174" s="136" t="s">
        <v>88</v>
      </c>
      <c r="E1174" s="262" t="s">
        <v>9182</v>
      </c>
      <c r="F1174" s="136" t="s">
        <v>183</v>
      </c>
      <c r="G1174" s="246">
        <v>49000</v>
      </c>
      <c r="H1174" s="246">
        <v>56000</v>
      </c>
      <c r="I1174" s="246">
        <v>63000</v>
      </c>
      <c r="J1174" s="246">
        <v>70000</v>
      </c>
      <c r="K1174" s="246">
        <v>75600</v>
      </c>
      <c r="L1174" s="246">
        <v>81200</v>
      </c>
      <c r="M1174" s="246">
        <v>86800</v>
      </c>
      <c r="N1174" s="246">
        <v>92400</v>
      </c>
    </row>
    <row r="1175" spans="3:14" ht="21.95" customHeight="1" x14ac:dyDescent="0.25">
      <c r="C1175" s="139" t="str">
        <f t="shared" si="34"/>
        <v>KY_NICHOLAS COUNTY, KY</v>
      </c>
      <c r="D1175" s="136" t="s">
        <v>88</v>
      </c>
      <c r="E1175" s="262" t="s">
        <v>3800</v>
      </c>
      <c r="F1175" s="136" t="s">
        <v>183</v>
      </c>
      <c r="G1175" s="246">
        <v>41250</v>
      </c>
      <c r="H1175" s="246">
        <v>47150</v>
      </c>
      <c r="I1175" s="246">
        <v>53050</v>
      </c>
      <c r="J1175" s="246">
        <v>58900</v>
      </c>
      <c r="K1175" s="246">
        <v>63650</v>
      </c>
      <c r="L1175" s="246">
        <v>68350</v>
      </c>
      <c r="M1175" s="246">
        <v>73050</v>
      </c>
      <c r="N1175" s="246">
        <v>77750</v>
      </c>
    </row>
    <row r="1176" spans="3:14" ht="21.95" customHeight="1" x14ac:dyDescent="0.25">
      <c r="C1176" s="139" t="str">
        <f t="shared" si="34"/>
        <v>KY_OHIO COUNTY, KY</v>
      </c>
      <c r="D1176" s="136" t="s">
        <v>88</v>
      </c>
      <c r="E1176" s="262" t="s">
        <v>3801</v>
      </c>
      <c r="F1176" s="136" t="s">
        <v>183</v>
      </c>
      <c r="G1176" s="246">
        <v>39700</v>
      </c>
      <c r="H1176" s="246">
        <v>45400</v>
      </c>
      <c r="I1176" s="246">
        <v>51050</v>
      </c>
      <c r="J1176" s="246">
        <v>56700</v>
      </c>
      <c r="K1176" s="246">
        <v>61250</v>
      </c>
      <c r="L1176" s="246">
        <v>65800</v>
      </c>
      <c r="M1176" s="246">
        <v>70350</v>
      </c>
      <c r="N1176" s="246">
        <v>74850</v>
      </c>
    </row>
    <row r="1177" spans="3:14" ht="21.95" customHeight="1" x14ac:dyDescent="0.25">
      <c r="C1177" s="139" t="str">
        <f t="shared" si="34"/>
        <v>KY_OWEN COUNTY, KY</v>
      </c>
      <c r="D1177" s="136" t="s">
        <v>88</v>
      </c>
      <c r="E1177" s="262" t="s">
        <v>3802</v>
      </c>
      <c r="F1177" s="136" t="s">
        <v>183</v>
      </c>
      <c r="G1177" s="246">
        <v>44050</v>
      </c>
      <c r="H1177" s="246">
        <v>50350</v>
      </c>
      <c r="I1177" s="246">
        <v>56650</v>
      </c>
      <c r="J1177" s="246">
        <v>62900</v>
      </c>
      <c r="K1177" s="246">
        <v>67950</v>
      </c>
      <c r="L1177" s="246">
        <v>73000</v>
      </c>
      <c r="M1177" s="246">
        <v>78000</v>
      </c>
      <c r="N1177" s="246">
        <v>83050</v>
      </c>
    </row>
    <row r="1178" spans="3:14" ht="21.95" customHeight="1" x14ac:dyDescent="0.25">
      <c r="C1178" s="139" t="str">
        <f t="shared" si="34"/>
        <v>KY_OWENSBORO, KY MSA</v>
      </c>
      <c r="D1178" s="136" t="s">
        <v>88</v>
      </c>
      <c r="E1178" s="262" t="s">
        <v>3803</v>
      </c>
      <c r="F1178" s="136" t="s">
        <v>183</v>
      </c>
      <c r="G1178" s="246">
        <v>48300</v>
      </c>
      <c r="H1178" s="246">
        <v>55200</v>
      </c>
      <c r="I1178" s="246">
        <v>62100</v>
      </c>
      <c r="J1178" s="246">
        <v>68950</v>
      </c>
      <c r="K1178" s="246">
        <v>74500</v>
      </c>
      <c r="L1178" s="246">
        <v>80000</v>
      </c>
      <c r="M1178" s="246">
        <v>85500</v>
      </c>
      <c r="N1178" s="246">
        <v>91050</v>
      </c>
    </row>
    <row r="1179" spans="3:14" ht="21.95" customHeight="1" x14ac:dyDescent="0.25">
      <c r="C1179" s="139" t="str">
        <f t="shared" si="34"/>
        <v>KY_OWSLEY COUNTY, KY</v>
      </c>
      <c r="D1179" s="136" t="s">
        <v>88</v>
      </c>
      <c r="E1179" s="262" t="s">
        <v>3804</v>
      </c>
      <c r="F1179" s="136" t="s">
        <v>183</v>
      </c>
      <c r="G1179" s="246">
        <v>39700</v>
      </c>
      <c r="H1179" s="246">
        <v>45400</v>
      </c>
      <c r="I1179" s="246">
        <v>51050</v>
      </c>
      <c r="J1179" s="246">
        <v>56700</v>
      </c>
      <c r="K1179" s="246">
        <v>61250</v>
      </c>
      <c r="L1179" s="246">
        <v>65800</v>
      </c>
      <c r="M1179" s="246">
        <v>70350</v>
      </c>
      <c r="N1179" s="246">
        <v>74850</v>
      </c>
    </row>
    <row r="1180" spans="3:14" ht="21.95" customHeight="1" x14ac:dyDescent="0.25">
      <c r="C1180" s="139" t="str">
        <f t="shared" si="34"/>
        <v>KY_PERRY COUNTY, KY</v>
      </c>
      <c r="D1180" s="136" t="s">
        <v>88</v>
      </c>
      <c r="E1180" s="262" t="s">
        <v>3805</v>
      </c>
      <c r="F1180" s="136" t="s">
        <v>183</v>
      </c>
      <c r="G1180" s="246">
        <v>39700</v>
      </c>
      <c r="H1180" s="246">
        <v>45400</v>
      </c>
      <c r="I1180" s="246">
        <v>51050</v>
      </c>
      <c r="J1180" s="246">
        <v>56700</v>
      </c>
      <c r="K1180" s="246">
        <v>61250</v>
      </c>
      <c r="L1180" s="246">
        <v>65800</v>
      </c>
      <c r="M1180" s="246">
        <v>70350</v>
      </c>
      <c r="N1180" s="246">
        <v>74850</v>
      </c>
    </row>
    <row r="1181" spans="3:14" ht="21.95" customHeight="1" x14ac:dyDescent="0.25">
      <c r="C1181" s="139" t="str">
        <f t="shared" si="34"/>
        <v>KY_PIKE COUNTY, KY</v>
      </c>
      <c r="D1181" s="136" t="s">
        <v>88</v>
      </c>
      <c r="E1181" s="262" t="s">
        <v>3806</v>
      </c>
      <c r="F1181" s="136" t="s">
        <v>183</v>
      </c>
      <c r="G1181" s="246">
        <v>39700</v>
      </c>
      <c r="H1181" s="246">
        <v>45400</v>
      </c>
      <c r="I1181" s="246">
        <v>51050</v>
      </c>
      <c r="J1181" s="246">
        <v>56700</v>
      </c>
      <c r="K1181" s="246">
        <v>61250</v>
      </c>
      <c r="L1181" s="246">
        <v>65800</v>
      </c>
      <c r="M1181" s="246">
        <v>70350</v>
      </c>
      <c r="N1181" s="246">
        <v>74850</v>
      </c>
    </row>
    <row r="1182" spans="3:14" ht="21.95" customHeight="1" x14ac:dyDescent="0.25">
      <c r="C1182" s="139" t="str">
        <f t="shared" si="34"/>
        <v>KY_POWELL COUNTY, KY</v>
      </c>
      <c r="D1182" s="136" t="s">
        <v>88</v>
      </c>
      <c r="E1182" s="262" t="s">
        <v>3807</v>
      </c>
      <c r="F1182" s="136" t="s">
        <v>183</v>
      </c>
      <c r="G1182" s="246">
        <v>43050</v>
      </c>
      <c r="H1182" s="246">
        <v>49200</v>
      </c>
      <c r="I1182" s="246">
        <v>55350</v>
      </c>
      <c r="J1182" s="246">
        <v>61450</v>
      </c>
      <c r="K1182" s="246">
        <v>66400</v>
      </c>
      <c r="L1182" s="246">
        <v>71300</v>
      </c>
      <c r="M1182" s="246">
        <v>76200</v>
      </c>
      <c r="N1182" s="246">
        <v>81150</v>
      </c>
    </row>
    <row r="1183" spans="3:14" ht="21.95" customHeight="1" x14ac:dyDescent="0.25">
      <c r="C1183" s="139" t="str">
        <f t="shared" si="34"/>
        <v>KY_PULASKI COUNTY, KY</v>
      </c>
      <c r="D1183" s="136" t="s">
        <v>88</v>
      </c>
      <c r="E1183" s="262" t="s">
        <v>3808</v>
      </c>
      <c r="F1183" s="136" t="s">
        <v>183</v>
      </c>
      <c r="G1183" s="246">
        <v>40150</v>
      </c>
      <c r="H1183" s="246">
        <v>45850</v>
      </c>
      <c r="I1183" s="246">
        <v>51600</v>
      </c>
      <c r="J1183" s="246">
        <v>57300</v>
      </c>
      <c r="K1183" s="246">
        <v>61900</v>
      </c>
      <c r="L1183" s="246">
        <v>66500</v>
      </c>
      <c r="M1183" s="246">
        <v>71100</v>
      </c>
      <c r="N1183" s="246">
        <v>75650</v>
      </c>
    </row>
    <row r="1184" spans="3:14" ht="21.95" customHeight="1" x14ac:dyDescent="0.25">
      <c r="C1184" s="139" t="str">
        <f t="shared" si="34"/>
        <v>KY_ROBERTSON COUNTY, KY</v>
      </c>
      <c r="D1184" s="136" t="s">
        <v>88</v>
      </c>
      <c r="E1184" s="262" t="s">
        <v>3809</v>
      </c>
      <c r="F1184" s="136" t="s">
        <v>183</v>
      </c>
      <c r="G1184" s="246">
        <v>39700</v>
      </c>
      <c r="H1184" s="246">
        <v>45400</v>
      </c>
      <c r="I1184" s="246">
        <v>51050</v>
      </c>
      <c r="J1184" s="246">
        <v>56700</v>
      </c>
      <c r="K1184" s="246">
        <v>61250</v>
      </c>
      <c r="L1184" s="246">
        <v>65800</v>
      </c>
      <c r="M1184" s="246">
        <v>70350</v>
      </c>
      <c r="N1184" s="246">
        <v>74850</v>
      </c>
    </row>
    <row r="1185" spans="3:14" ht="21.95" customHeight="1" x14ac:dyDescent="0.25">
      <c r="C1185" s="139" t="str">
        <f t="shared" si="34"/>
        <v>KY_ROCKCASTLE COUNTY, KY</v>
      </c>
      <c r="D1185" s="136" t="s">
        <v>88</v>
      </c>
      <c r="E1185" s="262" t="s">
        <v>3810</v>
      </c>
      <c r="F1185" s="136" t="s">
        <v>183</v>
      </c>
      <c r="G1185" s="246">
        <v>39700</v>
      </c>
      <c r="H1185" s="246">
        <v>45400</v>
      </c>
      <c r="I1185" s="246">
        <v>51050</v>
      </c>
      <c r="J1185" s="246">
        <v>56700</v>
      </c>
      <c r="K1185" s="246">
        <v>61250</v>
      </c>
      <c r="L1185" s="246">
        <v>65800</v>
      </c>
      <c r="M1185" s="246">
        <v>70350</v>
      </c>
      <c r="N1185" s="246">
        <v>74850</v>
      </c>
    </row>
    <row r="1186" spans="3:14" ht="21.95" customHeight="1" x14ac:dyDescent="0.25">
      <c r="C1186" s="139" t="str">
        <f t="shared" si="34"/>
        <v>KY_ROWAN COUNTY, KY</v>
      </c>
      <c r="D1186" s="136" t="s">
        <v>88</v>
      </c>
      <c r="E1186" s="262" t="s">
        <v>3811</v>
      </c>
      <c r="F1186" s="136" t="s">
        <v>183</v>
      </c>
      <c r="G1186" s="246">
        <v>42950</v>
      </c>
      <c r="H1186" s="246">
        <v>49050</v>
      </c>
      <c r="I1186" s="246">
        <v>55200</v>
      </c>
      <c r="J1186" s="246">
        <v>61300</v>
      </c>
      <c r="K1186" s="246">
        <v>66250</v>
      </c>
      <c r="L1186" s="246">
        <v>71150</v>
      </c>
      <c r="M1186" s="246">
        <v>76050</v>
      </c>
      <c r="N1186" s="246">
        <v>80950</v>
      </c>
    </row>
    <row r="1187" spans="3:14" ht="21.95" customHeight="1" x14ac:dyDescent="0.25">
      <c r="C1187" s="139" t="str">
        <f t="shared" si="34"/>
        <v>KY_RUSSELL COUNTY, KY</v>
      </c>
      <c r="D1187" s="136" t="s">
        <v>88</v>
      </c>
      <c r="E1187" s="262" t="s">
        <v>3812</v>
      </c>
      <c r="F1187" s="136" t="s">
        <v>183</v>
      </c>
      <c r="G1187" s="246">
        <v>40500</v>
      </c>
      <c r="H1187" s="246">
        <v>46300</v>
      </c>
      <c r="I1187" s="246">
        <v>52100</v>
      </c>
      <c r="J1187" s="246">
        <v>57850</v>
      </c>
      <c r="K1187" s="246">
        <v>62500</v>
      </c>
      <c r="L1187" s="246">
        <v>67150</v>
      </c>
      <c r="M1187" s="246">
        <v>71750</v>
      </c>
      <c r="N1187" s="246">
        <v>76400</v>
      </c>
    </row>
    <row r="1188" spans="3:14" ht="21.95" customHeight="1" x14ac:dyDescent="0.25">
      <c r="C1188" s="139" t="str">
        <f t="shared" si="34"/>
        <v>KY_SHELBY COUNTY, KY HUD METRO FMR AREA</v>
      </c>
      <c r="D1188" s="136" t="s">
        <v>88</v>
      </c>
      <c r="E1188" s="262" t="s">
        <v>3813</v>
      </c>
      <c r="F1188" s="136" t="s">
        <v>183</v>
      </c>
      <c r="G1188" s="246">
        <v>59300</v>
      </c>
      <c r="H1188" s="246">
        <v>67750</v>
      </c>
      <c r="I1188" s="246">
        <v>76200</v>
      </c>
      <c r="J1188" s="246">
        <v>84650</v>
      </c>
      <c r="K1188" s="246">
        <v>91450</v>
      </c>
      <c r="L1188" s="246">
        <v>98200</v>
      </c>
      <c r="M1188" s="246">
        <v>105000</v>
      </c>
      <c r="N1188" s="246">
        <v>111750</v>
      </c>
    </row>
    <row r="1189" spans="3:14" ht="21.95" customHeight="1" x14ac:dyDescent="0.25">
      <c r="C1189" s="139" t="str">
        <f t="shared" si="34"/>
        <v>KY_SIMPSON COUNTY, KY</v>
      </c>
      <c r="D1189" s="136" t="s">
        <v>88</v>
      </c>
      <c r="E1189" s="262" t="s">
        <v>3814</v>
      </c>
      <c r="F1189" s="136" t="s">
        <v>183</v>
      </c>
      <c r="G1189" s="246">
        <v>43500</v>
      </c>
      <c r="H1189" s="246">
        <v>49700</v>
      </c>
      <c r="I1189" s="246">
        <v>55900</v>
      </c>
      <c r="J1189" s="246">
        <v>62100</v>
      </c>
      <c r="K1189" s="246">
        <v>67100</v>
      </c>
      <c r="L1189" s="246">
        <v>72050</v>
      </c>
      <c r="M1189" s="246">
        <v>77050</v>
      </c>
      <c r="N1189" s="246">
        <v>82000</v>
      </c>
    </row>
    <row r="1190" spans="3:14" ht="21.95" customHeight="1" x14ac:dyDescent="0.25">
      <c r="C1190" s="139" t="str">
        <f t="shared" si="34"/>
        <v>KY_TAYLOR COUNTY, KY</v>
      </c>
      <c r="D1190" s="136" t="s">
        <v>88</v>
      </c>
      <c r="E1190" s="262" t="s">
        <v>3815</v>
      </c>
      <c r="F1190" s="136" t="s">
        <v>183</v>
      </c>
      <c r="G1190" s="246">
        <v>43200</v>
      </c>
      <c r="H1190" s="246">
        <v>49350</v>
      </c>
      <c r="I1190" s="246">
        <v>55500</v>
      </c>
      <c r="J1190" s="246">
        <v>61650</v>
      </c>
      <c r="K1190" s="246">
        <v>66600</v>
      </c>
      <c r="L1190" s="246">
        <v>71550</v>
      </c>
      <c r="M1190" s="246">
        <v>76450</v>
      </c>
      <c r="N1190" s="246">
        <v>81400</v>
      </c>
    </row>
    <row r="1191" spans="3:14" ht="21.95" customHeight="1" x14ac:dyDescent="0.25">
      <c r="C1191" s="139" t="str">
        <f t="shared" si="34"/>
        <v>KY_TODD COUNTY, KY</v>
      </c>
      <c r="D1191" s="136" t="s">
        <v>88</v>
      </c>
      <c r="E1191" s="262" t="s">
        <v>3816</v>
      </c>
      <c r="F1191" s="136" t="s">
        <v>183</v>
      </c>
      <c r="G1191" s="246">
        <v>43050</v>
      </c>
      <c r="H1191" s="246">
        <v>49200</v>
      </c>
      <c r="I1191" s="246">
        <v>55350</v>
      </c>
      <c r="J1191" s="246">
        <v>61500</v>
      </c>
      <c r="K1191" s="246">
        <v>66450</v>
      </c>
      <c r="L1191" s="246">
        <v>71350</v>
      </c>
      <c r="M1191" s="246">
        <v>76300</v>
      </c>
      <c r="N1191" s="246">
        <v>81200</v>
      </c>
    </row>
    <row r="1192" spans="3:14" ht="21.95" customHeight="1" x14ac:dyDescent="0.25">
      <c r="C1192" s="139" t="str">
        <f t="shared" si="34"/>
        <v>KY_TRIMBLE COUNTY, KY</v>
      </c>
      <c r="D1192" s="136" t="s">
        <v>88</v>
      </c>
      <c r="E1192" s="262" t="s">
        <v>3817</v>
      </c>
      <c r="F1192" s="136" t="s">
        <v>183</v>
      </c>
      <c r="G1192" s="246">
        <v>46300</v>
      </c>
      <c r="H1192" s="246">
        <v>52900</v>
      </c>
      <c r="I1192" s="246">
        <v>59500</v>
      </c>
      <c r="J1192" s="246">
        <v>66100</v>
      </c>
      <c r="K1192" s="246">
        <v>71400</v>
      </c>
      <c r="L1192" s="246">
        <v>76700</v>
      </c>
      <c r="M1192" s="246">
        <v>82000</v>
      </c>
      <c r="N1192" s="246">
        <v>87300</v>
      </c>
    </row>
    <row r="1193" spans="3:14" ht="21.95" customHeight="1" x14ac:dyDescent="0.25">
      <c r="C1193" s="139" t="str">
        <f t="shared" si="34"/>
        <v>KY_UNION COUNTY, KY</v>
      </c>
      <c r="D1193" s="136" t="s">
        <v>88</v>
      </c>
      <c r="E1193" s="262" t="s">
        <v>3818</v>
      </c>
      <c r="F1193" s="136" t="s">
        <v>183</v>
      </c>
      <c r="G1193" s="246">
        <v>42850</v>
      </c>
      <c r="H1193" s="246">
        <v>49000</v>
      </c>
      <c r="I1193" s="246">
        <v>55100</v>
      </c>
      <c r="J1193" s="246">
        <v>61200</v>
      </c>
      <c r="K1193" s="246">
        <v>66100</v>
      </c>
      <c r="L1193" s="246">
        <v>71000</v>
      </c>
      <c r="M1193" s="246">
        <v>75900</v>
      </c>
      <c r="N1193" s="246">
        <v>80800</v>
      </c>
    </row>
    <row r="1194" spans="3:14" ht="21.95" customHeight="1" x14ac:dyDescent="0.25">
      <c r="C1194" s="139" t="str">
        <f t="shared" si="34"/>
        <v>KY_WASHINGTON COUNTY, KY</v>
      </c>
      <c r="D1194" s="136" t="s">
        <v>88</v>
      </c>
      <c r="E1194" s="262" t="s">
        <v>3819</v>
      </c>
      <c r="F1194" s="136" t="s">
        <v>183</v>
      </c>
      <c r="G1194" s="246">
        <v>49850</v>
      </c>
      <c r="H1194" s="246">
        <v>57000</v>
      </c>
      <c r="I1194" s="246">
        <v>64100</v>
      </c>
      <c r="J1194" s="246">
        <v>71200</v>
      </c>
      <c r="K1194" s="246">
        <v>76900</v>
      </c>
      <c r="L1194" s="246">
        <v>82600</v>
      </c>
      <c r="M1194" s="246">
        <v>88300</v>
      </c>
      <c r="N1194" s="246">
        <v>94000</v>
      </c>
    </row>
    <row r="1195" spans="3:14" ht="21.95" customHeight="1" x14ac:dyDescent="0.25">
      <c r="C1195" s="139" t="str">
        <f t="shared" si="34"/>
        <v>KY_WAYNE COUNTY, KY</v>
      </c>
      <c r="D1195" s="136" t="s">
        <v>88</v>
      </c>
      <c r="E1195" s="262" t="s">
        <v>3820</v>
      </c>
      <c r="F1195" s="136" t="s">
        <v>183</v>
      </c>
      <c r="G1195" s="246">
        <v>39700</v>
      </c>
      <c r="H1195" s="246">
        <v>45400</v>
      </c>
      <c r="I1195" s="246">
        <v>51050</v>
      </c>
      <c r="J1195" s="246">
        <v>56700</v>
      </c>
      <c r="K1195" s="246">
        <v>61250</v>
      </c>
      <c r="L1195" s="246">
        <v>65800</v>
      </c>
      <c r="M1195" s="246">
        <v>70350</v>
      </c>
      <c r="N1195" s="246">
        <v>74850</v>
      </c>
    </row>
    <row r="1196" spans="3:14" ht="21.95" customHeight="1" x14ac:dyDescent="0.25">
      <c r="C1196" s="139" t="str">
        <f t="shared" si="34"/>
        <v>KY_WEBSTER COUNTY, KY</v>
      </c>
      <c r="D1196" s="136" t="s">
        <v>88</v>
      </c>
      <c r="E1196" s="262" t="s">
        <v>3821</v>
      </c>
      <c r="F1196" s="136" t="s">
        <v>183</v>
      </c>
      <c r="G1196" s="246">
        <v>40250</v>
      </c>
      <c r="H1196" s="246">
        <v>46000</v>
      </c>
      <c r="I1196" s="246">
        <v>51750</v>
      </c>
      <c r="J1196" s="246">
        <v>57450</v>
      </c>
      <c r="K1196" s="246">
        <v>62050</v>
      </c>
      <c r="L1196" s="246">
        <v>66650</v>
      </c>
      <c r="M1196" s="246">
        <v>71250</v>
      </c>
      <c r="N1196" s="246">
        <v>75850</v>
      </c>
    </row>
    <row r="1197" spans="3:14" ht="21.95" customHeight="1" x14ac:dyDescent="0.25">
      <c r="C1197" s="139" t="str">
        <f t="shared" si="34"/>
        <v>KY_WHITLEY COUNTY, KY</v>
      </c>
      <c r="D1197" s="136" t="s">
        <v>88</v>
      </c>
      <c r="E1197" s="262" t="s">
        <v>3822</v>
      </c>
      <c r="F1197" s="136" t="s">
        <v>183</v>
      </c>
      <c r="G1197" s="246">
        <v>39700</v>
      </c>
      <c r="H1197" s="246">
        <v>45400</v>
      </c>
      <c r="I1197" s="246">
        <v>51050</v>
      </c>
      <c r="J1197" s="246">
        <v>56700</v>
      </c>
      <c r="K1197" s="246">
        <v>61250</v>
      </c>
      <c r="L1197" s="246">
        <v>65800</v>
      </c>
      <c r="M1197" s="246">
        <v>70350</v>
      </c>
      <c r="N1197" s="246">
        <v>74850</v>
      </c>
    </row>
    <row r="1198" spans="3:14" ht="21.95" customHeight="1" x14ac:dyDescent="0.25">
      <c r="C1198" s="139" t="str">
        <f t="shared" si="34"/>
        <v>KY_WOLFE COUNTY, KY</v>
      </c>
      <c r="D1198" s="136" t="s">
        <v>88</v>
      </c>
      <c r="E1198" s="262" t="s">
        <v>3823</v>
      </c>
      <c r="F1198" s="136" t="s">
        <v>183</v>
      </c>
      <c r="G1198" s="246">
        <v>39700</v>
      </c>
      <c r="H1198" s="246">
        <v>45400</v>
      </c>
      <c r="I1198" s="246">
        <v>51050</v>
      </c>
      <c r="J1198" s="246">
        <v>56700</v>
      </c>
      <c r="K1198" s="246">
        <v>61250</v>
      </c>
      <c r="L1198" s="246">
        <v>65800</v>
      </c>
      <c r="M1198" s="246">
        <v>70350</v>
      </c>
      <c r="N1198" s="246">
        <v>74850</v>
      </c>
    </row>
    <row r="1199" spans="3:14" ht="21.95" customHeight="1" x14ac:dyDescent="0.25">
      <c r="C1199" s="139" t="str">
        <f t="shared" si="34"/>
        <v>LA_ACADIA PARISH, LA HUD METRO FMR AREA</v>
      </c>
      <c r="D1199" s="136" t="s">
        <v>87</v>
      </c>
      <c r="E1199" s="262" t="s">
        <v>3824</v>
      </c>
      <c r="F1199" s="136" t="s">
        <v>183</v>
      </c>
      <c r="G1199" s="246">
        <v>38750</v>
      </c>
      <c r="H1199" s="246">
        <v>44300</v>
      </c>
      <c r="I1199" s="246">
        <v>49850</v>
      </c>
      <c r="J1199" s="246">
        <v>55350</v>
      </c>
      <c r="K1199" s="246">
        <v>59800</v>
      </c>
      <c r="L1199" s="246">
        <v>64250</v>
      </c>
      <c r="M1199" s="246">
        <v>68650</v>
      </c>
      <c r="N1199" s="246">
        <v>73100</v>
      </c>
    </row>
    <row r="1200" spans="3:14" ht="21.95" customHeight="1" x14ac:dyDescent="0.25">
      <c r="C1200" s="139" t="str">
        <f t="shared" si="34"/>
        <v>LA_ALEXANDRIA, LA MSA</v>
      </c>
      <c r="D1200" s="136" t="s">
        <v>87</v>
      </c>
      <c r="E1200" s="262" t="s">
        <v>3825</v>
      </c>
      <c r="F1200" s="136" t="s">
        <v>183</v>
      </c>
      <c r="G1200" s="246">
        <v>42200</v>
      </c>
      <c r="H1200" s="246">
        <v>48200</v>
      </c>
      <c r="I1200" s="246">
        <v>54250</v>
      </c>
      <c r="J1200" s="246">
        <v>60250</v>
      </c>
      <c r="K1200" s="246">
        <v>65100</v>
      </c>
      <c r="L1200" s="246">
        <v>69900</v>
      </c>
      <c r="M1200" s="246">
        <v>74750</v>
      </c>
      <c r="N1200" s="246">
        <v>79550</v>
      </c>
    </row>
    <row r="1201" spans="3:14" ht="21.95" customHeight="1" x14ac:dyDescent="0.25">
      <c r="C1201" s="139" t="str">
        <f t="shared" si="34"/>
        <v>LA_ALLEN PARISH, LA</v>
      </c>
      <c r="D1201" s="136" t="s">
        <v>87</v>
      </c>
      <c r="E1201" s="262" t="s">
        <v>3826</v>
      </c>
      <c r="F1201" s="136" t="s">
        <v>183</v>
      </c>
      <c r="G1201" s="246">
        <v>37000</v>
      </c>
      <c r="H1201" s="246">
        <v>42250</v>
      </c>
      <c r="I1201" s="246">
        <v>47550</v>
      </c>
      <c r="J1201" s="246">
        <v>52800</v>
      </c>
      <c r="K1201" s="246">
        <v>57050</v>
      </c>
      <c r="L1201" s="246">
        <v>61250</v>
      </c>
      <c r="M1201" s="246">
        <v>65500</v>
      </c>
      <c r="N1201" s="246">
        <v>69700</v>
      </c>
    </row>
    <row r="1202" spans="3:14" ht="21.95" customHeight="1" x14ac:dyDescent="0.25">
      <c r="C1202" s="139" t="str">
        <f t="shared" si="34"/>
        <v>LA_ASSUMPTION PARISH, LA HUD METRO FMR AREA</v>
      </c>
      <c r="D1202" s="136" t="s">
        <v>87</v>
      </c>
      <c r="E1202" s="262" t="s">
        <v>3827</v>
      </c>
      <c r="F1202" s="136" t="s">
        <v>183</v>
      </c>
      <c r="G1202" s="246">
        <v>43250</v>
      </c>
      <c r="H1202" s="246">
        <v>49400</v>
      </c>
      <c r="I1202" s="246">
        <v>55600</v>
      </c>
      <c r="J1202" s="246">
        <v>61750</v>
      </c>
      <c r="K1202" s="246">
        <v>66700</v>
      </c>
      <c r="L1202" s="246">
        <v>71650</v>
      </c>
      <c r="M1202" s="246">
        <v>76600</v>
      </c>
      <c r="N1202" s="246">
        <v>81550</v>
      </c>
    </row>
    <row r="1203" spans="3:14" ht="21.95" customHeight="1" x14ac:dyDescent="0.25">
      <c r="C1203" s="139" t="str">
        <f t="shared" si="34"/>
        <v>LA_AVOYELLES PARISH, LA</v>
      </c>
      <c r="D1203" s="136" t="s">
        <v>87</v>
      </c>
      <c r="E1203" s="262" t="s">
        <v>3828</v>
      </c>
      <c r="F1203" s="136" t="s">
        <v>183</v>
      </c>
      <c r="G1203" s="246">
        <v>36300</v>
      </c>
      <c r="H1203" s="246">
        <v>41500</v>
      </c>
      <c r="I1203" s="246">
        <v>46700</v>
      </c>
      <c r="J1203" s="246">
        <v>51850</v>
      </c>
      <c r="K1203" s="246">
        <v>56000</v>
      </c>
      <c r="L1203" s="246">
        <v>60150</v>
      </c>
      <c r="M1203" s="246">
        <v>64300</v>
      </c>
      <c r="N1203" s="246">
        <v>68450</v>
      </c>
    </row>
    <row r="1204" spans="3:14" ht="21.95" customHeight="1" x14ac:dyDescent="0.25">
      <c r="C1204" s="139" t="str">
        <f t="shared" si="34"/>
        <v>LA_BATON ROUGE, LA HUD METRO FMR AREA</v>
      </c>
      <c r="D1204" s="136" t="s">
        <v>87</v>
      </c>
      <c r="E1204" s="262" t="s">
        <v>3829</v>
      </c>
      <c r="F1204" s="136" t="s">
        <v>183</v>
      </c>
      <c r="G1204" s="246">
        <v>51350</v>
      </c>
      <c r="H1204" s="246">
        <v>58700</v>
      </c>
      <c r="I1204" s="246">
        <v>66050</v>
      </c>
      <c r="J1204" s="246">
        <v>73350</v>
      </c>
      <c r="K1204" s="246">
        <v>79250</v>
      </c>
      <c r="L1204" s="246">
        <v>85100</v>
      </c>
      <c r="M1204" s="246">
        <v>91000</v>
      </c>
      <c r="N1204" s="246">
        <v>96850</v>
      </c>
    </row>
    <row r="1205" spans="3:14" ht="21.95" customHeight="1" x14ac:dyDescent="0.25">
      <c r="C1205" s="139" t="str">
        <f t="shared" si="34"/>
        <v>LA_BEAUREGARD PARISH, LA</v>
      </c>
      <c r="D1205" s="136" t="s">
        <v>87</v>
      </c>
      <c r="E1205" s="262" t="s">
        <v>3830</v>
      </c>
      <c r="F1205" s="136" t="s">
        <v>183</v>
      </c>
      <c r="G1205" s="246">
        <v>47600</v>
      </c>
      <c r="H1205" s="246">
        <v>54400</v>
      </c>
      <c r="I1205" s="246">
        <v>61200</v>
      </c>
      <c r="J1205" s="246">
        <v>68000</v>
      </c>
      <c r="K1205" s="246">
        <v>73450</v>
      </c>
      <c r="L1205" s="246">
        <v>78900</v>
      </c>
      <c r="M1205" s="246">
        <v>84350</v>
      </c>
      <c r="N1205" s="246">
        <v>89800</v>
      </c>
    </row>
    <row r="1206" spans="3:14" ht="21.95" customHeight="1" x14ac:dyDescent="0.25">
      <c r="C1206" s="139" t="str">
        <f t="shared" si="34"/>
        <v>LA_BIENVILLE PARISH, LA</v>
      </c>
      <c r="D1206" s="136" t="s">
        <v>87</v>
      </c>
      <c r="E1206" s="262" t="s">
        <v>3831</v>
      </c>
      <c r="F1206" s="136" t="s">
        <v>183</v>
      </c>
      <c r="G1206" s="246">
        <v>36300</v>
      </c>
      <c r="H1206" s="246">
        <v>41500</v>
      </c>
      <c r="I1206" s="246">
        <v>46700</v>
      </c>
      <c r="J1206" s="246">
        <v>51850</v>
      </c>
      <c r="K1206" s="246">
        <v>56000</v>
      </c>
      <c r="L1206" s="246">
        <v>60150</v>
      </c>
      <c r="M1206" s="246">
        <v>64300</v>
      </c>
      <c r="N1206" s="246">
        <v>68450</v>
      </c>
    </row>
    <row r="1207" spans="3:14" ht="21.95" customHeight="1" x14ac:dyDescent="0.25">
      <c r="C1207" s="139" t="str">
        <f t="shared" si="34"/>
        <v>LA_CALDWELL PARISH, LA</v>
      </c>
      <c r="D1207" s="136" t="s">
        <v>87</v>
      </c>
      <c r="E1207" s="262" t="s">
        <v>3832</v>
      </c>
      <c r="F1207" s="136" t="s">
        <v>183</v>
      </c>
      <c r="G1207" s="246">
        <v>38550</v>
      </c>
      <c r="H1207" s="246">
        <v>44050</v>
      </c>
      <c r="I1207" s="246">
        <v>49550</v>
      </c>
      <c r="J1207" s="246">
        <v>55050</v>
      </c>
      <c r="K1207" s="246">
        <v>59500</v>
      </c>
      <c r="L1207" s="246">
        <v>63900</v>
      </c>
      <c r="M1207" s="246">
        <v>68300</v>
      </c>
      <c r="N1207" s="246">
        <v>72700</v>
      </c>
    </row>
    <row r="1208" spans="3:14" ht="21.95" customHeight="1" x14ac:dyDescent="0.25">
      <c r="C1208" s="139" t="str">
        <f t="shared" si="34"/>
        <v>LA_CATAHOULA PARISH, LA</v>
      </c>
      <c r="D1208" s="136" t="s">
        <v>87</v>
      </c>
      <c r="E1208" s="262" t="s">
        <v>3833</v>
      </c>
      <c r="F1208" s="136" t="s">
        <v>183</v>
      </c>
      <c r="G1208" s="246">
        <v>37000</v>
      </c>
      <c r="H1208" s="246">
        <v>42250</v>
      </c>
      <c r="I1208" s="246">
        <v>47550</v>
      </c>
      <c r="J1208" s="246">
        <v>52800</v>
      </c>
      <c r="K1208" s="246">
        <v>57050</v>
      </c>
      <c r="L1208" s="246">
        <v>61250</v>
      </c>
      <c r="M1208" s="246">
        <v>65500</v>
      </c>
      <c r="N1208" s="246">
        <v>69700</v>
      </c>
    </row>
    <row r="1209" spans="3:14" ht="21.95" customHeight="1" x14ac:dyDescent="0.25">
      <c r="C1209" s="139" t="str">
        <f t="shared" si="34"/>
        <v>LA_CLAIBORNE PARISH, LA</v>
      </c>
      <c r="D1209" s="136" t="s">
        <v>87</v>
      </c>
      <c r="E1209" s="262" t="s">
        <v>3834</v>
      </c>
      <c r="F1209" s="136" t="s">
        <v>183</v>
      </c>
      <c r="G1209" s="246">
        <v>36300</v>
      </c>
      <c r="H1209" s="246">
        <v>41500</v>
      </c>
      <c r="I1209" s="246">
        <v>46700</v>
      </c>
      <c r="J1209" s="246">
        <v>51850</v>
      </c>
      <c r="K1209" s="246">
        <v>56000</v>
      </c>
      <c r="L1209" s="246">
        <v>60150</v>
      </c>
      <c r="M1209" s="246">
        <v>64300</v>
      </c>
      <c r="N1209" s="246">
        <v>68450</v>
      </c>
    </row>
    <row r="1210" spans="3:14" ht="21.95" customHeight="1" x14ac:dyDescent="0.25">
      <c r="C1210" s="139" t="str">
        <f t="shared" si="34"/>
        <v>LA_CONCORDIA PARISH, LA</v>
      </c>
      <c r="D1210" s="136" t="s">
        <v>87</v>
      </c>
      <c r="E1210" s="262" t="s">
        <v>3835</v>
      </c>
      <c r="F1210" s="136" t="s">
        <v>183</v>
      </c>
      <c r="G1210" s="246">
        <v>36300</v>
      </c>
      <c r="H1210" s="246">
        <v>41500</v>
      </c>
      <c r="I1210" s="246">
        <v>46700</v>
      </c>
      <c r="J1210" s="246">
        <v>51850</v>
      </c>
      <c r="K1210" s="246">
        <v>56000</v>
      </c>
      <c r="L1210" s="246">
        <v>60150</v>
      </c>
      <c r="M1210" s="246">
        <v>64300</v>
      </c>
      <c r="N1210" s="246">
        <v>68450</v>
      </c>
    </row>
    <row r="1211" spans="3:14" ht="21.95" customHeight="1" x14ac:dyDescent="0.25">
      <c r="C1211" s="139" t="str">
        <f t="shared" si="34"/>
        <v>LA_EAST CARROLL PARISH, LA</v>
      </c>
      <c r="D1211" s="136" t="s">
        <v>87</v>
      </c>
      <c r="E1211" s="262" t="s">
        <v>3836</v>
      </c>
      <c r="F1211" s="136" t="s">
        <v>183</v>
      </c>
      <c r="G1211" s="246">
        <v>36300</v>
      </c>
      <c r="H1211" s="246">
        <v>41500</v>
      </c>
      <c r="I1211" s="246">
        <v>46700</v>
      </c>
      <c r="J1211" s="246">
        <v>51850</v>
      </c>
      <c r="K1211" s="246">
        <v>56000</v>
      </c>
      <c r="L1211" s="246">
        <v>60150</v>
      </c>
      <c r="M1211" s="246">
        <v>64300</v>
      </c>
      <c r="N1211" s="246">
        <v>68450</v>
      </c>
    </row>
    <row r="1212" spans="3:14" ht="21.95" customHeight="1" x14ac:dyDescent="0.25">
      <c r="C1212" s="139" t="str">
        <f t="shared" si="34"/>
        <v>LA_EVANGELINE PARISH, LA</v>
      </c>
      <c r="D1212" s="136" t="s">
        <v>87</v>
      </c>
      <c r="E1212" s="262" t="s">
        <v>3837</v>
      </c>
      <c r="F1212" s="136" t="s">
        <v>183</v>
      </c>
      <c r="G1212" s="246">
        <v>36300</v>
      </c>
      <c r="H1212" s="246">
        <v>41500</v>
      </c>
      <c r="I1212" s="246">
        <v>46700</v>
      </c>
      <c r="J1212" s="246">
        <v>51850</v>
      </c>
      <c r="K1212" s="246">
        <v>56000</v>
      </c>
      <c r="L1212" s="246">
        <v>60150</v>
      </c>
      <c r="M1212" s="246">
        <v>64300</v>
      </c>
      <c r="N1212" s="246">
        <v>68450</v>
      </c>
    </row>
    <row r="1213" spans="3:14" ht="21.95" customHeight="1" x14ac:dyDescent="0.25">
      <c r="C1213" s="139" t="str">
        <f t="shared" si="34"/>
        <v>LA_FRANKLIN PARISH, LA</v>
      </c>
      <c r="D1213" s="136" t="s">
        <v>87</v>
      </c>
      <c r="E1213" s="262" t="s">
        <v>3838</v>
      </c>
      <c r="F1213" s="136" t="s">
        <v>183</v>
      </c>
      <c r="G1213" s="246">
        <v>36300</v>
      </c>
      <c r="H1213" s="246">
        <v>41500</v>
      </c>
      <c r="I1213" s="246">
        <v>46700</v>
      </c>
      <c r="J1213" s="246">
        <v>51850</v>
      </c>
      <c r="K1213" s="246">
        <v>56000</v>
      </c>
      <c r="L1213" s="246">
        <v>60150</v>
      </c>
      <c r="M1213" s="246">
        <v>64300</v>
      </c>
      <c r="N1213" s="246">
        <v>68450</v>
      </c>
    </row>
    <row r="1214" spans="3:14" ht="21.95" customHeight="1" x14ac:dyDescent="0.25">
      <c r="C1214" s="139" t="str">
        <f t="shared" si="34"/>
        <v>LA_HAMMOND, LA MSA</v>
      </c>
      <c r="D1214" s="136" t="s">
        <v>87</v>
      </c>
      <c r="E1214" s="262" t="s">
        <v>3839</v>
      </c>
      <c r="F1214" s="136" t="s">
        <v>183</v>
      </c>
      <c r="G1214" s="246">
        <v>45050</v>
      </c>
      <c r="H1214" s="246">
        <v>51450</v>
      </c>
      <c r="I1214" s="246">
        <v>57900</v>
      </c>
      <c r="J1214" s="246">
        <v>64300</v>
      </c>
      <c r="K1214" s="246">
        <v>69450</v>
      </c>
      <c r="L1214" s="246">
        <v>74600</v>
      </c>
      <c r="M1214" s="246">
        <v>79750</v>
      </c>
      <c r="N1214" s="246">
        <v>84900</v>
      </c>
    </row>
    <row r="1215" spans="3:14" ht="21.95" customHeight="1" x14ac:dyDescent="0.25">
      <c r="C1215" s="139" t="str">
        <f t="shared" si="34"/>
        <v>LA_HOUMA-BAYOU CANE-THIBODAUX, LA MSA</v>
      </c>
      <c r="D1215" s="136" t="s">
        <v>87</v>
      </c>
      <c r="E1215" s="262" t="s">
        <v>9186</v>
      </c>
      <c r="F1215" s="136" t="s">
        <v>183</v>
      </c>
      <c r="G1215" s="246">
        <v>42400</v>
      </c>
      <c r="H1215" s="246">
        <v>48450</v>
      </c>
      <c r="I1215" s="246">
        <v>54500</v>
      </c>
      <c r="J1215" s="246">
        <v>60550</v>
      </c>
      <c r="K1215" s="246">
        <v>65400</v>
      </c>
      <c r="L1215" s="246">
        <v>70250</v>
      </c>
      <c r="M1215" s="246">
        <v>75100</v>
      </c>
      <c r="N1215" s="246">
        <v>79950</v>
      </c>
    </row>
    <row r="1216" spans="3:14" ht="21.95" customHeight="1" x14ac:dyDescent="0.25">
      <c r="C1216" s="139" t="str">
        <f t="shared" ref="C1216:C1279" si="35">TRIM(UPPER(D1216))&amp;"_"&amp;TRIM(UPPER(E1216))</f>
        <v>LA_IBERIA PARISH, LA</v>
      </c>
      <c r="D1216" s="136" t="s">
        <v>87</v>
      </c>
      <c r="E1216" s="262" t="s">
        <v>9184</v>
      </c>
      <c r="F1216" s="136" t="s">
        <v>183</v>
      </c>
      <c r="G1216" s="246">
        <v>38000</v>
      </c>
      <c r="H1216" s="246">
        <v>43400</v>
      </c>
      <c r="I1216" s="246">
        <v>48850</v>
      </c>
      <c r="J1216" s="246">
        <v>54250</v>
      </c>
      <c r="K1216" s="246">
        <v>58600</v>
      </c>
      <c r="L1216" s="246">
        <v>62950</v>
      </c>
      <c r="M1216" s="246">
        <v>67300</v>
      </c>
      <c r="N1216" s="246">
        <v>71650</v>
      </c>
    </row>
    <row r="1217" spans="3:14" ht="21.95" customHeight="1" x14ac:dyDescent="0.25">
      <c r="C1217" s="139" t="str">
        <f t="shared" si="35"/>
        <v>LA_IBERVILLE PARISH, LA HUD METRO FMR AREA</v>
      </c>
      <c r="D1217" s="136" t="s">
        <v>87</v>
      </c>
      <c r="E1217" s="262" t="s">
        <v>3840</v>
      </c>
      <c r="F1217" s="136" t="s">
        <v>183</v>
      </c>
      <c r="G1217" s="246">
        <v>44250</v>
      </c>
      <c r="H1217" s="246">
        <v>50600</v>
      </c>
      <c r="I1217" s="246">
        <v>56900</v>
      </c>
      <c r="J1217" s="246">
        <v>63200</v>
      </c>
      <c r="K1217" s="246">
        <v>68300</v>
      </c>
      <c r="L1217" s="246">
        <v>73350</v>
      </c>
      <c r="M1217" s="246">
        <v>78400</v>
      </c>
      <c r="N1217" s="246">
        <v>83450</v>
      </c>
    </row>
    <row r="1218" spans="3:14" ht="21.95" customHeight="1" x14ac:dyDescent="0.25">
      <c r="C1218" s="139" t="str">
        <f t="shared" si="35"/>
        <v>LA_JACKSON PARISH, LA</v>
      </c>
      <c r="D1218" s="136" t="s">
        <v>87</v>
      </c>
      <c r="E1218" s="262" t="s">
        <v>3841</v>
      </c>
      <c r="F1218" s="136" t="s">
        <v>183</v>
      </c>
      <c r="G1218" s="246">
        <v>36300</v>
      </c>
      <c r="H1218" s="246">
        <v>41500</v>
      </c>
      <c r="I1218" s="246">
        <v>46700</v>
      </c>
      <c r="J1218" s="246">
        <v>51850</v>
      </c>
      <c r="K1218" s="246">
        <v>56000</v>
      </c>
      <c r="L1218" s="246">
        <v>60150</v>
      </c>
      <c r="M1218" s="246">
        <v>64300</v>
      </c>
      <c r="N1218" s="246">
        <v>68450</v>
      </c>
    </row>
    <row r="1219" spans="3:14" ht="21.95" customHeight="1" x14ac:dyDescent="0.25">
      <c r="C1219" s="139" t="str">
        <f t="shared" si="35"/>
        <v>LA_JEFFERSON DAVIS PARISH, LA HUD METRO FMR AREA</v>
      </c>
      <c r="D1219" s="136" t="s">
        <v>87</v>
      </c>
      <c r="E1219" s="262" t="s">
        <v>9185</v>
      </c>
      <c r="F1219" s="136" t="s">
        <v>183</v>
      </c>
      <c r="G1219" s="246">
        <v>45150</v>
      </c>
      <c r="H1219" s="246">
        <v>51600</v>
      </c>
      <c r="I1219" s="246">
        <v>58050</v>
      </c>
      <c r="J1219" s="246">
        <v>64500</v>
      </c>
      <c r="K1219" s="246">
        <v>69700</v>
      </c>
      <c r="L1219" s="246">
        <v>74850</v>
      </c>
      <c r="M1219" s="246">
        <v>80000</v>
      </c>
      <c r="N1219" s="246">
        <v>85150</v>
      </c>
    </row>
    <row r="1220" spans="3:14" ht="21.95" customHeight="1" x14ac:dyDescent="0.25">
      <c r="C1220" s="139" t="str">
        <f t="shared" si="35"/>
        <v>LA_LAFAYETTE, LA HUD METRO FMR AREA</v>
      </c>
      <c r="D1220" s="136" t="s">
        <v>87</v>
      </c>
      <c r="E1220" s="262" t="s">
        <v>3843</v>
      </c>
      <c r="F1220" s="136" t="s">
        <v>183</v>
      </c>
      <c r="G1220" s="246">
        <v>47450</v>
      </c>
      <c r="H1220" s="246">
        <v>54200</v>
      </c>
      <c r="I1220" s="246">
        <v>61000</v>
      </c>
      <c r="J1220" s="246">
        <v>67750</v>
      </c>
      <c r="K1220" s="246">
        <v>73200</v>
      </c>
      <c r="L1220" s="246">
        <v>78600</v>
      </c>
      <c r="M1220" s="246">
        <v>84050</v>
      </c>
      <c r="N1220" s="246">
        <v>89450</v>
      </c>
    </row>
    <row r="1221" spans="3:14" ht="21.95" customHeight="1" x14ac:dyDescent="0.25">
      <c r="C1221" s="139" t="str">
        <f t="shared" si="35"/>
        <v>LA_LAKE CHARLES, LA HUD METRO FMR AREA</v>
      </c>
      <c r="D1221" s="136" t="s">
        <v>87</v>
      </c>
      <c r="E1221" s="262" t="s">
        <v>9183</v>
      </c>
      <c r="F1221" s="136" t="s">
        <v>183</v>
      </c>
      <c r="G1221" s="246">
        <v>48300</v>
      </c>
      <c r="H1221" s="246">
        <v>55200</v>
      </c>
      <c r="I1221" s="246">
        <v>62100</v>
      </c>
      <c r="J1221" s="246">
        <v>68950</v>
      </c>
      <c r="K1221" s="246">
        <v>74500</v>
      </c>
      <c r="L1221" s="246">
        <v>80000</v>
      </c>
      <c r="M1221" s="246">
        <v>85500</v>
      </c>
      <c r="N1221" s="246">
        <v>91050</v>
      </c>
    </row>
    <row r="1222" spans="3:14" ht="21.95" customHeight="1" x14ac:dyDescent="0.25">
      <c r="C1222" s="139" t="str">
        <f t="shared" si="35"/>
        <v>LA_LA SALLE PARISH, LA</v>
      </c>
      <c r="D1222" s="136" t="s">
        <v>87</v>
      </c>
      <c r="E1222" s="262" t="s">
        <v>3842</v>
      </c>
      <c r="F1222" s="136" t="s">
        <v>183</v>
      </c>
      <c r="G1222" s="246">
        <v>40450</v>
      </c>
      <c r="H1222" s="246">
        <v>46200</v>
      </c>
      <c r="I1222" s="246">
        <v>52000</v>
      </c>
      <c r="J1222" s="246">
        <v>57750</v>
      </c>
      <c r="K1222" s="246">
        <v>62400</v>
      </c>
      <c r="L1222" s="246">
        <v>67000</v>
      </c>
      <c r="M1222" s="246">
        <v>71650</v>
      </c>
      <c r="N1222" s="246">
        <v>76250</v>
      </c>
    </row>
    <row r="1223" spans="3:14" ht="21.95" customHeight="1" x14ac:dyDescent="0.25">
      <c r="C1223" s="139" t="str">
        <f t="shared" si="35"/>
        <v>LA_LINCOLN PARISH, LA</v>
      </c>
      <c r="D1223" s="136" t="s">
        <v>87</v>
      </c>
      <c r="E1223" s="262" t="s">
        <v>3844</v>
      </c>
      <c r="F1223" s="136" t="s">
        <v>183</v>
      </c>
      <c r="G1223" s="246">
        <v>38050</v>
      </c>
      <c r="H1223" s="246">
        <v>43450</v>
      </c>
      <c r="I1223" s="246">
        <v>48900</v>
      </c>
      <c r="J1223" s="246">
        <v>54300</v>
      </c>
      <c r="K1223" s="246">
        <v>58650</v>
      </c>
      <c r="L1223" s="246">
        <v>63000</v>
      </c>
      <c r="M1223" s="246">
        <v>67350</v>
      </c>
      <c r="N1223" s="246">
        <v>71700</v>
      </c>
    </row>
    <row r="1224" spans="3:14" ht="21.95" customHeight="1" x14ac:dyDescent="0.25">
      <c r="C1224" s="139" t="str">
        <f t="shared" si="35"/>
        <v>LA_MADISON PARISH, LA</v>
      </c>
      <c r="D1224" s="136" t="s">
        <v>87</v>
      </c>
      <c r="E1224" s="262" t="s">
        <v>3845</v>
      </c>
      <c r="F1224" s="136" t="s">
        <v>183</v>
      </c>
      <c r="G1224" s="246">
        <v>36300</v>
      </c>
      <c r="H1224" s="246">
        <v>41500</v>
      </c>
      <c r="I1224" s="246">
        <v>46700</v>
      </c>
      <c r="J1224" s="246">
        <v>51850</v>
      </c>
      <c r="K1224" s="246">
        <v>56000</v>
      </c>
      <c r="L1224" s="246">
        <v>60150</v>
      </c>
      <c r="M1224" s="246">
        <v>64300</v>
      </c>
      <c r="N1224" s="246">
        <v>68450</v>
      </c>
    </row>
    <row r="1225" spans="3:14" ht="21.95" customHeight="1" x14ac:dyDescent="0.25">
      <c r="C1225" s="139" t="str">
        <f t="shared" si="35"/>
        <v>LA_MONROE, LA HUD METRO FMR AREA</v>
      </c>
      <c r="D1225" s="136" t="s">
        <v>87</v>
      </c>
      <c r="E1225" s="262" t="s">
        <v>3846</v>
      </c>
      <c r="F1225" s="136" t="s">
        <v>183</v>
      </c>
      <c r="G1225" s="246">
        <v>40000</v>
      </c>
      <c r="H1225" s="246">
        <v>45700</v>
      </c>
      <c r="I1225" s="246">
        <v>51400</v>
      </c>
      <c r="J1225" s="246">
        <v>57100</v>
      </c>
      <c r="K1225" s="246">
        <v>61700</v>
      </c>
      <c r="L1225" s="246">
        <v>66250</v>
      </c>
      <c r="M1225" s="246">
        <v>70850</v>
      </c>
      <c r="N1225" s="246">
        <v>75400</v>
      </c>
    </row>
    <row r="1226" spans="3:14" ht="21.95" customHeight="1" x14ac:dyDescent="0.25">
      <c r="C1226" s="139" t="str">
        <f t="shared" si="35"/>
        <v>LA_MOREHOUSE PARISH, LA HUD METRO FMR AREA</v>
      </c>
      <c r="D1226" s="136" t="s">
        <v>87</v>
      </c>
      <c r="E1226" s="262" t="s">
        <v>3847</v>
      </c>
      <c r="F1226" s="136" t="s">
        <v>183</v>
      </c>
      <c r="G1226" s="246">
        <v>36300</v>
      </c>
      <c r="H1226" s="246">
        <v>41500</v>
      </c>
      <c r="I1226" s="246">
        <v>46700</v>
      </c>
      <c r="J1226" s="246">
        <v>51850</v>
      </c>
      <c r="K1226" s="246">
        <v>56000</v>
      </c>
      <c r="L1226" s="246">
        <v>60150</v>
      </c>
      <c r="M1226" s="246">
        <v>64300</v>
      </c>
      <c r="N1226" s="246">
        <v>68450</v>
      </c>
    </row>
    <row r="1227" spans="3:14" ht="21.95" customHeight="1" x14ac:dyDescent="0.25">
      <c r="C1227" s="139" t="str">
        <f t="shared" si="35"/>
        <v>LA_NATCHITOCHES PARISH, LA</v>
      </c>
      <c r="D1227" s="136" t="s">
        <v>87</v>
      </c>
      <c r="E1227" s="262" t="s">
        <v>3848</v>
      </c>
      <c r="F1227" s="136" t="s">
        <v>183</v>
      </c>
      <c r="G1227" s="246">
        <v>39250</v>
      </c>
      <c r="H1227" s="246">
        <v>44850</v>
      </c>
      <c r="I1227" s="246">
        <v>50450</v>
      </c>
      <c r="J1227" s="246">
        <v>56050</v>
      </c>
      <c r="K1227" s="246">
        <v>60550</v>
      </c>
      <c r="L1227" s="246">
        <v>65050</v>
      </c>
      <c r="M1227" s="246">
        <v>69550</v>
      </c>
      <c r="N1227" s="246">
        <v>74000</v>
      </c>
    </row>
    <row r="1228" spans="3:14" ht="21.95" customHeight="1" x14ac:dyDescent="0.25">
      <c r="C1228" s="139" t="str">
        <f t="shared" si="35"/>
        <v>LA_NEW ORLEANS-METAIRIE, LA HUD METRO FMR AREA</v>
      </c>
      <c r="D1228" s="136" t="s">
        <v>87</v>
      </c>
      <c r="E1228" s="262" t="s">
        <v>3849</v>
      </c>
      <c r="F1228" s="136" t="s">
        <v>183</v>
      </c>
      <c r="G1228" s="246">
        <v>50300</v>
      </c>
      <c r="H1228" s="246">
        <v>57500</v>
      </c>
      <c r="I1228" s="246">
        <v>64700</v>
      </c>
      <c r="J1228" s="246">
        <v>71850</v>
      </c>
      <c r="K1228" s="246">
        <v>77600</v>
      </c>
      <c r="L1228" s="246">
        <v>83350</v>
      </c>
      <c r="M1228" s="246">
        <v>89100</v>
      </c>
      <c r="N1228" s="246">
        <v>94850</v>
      </c>
    </row>
    <row r="1229" spans="3:14" ht="21.95" customHeight="1" x14ac:dyDescent="0.25">
      <c r="C1229" s="139" t="str">
        <f t="shared" si="35"/>
        <v>LA_RED RIVER PARISH, LA</v>
      </c>
      <c r="D1229" s="136" t="s">
        <v>87</v>
      </c>
      <c r="E1229" s="262" t="s">
        <v>3850</v>
      </c>
      <c r="F1229" s="136" t="s">
        <v>183</v>
      </c>
      <c r="G1229" s="246">
        <v>36900</v>
      </c>
      <c r="H1229" s="246">
        <v>42200</v>
      </c>
      <c r="I1229" s="246">
        <v>47450</v>
      </c>
      <c r="J1229" s="246">
        <v>52700</v>
      </c>
      <c r="K1229" s="246">
        <v>56950</v>
      </c>
      <c r="L1229" s="246">
        <v>61150</v>
      </c>
      <c r="M1229" s="246">
        <v>65350</v>
      </c>
      <c r="N1229" s="246">
        <v>69600</v>
      </c>
    </row>
    <row r="1230" spans="3:14" ht="21.95" customHeight="1" x14ac:dyDescent="0.25">
      <c r="C1230" s="139" t="str">
        <f t="shared" si="35"/>
        <v>LA_RICHLAND PARISH, LA HUD METRO FMR AREA</v>
      </c>
      <c r="D1230" s="136" t="s">
        <v>87</v>
      </c>
      <c r="E1230" s="262" t="s">
        <v>9187</v>
      </c>
      <c r="F1230" s="136" t="s">
        <v>183</v>
      </c>
      <c r="G1230" s="246">
        <v>36550</v>
      </c>
      <c r="H1230" s="246">
        <v>41750</v>
      </c>
      <c r="I1230" s="246">
        <v>46950</v>
      </c>
      <c r="J1230" s="246">
        <v>52150</v>
      </c>
      <c r="K1230" s="246">
        <v>56350</v>
      </c>
      <c r="L1230" s="246">
        <v>60500</v>
      </c>
      <c r="M1230" s="246">
        <v>64700</v>
      </c>
      <c r="N1230" s="246">
        <v>68850</v>
      </c>
    </row>
    <row r="1231" spans="3:14" ht="21.95" customHeight="1" x14ac:dyDescent="0.25">
      <c r="C1231" s="139" t="str">
        <f t="shared" si="35"/>
        <v>LA_SABINE PARISH, LA</v>
      </c>
      <c r="D1231" s="136" t="s">
        <v>87</v>
      </c>
      <c r="E1231" s="262" t="s">
        <v>3851</v>
      </c>
      <c r="F1231" s="136" t="s">
        <v>183</v>
      </c>
      <c r="G1231" s="246">
        <v>37550</v>
      </c>
      <c r="H1231" s="246">
        <v>42900</v>
      </c>
      <c r="I1231" s="246">
        <v>48250</v>
      </c>
      <c r="J1231" s="246">
        <v>53600</v>
      </c>
      <c r="K1231" s="246">
        <v>57900</v>
      </c>
      <c r="L1231" s="246">
        <v>62200</v>
      </c>
      <c r="M1231" s="246">
        <v>66500</v>
      </c>
      <c r="N1231" s="246">
        <v>70800</v>
      </c>
    </row>
    <row r="1232" spans="3:14" ht="21.95" customHeight="1" x14ac:dyDescent="0.25">
      <c r="C1232" s="139" t="str">
        <f t="shared" si="35"/>
        <v>LA_SHREVEPORT-BOSSIER CITY, LA MSA</v>
      </c>
      <c r="D1232" s="136" t="s">
        <v>87</v>
      </c>
      <c r="E1232" s="262" t="s">
        <v>3852</v>
      </c>
      <c r="F1232" s="136" t="s">
        <v>183</v>
      </c>
      <c r="G1232" s="246">
        <v>45750</v>
      </c>
      <c r="H1232" s="246">
        <v>52300</v>
      </c>
      <c r="I1232" s="246">
        <v>58850</v>
      </c>
      <c r="J1232" s="246">
        <v>65350</v>
      </c>
      <c r="K1232" s="246">
        <v>70600</v>
      </c>
      <c r="L1232" s="246">
        <v>75850</v>
      </c>
      <c r="M1232" s="246">
        <v>81050</v>
      </c>
      <c r="N1232" s="246">
        <v>86300</v>
      </c>
    </row>
    <row r="1233" spans="3:14" ht="21.95" customHeight="1" x14ac:dyDescent="0.25">
      <c r="C1233" s="139" t="str">
        <f t="shared" si="35"/>
        <v>LA_SLIDELL-MANDEVILLE-COVINGTON, LA MSA</v>
      </c>
      <c r="D1233" s="136" t="s">
        <v>87</v>
      </c>
      <c r="E1233" s="262" t="s">
        <v>9188</v>
      </c>
      <c r="F1233" s="136" t="s">
        <v>183</v>
      </c>
      <c r="G1233" s="246">
        <v>53100</v>
      </c>
      <c r="H1233" s="246">
        <v>60700</v>
      </c>
      <c r="I1233" s="246">
        <v>68300</v>
      </c>
      <c r="J1233" s="246">
        <v>75850</v>
      </c>
      <c r="K1233" s="246">
        <v>81950</v>
      </c>
      <c r="L1233" s="246">
        <v>88000</v>
      </c>
      <c r="M1233" s="246">
        <v>94100</v>
      </c>
      <c r="N1233" s="246">
        <v>100150</v>
      </c>
    </row>
    <row r="1234" spans="3:14" ht="21.95" customHeight="1" x14ac:dyDescent="0.25">
      <c r="C1234" s="139" t="str">
        <f t="shared" si="35"/>
        <v>LA_ST. JAMES PARISH, LA HUD METRO FMR AREA</v>
      </c>
      <c r="D1234" s="136" t="s">
        <v>87</v>
      </c>
      <c r="E1234" s="262" t="s">
        <v>3853</v>
      </c>
      <c r="F1234" s="136" t="s">
        <v>183</v>
      </c>
      <c r="G1234" s="246">
        <v>51750</v>
      </c>
      <c r="H1234" s="246">
        <v>59150</v>
      </c>
      <c r="I1234" s="246">
        <v>66550</v>
      </c>
      <c r="J1234" s="246">
        <v>73900</v>
      </c>
      <c r="K1234" s="246">
        <v>79850</v>
      </c>
      <c r="L1234" s="246">
        <v>85750</v>
      </c>
      <c r="M1234" s="246">
        <v>91650</v>
      </c>
      <c r="N1234" s="246">
        <v>97550</v>
      </c>
    </row>
    <row r="1235" spans="3:14" ht="21.95" customHeight="1" x14ac:dyDescent="0.25">
      <c r="C1235" s="139" t="str">
        <f t="shared" si="35"/>
        <v>LA_ST. LANDRY PARISH, LA</v>
      </c>
      <c r="D1235" s="136" t="s">
        <v>87</v>
      </c>
      <c r="E1235" s="262" t="s">
        <v>3854</v>
      </c>
      <c r="F1235" s="136" t="s">
        <v>183</v>
      </c>
      <c r="G1235" s="246">
        <v>36300</v>
      </c>
      <c r="H1235" s="246">
        <v>41500</v>
      </c>
      <c r="I1235" s="246">
        <v>46700</v>
      </c>
      <c r="J1235" s="246">
        <v>51850</v>
      </c>
      <c r="K1235" s="246">
        <v>56000</v>
      </c>
      <c r="L1235" s="246">
        <v>60150</v>
      </c>
      <c r="M1235" s="246">
        <v>64300</v>
      </c>
      <c r="N1235" s="246">
        <v>68450</v>
      </c>
    </row>
    <row r="1236" spans="3:14" ht="21.95" customHeight="1" x14ac:dyDescent="0.25">
      <c r="C1236" s="139" t="str">
        <f t="shared" si="35"/>
        <v>LA_ST. MARY PARISH, LA</v>
      </c>
      <c r="D1236" s="136" t="s">
        <v>87</v>
      </c>
      <c r="E1236" s="262" t="s">
        <v>3855</v>
      </c>
      <c r="F1236" s="136" t="s">
        <v>183</v>
      </c>
      <c r="G1236" s="246">
        <v>39550</v>
      </c>
      <c r="H1236" s="246">
        <v>45200</v>
      </c>
      <c r="I1236" s="246">
        <v>50850</v>
      </c>
      <c r="J1236" s="246">
        <v>56500</v>
      </c>
      <c r="K1236" s="246">
        <v>61050</v>
      </c>
      <c r="L1236" s="246">
        <v>65550</v>
      </c>
      <c r="M1236" s="246">
        <v>70100</v>
      </c>
      <c r="N1236" s="246">
        <v>74600</v>
      </c>
    </row>
    <row r="1237" spans="3:14" ht="21.95" customHeight="1" x14ac:dyDescent="0.25">
      <c r="C1237" s="139" t="str">
        <f t="shared" si="35"/>
        <v>LA_TENSAS PARISH, LA</v>
      </c>
      <c r="D1237" s="136" t="s">
        <v>87</v>
      </c>
      <c r="E1237" s="262" t="s">
        <v>3856</v>
      </c>
      <c r="F1237" s="136" t="s">
        <v>183</v>
      </c>
      <c r="G1237" s="246">
        <v>36300</v>
      </c>
      <c r="H1237" s="246">
        <v>41500</v>
      </c>
      <c r="I1237" s="246">
        <v>46700</v>
      </c>
      <c r="J1237" s="246">
        <v>51850</v>
      </c>
      <c r="K1237" s="246">
        <v>56000</v>
      </c>
      <c r="L1237" s="246">
        <v>60150</v>
      </c>
      <c r="M1237" s="246">
        <v>64300</v>
      </c>
      <c r="N1237" s="246">
        <v>68450</v>
      </c>
    </row>
    <row r="1238" spans="3:14" ht="21.95" customHeight="1" x14ac:dyDescent="0.25">
      <c r="C1238" s="139" t="str">
        <f t="shared" si="35"/>
        <v>LA_VERMILION PARISH, LA HUD METRO FMR AREA</v>
      </c>
      <c r="D1238" s="136" t="s">
        <v>87</v>
      </c>
      <c r="E1238" s="262" t="s">
        <v>3857</v>
      </c>
      <c r="F1238" s="136" t="s">
        <v>183</v>
      </c>
      <c r="G1238" s="246">
        <v>45000</v>
      </c>
      <c r="H1238" s="246">
        <v>51400</v>
      </c>
      <c r="I1238" s="246">
        <v>57850</v>
      </c>
      <c r="J1238" s="246">
        <v>64250</v>
      </c>
      <c r="K1238" s="246">
        <v>69400</v>
      </c>
      <c r="L1238" s="246">
        <v>74550</v>
      </c>
      <c r="M1238" s="246">
        <v>79700</v>
      </c>
      <c r="N1238" s="246">
        <v>84850</v>
      </c>
    </row>
    <row r="1239" spans="3:14" ht="21.95" customHeight="1" x14ac:dyDescent="0.25">
      <c r="C1239" s="139" t="str">
        <f t="shared" si="35"/>
        <v>LA_VERNON PARISH, LA</v>
      </c>
      <c r="D1239" s="136" t="s">
        <v>87</v>
      </c>
      <c r="E1239" s="262" t="s">
        <v>3858</v>
      </c>
      <c r="F1239" s="136" t="s">
        <v>183</v>
      </c>
      <c r="G1239" s="246">
        <v>40250</v>
      </c>
      <c r="H1239" s="246">
        <v>46000</v>
      </c>
      <c r="I1239" s="246">
        <v>51750</v>
      </c>
      <c r="J1239" s="246">
        <v>57450</v>
      </c>
      <c r="K1239" s="246">
        <v>62050</v>
      </c>
      <c r="L1239" s="246">
        <v>66650</v>
      </c>
      <c r="M1239" s="246">
        <v>71250</v>
      </c>
      <c r="N1239" s="246">
        <v>75850</v>
      </c>
    </row>
    <row r="1240" spans="3:14" ht="21.95" customHeight="1" x14ac:dyDescent="0.25">
      <c r="C1240" s="139" t="str">
        <f t="shared" si="35"/>
        <v>LA_WASHINGTON PARISH, LA</v>
      </c>
      <c r="D1240" s="136" t="s">
        <v>87</v>
      </c>
      <c r="E1240" s="262" t="s">
        <v>3859</v>
      </c>
      <c r="F1240" s="136" t="s">
        <v>183</v>
      </c>
      <c r="G1240" s="246">
        <v>36300</v>
      </c>
      <c r="H1240" s="246">
        <v>41500</v>
      </c>
      <c r="I1240" s="246">
        <v>46700</v>
      </c>
      <c r="J1240" s="246">
        <v>51850</v>
      </c>
      <c r="K1240" s="246">
        <v>56000</v>
      </c>
      <c r="L1240" s="246">
        <v>60150</v>
      </c>
      <c r="M1240" s="246">
        <v>64300</v>
      </c>
      <c r="N1240" s="246">
        <v>68450</v>
      </c>
    </row>
    <row r="1241" spans="3:14" ht="21.95" customHeight="1" x14ac:dyDescent="0.25">
      <c r="C1241" s="139" t="str">
        <f t="shared" si="35"/>
        <v>LA_WEBSTER PARISH, LA</v>
      </c>
      <c r="D1241" s="136" t="s">
        <v>87</v>
      </c>
      <c r="E1241" s="262" t="s">
        <v>3860</v>
      </c>
      <c r="F1241" s="136" t="s">
        <v>183</v>
      </c>
      <c r="G1241" s="246">
        <v>36300</v>
      </c>
      <c r="H1241" s="246">
        <v>41500</v>
      </c>
      <c r="I1241" s="246">
        <v>46700</v>
      </c>
      <c r="J1241" s="246">
        <v>51850</v>
      </c>
      <c r="K1241" s="246">
        <v>56000</v>
      </c>
      <c r="L1241" s="246">
        <v>60150</v>
      </c>
      <c r="M1241" s="246">
        <v>64300</v>
      </c>
      <c r="N1241" s="246">
        <v>68450</v>
      </c>
    </row>
    <row r="1242" spans="3:14" ht="21.95" customHeight="1" x14ac:dyDescent="0.25">
      <c r="C1242" s="139" t="str">
        <f t="shared" si="35"/>
        <v>LA_WEST CARROLL PARISH, LA</v>
      </c>
      <c r="D1242" s="136" t="s">
        <v>87</v>
      </c>
      <c r="E1242" s="262" t="s">
        <v>3861</v>
      </c>
      <c r="F1242" s="136" t="s">
        <v>183</v>
      </c>
      <c r="G1242" s="246">
        <v>39800</v>
      </c>
      <c r="H1242" s="246">
        <v>45450</v>
      </c>
      <c r="I1242" s="246">
        <v>51150</v>
      </c>
      <c r="J1242" s="246">
        <v>56800</v>
      </c>
      <c r="K1242" s="246">
        <v>61350</v>
      </c>
      <c r="L1242" s="246">
        <v>65900</v>
      </c>
      <c r="M1242" s="246">
        <v>70450</v>
      </c>
      <c r="N1242" s="246">
        <v>75000</v>
      </c>
    </row>
    <row r="1243" spans="3:14" ht="21.95" customHeight="1" x14ac:dyDescent="0.25">
      <c r="C1243" s="139" t="str">
        <f t="shared" si="35"/>
        <v>LA_WINN PARISH, LA</v>
      </c>
      <c r="D1243" s="136" t="s">
        <v>87</v>
      </c>
      <c r="E1243" s="262" t="s">
        <v>3862</v>
      </c>
      <c r="F1243" s="136" t="s">
        <v>183</v>
      </c>
      <c r="G1243" s="246">
        <v>37350</v>
      </c>
      <c r="H1243" s="246">
        <v>42700</v>
      </c>
      <c r="I1243" s="246">
        <v>48050</v>
      </c>
      <c r="J1243" s="246">
        <v>53350</v>
      </c>
      <c r="K1243" s="246">
        <v>57650</v>
      </c>
      <c r="L1243" s="246">
        <v>61900</v>
      </c>
      <c r="M1243" s="246">
        <v>66200</v>
      </c>
      <c r="N1243" s="246">
        <v>70450</v>
      </c>
    </row>
    <row r="1244" spans="3:14" ht="21.95" customHeight="1" x14ac:dyDescent="0.25">
      <c r="C1244" s="139" t="str">
        <f t="shared" si="35"/>
        <v>MA_AMHERST TOWN-NORTHAMPTON, MA MSA</v>
      </c>
      <c r="D1244" s="136" t="s">
        <v>84</v>
      </c>
      <c r="E1244" s="262" t="s">
        <v>9191</v>
      </c>
      <c r="F1244" s="136" t="s">
        <v>183</v>
      </c>
      <c r="G1244" s="246">
        <v>67000</v>
      </c>
      <c r="H1244" s="246">
        <v>76550</v>
      </c>
      <c r="I1244" s="246">
        <v>86100</v>
      </c>
      <c r="J1244" s="246">
        <v>95650</v>
      </c>
      <c r="K1244" s="246">
        <v>103350</v>
      </c>
      <c r="L1244" s="246">
        <v>111000</v>
      </c>
      <c r="M1244" s="246">
        <v>118650</v>
      </c>
      <c r="N1244" s="246">
        <v>126300</v>
      </c>
    </row>
    <row r="1245" spans="3:14" ht="21.95" customHeight="1" x14ac:dyDescent="0.25">
      <c r="C1245" s="139" t="str">
        <f t="shared" si="35"/>
        <v>MA_BARNSTABLE TOWN, MA MSA</v>
      </c>
      <c r="D1245" s="136" t="s">
        <v>84</v>
      </c>
      <c r="E1245" s="262" t="s">
        <v>3863</v>
      </c>
      <c r="F1245" s="136" t="s">
        <v>183</v>
      </c>
      <c r="G1245" s="246">
        <v>74800</v>
      </c>
      <c r="H1245" s="246">
        <v>85450</v>
      </c>
      <c r="I1245" s="246">
        <v>96150</v>
      </c>
      <c r="J1245" s="246">
        <v>106800</v>
      </c>
      <c r="K1245" s="246">
        <v>115350</v>
      </c>
      <c r="L1245" s="246">
        <v>123900</v>
      </c>
      <c r="M1245" s="246">
        <v>132450</v>
      </c>
      <c r="N1245" s="246">
        <v>141000</v>
      </c>
    </row>
    <row r="1246" spans="3:14" ht="21.95" customHeight="1" x14ac:dyDescent="0.25">
      <c r="C1246" s="139" t="str">
        <f t="shared" si="35"/>
        <v>MA_BERKSHIRE COUNTY, MA (PART) HUD METRO FMR AREA</v>
      </c>
      <c r="D1246" s="136" t="s">
        <v>84</v>
      </c>
      <c r="E1246" s="262" t="s">
        <v>3864</v>
      </c>
      <c r="F1246" s="136" t="s">
        <v>183</v>
      </c>
      <c r="G1246" s="246">
        <v>67000</v>
      </c>
      <c r="H1246" s="246">
        <v>76550</v>
      </c>
      <c r="I1246" s="246">
        <v>86100</v>
      </c>
      <c r="J1246" s="246">
        <v>95650</v>
      </c>
      <c r="K1246" s="246">
        <v>103350</v>
      </c>
      <c r="L1246" s="246">
        <v>111000</v>
      </c>
      <c r="M1246" s="246">
        <v>118650</v>
      </c>
      <c r="N1246" s="246">
        <v>126300</v>
      </c>
    </row>
    <row r="1247" spans="3:14" ht="21.95" customHeight="1" x14ac:dyDescent="0.25">
      <c r="C1247" s="139" t="str">
        <f t="shared" si="35"/>
        <v>MA_BOSTON-CAMBRIDGE-QUINCY, MA-NH HUD METRO FMR AREA</v>
      </c>
      <c r="D1247" s="136" t="s">
        <v>84</v>
      </c>
      <c r="E1247" s="262" t="s">
        <v>3865</v>
      </c>
      <c r="F1247" s="136" t="s">
        <v>183</v>
      </c>
      <c r="G1247" s="246">
        <v>92650</v>
      </c>
      <c r="H1247" s="246">
        <v>105850</v>
      </c>
      <c r="I1247" s="246">
        <v>119100</v>
      </c>
      <c r="J1247" s="246">
        <v>132300</v>
      </c>
      <c r="K1247" s="246">
        <v>142900</v>
      </c>
      <c r="L1247" s="246">
        <v>153500</v>
      </c>
      <c r="M1247" s="246">
        <v>164100</v>
      </c>
      <c r="N1247" s="246">
        <v>174650</v>
      </c>
    </row>
    <row r="1248" spans="3:14" ht="21.95" customHeight="1" x14ac:dyDescent="0.25">
      <c r="C1248" s="139" t="str">
        <f t="shared" si="35"/>
        <v>MA_BROCKTON, MA HUD METRO FMR AREA</v>
      </c>
      <c r="D1248" s="136" t="s">
        <v>84</v>
      </c>
      <c r="E1248" s="262" t="s">
        <v>3866</v>
      </c>
      <c r="F1248" s="136" t="s">
        <v>183</v>
      </c>
      <c r="G1248" s="246">
        <v>72950</v>
      </c>
      <c r="H1248" s="246">
        <v>83400</v>
      </c>
      <c r="I1248" s="246">
        <v>93800</v>
      </c>
      <c r="J1248" s="246">
        <v>104200</v>
      </c>
      <c r="K1248" s="246">
        <v>112550</v>
      </c>
      <c r="L1248" s="246">
        <v>120900</v>
      </c>
      <c r="M1248" s="246">
        <v>129250</v>
      </c>
      <c r="N1248" s="246">
        <v>137550</v>
      </c>
    </row>
    <row r="1249" spans="3:14" ht="21.95" customHeight="1" x14ac:dyDescent="0.25">
      <c r="C1249" s="139" t="str">
        <f t="shared" si="35"/>
        <v>MA_DUKES COUNTY, MA</v>
      </c>
      <c r="D1249" s="136" t="s">
        <v>84</v>
      </c>
      <c r="E1249" s="262" t="s">
        <v>3867</v>
      </c>
      <c r="F1249" s="136" t="s">
        <v>183</v>
      </c>
      <c r="G1249" s="246">
        <v>72950</v>
      </c>
      <c r="H1249" s="246">
        <v>83400</v>
      </c>
      <c r="I1249" s="246">
        <v>93800</v>
      </c>
      <c r="J1249" s="246">
        <v>104200</v>
      </c>
      <c r="K1249" s="246">
        <v>112550</v>
      </c>
      <c r="L1249" s="246">
        <v>120900</v>
      </c>
      <c r="M1249" s="246">
        <v>129250</v>
      </c>
      <c r="N1249" s="246">
        <v>137550</v>
      </c>
    </row>
    <row r="1250" spans="3:14" ht="21.95" customHeight="1" x14ac:dyDescent="0.25">
      <c r="C1250" s="139" t="str">
        <f t="shared" si="35"/>
        <v>MA_EASTERN WORCESTER COUNTY, MA HUD METRO FMR AREA</v>
      </c>
      <c r="D1250" s="136" t="s">
        <v>84</v>
      </c>
      <c r="E1250" s="262" t="s">
        <v>3868</v>
      </c>
      <c r="F1250" s="136" t="s">
        <v>183</v>
      </c>
      <c r="G1250" s="246">
        <v>72950</v>
      </c>
      <c r="H1250" s="246">
        <v>83400</v>
      </c>
      <c r="I1250" s="246">
        <v>93800</v>
      </c>
      <c r="J1250" s="246">
        <v>104200</v>
      </c>
      <c r="K1250" s="246">
        <v>112550</v>
      </c>
      <c r="L1250" s="246">
        <v>120900</v>
      </c>
      <c r="M1250" s="246">
        <v>129250</v>
      </c>
      <c r="N1250" s="246">
        <v>137550</v>
      </c>
    </row>
    <row r="1251" spans="3:14" ht="21.95" customHeight="1" x14ac:dyDescent="0.25">
      <c r="C1251" s="139" t="str">
        <f t="shared" si="35"/>
        <v>MA_EASTON-RAYNHAM, MA HUD METRO FMR AREA</v>
      </c>
      <c r="D1251" s="136" t="s">
        <v>84</v>
      </c>
      <c r="E1251" s="262" t="s">
        <v>3869</v>
      </c>
      <c r="F1251" s="136" t="s">
        <v>183</v>
      </c>
      <c r="G1251" s="246">
        <v>78500</v>
      </c>
      <c r="H1251" s="246">
        <v>89700</v>
      </c>
      <c r="I1251" s="246">
        <v>100900</v>
      </c>
      <c r="J1251" s="246">
        <v>112100</v>
      </c>
      <c r="K1251" s="246">
        <v>121100</v>
      </c>
      <c r="L1251" s="246">
        <v>130050</v>
      </c>
      <c r="M1251" s="246">
        <v>139050</v>
      </c>
      <c r="N1251" s="246">
        <v>148000</v>
      </c>
    </row>
    <row r="1252" spans="3:14" ht="21.95" customHeight="1" x14ac:dyDescent="0.25">
      <c r="C1252" s="139" t="str">
        <f t="shared" si="35"/>
        <v>MA_FITCHBURG-LEOMINSTER, MA HUD METRO FMR AREA</v>
      </c>
      <c r="D1252" s="136" t="s">
        <v>84</v>
      </c>
      <c r="E1252" s="262" t="s">
        <v>3870</v>
      </c>
      <c r="F1252" s="136" t="s">
        <v>183</v>
      </c>
      <c r="G1252" s="246">
        <v>69850</v>
      </c>
      <c r="H1252" s="246">
        <v>79800</v>
      </c>
      <c r="I1252" s="246">
        <v>89800</v>
      </c>
      <c r="J1252" s="246">
        <v>99750</v>
      </c>
      <c r="K1252" s="246">
        <v>107750</v>
      </c>
      <c r="L1252" s="246">
        <v>115750</v>
      </c>
      <c r="M1252" s="246">
        <v>123700</v>
      </c>
      <c r="N1252" s="246">
        <v>131700</v>
      </c>
    </row>
    <row r="1253" spans="3:14" ht="21.95" customHeight="1" x14ac:dyDescent="0.25">
      <c r="C1253" s="139" t="str">
        <f t="shared" si="35"/>
        <v>MA_FRANKLIN COUNTY, MA</v>
      </c>
      <c r="D1253" s="136" t="s">
        <v>84</v>
      </c>
      <c r="E1253" s="262" t="s">
        <v>9189</v>
      </c>
      <c r="F1253" s="136" t="s">
        <v>183</v>
      </c>
      <c r="G1253" s="246">
        <v>67000</v>
      </c>
      <c r="H1253" s="246">
        <v>76550</v>
      </c>
      <c r="I1253" s="246">
        <v>86100</v>
      </c>
      <c r="J1253" s="246">
        <v>95650</v>
      </c>
      <c r="K1253" s="246">
        <v>103350</v>
      </c>
      <c r="L1253" s="246">
        <v>111000</v>
      </c>
      <c r="M1253" s="246">
        <v>118650</v>
      </c>
      <c r="N1253" s="246">
        <v>126300</v>
      </c>
    </row>
    <row r="1254" spans="3:14" ht="21.95" customHeight="1" x14ac:dyDescent="0.25">
      <c r="C1254" s="139" t="str">
        <f t="shared" si="35"/>
        <v>MA_LAWRENCE, MA-NH HUD METRO FMR AREA</v>
      </c>
      <c r="D1254" s="136" t="s">
        <v>84</v>
      </c>
      <c r="E1254" s="262" t="s">
        <v>3871</v>
      </c>
      <c r="F1254" s="136" t="s">
        <v>183</v>
      </c>
      <c r="G1254" s="246">
        <v>72950</v>
      </c>
      <c r="H1254" s="246">
        <v>83400</v>
      </c>
      <c r="I1254" s="246">
        <v>93800</v>
      </c>
      <c r="J1254" s="246">
        <v>104200</v>
      </c>
      <c r="K1254" s="246">
        <v>112550</v>
      </c>
      <c r="L1254" s="246">
        <v>120900</v>
      </c>
      <c r="M1254" s="246">
        <v>129250</v>
      </c>
      <c r="N1254" s="246">
        <v>137550</v>
      </c>
    </row>
    <row r="1255" spans="3:14" ht="21.95" customHeight="1" x14ac:dyDescent="0.25">
      <c r="C1255" s="139" t="str">
        <f t="shared" si="35"/>
        <v>MA_LOWELL, MA HUD METRO FMR AREA</v>
      </c>
      <c r="D1255" s="136" t="s">
        <v>84</v>
      </c>
      <c r="E1255" s="262" t="s">
        <v>3872</v>
      </c>
      <c r="F1255" s="136" t="s">
        <v>183</v>
      </c>
      <c r="G1255" s="246">
        <v>73200</v>
      </c>
      <c r="H1255" s="246">
        <v>83650</v>
      </c>
      <c r="I1255" s="246">
        <v>94100</v>
      </c>
      <c r="J1255" s="246">
        <v>104550</v>
      </c>
      <c r="K1255" s="246">
        <v>112950</v>
      </c>
      <c r="L1255" s="246">
        <v>121300</v>
      </c>
      <c r="M1255" s="246">
        <v>129650</v>
      </c>
      <c r="N1255" s="246">
        <v>138050</v>
      </c>
    </row>
    <row r="1256" spans="3:14" ht="21.95" customHeight="1" x14ac:dyDescent="0.25">
      <c r="C1256" s="139" t="str">
        <f t="shared" si="35"/>
        <v>MA_NANTUCKET COUNTY, MA</v>
      </c>
      <c r="D1256" s="136" t="s">
        <v>84</v>
      </c>
      <c r="E1256" s="262" t="s">
        <v>3873</v>
      </c>
      <c r="F1256" s="136" t="s">
        <v>183</v>
      </c>
      <c r="G1256" s="246">
        <v>83850</v>
      </c>
      <c r="H1256" s="246">
        <v>95800</v>
      </c>
      <c r="I1256" s="246">
        <v>107800</v>
      </c>
      <c r="J1256" s="246">
        <v>119750</v>
      </c>
      <c r="K1256" s="246">
        <v>129350</v>
      </c>
      <c r="L1256" s="246">
        <v>138950</v>
      </c>
      <c r="M1256" s="246">
        <v>148500</v>
      </c>
      <c r="N1256" s="246">
        <v>158100</v>
      </c>
    </row>
    <row r="1257" spans="3:14" ht="21.95" customHeight="1" x14ac:dyDescent="0.25">
      <c r="C1257" s="139" t="str">
        <f t="shared" si="35"/>
        <v>MA_NEW BEDFORD, MA HUD METRO FMR AREA</v>
      </c>
      <c r="D1257" s="136" t="s">
        <v>84</v>
      </c>
      <c r="E1257" s="262" t="s">
        <v>3874</v>
      </c>
      <c r="F1257" s="136" t="s">
        <v>183</v>
      </c>
      <c r="G1257" s="246">
        <v>67000</v>
      </c>
      <c r="H1257" s="246">
        <v>76550</v>
      </c>
      <c r="I1257" s="246">
        <v>86100</v>
      </c>
      <c r="J1257" s="246">
        <v>95650</v>
      </c>
      <c r="K1257" s="246">
        <v>103350</v>
      </c>
      <c r="L1257" s="246">
        <v>111000</v>
      </c>
      <c r="M1257" s="246">
        <v>118650</v>
      </c>
      <c r="N1257" s="246">
        <v>126300</v>
      </c>
    </row>
    <row r="1258" spans="3:14" ht="21.95" customHeight="1" x14ac:dyDescent="0.25">
      <c r="C1258" s="139" t="str">
        <f t="shared" si="35"/>
        <v>MA_PITTSFIELD, MA HUD METRO FMR AREA</v>
      </c>
      <c r="D1258" s="136" t="s">
        <v>84</v>
      </c>
      <c r="E1258" s="262" t="s">
        <v>3875</v>
      </c>
      <c r="F1258" s="136" t="s">
        <v>183</v>
      </c>
      <c r="G1258" s="246">
        <v>68800</v>
      </c>
      <c r="H1258" s="246">
        <v>78600</v>
      </c>
      <c r="I1258" s="246">
        <v>88450</v>
      </c>
      <c r="J1258" s="246">
        <v>98250</v>
      </c>
      <c r="K1258" s="246">
        <v>106150</v>
      </c>
      <c r="L1258" s="246">
        <v>114000</v>
      </c>
      <c r="M1258" s="246">
        <v>121850</v>
      </c>
      <c r="N1258" s="246">
        <v>129700</v>
      </c>
    </row>
    <row r="1259" spans="3:14" ht="21.95" customHeight="1" x14ac:dyDescent="0.25">
      <c r="C1259" s="139" t="str">
        <f t="shared" si="35"/>
        <v>MA_PROVIDENCE-FALL RIVER, RI-MA HUD METRO FMR AREA</v>
      </c>
      <c r="D1259" s="136" t="s">
        <v>84</v>
      </c>
      <c r="E1259" s="262" t="s">
        <v>3876</v>
      </c>
      <c r="F1259" s="136" t="s">
        <v>183</v>
      </c>
      <c r="G1259" s="246">
        <v>64050</v>
      </c>
      <c r="H1259" s="246">
        <v>73200</v>
      </c>
      <c r="I1259" s="246">
        <v>82350</v>
      </c>
      <c r="J1259" s="246">
        <v>91450</v>
      </c>
      <c r="K1259" s="246">
        <v>98800</v>
      </c>
      <c r="L1259" s="246">
        <v>106100</v>
      </c>
      <c r="M1259" s="246">
        <v>113400</v>
      </c>
      <c r="N1259" s="246">
        <v>120750</v>
      </c>
    </row>
    <row r="1260" spans="3:14" ht="21.95" customHeight="1" x14ac:dyDescent="0.25">
      <c r="C1260" s="139" t="str">
        <f t="shared" si="35"/>
        <v>MA_SPRINGFIELD, MA MSA</v>
      </c>
      <c r="D1260" s="136" t="s">
        <v>84</v>
      </c>
      <c r="E1260" s="262" t="s">
        <v>9190</v>
      </c>
      <c r="F1260" s="136" t="s">
        <v>183</v>
      </c>
      <c r="G1260" s="246">
        <v>67000</v>
      </c>
      <c r="H1260" s="246">
        <v>76550</v>
      </c>
      <c r="I1260" s="246">
        <v>86100</v>
      </c>
      <c r="J1260" s="246">
        <v>95650</v>
      </c>
      <c r="K1260" s="246">
        <v>103350</v>
      </c>
      <c r="L1260" s="246">
        <v>111000</v>
      </c>
      <c r="M1260" s="246">
        <v>118650</v>
      </c>
      <c r="N1260" s="246">
        <v>126300</v>
      </c>
    </row>
    <row r="1261" spans="3:14" ht="21.95" customHeight="1" x14ac:dyDescent="0.25">
      <c r="C1261" s="139" t="str">
        <f t="shared" si="35"/>
        <v>MA_TAUNTON-MANSFIELD-NORTON, MA HUD METRO FMR AREA</v>
      </c>
      <c r="D1261" s="136" t="s">
        <v>84</v>
      </c>
      <c r="E1261" s="262" t="s">
        <v>3877</v>
      </c>
      <c r="F1261" s="136" t="s">
        <v>183</v>
      </c>
      <c r="G1261" s="246">
        <v>70350</v>
      </c>
      <c r="H1261" s="246">
        <v>80400</v>
      </c>
      <c r="I1261" s="246">
        <v>90450</v>
      </c>
      <c r="J1261" s="246">
        <v>100500</v>
      </c>
      <c r="K1261" s="246">
        <v>108550</v>
      </c>
      <c r="L1261" s="246">
        <v>116600</v>
      </c>
      <c r="M1261" s="246">
        <v>124650</v>
      </c>
      <c r="N1261" s="246">
        <v>132700</v>
      </c>
    </row>
    <row r="1262" spans="3:14" ht="21.95" customHeight="1" x14ac:dyDescent="0.25">
      <c r="C1262" s="139" t="str">
        <f t="shared" si="35"/>
        <v>MA_WESTERN WORCESTER COUNTY, MA HUD METRO FMR AREA</v>
      </c>
      <c r="D1262" s="136" t="s">
        <v>84</v>
      </c>
      <c r="E1262" s="262" t="s">
        <v>3878</v>
      </c>
      <c r="F1262" s="136" t="s">
        <v>183</v>
      </c>
      <c r="G1262" s="246">
        <v>69550</v>
      </c>
      <c r="H1262" s="246">
        <v>79450</v>
      </c>
      <c r="I1262" s="246">
        <v>89400</v>
      </c>
      <c r="J1262" s="246">
        <v>99300</v>
      </c>
      <c r="K1262" s="246">
        <v>107250</v>
      </c>
      <c r="L1262" s="246">
        <v>115200</v>
      </c>
      <c r="M1262" s="246">
        <v>123150</v>
      </c>
      <c r="N1262" s="246">
        <v>131100</v>
      </c>
    </row>
    <row r="1263" spans="3:14" ht="21.95" customHeight="1" x14ac:dyDescent="0.25">
      <c r="C1263" s="139" t="str">
        <f t="shared" si="35"/>
        <v>MA_WORCESTER, MA HUD METRO FMR AREA</v>
      </c>
      <c r="D1263" s="136" t="s">
        <v>84</v>
      </c>
      <c r="E1263" s="262" t="s">
        <v>3879</v>
      </c>
      <c r="F1263" s="136" t="s">
        <v>183</v>
      </c>
      <c r="G1263" s="246">
        <v>69850</v>
      </c>
      <c r="H1263" s="246">
        <v>79800</v>
      </c>
      <c r="I1263" s="246">
        <v>89800</v>
      </c>
      <c r="J1263" s="246">
        <v>99750</v>
      </c>
      <c r="K1263" s="246">
        <v>107750</v>
      </c>
      <c r="L1263" s="246">
        <v>115750</v>
      </c>
      <c r="M1263" s="246">
        <v>123700</v>
      </c>
      <c r="N1263" s="246">
        <v>131700</v>
      </c>
    </row>
    <row r="1264" spans="3:14" ht="21.95" customHeight="1" x14ac:dyDescent="0.25">
      <c r="C1264" s="139" t="str">
        <f t="shared" si="35"/>
        <v>MD_ALLEGANY COUNTY, MD</v>
      </c>
      <c r="D1264" s="136" t="s">
        <v>85</v>
      </c>
      <c r="E1264" s="262" t="s">
        <v>9192</v>
      </c>
      <c r="F1264" s="136" t="s">
        <v>183</v>
      </c>
      <c r="G1264" s="246">
        <v>52000</v>
      </c>
      <c r="H1264" s="246">
        <v>59400</v>
      </c>
      <c r="I1264" s="246">
        <v>66850</v>
      </c>
      <c r="J1264" s="246">
        <v>74250</v>
      </c>
      <c r="K1264" s="246">
        <v>80200</v>
      </c>
      <c r="L1264" s="246">
        <v>86150</v>
      </c>
      <c r="M1264" s="246">
        <v>92100</v>
      </c>
      <c r="N1264" s="246">
        <v>98050</v>
      </c>
    </row>
    <row r="1265" spans="3:14" ht="21.95" customHeight="1" x14ac:dyDescent="0.25">
      <c r="C1265" s="139" t="str">
        <f t="shared" si="35"/>
        <v>MD_BALTIMORE-COLUMBIA-TOWSON, MD MSA</v>
      </c>
      <c r="D1265" s="136" t="s">
        <v>85</v>
      </c>
      <c r="E1265" s="262" t="s">
        <v>3880</v>
      </c>
      <c r="F1265" s="136" t="s">
        <v>183</v>
      </c>
      <c r="G1265" s="246">
        <v>72950</v>
      </c>
      <c r="H1265" s="246">
        <v>83400</v>
      </c>
      <c r="I1265" s="246">
        <v>93800</v>
      </c>
      <c r="J1265" s="246">
        <v>104200</v>
      </c>
      <c r="K1265" s="246">
        <v>112550</v>
      </c>
      <c r="L1265" s="246">
        <v>120900</v>
      </c>
      <c r="M1265" s="246">
        <v>129250</v>
      </c>
      <c r="N1265" s="246">
        <v>137550</v>
      </c>
    </row>
    <row r="1266" spans="3:14" ht="21.95" customHeight="1" x14ac:dyDescent="0.25">
      <c r="C1266" s="139" t="str">
        <f t="shared" si="35"/>
        <v>MD_CALVERT COUNTY, MD HUD METRO FMR AREA</v>
      </c>
      <c r="D1266" s="136" t="s">
        <v>85</v>
      </c>
      <c r="E1266" s="262" t="s">
        <v>9193</v>
      </c>
      <c r="F1266" s="136" t="s">
        <v>183</v>
      </c>
      <c r="G1266" s="246">
        <v>74800</v>
      </c>
      <c r="H1266" s="246">
        <v>85450</v>
      </c>
      <c r="I1266" s="246">
        <v>96150</v>
      </c>
      <c r="J1266" s="246">
        <v>106800</v>
      </c>
      <c r="K1266" s="246">
        <v>115350</v>
      </c>
      <c r="L1266" s="246">
        <v>123900</v>
      </c>
      <c r="M1266" s="246">
        <v>132450</v>
      </c>
      <c r="N1266" s="246">
        <v>141000</v>
      </c>
    </row>
    <row r="1267" spans="3:14" ht="21.95" customHeight="1" x14ac:dyDescent="0.25">
      <c r="C1267" s="139" t="str">
        <f t="shared" si="35"/>
        <v>MD_CAROLINE COUNTY, MD</v>
      </c>
      <c r="D1267" s="136" t="s">
        <v>85</v>
      </c>
      <c r="E1267" s="262" t="s">
        <v>3881</v>
      </c>
      <c r="F1267" s="136" t="s">
        <v>183</v>
      </c>
      <c r="G1267" s="246">
        <v>52000</v>
      </c>
      <c r="H1267" s="246">
        <v>59400</v>
      </c>
      <c r="I1267" s="246">
        <v>66850</v>
      </c>
      <c r="J1267" s="246">
        <v>74250</v>
      </c>
      <c r="K1267" s="246">
        <v>80200</v>
      </c>
      <c r="L1267" s="246">
        <v>86150</v>
      </c>
      <c r="M1267" s="246">
        <v>92100</v>
      </c>
      <c r="N1267" s="246">
        <v>98050</v>
      </c>
    </row>
    <row r="1268" spans="3:14" ht="21.95" customHeight="1" x14ac:dyDescent="0.25">
      <c r="C1268" s="139" t="str">
        <f t="shared" si="35"/>
        <v>MD_DORCHESTER COUNTY, MD</v>
      </c>
      <c r="D1268" s="136" t="s">
        <v>85</v>
      </c>
      <c r="E1268" s="262" t="s">
        <v>3882</v>
      </c>
      <c r="F1268" s="136" t="s">
        <v>183</v>
      </c>
      <c r="G1268" s="246">
        <v>52000</v>
      </c>
      <c r="H1268" s="246">
        <v>59400</v>
      </c>
      <c r="I1268" s="246">
        <v>66850</v>
      </c>
      <c r="J1268" s="246">
        <v>74250</v>
      </c>
      <c r="K1268" s="246">
        <v>80200</v>
      </c>
      <c r="L1268" s="246">
        <v>86150</v>
      </c>
      <c r="M1268" s="246">
        <v>92100</v>
      </c>
      <c r="N1268" s="246">
        <v>98050</v>
      </c>
    </row>
    <row r="1269" spans="3:14" ht="21.95" customHeight="1" x14ac:dyDescent="0.25">
      <c r="C1269" s="139" t="str">
        <f t="shared" si="35"/>
        <v>MD_GARRETT COUNTY, MD</v>
      </c>
      <c r="D1269" s="136" t="s">
        <v>85</v>
      </c>
      <c r="E1269" s="262" t="s">
        <v>3883</v>
      </c>
      <c r="F1269" s="136" t="s">
        <v>183</v>
      </c>
      <c r="G1269" s="246">
        <v>52500</v>
      </c>
      <c r="H1269" s="246">
        <v>60000</v>
      </c>
      <c r="I1269" s="246">
        <v>67500</v>
      </c>
      <c r="J1269" s="246">
        <v>74950</v>
      </c>
      <c r="K1269" s="246">
        <v>80950</v>
      </c>
      <c r="L1269" s="246">
        <v>86950</v>
      </c>
      <c r="M1269" s="246">
        <v>92950</v>
      </c>
      <c r="N1269" s="246">
        <v>98950</v>
      </c>
    </row>
    <row r="1270" spans="3:14" ht="21.95" customHeight="1" x14ac:dyDescent="0.25">
      <c r="C1270" s="139" t="str">
        <f t="shared" si="35"/>
        <v>MD_HAGERSTOWN, MD HUD METRO FMR AREA</v>
      </c>
      <c r="D1270" s="136" t="s">
        <v>85</v>
      </c>
      <c r="E1270" s="262" t="s">
        <v>3884</v>
      </c>
      <c r="F1270" s="136" t="s">
        <v>183</v>
      </c>
      <c r="G1270" s="246">
        <v>52500</v>
      </c>
      <c r="H1270" s="246">
        <v>60000</v>
      </c>
      <c r="I1270" s="246">
        <v>67500</v>
      </c>
      <c r="J1270" s="246">
        <v>74950</v>
      </c>
      <c r="K1270" s="246">
        <v>80950</v>
      </c>
      <c r="L1270" s="246">
        <v>86950</v>
      </c>
      <c r="M1270" s="246">
        <v>92950</v>
      </c>
      <c r="N1270" s="246">
        <v>98950</v>
      </c>
    </row>
    <row r="1271" spans="3:14" ht="21.95" customHeight="1" x14ac:dyDescent="0.25">
      <c r="C1271" s="139" t="str">
        <f t="shared" si="35"/>
        <v>MD_KENT COUNTY, MD</v>
      </c>
      <c r="D1271" s="136" t="s">
        <v>85</v>
      </c>
      <c r="E1271" s="262" t="s">
        <v>3885</v>
      </c>
      <c r="F1271" s="136" t="s">
        <v>183</v>
      </c>
      <c r="G1271" s="246">
        <v>62450</v>
      </c>
      <c r="H1271" s="246">
        <v>71400</v>
      </c>
      <c r="I1271" s="246">
        <v>80300</v>
      </c>
      <c r="J1271" s="246">
        <v>89200</v>
      </c>
      <c r="K1271" s="246">
        <v>96350</v>
      </c>
      <c r="L1271" s="246">
        <v>103500</v>
      </c>
      <c r="M1271" s="246">
        <v>110650</v>
      </c>
      <c r="N1271" s="246">
        <v>117750</v>
      </c>
    </row>
    <row r="1272" spans="3:14" ht="21.95" customHeight="1" x14ac:dyDescent="0.25">
      <c r="C1272" s="139" t="str">
        <f t="shared" si="35"/>
        <v>MD_PHILADELPHIA-CAMDEN-WILMINGTON, PA-NJ-DE-MD MSA</v>
      </c>
      <c r="D1272" s="136" t="s">
        <v>85</v>
      </c>
      <c r="E1272" s="262" t="s">
        <v>3212</v>
      </c>
      <c r="F1272" s="136" t="s">
        <v>183</v>
      </c>
      <c r="G1272" s="246">
        <v>66850</v>
      </c>
      <c r="H1272" s="246">
        <v>76400</v>
      </c>
      <c r="I1272" s="246">
        <v>85950</v>
      </c>
      <c r="J1272" s="246">
        <v>95500</v>
      </c>
      <c r="K1272" s="246">
        <v>103150</v>
      </c>
      <c r="L1272" s="246">
        <v>110800</v>
      </c>
      <c r="M1272" s="246">
        <v>118450</v>
      </c>
      <c r="N1272" s="246">
        <v>126100</v>
      </c>
    </row>
    <row r="1273" spans="3:14" ht="21.95" customHeight="1" x14ac:dyDescent="0.25">
      <c r="C1273" s="139" t="str">
        <f t="shared" si="35"/>
        <v>MD_SALISBURY, MD HUD METRO FMR AREA</v>
      </c>
      <c r="D1273" s="136" t="s">
        <v>85</v>
      </c>
      <c r="E1273" s="262" t="s">
        <v>3886</v>
      </c>
      <c r="F1273" s="136" t="s">
        <v>183</v>
      </c>
      <c r="G1273" s="246">
        <v>52500</v>
      </c>
      <c r="H1273" s="246">
        <v>60000</v>
      </c>
      <c r="I1273" s="246">
        <v>67500</v>
      </c>
      <c r="J1273" s="246">
        <v>74950</v>
      </c>
      <c r="K1273" s="246">
        <v>80950</v>
      </c>
      <c r="L1273" s="246">
        <v>86950</v>
      </c>
      <c r="M1273" s="246">
        <v>92950</v>
      </c>
      <c r="N1273" s="246">
        <v>98950</v>
      </c>
    </row>
    <row r="1274" spans="3:14" ht="21.95" customHeight="1" x14ac:dyDescent="0.25">
      <c r="C1274" s="139" t="str">
        <f t="shared" si="35"/>
        <v>MD_SOMERSET COUNTY, MD HUD METRO FMR AREA</v>
      </c>
      <c r="D1274" s="136" t="s">
        <v>85</v>
      </c>
      <c r="E1274" s="262" t="s">
        <v>3887</v>
      </c>
      <c r="F1274" s="136" t="s">
        <v>183</v>
      </c>
      <c r="G1274" s="246">
        <v>52000</v>
      </c>
      <c r="H1274" s="246">
        <v>59400</v>
      </c>
      <c r="I1274" s="246">
        <v>66850</v>
      </c>
      <c r="J1274" s="246">
        <v>74250</v>
      </c>
      <c r="K1274" s="246">
        <v>80200</v>
      </c>
      <c r="L1274" s="246">
        <v>86150</v>
      </c>
      <c r="M1274" s="246">
        <v>92100</v>
      </c>
      <c r="N1274" s="246">
        <v>98050</v>
      </c>
    </row>
    <row r="1275" spans="3:14" ht="21.95" customHeight="1" x14ac:dyDescent="0.25">
      <c r="C1275" s="139" t="str">
        <f t="shared" si="35"/>
        <v>MD_ST. MARY'S COUNTY, MD HUD METRO FMR AREA</v>
      </c>
      <c r="D1275" s="136" t="s">
        <v>85</v>
      </c>
      <c r="E1275" s="262" t="s">
        <v>9194</v>
      </c>
      <c r="F1275" s="136" t="s">
        <v>183</v>
      </c>
      <c r="G1275" s="246">
        <v>72150</v>
      </c>
      <c r="H1275" s="246">
        <v>82450</v>
      </c>
      <c r="I1275" s="246">
        <v>92750</v>
      </c>
      <c r="J1275" s="246">
        <v>103050</v>
      </c>
      <c r="K1275" s="246">
        <v>111300</v>
      </c>
      <c r="L1275" s="246">
        <v>119550</v>
      </c>
      <c r="M1275" s="246">
        <v>127800</v>
      </c>
      <c r="N1275" s="246">
        <v>136050</v>
      </c>
    </row>
    <row r="1276" spans="3:14" ht="21.95" customHeight="1" x14ac:dyDescent="0.25">
      <c r="C1276" s="139" t="str">
        <f t="shared" si="35"/>
        <v>MD_TALBOT COUNTY, MD</v>
      </c>
      <c r="D1276" s="136" t="s">
        <v>85</v>
      </c>
      <c r="E1276" s="262" t="s">
        <v>3888</v>
      </c>
      <c r="F1276" s="136" t="s">
        <v>183</v>
      </c>
      <c r="G1276" s="246">
        <v>64400</v>
      </c>
      <c r="H1276" s="246">
        <v>73600</v>
      </c>
      <c r="I1276" s="246">
        <v>82800</v>
      </c>
      <c r="J1276" s="246">
        <v>92000</v>
      </c>
      <c r="K1276" s="246">
        <v>99400</v>
      </c>
      <c r="L1276" s="246">
        <v>106750</v>
      </c>
      <c r="M1276" s="246">
        <v>114100</v>
      </c>
      <c r="N1276" s="246">
        <v>121450</v>
      </c>
    </row>
    <row r="1277" spans="3:14" ht="21.95" customHeight="1" x14ac:dyDescent="0.25">
      <c r="C1277" s="139" t="str">
        <f t="shared" si="35"/>
        <v>MD_WASHINGTON-ARLINGTON-ALEXANDRIA, DC-VA-MD HUD METRO FMR AREA</v>
      </c>
      <c r="D1277" s="136" t="s">
        <v>85</v>
      </c>
      <c r="E1277" s="262" t="s">
        <v>3210</v>
      </c>
      <c r="F1277" s="136" t="s">
        <v>183</v>
      </c>
      <c r="G1277" s="246">
        <v>74800</v>
      </c>
      <c r="H1277" s="246">
        <v>85450</v>
      </c>
      <c r="I1277" s="246">
        <v>96150</v>
      </c>
      <c r="J1277" s="246">
        <v>106800</v>
      </c>
      <c r="K1277" s="246">
        <v>115350</v>
      </c>
      <c r="L1277" s="246">
        <v>123900</v>
      </c>
      <c r="M1277" s="246">
        <v>132450</v>
      </c>
      <c r="N1277" s="246">
        <v>141000</v>
      </c>
    </row>
    <row r="1278" spans="3:14" ht="21.95" customHeight="1" x14ac:dyDescent="0.25">
      <c r="C1278" s="139" t="str">
        <f t="shared" si="35"/>
        <v>MD_WORCESTER COUNTY, MD</v>
      </c>
      <c r="D1278" s="136" t="s">
        <v>85</v>
      </c>
      <c r="E1278" s="262" t="s">
        <v>9195</v>
      </c>
      <c r="F1278" s="136" t="s">
        <v>183</v>
      </c>
      <c r="G1278" s="246">
        <v>62200</v>
      </c>
      <c r="H1278" s="246">
        <v>71050</v>
      </c>
      <c r="I1278" s="246">
        <v>79950</v>
      </c>
      <c r="J1278" s="246">
        <v>88800</v>
      </c>
      <c r="K1278" s="246">
        <v>95950</v>
      </c>
      <c r="L1278" s="246">
        <v>103050</v>
      </c>
      <c r="M1278" s="246">
        <v>110150</v>
      </c>
      <c r="N1278" s="246">
        <v>117250</v>
      </c>
    </row>
    <row r="1279" spans="3:14" ht="21.95" customHeight="1" x14ac:dyDescent="0.25">
      <c r="C1279" s="139" t="str">
        <f t="shared" si="35"/>
        <v>ME_AROOSTOOK COUNTY, ME</v>
      </c>
      <c r="D1279" s="136" t="s">
        <v>86</v>
      </c>
      <c r="E1279" s="262" t="s">
        <v>3889</v>
      </c>
      <c r="F1279" s="136" t="s">
        <v>183</v>
      </c>
      <c r="G1279" s="246">
        <v>47600</v>
      </c>
      <c r="H1279" s="246">
        <v>54400</v>
      </c>
      <c r="I1279" s="246">
        <v>61200</v>
      </c>
      <c r="J1279" s="246">
        <v>68000</v>
      </c>
      <c r="K1279" s="246">
        <v>73450</v>
      </c>
      <c r="L1279" s="246">
        <v>78900</v>
      </c>
      <c r="M1279" s="246">
        <v>84350</v>
      </c>
      <c r="N1279" s="246">
        <v>89800</v>
      </c>
    </row>
    <row r="1280" spans="3:14" ht="21.95" customHeight="1" x14ac:dyDescent="0.25">
      <c r="C1280" s="139" t="str">
        <f t="shared" ref="C1280:C1343" si="36">TRIM(UPPER(D1280))&amp;"_"&amp;TRIM(UPPER(E1280))</f>
        <v>ME_BANGOR, ME HUD METRO FMR AREA</v>
      </c>
      <c r="D1280" s="136" t="s">
        <v>86</v>
      </c>
      <c r="E1280" s="262" t="s">
        <v>3890</v>
      </c>
      <c r="F1280" s="136" t="s">
        <v>183</v>
      </c>
      <c r="G1280" s="246">
        <v>57900</v>
      </c>
      <c r="H1280" s="246">
        <v>66200</v>
      </c>
      <c r="I1280" s="246">
        <v>74450</v>
      </c>
      <c r="J1280" s="246">
        <v>82700</v>
      </c>
      <c r="K1280" s="246">
        <v>89350</v>
      </c>
      <c r="L1280" s="246">
        <v>95950</v>
      </c>
      <c r="M1280" s="246">
        <v>102550</v>
      </c>
      <c r="N1280" s="246">
        <v>109200</v>
      </c>
    </row>
    <row r="1281" spans="3:14" ht="21.95" customHeight="1" x14ac:dyDescent="0.25">
      <c r="C1281" s="139" t="str">
        <f t="shared" si="36"/>
        <v>ME_CUMBERLAND COUNTY, ME (PART) HUD METRO FMR AREA</v>
      </c>
      <c r="D1281" s="136" t="s">
        <v>86</v>
      </c>
      <c r="E1281" s="262" t="s">
        <v>3891</v>
      </c>
      <c r="F1281" s="136" t="s">
        <v>183</v>
      </c>
      <c r="G1281" s="246">
        <v>61350</v>
      </c>
      <c r="H1281" s="246">
        <v>70100</v>
      </c>
      <c r="I1281" s="246">
        <v>78850</v>
      </c>
      <c r="J1281" s="246">
        <v>87600</v>
      </c>
      <c r="K1281" s="246">
        <v>94650</v>
      </c>
      <c r="L1281" s="246">
        <v>101650</v>
      </c>
      <c r="M1281" s="246">
        <v>108650</v>
      </c>
      <c r="N1281" s="246">
        <v>115650</v>
      </c>
    </row>
    <row r="1282" spans="3:14" ht="21.95" customHeight="1" x14ac:dyDescent="0.25">
      <c r="C1282" s="139" t="str">
        <f t="shared" si="36"/>
        <v>ME_FRANKLIN COUNTY, ME</v>
      </c>
      <c r="D1282" s="136" t="s">
        <v>86</v>
      </c>
      <c r="E1282" s="262" t="s">
        <v>3892</v>
      </c>
      <c r="F1282" s="136" t="s">
        <v>183</v>
      </c>
      <c r="G1282" s="246">
        <v>48400</v>
      </c>
      <c r="H1282" s="246">
        <v>55300</v>
      </c>
      <c r="I1282" s="246">
        <v>62200</v>
      </c>
      <c r="J1282" s="246">
        <v>69100</v>
      </c>
      <c r="K1282" s="246">
        <v>74650</v>
      </c>
      <c r="L1282" s="246">
        <v>80200</v>
      </c>
      <c r="M1282" s="246">
        <v>85700</v>
      </c>
      <c r="N1282" s="246">
        <v>91250</v>
      </c>
    </row>
    <row r="1283" spans="3:14" ht="21.95" customHeight="1" x14ac:dyDescent="0.25">
      <c r="C1283" s="139" t="str">
        <f t="shared" si="36"/>
        <v>ME_HANCOCK COUNTY, ME</v>
      </c>
      <c r="D1283" s="136" t="s">
        <v>86</v>
      </c>
      <c r="E1283" s="262" t="s">
        <v>3893</v>
      </c>
      <c r="F1283" s="136" t="s">
        <v>183</v>
      </c>
      <c r="G1283" s="246">
        <v>54000</v>
      </c>
      <c r="H1283" s="246">
        <v>61700</v>
      </c>
      <c r="I1283" s="246">
        <v>69400</v>
      </c>
      <c r="J1283" s="246">
        <v>77100</v>
      </c>
      <c r="K1283" s="246">
        <v>83300</v>
      </c>
      <c r="L1283" s="246">
        <v>89450</v>
      </c>
      <c r="M1283" s="246">
        <v>95650</v>
      </c>
      <c r="N1283" s="246">
        <v>101800</v>
      </c>
    </row>
    <row r="1284" spans="3:14" ht="21.95" customHeight="1" x14ac:dyDescent="0.25">
      <c r="C1284" s="139" t="str">
        <f t="shared" si="36"/>
        <v>ME_KENNEBEC COUNTY, ME</v>
      </c>
      <c r="D1284" s="136" t="s">
        <v>86</v>
      </c>
      <c r="E1284" s="262" t="s">
        <v>3894</v>
      </c>
      <c r="F1284" s="136" t="s">
        <v>183</v>
      </c>
      <c r="G1284" s="246">
        <v>48900</v>
      </c>
      <c r="H1284" s="246">
        <v>55900</v>
      </c>
      <c r="I1284" s="246">
        <v>62900</v>
      </c>
      <c r="J1284" s="246">
        <v>69850</v>
      </c>
      <c r="K1284" s="246">
        <v>75450</v>
      </c>
      <c r="L1284" s="246">
        <v>81050</v>
      </c>
      <c r="M1284" s="246">
        <v>86650</v>
      </c>
      <c r="N1284" s="246">
        <v>92250</v>
      </c>
    </row>
    <row r="1285" spans="3:14" ht="21.95" customHeight="1" x14ac:dyDescent="0.25">
      <c r="C1285" s="139" t="str">
        <f t="shared" si="36"/>
        <v>ME_KNOX COUNTY, ME</v>
      </c>
      <c r="D1285" s="136" t="s">
        <v>86</v>
      </c>
      <c r="E1285" s="262" t="s">
        <v>3895</v>
      </c>
      <c r="F1285" s="136" t="s">
        <v>183</v>
      </c>
      <c r="G1285" s="246">
        <v>56000</v>
      </c>
      <c r="H1285" s="246">
        <v>64000</v>
      </c>
      <c r="I1285" s="246">
        <v>72000</v>
      </c>
      <c r="J1285" s="246">
        <v>80000</v>
      </c>
      <c r="K1285" s="246">
        <v>86400</v>
      </c>
      <c r="L1285" s="246">
        <v>92800</v>
      </c>
      <c r="M1285" s="246">
        <v>99200</v>
      </c>
      <c r="N1285" s="246">
        <v>105600</v>
      </c>
    </row>
    <row r="1286" spans="3:14" ht="21.95" customHeight="1" x14ac:dyDescent="0.25">
      <c r="C1286" s="139" t="str">
        <f t="shared" si="36"/>
        <v>ME_LEWISTON-AUBURN, ME MSA</v>
      </c>
      <c r="D1286" s="136" t="s">
        <v>86</v>
      </c>
      <c r="E1286" s="262" t="s">
        <v>3896</v>
      </c>
      <c r="F1286" s="136" t="s">
        <v>183</v>
      </c>
      <c r="G1286" s="246">
        <v>47850</v>
      </c>
      <c r="H1286" s="246">
        <v>54650</v>
      </c>
      <c r="I1286" s="246">
        <v>61500</v>
      </c>
      <c r="J1286" s="246">
        <v>68300</v>
      </c>
      <c r="K1286" s="246">
        <v>73800</v>
      </c>
      <c r="L1286" s="246">
        <v>79250</v>
      </c>
      <c r="M1286" s="246">
        <v>84700</v>
      </c>
      <c r="N1286" s="246">
        <v>90200</v>
      </c>
    </row>
    <row r="1287" spans="3:14" ht="21.95" customHeight="1" x14ac:dyDescent="0.25">
      <c r="C1287" s="139" t="str">
        <f t="shared" si="36"/>
        <v>ME_LINCOLN COUNTY, ME</v>
      </c>
      <c r="D1287" s="136" t="s">
        <v>86</v>
      </c>
      <c r="E1287" s="262" t="s">
        <v>3897</v>
      </c>
      <c r="F1287" s="136" t="s">
        <v>183</v>
      </c>
      <c r="G1287" s="246">
        <v>55300</v>
      </c>
      <c r="H1287" s="246">
        <v>63200</v>
      </c>
      <c r="I1287" s="246">
        <v>71100</v>
      </c>
      <c r="J1287" s="246">
        <v>78950</v>
      </c>
      <c r="K1287" s="246">
        <v>85300</v>
      </c>
      <c r="L1287" s="246">
        <v>91600</v>
      </c>
      <c r="M1287" s="246">
        <v>97900</v>
      </c>
      <c r="N1287" s="246">
        <v>104250</v>
      </c>
    </row>
    <row r="1288" spans="3:14" ht="21.95" customHeight="1" x14ac:dyDescent="0.25">
      <c r="C1288" s="139" t="str">
        <f t="shared" si="36"/>
        <v>ME_OXFORD COUNTY, ME</v>
      </c>
      <c r="D1288" s="136" t="s">
        <v>86</v>
      </c>
      <c r="E1288" s="262" t="s">
        <v>3898</v>
      </c>
      <c r="F1288" s="136" t="s">
        <v>183</v>
      </c>
      <c r="G1288" s="246">
        <v>47600</v>
      </c>
      <c r="H1288" s="246">
        <v>54400</v>
      </c>
      <c r="I1288" s="246">
        <v>61200</v>
      </c>
      <c r="J1288" s="246">
        <v>68000</v>
      </c>
      <c r="K1288" s="246">
        <v>73450</v>
      </c>
      <c r="L1288" s="246">
        <v>78900</v>
      </c>
      <c r="M1288" s="246">
        <v>84350</v>
      </c>
      <c r="N1288" s="246">
        <v>89800</v>
      </c>
    </row>
    <row r="1289" spans="3:14" ht="21.95" customHeight="1" x14ac:dyDescent="0.25">
      <c r="C1289" s="139" t="str">
        <f t="shared" si="36"/>
        <v>ME_PENOBSCOT COUNTY, ME (PART) HUD METRO FMR AREA</v>
      </c>
      <c r="D1289" s="136" t="s">
        <v>86</v>
      </c>
      <c r="E1289" s="262" t="s">
        <v>3899</v>
      </c>
      <c r="F1289" s="136" t="s">
        <v>183</v>
      </c>
      <c r="G1289" s="246">
        <v>47600</v>
      </c>
      <c r="H1289" s="246">
        <v>54400</v>
      </c>
      <c r="I1289" s="246">
        <v>61200</v>
      </c>
      <c r="J1289" s="246">
        <v>68000</v>
      </c>
      <c r="K1289" s="246">
        <v>73450</v>
      </c>
      <c r="L1289" s="246">
        <v>78900</v>
      </c>
      <c r="M1289" s="246">
        <v>84350</v>
      </c>
      <c r="N1289" s="246">
        <v>89800</v>
      </c>
    </row>
    <row r="1290" spans="3:14" ht="21.95" customHeight="1" x14ac:dyDescent="0.25">
      <c r="C1290" s="139" t="str">
        <f t="shared" si="36"/>
        <v>ME_PISCATAQUIS COUNTY, ME</v>
      </c>
      <c r="D1290" s="136" t="s">
        <v>86</v>
      </c>
      <c r="E1290" s="262" t="s">
        <v>3900</v>
      </c>
      <c r="F1290" s="136" t="s">
        <v>183</v>
      </c>
      <c r="G1290" s="246">
        <v>47600</v>
      </c>
      <c r="H1290" s="246">
        <v>54400</v>
      </c>
      <c r="I1290" s="246">
        <v>61200</v>
      </c>
      <c r="J1290" s="246">
        <v>68000</v>
      </c>
      <c r="K1290" s="246">
        <v>73450</v>
      </c>
      <c r="L1290" s="246">
        <v>78900</v>
      </c>
      <c r="M1290" s="246">
        <v>84350</v>
      </c>
      <c r="N1290" s="246">
        <v>89800</v>
      </c>
    </row>
    <row r="1291" spans="3:14" ht="21.95" customHeight="1" x14ac:dyDescent="0.25">
      <c r="C1291" s="139" t="str">
        <f t="shared" si="36"/>
        <v>ME_PORTLAND, ME HUD METRO FMR AREA</v>
      </c>
      <c r="D1291" s="136" t="s">
        <v>86</v>
      </c>
      <c r="E1291" s="262" t="s">
        <v>3901</v>
      </c>
      <c r="F1291" s="136" t="s">
        <v>183</v>
      </c>
      <c r="G1291" s="246">
        <v>72700</v>
      </c>
      <c r="H1291" s="246">
        <v>83100</v>
      </c>
      <c r="I1291" s="246">
        <v>93500</v>
      </c>
      <c r="J1291" s="246">
        <v>103850</v>
      </c>
      <c r="K1291" s="246">
        <v>112200</v>
      </c>
      <c r="L1291" s="246">
        <v>120500</v>
      </c>
      <c r="M1291" s="246">
        <v>128800</v>
      </c>
      <c r="N1291" s="246">
        <v>137100</v>
      </c>
    </row>
    <row r="1292" spans="3:14" ht="21.95" customHeight="1" x14ac:dyDescent="0.25">
      <c r="C1292" s="139" t="str">
        <f t="shared" si="36"/>
        <v>ME_SAGADAHOC COUNTY, ME HUD METRO FMR AREA</v>
      </c>
      <c r="D1292" s="136" t="s">
        <v>86</v>
      </c>
      <c r="E1292" s="262" t="s">
        <v>3902</v>
      </c>
      <c r="F1292" s="136" t="s">
        <v>183</v>
      </c>
      <c r="G1292" s="246">
        <v>57800</v>
      </c>
      <c r="H1292" s="246">
        <v>66050</v>
      </c>
      <c r="I1292" s="246">
        <v>74300</v>
      </c>
      <c r="J1292" s="246">
        <v>82550</v>
      </c>
      <c r="K1292" s="246">
        <v>89200</v>
      </c>
      <c r="L1292" s="246">
        <v>95800</v>
      </c>
      <c r="M1292" s="246">
        <v>102400</v>
      </c>
      <c r="N1292" s="246">
        <v>109000</v>
      </c>
    </row>
    <row r="1293" spans="3:14" ht="21.95" customHeight="1" x14ac:dyDescent="0.25">
      <c r="C1293" s="139" t="str">
        <f t="shared" si="36"/>
        <v>ME_SOMERSET COUNTY, ME</v>
      </c>
      <c r="D1293" s="136" t="s">
        <v>86</v>
      </c>
      <c r="E1293" s="262" t="s">
        <v>3903</v>
      </c>
      <c r="F1293" s="136" t="s">
        <v>183</v>
      </c>
      <c r="G1293" s="246">
        <v>47600</v>
      </c>
      <c r="H1293" s="246">
        <v>54400</v>
      </c>
      <c r="I1293" s="246">
        <v>61200</v>
      </c>
      <c r="J1293" s="246">
        <v>68000</v>
      </c>
      <c r="K1293" s="246">
        <v>73450</v>
      </c>
      <c r="L1293" s="246">
        <v>78900</v>
      </c>
      <c r="M1293" s="246">
        <v>84350</v>
      </c>
      <c r="N1293" s="246">
        <v>89800</v>
      </c>
    </row>
    <row r="1294" spans="3:14" ht="21.95" customHeight="1" x14ac:dyDescent="0.25">
      <c r="C1294" s="139" t="str">
        <f t="shared" si="36"/>
        <v>ME_WALDO COUNTY, ME</v>
      </c>
      <c r="D1294" s="136" t="s">
        <v>86</v>
      </c>
      <c r="E1294" s="262" t="s">
        <v>3904</v>
      </c>
      <c r="F1294" s="136" t="s">
        <v>183</v>
      </c>
      <c r="G1294" s="246">
        <v>49700</v>
      </c>
      <c r="H1294" s="246">
        <v>56800</v>
      </c>
      <c r="I1294" s="246">
        <v>63900</v>
      </c>
      <c r="J1294" s="246">
        <v>70950</v>
      </c>
      <c r="K1294" s="246">
        <v>76650</v>
      </c>
      <c r="L1294" s="246">
        <v>82350</v>
      </c>
      <c r="M1294" s="246">
        <v>88000</v>
      </c>
      <c r="N1294" s="246">
        <v>93700</v>
      </c>
    </row>
    <row r="1295" spans="3:14" ht="21.95" customHeight="1" x14ac:dyDescent="0.25">
      <c r="C1295" s="139" t="str">
        <f t="shared" si="36"/>
        <v>ME_WASHINGTON COUNTY, ME</v>
      </c>
      <c r="D1295" s="136" t="s">
        <v>86</v>
      </c>
      <c r="E1295" s="262" t="s">
        <v>3905</v>
      </c>
      <c r="F1295" s="136" t="s">
        <v>183</v>
      </c>
      <c r="G1295" s="246">
        <v>47600</v>
      </c>
      <c r="H1295" s="246">
        <v>54400</v>
      </c>
      <c r="I1295" s="246">
        <v>61200</v>
      </c>
      <c r="J1295" s="246">
        <v>68000</v>
      </c>
      <c r="K1295" s="246">
        <v>73450</v>
      </c>
      <c r="L1295" s="246">
        <v>78900</v>
      </c>
      <c r="M1295" s="246">
        <v>84350</v>
      </c>
      <c r="N1295" s="246">
        <v>89800</v>
      </c>
    </row>
    <row r="1296" spans="3:14" ht="21.95" customHeight="1" x14ac:dyDescent="0.25">
      <c r="C1296" s="139" t="str">
        <f t="shared" si="36"/>
        <v>ME_YORK COUNTY, ME (PART) HUD METRO FMR AREA</v>
      </c>
      <c r="D1296" s="136" t="s">
        <v>86</v>
      </c>
      <c r="E1296" s="262" t="s">
        <v>3906</v>
      </c>
      <c r="F1296" s="136" t="s">
        <v>183</v>
      </c>
      <c r="G1296" s="246">
        <v>59850</v>
      </c>
      <c r="H1296" s="246">
        <v>68400</v>
      </c>
      <c r="I1296" s="246">
        <v>76950</v>
      </c>
      <c r="J1296" s="246">
        <v>85500</v>
      </c>
      <c r="K1296" s="246">
        <v>92350</v>
      </c>
      <c r="L1296" s="246">
        <v>99200</v>
      </c>
      <c r="M1296" s="246">
        <v>106050</v>
      </c>
      <c r="N1296" s="246">
        <v>112900</v>
      </c>
    </row>
    <row r="1297" spans="3:14" ht="21.95" customHeight="1" x14ac:dyDescent="0.25">
      <c r="C1297" s="139" t="str">
        <f t="shared" si="36"/>
        <v>ME_YORK-KITTERY-SOUTH BERWICK, ME HUD METRO FMR AREA</v>
      </c>
      <c r="D1297" s="136" t="s">
        <v>86</v>
      </c>
      <c r="E1297" s="262" t="s">
        <v>3907</v>
      </c>
      <c r="F1297" s="136" t="s">
        <v>183</v>
      </c>
      <c r="G1297" s="246">
        <v>71800</v>
      </c>
      <c r="H1297" s="246">
        <v>82050</v>
      </c>
      <c r="I1297" s="246">
        <v>92300</v>
      </c>
      <c r="J1297" s="246">
        <v>102550</v>
      </c>
      <c r="K1297" s="246">
        <v>110800</v>
      </c>
      <c r="L1297" s="246">
        <v>119000</v>
      </c>
      <c r="M1297" s="246">
        <v>127200</v>
      </c>
      <c r="N1297" s="246">
        <v>135400</v>
      </c>
    </row>
    <row r="1298" spans="3:14" ht="21.95" customHeight="1" x14ac:dyDescent="0.25">
      <c r="C1298" s="139" t="str">
        <f t="shared" si="36"/>
        <v>MI_ALCONA COUNTY, MI</v>
      </c>
      <c r="D1298" s="136" t="s">
        <v>83</v>
      </c>
      <c r="E1298" s="262" t="s">
        <v>3908</v>
      </c>
      <c r="F1298" s="136" t="s">
        <v>183</v>
      </c>
      <c r="G1298" s="246">
        <v>45850</v>
      </c>
      <c r="H1298" s="246">
        <v>52400</v>
      </c>
      <c r="I1298" s="246">
        <v>58950</v>
      </c>
      <c r="J1298" s="246">
        <v>65500</v>
      </c>
      <c r="K1298" s="246">
        <v>70750</v>
      </c>
      <c r="L1298" s="246">
        <v>76000</v>
      </c>
      <c r="M1298" s="246">
        <v>81250</v>
      </c>
      <c r="N1298" s="246">
        <v>86500</v>
      </c>
    </row>
    <row r="1299" spans="3:14" ht="21.95" customHeight="1" x14ac:dyDescent="0.25">
      <c r="C1299" s="139" t="str">
        <f t="shared" si="36"/>
        <v>MI_ALGER COUNTY, MI</v>
      </c>
      <c r="D1299" s="136" t="s">
        <v>83</v>
      </c>
      <c r="E1299" s="262" t="s">
        <v>3909</v>
      </c>
      <c r="F1299" s="136" t="s">
        <v>183</v>
      </c>
      <c r="G1299" s="246">
        <v>45850</v>
      </c>
      <c r="H1299" s="246">
        <v>52400</v>
      </c>
      <c r="I1299" s="246">
        <v>58950</v>
      </c>
      <c r="J1299" s="246">
        <v>65500</v>
      </c>
      <c r="K1299" s="246">
        <v>70750</v>
      </c>
      <c r="L1299" s="246">
        <v>76000</v>
      </c>
      <c r="M1299" s="246">
        <v>81250</v>
      </c>
      <c r="N1299" s="246">
        <v>86500</v>
      </c>
    </row>
    <row r="1300" spans="3:14" ht="21.95" customHeight="1" x14ac:dyDescent="0.25">
      <c r="C1300" s="139" t="str">
        <f t="shared" si="36"/>
        <v>MI_ALLEGAN COUNTY, MI</v>
      </c>
      <c r="D1300" s="136" t="s">
        <v>83</v>
      </c>
      <c r="E1300" s="262" t="s">
        <v>3910</v>
      </c>
      <c r="F1300" s="136" t="s">
        <v>183</v>
      </c>
      <c r="G1300" s="246">
        <v>56400</v>
      </c>
      <c r="H1300" s="246">
        <v>64450</v>
      </c>
      <c r="I1300" s="246">
        <v>72500</v>
      </c>
      <c r="J1300" s="246">
        <v>80550</v>
      </c>
      <c r="K1300" s="246">
        <v>87000</v>
      </c>
      <c r="L1300" s="246">
        <v>93450</v>
      </c>
      <c r="M1300" s="246">
        <v>99900</v>
      </c>
      <c r="N1300" s="246">
        <v>106350</v>
      </c>
    </row>
    <row r="1301" spans="3:14" ht="21.95" customHeight="1" x14ac:dyDescent="0.25">
      <c r="C1301" s="139" t="str">
        <f t="shared" si="36"/>
        <v>MI_ALPENA COUNTY, MI</v>
      </c>
      <c r="D1301" s="136" t="s">
        <v>83</v>
      </c>
      <c r="E1301" s="262" t="s">
        <v>3911</v>
      </c>
      <c r="F1301" s="136" t="s">
        <v>183</v>
      </c>
      <c r="G1301" s="246">
        <v>45850</v>
      </c>
      <c r="H1301" s="246">
        <v>52400</v>
      </c>
      <c r="I1301" s="246">
        <v>58950</v>
      </c>
      <c r="J1301" s="246">
        <v>65500</v>
      </c>
      <c r="K1301" s="246">
        <v>70750</v>
      </c>
      <c r="L1301" s="246">
        <v>76000</v>
      </c>
      <c r="M1301" s="246">
        <v>81250</v>
      </c>
      <c r="N1301" s="246">
        <v>86500</v>
      </c>
    </row>
    <row r="1302" spans="3:14" ht="21.95" customHeight="1" x14ac:dyDescent="0.25">
      <c r="C1302" s="139" t="str">
        <f t="shared" si="36"/>
        <v>MI_ANN ARBOR, MI MSA</v>
      </c>
      <c r="D1302" s="136" t="s">
        <v>83</v>
      </c>
      <c r="E1302" s="262" t="s">
        <v>3912</v>
      </c>
      <c r="F1302" s="136" t="s">
        <v>183</v>
      </c>
      <c r="G1302" s="246">
        <v>70500</v>
      </c>
      <c r="H1302" s="246">
        <v>80600</v>
      </c>
      <c r="I1302" s="246">
        <v>90650</v>
      </c>
      <c r="J1302" s="246">
        <v>100700</v>
      </c>
      <c r="K1302" s="246">
        <v>108800</v>
      </c>
      <c r="L1302" s="246">
        <v>116850</v>
      </c>
      <c r="M1302" s="246">
        <v>124900</v>
      </c>
      <c r="N1302" s="246">
        <v>132950</v>
      </c>
    </row>
    <row r="1303" spans="3:14" ht="21.95" customHeight="1" x14ac:dyDescent="0.25">
      <c r="C1303" s="139" t="str">
        <f t="shared" si="36"/>
        <v>MI_ANTRIM COUNTY, MI</v>
      </c>
      <c r="D1303" s="136" t="s">
        <v>83</v>
      </c>
      <c r="E1303" s="262" t="s">
        <v>3913</v>
      </c>
      <c r="F1303" s="136" t="s">
        <v>183</v>
      </c>
      <c r="G1303" s="246">
        <v>52300</v>
      </c>
      <c r="H1303" s="246">
        <v>59800</v>
      </c>
      <c r="I1303" s="246">
        <v>67250</v>
      </c>
      <c r="J1303" s="246">
        <v>74700</v>
      </c>
      <c r="K1303" s="246">
        <v>80700</v>
      </c>
      <c r="L1303" s="246">
        <v>86700</v>
      </c>
      <c r="M1303" s="246">
        <v>92650</v>
      </c>
      <c r="N1303" s="246">
        <v>98650</v>
      </c>
    </row>
    <row r="1304" spans="3:14" ht="21.95" customHeight="1" x14ac:dyDescent="0.25">
      <c r="C1304" s="139" t="str">
        <f t="shared" si="36"/>
        <v>MI_ARENAC COUNTY, MI</v>
      </c>
      <c r="D1304" s="136" t="s">
        <v>83</v>
      </c>
      <c r="E1304" s="262" t="s">
        <v>3914</v>
      </c>
      <c r="F1304" s="136" t="s">
        <v>183</v>
      </c>
      <c r="G1304" s="246">
        <v>45850</v>
      </c>
      <c r="H1304" s="246">
        <v>52400</v>
      </c>
      <c r="I1304" s="246">
        <v>58950</v>
      </c>
      <c r="J1304" s="246">
        <v>65500</v>
      </c>
      <c r="K1304" s="246">
        <v>70750</v>
      </c>
      <c r="L1304" s="246">
        <v>76000</v>
      </c>
      <c r="M1304" s="246">
        <v>81250</v>
      </c>
      <c r="N1304" s="246">
        <v>86500</v>
      </c>
    </row>
    <row r="1305" spans="3:14" ht="21.95" customHeight="1" x14ac:dyDescent="0.25">
      <c r="C1305" s="139" t="str">
        <f t="shared" si="36"/>
        <v>MI_BARAGA COUNTY, MI</v>
      </c>
      <c r="D1305" s="136" t="s">
        <v>83</v>
      </c>
      <c r="E1305" s="262" t="s">
        <v>3915</v>
      </c>
      <c r="F1305" s="136" t="s">
        <v>183</v>
      </c>
      <c r="G1305" s="246">
        <v>45850</v>
      </c>
      <c r="H1305" s="246">
        <v>52400</v>
      </c>
      <c r="I1305" s="246">
        <v>58950</v>
      </c>
      <c r="J1305" s="246">
        <v>65500</v>
      </c>
      <c r="K1305" s="246">
        <v>70750</v>
      </c>
      <c r="L1305" s="246">
        <v>76000</v>
      </c>
      <c r="M1305" s="246">
        <v>81250</v>
      </c>
      <c r="N1305" s="246">
        <v>86500</v>
      </c>
    </row>
    <row r="1306" spans="3:14" ht="21.95" customHeight="1" x14ac:dyDescent="0.25">
      <c r="C1306" s="139" t="str">
        <f t="shared" si="36"/>
        <v>MI_BARRY COUNTY, MI HUD METRO FMR AREA</v>
      </c>
      <c r="D1306" s="136" t="s">
        <v>83</v>
      </c>
      <c r="E1306" s="262" t="s">
        <v>9196</v>
      </c>
      <c r="F1306" s="136" t="s">
        <v>183</v>
      </c>
      <c r="G1306" s="246">
        <v>58050</v>
      </c>
      <c r="H1306" s="246">
        <v>66350</v>
      </c>
      <c r="I1306" s="246">
        <v>74650</v>
      </c>
      <c r="J1306" s="246">
        <v>82900</v>
      </c>
      <c r="K1306" s="246">
        <v>89550</v>
      </c>
      <c r="L1306" s="246">
        <v>96200</v>
      </c>
      <c r="M1306" s="246">
        <v>102800</v>
      </c>
      <c r="N1306" s="246">
        <v>109450</v>
      </c>
    </row>
    <row r="1307" spans="3:14" ht="21.95" customHeight="1" x14ac:dyDescent="0.25">
      <c r="C1307" s="139" t="str">
        <f t="shared" si="36"/>
        <v>MI_BATTLE CREEK, MI MSA</v>
      </c>
      <c r="D1307" s="136" t="s">
        <v>83</v>
      </c>
      <c r="E1307" s="262" t="s">
        <v>3916</v>
      </c>
      <c r="F1307" s="136" t="s">
        <v>183</v>
      </c>
      <c r="G1307" s="246">
        <v>45850</v>
      </c>
      <c r="H1307" s="246">
        <v>52400</v>
      </c>
      <c r="I1307" s="246">
        <v>58950</v>
      </c>
      <c r="J1307" s="246">
        <v>65500</v>
      </c>
      <c r="K1307" s="246">
        <v>70750</v>
      </c>
      <c r="L1307" s="246">
        <v>76000</v>
      </c>
      <c r="M1307" s="246">
        <v>81250</v>
      </c>
      <c r="N1307" s="246">
        <v>86500</v>
      </c>
    </row>
    <row r="1308" spans="3:14" ht="21.95" customHeight="1" x14ac:dyDescent="0.25">
      <c r="C1308" s="139" t="str">
        <f t="shared" si="36"/>
        <v>MI_BAY CITY, MI MSA</v>
      </c>
      <c r="D1308" s="136" t="s">
        <v>83</v>
      </c>
      <c r="E1308" s="262" t="s">
        <v>3917</v>
      </c>
      <c r="F1308" s="136" t="s">
        <v>183</v>
      </c>
      <c r="G1308" s="246">
        <v>46900</v>
      </c>
      <c r="H1308" s="246">
        <v>53600</v>
      </c>
      <c r="I1308" s="246">
        <v>60300</v>
      </c>
      <c r="J1308" s="246">
        <v>66950</v>
      </c>
      <c r="K1308" s="246">
        <v>72350</v>
      </c>
      <c r="L1308" s="246">
        <v>77700</v>
      </c>
      <c r="M1308" s="246">
        <v>83050</v>
      </c>
      <c r="N1308" s="246">
        <v>88400</v>
      </c>
    </row>
    <row r="1309" spans="3:14" ht="21.95" customHeight="1" x14ac:dyDescent="0.25">
      <c r="C1309" s="139" t="str">
        <f t="shared" si="36"/>
        <v>MI_BENZIE COUNTY, MI HUD METRO FMR AREA</v>
      </c>
      <c r="D1309" s="136" t="s">
        <v>83</v>
      </c>
      <c r="E1309" s="262" t="s">
        <v>9197</v>
      </c>
      <c r="F1309" s="136" t="s">
        <v>183</v>
      </c>
      <c r="G1309" s="246">
        <v>53600</v>
      </c>
      <c r="H1309" s="246">
        <v>61250</v>
      </c>
      <c r="I1309" s="246">
        <v>68900</v>
      </c>
      <c r="J1309" s="246">
        <v>76550</v>
      </c>
      <c r="K1309" s="246">
        <v>82700</v>
      </c>
      <c r="L1309" s="246">
        <v>88800</v>
      </c>
      <c r="M1309" s="246">
        <v>94950</v>
      </c>
      <c r="N1309" s="246">
        <v>101050</v>
      </c>
    </row>
    <row r="1310" spans="3:14" ht="21.95" customHeight="1" x14ac:dyDescent="0.25">
      <c r="C1310" s="139" t="str">
        <f t="shared" si="36"/>
        <v>MI_BRANCH COUNTY, MI</v>
      </c>
      <c r="D1310" s="136" t="s">
        <v>83</v>
      </c>
      <c r="E1310" s="262" t="s">
        <v>3918</v>
      </c>
      <c r="F1310" s="136" t="s">
        <v>183</v>
      </c>
      <c r="G1310" s="246">
        <v>46100</v>
      </c>
      <c r="H1310" s="246">
        <v>52700</v>
      </c>
      <c r="I1310" s="246">
        <v>59300</v>
      </c>
      <c r="J1310" s="246">
        <v>65850</v>
      </c>
      <c r="K1310" s="246">
        <v>71150</v>
      </c>
      <c r="L1310" s="246">
        <v>76400</v>
      </c>
      <c r="M1310" s="246">
        <v>81700</v>
      </c>
      <c r="N1310" s="246">
        <v>86950</v>
      </c>
    </row>
    <row r="1311" spans="3:14" ht="21.95" customHeight="1" x14ac:dyDescent="0.25">
      <c r="C1311" s="139" t="str">
        <f t="shared" si="36"/>
        <v>MI_CASS COUNTY, MI HUD METRO FMR AREA</v>
      </c>
      <c r="D1311" s="136" t="s">
        <v>83</v>
      </c>
      <c r="E1311" s="262" t="s">
        <v>3919</v>
      </c>
      <c r="F1311" s="136" t="s">
        <v>183</v>
      </c>
      <c r="G1311" s="246">
        <v>51600</v>
      </c>
      <c r="H1311" s="246">
        <v>59000</v>
      </c>
      <c r="I1311" s="246">
        <v>66350</v>
      </c>
      <c r="J1311" s="246">
        <v>73700</v>
      </c>
      <c r="K1311" s="246">
        <v>79600</v>
      </c>
      <c r="L1311" s="246">
        <v>85500</v>
      </c>
      <c r="M1311" s="246">
        <v>91400</v>
      </c>
      <c r="N1311" s="246">
        <v>97300</v>
      </c>
    </row>
    <row r="1312" spans="3:14" ht="21.95" customHeight="1" x14ac:dyDescent="0.25">
      <c r="C1312" s="139" t="str">
        <f t="shared" si="36"/>
        <v>MI_CHARLEVOIX COUNTY, MI</v>
      </c>
      <c r="D1312" s="136" t="s">
        <v>83</v>
      </c>
      <c r="E1312" s="262" t="s">
        <v>3920</v>
      </c>
      <c r="F1312" s="136" t="s">
        <v>183</v>
      </c>
      <c r="G1312" s="246">
        <v>55850</v>
      </c>
      <c r="H1312" s="246">
        <v>63800</v>
      </c>
      <c r="I1312" s="246">
        <v>71800</v>
      </c>
      <c r="J1312" s="246">
        <v>79750</v>
      </c>
      <c r="K1312" s="246">
        <v>86150</v>
      </c>
      <c r="L1312" s="246">
        <v>92550</v>
      </c>
      <c r="M1312" s="246">
        <v>98900</v>
      </c>
      <c r="N1312" s="246">
        <v>105300</v>
      </c>
    </row>
    <row r="1313" spans="3:14" ht="21.95" customHeight="1" x14ac:dyDescent="0.25">
      <c r="C1313" s="139" t="str">
        <f t="shared" si="36"/>
        <v>MI_CHEBOYGAN COUNTY, MI</v>
      </c>
      <c r="D1313" s="136" t="s">
        <v>83</v>
      </c>
      <c r="E1313" s="262" t="s">
        <v>3921</v>
      </c>
      <c r="F1313" s="136" t="s">
        <v>183</v>
      </c>
      <c r="G1313" s="246">
        <v>45850</v>
      </c>
      <c r="H1313" s="246">
        <v>52400</v>
      </c>
      <c r="I1313" s="246">
        <v>58950</v>
      </c>
      <c r="J1313" s="246">
        <v>65500</v>
      </c>
      <c r="K1313" s="246">
        <v>70750</v>
      </c>
      <c r="L1313" s="246">
        <v>76000</v>
      </c>
      <c r="M1313" s="246">
        <v>81250</v>
      </c>
      <c r="N1313" s="246">
        <v>86500</v>
      </c>
    </row>
    <row r="1314" spans="3:14" ht="21.95" customHeight="1" x14ac:dyDescent="0.25">
      <c r="C1314" s="139" t="str">
        <f t="shared" si="36"/>
        <v>MI_CHIPPEWA COUNTY, MI</v>
      </c>
      <c r="D1314" s="136" t="s">
        <v>83</v>
      </c>
      <c r="E1314" s="262" t="s">
        <v>3922</v>
      </c>
      <c r="F1314" s="136" t="s">
        <v>183</v>
      </c>
      <c r="G1314" s="246">
        <v>48100</v>
      </c>
      <c r="H1314" s="246">
        <v>55000</v>
      </c>
      <c r="I1314" s="246">
        <v>61850</v>
      </c>
      <c r="J1314" s="246">
        <v>68700</v>
      </c>
      <c r="K1314" s="246">
        <v>74200</v>
      </c>
      <c r="L1314" s="246">
        <v>79700</v>
      </c>
      <c r="M1314" s="246">
        <v>85200</v>
      </c>
      <c r="N1314" s="246">
        <v>90700</v>
      </c>
    </row>
    <row r="1315" spans="3:14" ht="21.95" customHeight="1" x14ac:dyDescent="0.25">
      <c r="C1315" s="139" t="str">
        <f t="shared" si="36"/>
        <v>MI_CLARE COUNTY, MI</v>
      </c>
      <c r="D1315" s="136" t="s">
        <v>83</v>
      </c>
      <c r="E1315" s="262" t="s">
        <v>3923</v>
      </c>
      <c r="F1315" s="136" t="s">
        <v>183</v>
      </c>
      <c r="G1315" s="246">
        <v>45850</v>
      </c>
      <c r="H1315" s="246">
        <v>52400</v>
      </c>
      <c r="I1315" s="246">
        <v>58950</v>
      </c>
      <c r="J1315" s="246">
        <v>65500</v>
      </c>
      <c r="K1315" s="246">
        <v>70750</v>
      </c>
      <c r="L1315" s="246">
        <v>76000</v>
      </c>
      <c r="M1315" s="246">
        <v>81250</v>
      </c>
      <c r="N1315" s="246">
        <v>86500</v>
      </c>
    </row>
    <row r="1316" spans="3:14" ht="21.95" customHeight="1" x14ac:dyDescent="0.25">
      <c r="C1316" s="139" t="str">
        <f t="shared" si="36"/>
        <v>MI_CRAWFORD COUNTY, MI</v>
      </c>
      <c r="D1316" s="136" t="s">
        <v>83</v>
      </c>
      <c r="E1316" s="262" t="s">
        <v>3924</v>
      </c>
      <c r="F1316" s="136" t="s">
        <v>183</v>
      </c>
      <c r="G1316" s="246">
        <v>45850</v>
      </c>
      <c r="H1316" s="246">
        <v>52400</v>
      </c>
      <c r="I1316" s="246">
        <v>58950</v>
      </c>
      <c r="J1316" s="246">
        <v>65500</v>
      </c>
      <c r="K1316" s="246">
        <v>70750</v>
      </c>
      <c r="L1316" s="246">
        <v>76000</v>
      </c>
      <c r="M1316" s="246">
        <v>81250</v>
      </c>
      <c r="N1316" s="246">
        <v>86500</v>
      </c>
    </row>
    <row r="1317" spans="3:14" ht="21.95" customHeight="1" x14ac:dyDescent="0.25">
      <c r="C1317" s="139" t="str">
        <f t="shared" si="36"/>
        <v>MI_DELTA COUNTY, MI</v>
      </c>
      <c r="D1317" s="136" t="s">
        <v>83</v>
      </c>
      <c r="E1317" s="262" t="s">
        <v>3925</v>
      </c>
      <c r="F1317" s="136" t="s">
        <v>183</v>
      </c>
      <c r="G1317" s="246">
        <v>45850</v>
      </c>
      <c r="H1317" s="246">
        <v>52400</v>
      </c>
      <c r="I1317" s="246">
        <v>58950</v>
      </c>
      <c r="J1317" s="246">
        <v>65500</v>
      </c>
      <c r="K1317" s="246">
        <v>70750</v>
      </c>
      <c r="L1317" s="246">
        <v>76000</v>
      </c>
      <c r="M1317" s="246">
        <v>81250</v>
      </c>
      <c r="N1317" s="246">
        <v>86500</v>
      </c>
    </row>
    <row r="1318" spans="3:14" ht="21.95" customHeight="1" x14ac:dyDescent="0.25">
      <c r="C1318" s="139" t="str">
        <f t="shared" si="36"/>
        <v>MI_DETROIT-WARREN-LIVONIA, MI HUD METRO FMR AREA</v>
      </c>
      <c r="D1318" s="136" t="s">
        <v>83</v>
      </c>
      <c r="E1318" s="262" t="s">
        <v>3926</v>
      </c>
      <c r="F1318" s="136" t="s">
        <v>183</v>
      </c>
      <c r="G1318" s="246">
        <v>56600</v>
      </c>
      <c r="H1318" s="246">
        <v>64650</v>
      </c>
      <c r="I1318" s="246">
        <v>72750</v>
      </c>
      <c r="J1318" s="246">
        <v>80800</v>
      </c>
      <c r="K1318" s="246">
        <v>87300</v>
      </c>
      <c r="L1318" s="246">
        <v>93750</v>
      </c>
      <c r="M1318" s="246">
        <v>100200</v>
      </c>
      <c r="N1318" s="246">
        <v>106700</v>
      </c>
    </row>
    <row r="1319" spans="3:14" ht="21.95" customHeight="1" x14ac:dyDescent="0.25">
      <c r="C1319" s="139" t="str">
        <f t="shared" si="36"/>
        <v>MI_DICKINSON COUNTY, MI</v>
      </c>
      <c r="D1319" s="136" t="s">
        <v>83</v>
      </c>
      <c r="E1319" s="262" t="s">
        <v>3927</v>
      </c>
      <c r="F1319" s="136" t="s">
        <v>183</v>
      </c>
      <c r="G1319" s="246">
        <v>46550</v>
      </c>
      <c r="H1319" s="246">
        <v>53200</v>
      </c>
      <c r="I1319" s="246">
        <v>59850</v>
      </c>
      <c r="J1319" s="246">
        <v>66500</v>
      </c>
      <c r="K1319" s="246">
        <v>71850</v>
      </c>
      <c r="L1319" s="246">
        <v>77150</v>
      </c>
      <c r="M1319" s="246">
        <v>82500</v>
      </c>
      <c r="N1319" s="246">
        <v>87800</v>
      </c>
    </row>
    <row r="1320" spans="3:14" ht="21.95" customHeight="1" x14ac:dyDescent="0.25">
      <c r="C1320" s="139" t="str">
        <f t="shared" si="36"/>
        <v>MI_EMMET COUNTY, MI</v>
      </c>
      <c r="D1320" s="136" t="s">
        <v>83</v>
      </c>
      <c r="E1320" s="262" t="s">
        <v>3928</v>
      </c>
      <c r="F1320" s="136" t="s">
        <v>183</v>
      </c>
      <c r="G1320" s="246">
        <v>54700</v>
      </c>
      <c r="H1320" s="246">
        <v>62500</v>
      </c>
      <c r="I1320" s="246">
        <v>70300</v>
      </c>
      <c r="J1320" s="246">
        <v>78100</v>
      </c>
      <c r="K1320" s="246">
        <v>84350</v>
      </c>
      <c r="L1320" s="246">
        <v>90600</v>
      </c>
      <c r="M1320" s="246">
        <v>96850</v>
      </c>
      <c r="N1320" s="246">
        <v>103100</v>
      </c>
    </row>
    <row r="1321" spans="3:14" ht="21.95" customHeight="1" x14ac:dyDescent="0.25">
      <c r="C1321" s="139" t="str">
        <f t="shared" si="36"/>
        <v>MI_FLINT, MI MSA</v>
      </c>
      <c r="D1321" s="136" t="s">
        <v>83</v>
      </c>
      <c r="E1321" s="262" t="s">
        <v>3929</v>
      </c>
      <c r="F1321" s="136" t="s">
        <v>183</v>
      </c>
      <c r="G1321" s="246">
        <v>46500</v>
      </c>
      <c r="H1321" s="246">
        <v>53150</v>
      </c>
      <c r="I1321" s="246">
        <v>59800</v>
      </c>
      <c r="J1321" s="246">
        <v>66400</v>
      </c>
      <c r="K1321" s="246">
        <v>71750</v>
      </c>
      <c r="L1321" s="246">
        <v>77050</v>
      </c>
      <c r="M1321" s="246">
        <v>82350</v>
      </c>
      <c r="N1321" s="246">
        <v>87650</v>
      </c>
    </row>
    <row r="1322" spans="3:14" ht="21.95" customHeight="1" x14ac:dyDescent="0.25">
      <c r="C1322" s="139" t="str">
        <f t="shared" si="36"/>
        <v>MI_GLADWIN COUNTY, MI</v>
      </c>
      <c r="D1322" s="136" t="s">
        <v>83</v>
      </c>
      <c r="E1322" s="262" t="s">
        <v>3930</v>
      </c>
      <c r="F1322" s="136" t="s">
        <v>183</v>
      </c>
      <c r="G1322" s="246">
        <v>45850</v>
      </c>
      <c r="H1322" s="246">
        <v>52400</v>
      </c>
      <c r="I1322" s="246">
        <v>58950</v>
      </c>
      <c r="J1322" s="246">
        <v>65500</v>
      </c>
      <c r="K1322" s="246">
        <v>70750</v>
      </c>
      <c r="L1322" s="246">
        <v>76000</v>
      </c>
      <c r="M1322" s="246">
        <v>81250</v>
      </c>
      <c r="N1322" s="246">
        <v>86500</v>
      </c>
    </row>
    <row r="1323" spans="3:14" ht="21.95" customHeight="1" x14ac:dyDescent="0.25">
      <c r="C1323" s="139" t="str">
        <f t="shared" si="36"/>
        <v>MI_GOGEBIC COUNTY, MI</v>
      </c>
      <c r="D1323" s="136" t="s">
        <v>83</v>
      </c>
      <c r="E1323" s="262" t="s">
        <v>3931</v>
      </c>
      <c r="F1323" s="136" t="s">
        <v>183</v>
      </c>
      <c r="G1323" s="246">
        <v>45850</v>
      </c>
      <c r="H1323" s="246">
        <v>52400</v>
      </c>
      <c r="I1323" s="246">
        <v>58950</v>
      </c>
      <c r="J1323" s="246">
        <v>65500</v>
      </c>
      <c r="K1323" s="246">
        <v>70750</v>
      </c>
      <c r="L1323" s="246">
        <v>76000</v>
      </c>
      <c r="M1323" s="246">
        <v>81250</v>
      </c>
      <c r="N1323" s="246">
        <v>86500</v>
      </c>
    </row>
    <row r="1324" spans="3:14" ht="21.95" customHeight="1" x14ac:dyDescent="0.25">
      <c r="C1324" s="139" t="str">
        <f t="shared" si="36"/>
        <v>MI_GRAND RAPIDS-WYOMING, MI HUD METRO FMR AREA</v>
      </c>
      <c r="D1324" s="136" t="s">
        <v>83</v>
      </c>
      <c r="E1324" s="262" t="s">
        <v>3932</v>
      </c>
      <c r="F1324" s="136" t="s">
        <v>183</v>
      </c>
      <c r="G1324" s="246">
        <v>59600</v>
      </c>
      <c r="H1324" s="246">
        <v>68100</v>
      </c>
      <c r="I1324" s="246">
        <v>76600</v>
      </c>
      <c r="J1324" s="246">
        <v>85100</v>
      </c>
      <c r="K1324" s="246">
        <v>91950</v>
      </c>
      <c r="L1324" s="246">
        <v>98750</v>
      </c>
      <c r="M1324" s="246">
        <v>105550</v>
      </c>
      <c r="N1324" s="246">
        <v>112350</v>
      </c>
    </row>
    <row r="1325" spans="3:14" ht="21.95" customHeight="1" x14ac:dyDescent="0.25">
      <c r="C1325" s="139" t="str">
        <f t="shared" si="36"/>
        <v>MI_GRAND TRAVERSE COUNTY, MI HUD METRO FMR AREA</v>
      </c>
      <c r="D1325" s="136" t="s">
        <v>83</v>
      </c>
      <c r="E1325" s="262" t="s">
        <v>9200</v>
      </c>
      <c r="F1325" s="136" t="s">
        <v>183</v>
      </c>
      <c r="G1325" s="246">
        <v>59450</v>
      </c>
      <c r="H1325" s="246">
        <v>67950</v>
      </c>
      <c r="I1325" s="246">
        <v>76450</v>
      </c>
      <c r="J1325" s="246">
        <v>84900</v>
      </c>
      <c r="K1325" s="246">
        <v>91700</v>
      </c>
      <c r="L1325" s="246">
        <v>98500</v>
      </c>
      <c r="M1325" s="246">
        <v>105300</v>
      </c>
      <c r="N1325" s="246">
        <v>112100</v>
      </c>
    </row>
    <row r="1326" spans="3:14" ht="21.95" customHeight="1" x14ac:dyDescent="0.25">
      <c r="C1326" s="139" t="str">
        <f t="shared" si="36"/>
        <v>MI_GRATIOT COUNTY, MI</v>
      </c>
      <c r="D1326" s="136" t="s">
        <v>83</v>
      </c>
      <c r="E1326" s="262" t="s">
        <v>3933</v>
      </c>
      <c r="F1326" s="136" t="s">
        <v>183</v>
      </c>
      <c r="G1326" s="246">
        <v>45850</v>
      </c>
      <c r="H1326" s="246">
        <v>52400</v>
      </c>
      <c r="I1326" s="246">
        <v>58950</v>
      </c>
      <c r="J1326" s="246">
        <v>65500</v>
      </c>
      <c r="K1326" s="246">
        <v>70750</v>
      </c>
      <c r="L1326" s="246">
        <v>76000</v>
      </c>
      <c r="M1326" s="246">
        <v>81250</v>
      </c>
      <c r="N1326" s="246">
        <v>86500</v>
      </c>
    </row>
    <row r="1327" spans="3:14" ht="21.95" customHeight="1" x14ac:dyDescent="0.25">
      <c r="C1327" s="139" t="str">
        <f t="shared" si="36"/>
        <v>MI_HILLSDALE COUNTY, MI</v>
      </c>
      <c r="D1327" s="136" t="s">
        <v>83</v>
      </c>
      <c r="E1327" s="262" t="s">
        <v>3934</v>
      </c>
      <c r="F1327" s="136" t="s">
        <v>183</v>
      </c>
      <c r="G1327" s="246">
        <v>45850</v>
      </c>
      <c r="H1327" s="246">
        <v>52400</v>
      </c>
      <c r="I1327" s="246">
        <v>58950</v>
      </c>
      <c r="J1327" s="246">
        <v>65500</v>
      </c>
      <c r="K1327" s="246">
        <v>70750</v>
      </c>
      <c r="L1327" s="246">
        <v>76000</v>
      </c>
      <c r="M1327" s="246">
        <v>81250</v>
      </c>
      <c r="N1327" s="246">
        <v>86500</v>
      </c>
    </row>
    <row r="1328" spans="3:14" ht="21.95" customHeight="1" x14ac:dyDescent="0.25">
      <c r="C1328" s="139" t="str">
        <f t="shared" si="36"/>
        <v>MI_HOLLAND-GRAND HAVEN, MI HUD METRO FMR AREA</v>
      </c>
      <c r="D1328" s="136" t="s">
        <v>83</v>
      </c>
      <c r="E1328" s="262" t="s">
        <v>3935</v>
      </c>
      <c r="F1328" s="136" t="s">
        <v>183</v>
      </c>
      <c r="G1328" s="246">
        <v>61950</v>
      </c>
      <c r="H1328" s="246">
        <v>70800</v>
      </c>
      <c r="I1328" s="246">
        <v>79650</v>
      </c>
      <c r="J1328" s="246">
        <v>88500</v>
      </c>
      <c r="K1328" s="246">
        <v>95600</v>
      </c>
      <c r="L1328" s="246">
        <v>102700</v>
      </c>
      <c r="M1328" s="246">
        <v>109750</v>
      </c>
      <c r="N1328" s="246">
        <v>116850</v>
      </c>
    </row>
    <row r="1329" spans="3:14" ht="21.95" customHeight="1" x14ac:dyDescent="0.25">
      <c r="C1329" s="139" t="str">
        <f t="shared" si="36"/>
        <v>MI_HOUGHTON COUNTY, MI</v>
      </c>
      <c r="D1329" s="136" t="s">
        <v>83</v>
      </c>
      <c r="E1329" s="262" t="s">
        <v>3936</v>
      </c>
      <c r="F1329" s="136" t="s">
        <v>183</v>
      </c>
      <c r="G1329" s="246">
        <v>49400</v>
      </c>
      <c r="H1329" s="246">
        <v>56450</v>
      </c>
      <c r="I1329" s="246">
        <v>63500</v>
      </c>
      <c r="J1329" s="246">
        <v>70550</v>
      </c>
      <c r="K1329" s="246">
        <v>76200</v>
      </c>
      <c r="L1329" s="246">
        <v>81850</v>
      </c>
      <c r="M1329" s="246">
        <v>87500</v>
      </c>
      <c r="N1329" s="246">
        <v>93150</v>
      </c>
    </row>
    <row r="1330" spans="3:14" ht="21.95" customHeight="1" x14ac:dyDescent="0.25">
      <c r="C1330" s="139" t="str">
        <f t="shared" si="36"/>
        <v>MI_HURON COUNTY, MI</v>
      </c>
      <c r="D1330" s="136" t="s">
        <v>83</v>
      </c>
      <c r="E1330" s="262" t="s">
        <v>3937</v>
      </c>
      <c r="F1330" s="136" t="s">
        <v>183</v>
      </c>
      <c r="G1330" s="246">
        <v>45850</v>
      </c>
      <c r="H1330" s="246">
        <v>52400</v>
      </c>
      <c r="I1330" s="246">
        <v>58950</v>
      </c>
      <c r="J1330" s="246">
        <v>65500</v>
      </c>
      <c r="K1330" s="246">
        <v>70750</v>
      </c>
      <c r="L1330" s="246">
        <v>76000</v>
      </c>
      <c r="M1330" s="246">
        <v>81250</v>
      </c>
      <c r="N1330" s="246">
        <v>86500</v>
      </c>
    </row>
    <row r="1331" spans="3:14" ht="21.95" customHeight="1" x14ac:dyDescent="0.25">
      <c r="C1331" s="139" t="str">
        <f t="shared" si="36"/>
        <v>MI_IONIA COUNTY, MI HUD METRO FMR AREA</v>
      </c>
      <c r="D1331" s="136" t="s">
        <v>83</v>
      </c>
      <c r="E1331" s="262" t="s">
        <v>3938</v>
      </c>
      <c r="F1331" s="136" t="s">
        <v>183</v>
      </c>
      <c r="G1331" s="246">
        <v>46700</v>
      </c>
      <c r="H1331" s="246">
        <v>53350</v>
      </c>
      <c r="I1331" s="246">
        <v>60000</v>
      </c>
      <c r="J1331" s="246">
        <v>66650</v>
      </c>
      <c r="K1331" s="246">
        <v>72000</v>
      </c>
      <c r="L1331" s="246">
        <v>77350</v>
      </c>
      <c r="M1331" s="246">
        <v>82650</v>
      </c>
      <c r="N1331" s="246">
        <v>88000</v>
      </c>
    </row>
    <row r="1332" spans="3:14" ht="21.95" customHeight="1" x14ac:dyDescent="0.25">
      <c r="C1332" s="139" t="str">
        <f t="shared" si="36"/>
        <v>MI_IOSCO COUNTY, MI</v>
      </c>
      <c r="D1332" s="136" t="s">
        <v>83</v>
      </c>
      <c r="E1332" s="262" t="s">
        <v>3939</v>
      </c>
      <c r="F1332" s="136" t="s">
        <v>183</v>
      </c>
      <c r="G1332" s="246">
        <v>45850</v>
      </c>
      <c r="H1332" s="246">
        <v>52400</v>
      </c>
      <c r="I1332" s="246">
        <v>58950</v>
      </c>
      <c r="J1332" s="246">
        <v>65500</v>
      </c>
      <c r="K1332" s="246">
        <v>70750</v>
      </c>
      <c r="L1332" s="246">
        <v>76000</v>
      </c>
      <c r="M1332" s="246">
        <v>81250</v>
      </c>
      <c r="N1332" s="246">
        <v>86500</v>
      </c>
    </row>
    <row r="1333" spans="3:14" ht="21.95" customHeight="1" x14ac:dyDescent="0.25">
      <c r="C1333" s="139" t="str">
        <f t="shared" si="36"/>
        <v>MI_IRON COUNTY, MI</v>
      </c>
      <c r="D1333" s="136" t="s">
        <v>83</v>
      </c>
      <c r="E1333" s="262" t="s">
        <v>3940</v>
      </c>
      <c r="F1333" s="136" t="s">
        <v>183</v>
      </c>
      <c r="G1333" s="246">
        <v>45850</v>
      </c>
      <c r="H1333" s="246">
        <v>52400</v>
      </c>
      <c r="I1333" s="246">
        <v>58950</v>
      </c>
      <c r="J1333" s="246">
        <v>65500</v>
      </c>
      <c r="K1333" s="246">
        <v>70750</v>
      </c>
      <c r="L1333" s="246">
        <v>76000</v>
      </c>
      <c r="M1333" s="246">
        <v>81250</v>
      </c>
      <c r="N1333" s="246">
        <v>86500</v>
      </c>
    </row>
    <row r="1334" spans="3:14" ht="21.95" customHeight="1" x14ac:dyDescent="0.25">
      <c r="C1334" s="139" t="str">
        <f t="shared" si="36"/>
        <v>MI_ISABELLA COUNTY, MI</v>
      </c>
      <c r="D1334" s="136" t="s">
        <v>83</v>
      </c>
      <c r="E1334" s="262" t="s">
        <v>3941</v>
      </c>
      <c r="F1334" s="136" t="s">
        <v>183</v>
      </c>
      <c r="G1334" s="246">
        <v>45850</v>
      </c>
      <c r="H1334" s="246">
        <v>52400</v>
      </c>
      <c r="I1334" s="246">
        <v>58950</v>
      </c>
      <c r="J1334" s="246">
        <v>65500</v>
      </c>
      <c r="K1334" s="246">
        <v>70750</v>
      </c>
      <c r="L1334" s="246">
        <v>76000</v>
      </c>
      <c r="M1334" s="246">
        <v>81250</v>
      </c>
      <c r="N1334" s="246">
        <v>86500</v>
      </c>
    </row>
    <row r="1335" spans="3:14" ht="21.95" customHeight="1" x14ac:dyDescent="0.25">
      <c r="C1335" s="139" t="str">
        <f t="shared" si="36"/>
        <v>MI_JACKSON, MI MSA</v>
      </c>
      <c r="D1335" s="136" t="s">
        <v>83</v>
      </c>
      <c r="E1335" s="262" t="s">
        <v>3942</v>
      </c>
      <c r="F1335" s="136" t="s">
        <v>183</v>
      </c>
      <c r="G1335" s="246">
        <v>47250</v>
      </c>
      <c r="H1335" s="246">
        <v>54000</v>
      </c>
      <c r="I1335" s="246">
        <v>60750</v>
      </c>
      <c r="J1335" s="246">
        <v>67450</v>
      </c>
      <c r="K1335" s="246">
        <v>72850</v>
      </c>
      <c r="L1335" s="246">
        <v>78250</v>
      </c>
      <c r="M1335" s="246">
        <v>83650</v>
      </c>
      <c r="N1335" s="246">
        <v>89050</v>
      </c>
    </row>
    <row r="1336" spans="3:14" ht="21.95" customHeight="1" x14ac:dyDescent="0.25">
      <c r="C1336" s="139" t="str">
        <f t="shared" si="36"/>
        <v>MI_KALAMAZOO-PORTAGE, MI MSA</v>
      </c>
      <c r="D1336" s="136" t="s">
        <v>83</v>
      </c>
      <c r="E1336" s="262" t="s">
        <v>3943</v>
      </c>
      <c r="F1336" s="136" t="s">
        <v>183</v>
      </c>
      <c r="G1336" s="246">
        <v>53700</v>
      </c>
      <c r="H1336" s="246">
        <v>61350</v>
      </c>
      <c r="I1336" s="246">
        <v>69000</v>
      </c>
      <c r="J1336" s="246">
        <v>76650</v>
      </c>
      <c r="K1336" s="246">
        <v>82800</v>
      </c>
      <c r="L1336" s="246">
        <v>88950</v>
      </c>
      <c r="M1336" s="246">
        <v>95050</v>
      </c>
      <c r="N1336" s="246">
        <v>101200</v>
      </c>
    </row>
    <row r="1337" spans="3:14" ht="21.95" customHeight="1" x14ac:dyDescent="0.25">
      <c r="C1337" s="139" t="str">
        <f t="shared" si="36"/>
        <v>MI_KALKASKA COUNTY, MI HUD METRO FMR AREA</v>
      </c>
      <c r="D1337" s="136" t="s">
        <v>83</v>
      </c>
      <c r="E1337" s="262" t="s">
        <v>9201</v>
      </c>
      <c r="F1337" s="136" t="s">
        <v>183</v>
      </c>
      <c r="G1337" s="246">
        <v>46450</v>
      </c>
      <c r="H1337" s="246">
        <v>53050</v>
      </c>
      <c r="I1337" s="246">
        <v>59700</v>
      </c>
      <c r="J1337" s="246">
        <v>66300</v>
      </c>
      <c r="K1337" s="246">
        <v>71650</v>
      </c>
      <c r="L1337" s="246">
        <v>76950</v>
      </c>
      <c r="M1337" s="246">
        <v>82250</v>
      </c>
      <c r="N1337" s="246">
        <v>87550</v>
      </c>
    </row>
    <row r="1338" spans="3:14" ht="21.95" customHeight="1" x14ac:dyDescent="0.25">
      <c r="C1338" s="139" t="str">
        <f t="shared" si="36"/>
        <v>MI_KEWEENAW COUNTY, MI</v>
      </c>
      <c r="D1338" s="136" t="s">
        <v>83</v>
      </c>
      <c r="E1338" s="262" t="s">
        <v>3944</v>
      </c>
      <c r="F1338" s="136" t="s">
        <v>183</v>
      </c>
      <c r="G1338" s="246">
        <v>50500</v>
      </c>
      <c r="H1338" s="246">
        <v>57700</v>
      </c>
      <c r="I1338" s="246">
        <v>64900</v>
      </c>
      <c r="J1338" s="246">
        <v>72100</v>
      </c>
      <c r="K1338" s="246">
        <v>77900</v>
      </c>
      <c r="L1338" s="246">
        <v>83650</v>
      </c>
      <c r="M1338" s="246">
        <v>89450</v>
      </c>
      <c r="N1338" s="246">
        <v>95200</v>
      </c>
    </row>
    <row r="1339" spans="3:14" ht="21.95" customHeight="1" x14ac:dyDescent="0.25">
      <c r="C1339" s="139" t="str">
        <f t="shared" si="36"/>
        <v>MI_LAKE COUNTY, MI</v>
      </c>
      <c r="D1339" s="136" t="s">
        <v>83</v>
      </c>
      <c r="E1339" s="262" t="s">
        <v>3945</v>
      </c>
      <c r="F1339" s="136" t="s">
        <v>183</v>
      </c>
      <c r="G1339" s="246">
        <v>45850</v>
      </c>
      <c r="H1339" s="246">
        <v>52400</v>
      </c>
      <c r="I1339" s="246">
        <v>58950</v>
      </c>
      <c r="J1339" s="246">
        <v>65500</v>
      </c>
      <c r="K1339" s="246">
        <v>70750</v>
      </c>
      <c r="L1339" s="246">
        <v>76000</v>
      </c>
      <c r="M1339" s="246">
        <v>81250</v>
      </c>
      <c r="N1339" s="246">
        <v>86500</v>
      </c>
    </row>
    <row r="1340" spans="3:14" ht="21.95" customHeight="1" x14ac:dyDescent="0.25">
      <c r="C1340" s="139" t="str">
        <f t="shared" si="36"/>
        <v>MI_LANSING-EAST LANSING, MI MSA</v>
      </c>
      <c r="D1340" s="136" t="s">
        <v>83</v>
      </c>
      <c r="E1340" s="262" t="s">
        <v>9199</v>
      </c>
      <c r="F1340" s="136" t="s">
        <v>183</v>
      </c>
      <c r="G1340" s="246">
        <v>56500</v>
      </c>
      <c r="H1340" s="246">
        <v>64550</v>
      </c>
      <c r="I1340" s="246">
        <v>72600</v>
      </c>
      <c r="J1340" s="246">
        <v>80650</v>
      </c>
      <c r="K1340" s="246">
        <v>87150</v>
      </c>
      <c r="L1340" s="246">
        <v>93600</v>
      </c>
      <c r="M1340" s="246">
        <v>100050</v>
      </c>
      <c r="N1340" s="246">
        <v>106500</v>
      </c>
    </row>
    <row r="1341" spans="3:14" ht="21.95" customHeight="1" x14ac:dyDescent="0.25">
      <c r="C1341" s="139" t="str">
        <f t="shared" si="36"/>
        <v>MI_LEELANAU COUNTY, MI HUD METRO FMR AREA</v>
      </c>
      <c r="D1341" s="136" t="s">
        <v>83</v>
      </c>
      <c r="E1341" s="262" t="s">
        <v>9202</v>
      </c>
      <c r="F1341" s="136" t="s">
        <v>183</v>
      </c>
      <c r="G1341" s="246">
        <v>62800</v>
      </c>
      <c r="H1341" s="246">
        <v>71800</v>
      </c>
      <c r="I1341" s="246">
        <v>80750</v>
      </c>
      <c r="J1341" s="246">
        <v>89700</v>
      </c>
      <c r="K1341" s="246">
        <v>96900</v>
      </c>
      <c r="L1341" s="246">
        <v>104100</v>
      </c>
      <c r="M1341" s="246">
        <v>111250</v>
      </c>
      <c r="N1341" s="246">
        <v>118450</v>
      </c>
    </row>
    <row r="1342" spans="3:14" ht="21.95" customHeight="1" x14ac:dyDescent="0.25">
      <c r="C1342" s="139" t="str">
        <f t="shared" si="36"/>
        <v>MI_LENAWEE COUNTY, MI</v>
      </c>
      <c r="D1342" s="136" t="s">
        <v>83</v>
      </c>
      <c r="E1342" s="262" t="s">
        <v>3946</v>
      </c>
      <c r="F1342" s="136" t="s">
        <v>183</v>
      </c>
      <c r="G1342" s="246">
        <v>47250</v>
      </c>
      <c r="H1342" s="246">
        <v>54000</v>
      </c>
      <c r="I1342" s="246">
        <v>60750</v>
      </c>
      <c r="J1342" s="246">
        <v>67450</v>
      </c>
      <c r="K1342" s="246">
        <v>72850</v>
      </c>
      <c r="L1342" s="246">
        <v>78250</v>
      </c>
      <c r="M1342" s="246">
        <v>83650</v>
      </c>
      <c r="N1342" s="246">
        <v>89050</v>
      </c>
    </row>
    <row r="1343" spans="3:14" ht="21.95" customHeight="1" x14ac:dyDescent="0.25">
      <c r="C1343" s="139" t="str">
        <f t="shared" si="36"/>
        <v>MI_LIVINGSTON COUNTY, MI HUD METRO FMR AREA</v>
      </c>
      <c r="D1343" s="136" t="s">
        <v>83</v>
      </c>
      <c r="E1343" s="262" t="s">
        <v>3947</v>
      </c>
      <c r="F1343" s="136" t="s">
        <v>183</v>
      </c>
      <c r="G1343" s="246">
        <v>72950</v>
      </c>
      <c r="H1343" s="246">
        <v>83400</v>
      </c>
      <c r="I1343" s="246">
        <v>93800</v>
      </c>
      <c r="J1343" s="246">
        <v>104200</v>
      </c>
      <c r="K1343" s="246">
        <v>112550</v>
      </c>
      <c r="L1343" s="246">
        <v>120900</v>
      </c>
      <c r="M1343" s="246">
        <v>129250</v>
      </c>
      <c r="N1343" s="246">
        <v>137550</v>
      </c>
    </row>
    <row r="1344" spans="3:14" ht="21.95" customHeight="1" x14ac:dyDescent="0.25">
      <c r="C1344" s="139" t="str">
        <f t="shared" ref="C1344:C1407" si="37">TRIM(UPPER(D1344))&amp;"_"&amp;TRIM(UPPER(E1344))</f>
        <v>MI_LUCE COUNTY, MI</v>
      </c>
      <c r="D1344" s="136" t="s">
        <v>83</v>
      </c>
      <c r="E1344" s="262" t="s">
        <v>3948</v>
      </c>
      <c r="F1344" s="136" t="s">
        <v>183</v>
      </c>
      <c r="G1344" s="246">
        <v>45850</v>
      </c>
      <c r="H1344" s="246">
        <v>52400</v>
      </c>
      <c r="I1344" s="246">
        <v>58950</v>
      </c>
      <c r="J1344" s="246">
        <v>65500</v>
      </c>
      <c r="K1344" s="246">
        <v>70750</v>
      </c>
      <c r="L1344" s="246">
        <v>76000</v>
      </c>
      <c r="M1344" s="246">
        <v>81250</v>
      </c>
      <c r="N1344" s="246">
        <v>86500</v>
      </c>
    </row>
    <row r="1345" spans="3:14" ht="21.95" customHeight="1" x14ac:dyDescent="0.25">
      <c r="C1345" s="139" t="str">
        <f t="shared" si="37"/>
        <v>MI_MACKINAC COUNTY, MI</v>
      </c>
      <c r="D1345" s="136" t="s">
        <v>83</v>
      </c>
      <c r="E1345" s="262" t="s">
        <v>3949</v>
      </c>
      <c r="F1345" s="136" t="s">
        <v>183</v>
      </c>
      <c r="G1345" s="246">
        <v>45850</v>
      </c>
      <c r="H1345" s="246">
        <v>52400</v>
      </c>
      <c r="I1345" s="246">
        <v>58950</v>
      </c>
      <c r="J1345" s="246">
        <v>65500</v>
      </c>
      <c r="K1345" s="246">
        <v>70750</v>
      </c>
      <c r="L1345" s="246">
        <v>76000</v>
      </c>
      <c r="M1345" s="246">
        <v>81250</v>
      </c>
      <c r="N1345" s="246">
        <v>86500</v>
      </c>
    </row>
    <row r="1346" spans="3:14" ht="21.95" customHeight="1" x14ac:dyDescent="0.25">
      <c r="C1346" s="139" t="str">
        <f t="shared" si="37"/>
        <v>MI_MANISTEE COUNTY, MI</v>
      </c>
      <c r="D1346" s="136" t="s">
        <v>83</v>
      </c>
      <c r="E1346" s="262" t="s">
        <v>3950</v>
      </c>
      <c r="F1346" s="136" t="s">
        <v>183</v>
      </c>
      <c r="G1346" s="246">
        <v>46700</v>
      </c>
      <c r="H1346" s="246">
        <v>53400</v>
      </c>
      <c r="I1346" s="246">
        <v>60050</v>
      </c>
      <c r="J1346" s="246">
        <v>66700</v>
      </c>
      <c r="K1346" s="246">
        <v>72050</v>
      </c>
      <c r="L1346" s="246">
        <v>77400</v>
      </c>
      <c r="M1346" s="246">
        <v>82750</v>
      </c>
      <c r="N1346" s="246">
        <v>88050</v>
      </c>
    </row>
    <row r="1347" spans="3:14" ht="21.95" customHeight="1" x14ac:dyDescent="0.25">
      <c r="C1347" s="139" t="str">
        <f t="shared" si="37"/>
        <v>MI_MARQUETTE COUNTY, MI</v>
      </c>
      <c r="D1347" s="136" t="s">
        <v>83</v>
      </c>
      <c r="E1347" s="262" t="s">
        <v>3951</v>
      </c>
      <c r="F1347" s="136" t="s">
        <v>183</v>
      </c>
      <c r="G1347" s="246">
        <v>48850</v>
      </c>
      <c r="H1347" s="246">
        <v>55800</v>
      </c>
      <c r="I1347" s="246">
        <v>62800</v>
      </c>
      <c r="J1347" s="246">
        <v>69750</v>
      </c>
      <c r="K1347" s="246">
        <v>75350</v>
      </c>
      <c r="L1347" s="246">
        <v>80950</v>
      </c>
      <c r="M1347" s="246">
        <v>86500</v>
      </c>
      <c r="N1347" s="246">
        <v>92100</v>
      </c>
    </row>
    <row r="1348" spans="3:14" ht="21.95" customHeight="1" x14ac:dyDescent="0.25">
      <c r="C1348" s="139" t="str">
        <f t="shared" si="37"/>
        <v>MI_MASON COUNTY, MI</v>
      </c>
      <c r="D1348" s="136" t="s">
        <v>83</v>
      </c>
      <c r="E1348" s="262" t="s">
        <v>3952</v>
      </c>
      <c r="F1348" s="136" t="s">
        <v>183</v>
      </c>
      <c r="G1348" s="246">
        <v>48550</v>
      </c>
      <c r="H1348" s="246">
        <v>55450</v>
      </c>
      <c r="I1348" s="246">
        <v>62400</v>
      </c>
      <c r="J1348" s="246">
        <v>69300</v>
      </c>
      <c r="K1348" s="246">
        <v>74850</v>
      </c>
      <c r="L1348" s="246">
        <v>80400</v>
      </c>
      <c r="M1348" s="246">
        <v>85950</v>
      </c>
      <c r="N1348" s="246">
        <v>91500</v>
      </c>
    </row>
    <row r="1349" spans="3:14" ht="21.95" customHeight="1" x14ac:dyDescent="0.25">
      <c r="C1349" s="139" t="str">
        <f t="shared" si="37"/>
        <v>MI_MECOSTA COUNTY, MI</v>
      </c>
      <c r="D1349" s="136" t="s">
        <v>83</v>
      </c>
      <c r="E1349" s="262" t="s">
        <v>3953</v>
      </c>
      <c r="F1349" s="136" t="s">
        <v>183</v>
      </c>
      <c r="G1349" s="246">
        <v>45850</v>
      </c>
      <c r="H1349" s="246">
        <v>52400</v>
      </c>
      <c r="I1349" s="246">
        <v>58950</v>
      </c>
      <c r="J1349" s="246">
        <v>65500</v>
      </c>
      <c r="K1349" s="246">
        <v>70750</v>
      </c>
      <c r="L1349" s="246">
        <v>76000</v>
      </c>
      <c r="M1349" s="246">
        <v>81250</v>
      </c>
      <c r="N1349" s="246">
        <v>86500</v>
      </c>
    </row>
    <row r="1350" spans="3:14" ht="21.95" customHeight="1" x14ac:dyDescent="0.25">
      <c r="C1350" s="139" t="str">
        <f t="shared" si="37"/>
        <v>MI_MENOMINEE COUNTY, MI</v>
      </c>
      <c r="D1350" s="136" t="s">
        <v>83</v>
      </c>
      <c r="E1350" s="262" t="s">
        <v>3954</v>
      </c>
      <c r="F1350" s="136" t="s">
        <v>183</v>
      </c>
      <c r="G1350" s="246">
        <v>46500</v>
      </c>
      <c r="H1350" s="246">
        <v>53150</v>
      </c>
      <c r="I1350" s="246">
        <v>59800</v>
      </c>
      <c r="J1350" s="246">
        <v>66400</v>
      </c>
      <c r="K1350" s="246">
        <v>71750</v>
      </c>
      <c r="L1350" s="246">
        <v>77050</v>
      </c>
      <c r="M1350" s="246">
        <v>82350</v>
      </c>
      <c r="N1350" s="246">
        <v>87650</v>
      </c>
    </row>
    <row r="1351" spans="3:14" ht="21.95" customHeight="1" x14ac:dyDescent="0.25">
      <c r="C1351" s="139" t="str">
        <f t="shared" si="37"/>
        <v>MI_MIDLAND, MI MSA</v>
      </c>
      <c r="D1351" s="136" t="s">
        <v>83</v>
      </c>
      <c r="E1351" s="262" t="s">
        <v>3955</v>
      </c>
      <c r="F1351" s="136" t="s">
        <v>183</v>
      </c>
      <c r="G1351" s="246">
        <v>57900</v>
      </c>
      <c r="H1351" s="246">
        <v>66150</v>
      </c>
      <c r="I1351" s="246">
        <v>74400</v>
      </c>
      <c r="J1351" s="246">
        <v>82650</v>
      </c>
      <c r="K1351" s="246">
        <v>89300</v>
      </c>
      <c r="L1351" s="246">
        <v>95900</v>
      </c>
      <c r="M1351" s="246">
        <v>102500</v>
      </c>
      <c r="N1351" s="246">
        <v>109100</v>
      </c>
    </row>
    <row r="1352" spans="3:14" ht="21.95" customHeight="1" x14ac:dyDescent="0.25">
      <c r="C1352" s="139" t="str">
        <f t="shared" si="37"/>
        <v>MI_MISSAUKEE COUNTY, MI</v>
      </c>
      <c r="D1352" s="136" t="s">
        <v>83</v>
      </c>
      <c r="E1352" s="262" t="s">
        <v>3956</v>
      </c>
      <c r="F1352" s="136" t="s">
        <v>183</v>
      </c>
      <c r="G1352" s="246">
        <v>45850</v>
      </c>
      <c r="H1352" s="246">
        <v>52400</v>
      </c>
      <c r="I1352" s="246">
        <v>58950</v>
      </c>
      <c r="J1352" s="246">
        <v>65500</v>
      </c>
      <c r="K1352" s="246">
        <v>70750</v>
      </c>
      <c r="L1352" s="246">
        <v>76000</v>
      </c>
      <c r="M1352" s="246">
        <v>81250</v>
      </c>
      <c r="N1352" s="246">
        <v>86500</v>
      </c>
    </row>
    <row r="1353" spans="3:14" ht="21.95" customHeight="1" x14ac:dyDescent="0.25">
      <c r="C1353" s="139" t="str">
        <f t="shared" si="37"/>
        <v>MI_MONROE, MI MSA</v>
      </c>
      <c r="D1353" s="136" t="s">
        <v>83</v>
      </c>
      <c r="E1353" s="262" t="s">
        <v>3957</v>
      </c>
      <c r="F1353" s="136" t="s">
        <v>183</v>
      </c>
      <c r="G1353" s="246">
        <v>51350</v>
      </c>
      <c r="H1353" s="246">
        <v>58750</v>
      </c>
      <c r="I1353" s="246">
        <v>66050</v>
      </c>
      <c r="J1353" s="246">
        <v>73350</v>
      </c>
      <c r="K1353" s="246">
        <v>79250</v>
      </c>
      <c r="L1353" s="246">
        <v>85150</v>
      </c>
      <c r="M1353" s="246">
        <v>91000</v>
      </c>
      <c r="N1353" s="246">
        <v>96900</v>
      </c>
    </row>
    <row r="1354" spans="3:14" ht="21.95" customHeight="1" x14ac:dyDescent="0.25">
      <c r="C1354" s="139" t="str">
        <f t="shared" si="37"/>
        <v>MI_MONTCALM COUNTY, MI HUD METRO FMR AREA</v>
      </c>
      <c r="D1354" s="136" t="s">
        <v>83</v>
      </c>
      <c r="E1354" s="262" t="s">
        <v>3958</v>
      </c>
      <c r="F1354" s="136" t="s">
        <v>183</v>
      </c>
      <c r="G1354" s="246">
        <v>46000</v>
      </c>
      <c r="H1354" s="246">
        <v>52600</v>
      </c>
      <c r="I1354" s="246">
        <v>59150</v>
      </c>
      <c r="J1354" s="246">
        <v>65700</v>
      </c>
      <c r="K1354" s="246">
        <v>71000</v>
      </c>
      <c r="L1354" s="246">
        <v>76250</v>
      </c>
      <c r="M1354" s="246">
        <v>81500</v>
      </c>
      <c r="N1354" s="246">
        <v>86750</v>
      </c>
    </row>
    <row r="1355" spans="3:14" ht="21.95" customHeight="1" x14ac:dyDescent="0.25">
      <c r="C1355" s="139" t="str">
        <f t="shared" si="37"/>
        <v>MI_MONTMORENCY COUNTY, MI</v>
      </c>
      <c r="D1355" s="136" t="s">
        <v>83</v>
      </c>
      <c r="E1355" s="262" t="s">
        <v>3959</v>
      </c>
      <c r="F1355" s="136" t="s">
        <v>183</v>
      </c>
      <c r="G1355" s="246">
        <v>45850</v>
      </c>
      <c r="H1355" s="246">
        <v>52400</v>
      </c>
      <c r="I1355" s="246">
        <v>58950</v>
      </c>
      <c r="J1355" s="246">
        <v>65500</v>
      </c>
      <c r="K1355" s="246">
        <v>70750</v>
      </c>
      <c r="L1355" s="246">
        <v>76000</v>
      </c>
      <c r="M1355" s="246">
        <v>81250</v>
      </c>
      <c r="N1355" s="246">
        <v>86500</v>
      </c>
    </row>
    <row r="1356" spans="3:14" ht="21.95" customHeight="1" x14ac:dyDescent="0.25">
      <c r="C1356" s="139" t="str">
        <f t="shared" si="37"/>
        <v>MI_MUSKEGON-NORTON SHORES, MI MSA</v>
      </c>
      <c r="D1356" s="136" t="s">
        <v>83</v>
      </c>
      <c r="E1356" s="262" t="s">
        <v>9203</v>
      </c>
      <c r="F1356" s="136" t="s">
        <v>183</v>
      </c>
      <c r="G1356" s="246">
        <v>45950</v>
      </c>
      <c r="H1356" s="246">
        <v>52500</v>
      </c>
      <c r="I1356" s="246">
        <v>59050</v>
      </c>
      <c r="J1356" s="246">
        <v>65600</v>
      </c>
      <c r="K1356" s="246">
        <v>70850</v>
      </c>
      <c r="L1356" s="246">
        <v>76100</v>
      </c>
      <c r="M1356" s="246">
        <v>81350</v>
      </c>
      <c r="N1356" s="246">
        <v>86600</v>
      </c>
    </row>
    <row r="1357" spans="3:14" ht="21.95" customHeight="1" x14ac:dyDescent="0.25">
      <c r="C1357" s="139" t="str">
        <f t="shared" si="37"/>
        <v>MI_NEWAYGO COUNTY, MI</v>
      </c>
      <c r="D1357" s="136" t="s">
        <v>83</v>
      </c>
      <c r="E1357" s="262" t="s">
        <v>3960</v>
      </c>
      <c r="F1357" s="136" t="s">
        <v>183</v>
      </c>
      <c r="G1357" s="246">
        <v>45850</v>
      </c>
      <c r="H1357" s="246">
        <v>52400</v>
      </c>
      <c r="I1357" s="246">
        <v>58950</v>
      </c>
      <c r="J1357" s="246">
        <v>65500</v>
      </c>
      <c r="K1357" s="246">
        <v>70750</v>
      </c>
      <c r="L1357" s="246">
        <v>76000</v>
      </c>
      <c r="M1357" s="246">
        <v>81250</v>
      </c>
      <c r="N1357" s="246">
        <v>86500</v>
      </c>
    </row>
    <row r="1358" spans="3:14" ht="21.95" customHeight="1" x14ac:dyDescent="0.25">
      <c r="C1358" s="139" t="str">
        <f t="shared" si="37"/>
        <v>MI_NILES, MI MSA</v>
      </c>
      <c r="D1358" s="136" t="s">
        <v>83</v>
      </c>
      <c r="E1358" s="262" t="s">
        <v>9198</v>
      </c>
      <c r="F1358" s="136" t="s">
        <v>183</v>
      </c>
      <c r="G1358" s="246">
        <v>48850</v>
      </c>
      <c r="H1358" s="246">
        <v>55800</v>
      </c>
      <c r="I1358" s="246">
        <v>62800</v>
      </c>
      <c r="J1358" s="246">
        <v>69750</v>
      </c>
      <c r="K1358" s="246">
        <v>75350</v>
      </c>
      <c r="L1358" s="246">
        <v>80950</v>
      </c>
      <c r="M1358" s="246">
        <v>86500</v>
      </c>
      <c r="N1358" s="246">
        <v>92100</v>
      </c>
    </row>
    <row r="1359" spans="3:14" ht="21.95" customHeight="1" x14ac:dyDescent="0.25">
      <c r="C1359" s="139" t="str">
        <f t="shared" si="37"/>
        <v>MI_OCEANA COUNTY, MI</v>
      </c>
      <c r="D1359" s="136" t="s">
        <v>83</v>
      </c>
      <c r="E1359" s="262" t="s">
        <v>3961</v>
      </c>
      <c r="F1359" s="136" t="s">
        <v>183</v>
      </c>
      <c r="G1359" s="246">
        <v>45850</v>
      </c>
      <c r="H1359" s="246">
        <v>52400</v>
      </c>
      <c r="I1359" s="246">
        <v>58950</v>
      </c>
      <c r="J1359" s="246">
        <v>65500</v>
      </c>
      <c r="K1359" s="246">
        <v>70750</v>
      </c>
      <c r="L1359" s="246">
        <v>76000</v>
      </c>
      <c r="M1359" s="246">
        <v>81250</v>
      </c>
      <c r="N1359" s="246">
        <v>86500</v>
      </c>
    </row>
    <row r="1360" spans="3:14" ht="21.95" customHeight="1" x14ac:dyDescent="0.25">
      <c r="C1360" s="139" t="str">
        <f t="shared" si="37"/>
        <v>MI_OGEMAW COUNTY, MI</v>
      </c>
      <c r="D1360" s="136" t="s">
        <v>83</v>
      </c>
      <c r="E1360" s="262" t="s">
        <v>3962</v>
      </c>
      <c r="F1360" s="136" t="s">
        <v>183</v>
      </c>
      <c r="G1360" s="246">
        <v>45850</v>
      </c>
      <c r="H1360" s="246">
        <v>52400</v>
      </c>
      <c r="I1360" s="246">
        <v>58950</v>
      </c>
      <c r="J1360" s="246">
        <v>65500</v>
      </c>
      <c r="K1360" s="246">
        <v>70750</v>
      </c>
      <c r="L1360" s="246">
        <v>76000</v>
      </c>
      <c r="M1360" s="246">
        <v>81250</v>
      </c>
      <c r="N1360" s="246">
        <v>86500</v>
      </c>
    </row>
    <row r="1361" spans="3:14" ht="21.95" customHeight="1" x14ac:dyDescent="0.25">
      <c r="C1361" s="139" t="str">
        <f t="shared" si="37"/>
        <v>MI_ONTONAGON COUNTY, MI</v>
      </c>
      <c r="D1361" s="136" t="s">
        <v>83</v>
      </c>
      <c r="E1361" s="262" t="s">
        <v>3963</v>
      </c>
      <c r="F1361" s="136" t="s">
        <v>183</v>
      </c>
      <c r="G1361" s="246">
        <v>45850</v>
      </c>
      <c r="H1361" s="246">
        <v>52400</v>
      </c>
      <c r="I1361" s="246">
        <v>58950</v>
      </c>
      <c r="J1361" s="246">
        <v>65500</v>
      </c>
      <c r="K1361" s="246">
        <v>70750</v>
      </c>
      <c r="L1361" s="246">
        <v>76000</v>
      </c>
      <c r="M1361" s="246">
        <v>81250</v>
      </c>
      <c r="N1361" s="246">
        <v>86500</v>
      </c>
    </row>
    <row r="1362" spans="3:14" ht="21.95" customHeight="1" x14ac:dyDescent="0.25">
      <c r="C1362" s="139" t="str">
        <f t="shared" si="37"/>
        <v>MI_OSCEOLA COUNTY, MI</v>
      </c>
      <c r="D1362" s="136" t="s">
        <v>83</v>
      </c>
      <c r="E1362" s="262" t="s">
        <v>3964</v>
      </c>
      <c r="F1362" s="136" t="s">
        <v>183</v>
      </c>
      <c r="G1362" s="246">
        <v>45850</v>
      </c>
      <c r="H1362" s="246">
        <v>52400</v>
      </c>
      <c r="I1362" s="246">
        <v>58950</v>
      </c>
      <c r="J1362" s="246">
        <v>65500</v>
      </c>
      <c r="K1362" s="246">
        <v>70750</v>
      </c>
      <c r="L1362" s="246">
        <v>76000</v>
      </c>
      <c r="M1362" s="246">
        <v>81250</v>
      </c>
      <c r="N1362" s="246">
        <v>86500</v>
      </c>
    </row>
    <row r="1363" spans="3:14" ht="21.95" customHeight="1" x14ac:dyDescent="0.25">
      <c r="C1363" s="139" t="str">
        <f t="shared" si="37"/>
        <v>MI_OSCODA COUNTY, MI</v>
      </c>
      <c r="D1363" s="136" t="s">
        <v>83</v>
      </c>
      <c r="E1363" s="262" t="s">
        <v>3965</v>
      </c>
      <c r="F1363" s="136" t="s">
        <v>183</v>
      </c>
      <c r="G1363" s="246">
        <v>45850</v>
      </c>
      <c r="H1363" s="246">
        <v>52400</v>
      </c>
      <c r="I1363" s="246">
        <v>58950</v>
      </c>
      <c r="J1363" s="246">
        <v>65500</v>
      </c>
      <c r="K1363" s="246">
        <v>70750</v>
      </c>
      <c r="L1363" s="246">
        <v>76000</v>
      </c>
      <c r="M1363" s="246">
        <v>81250</v>
      </c>
      <c r="N1363" s="246">
        <v>86500</v>
      </c>
    </row>
    <row r="1364" spans="3:14" ht="21.95" customHeight="1" x14ac:dyDescent="0.25">
      <c r="C1364" s="139" t="str">
        <f t="shared" si="37"/>
        <v>MI_OTSEGO COUNTY, MI</v>
      </c>
      <c r="D1364" s="136" t="s">
        <v>83</v>
      </c>
      <c r="E1364" s="262" t="s">
        <v>3966</v>
      </c>
      <c r="F1364" s="136" t="s">
        <v>183</v>
      </c>
      <c r="G1364" s="246">
        <v>50700</v>
      </c>
      <c r="H1364" s="246">
        <v>57950</v>
      </c>
      <c r="I1364" s="246">
        <v>65200</v>
      </c>
      <c r="J1364" s="246">
        <v>72400</v>
      </c>
      <c r="K1364" s="246">
        <v>78200</v>
      </c>
      <c r="L1364" s="246">
        <v>84000</v>
      </c>
      <c r="M1364" s="246">
        <v>89800</v>
      </c>
      <c r="N1364" s="246">
        <v>95600</v>
      </c>
    </row>
    <row r="1365" spans="3:14" ht="21.95" customHeight="1" x14ac:dyDescent="0.25">
      <c r="C1365" s="139" t="str">
        <f t="shared" si="37"/>
        <v>MI_PRESQUE ISLE COUNTY, MI</v>
      </c>
      <c r="D1365" s="136" t="s">
        <v>83</v>
      </c>
      <c r="E1365" s="262" t="s">
        <v>3967</v>
      </c>
      <c r="F1365" s="136" t="s">
        <v>183</v>
      </c>
      <c r="G1365" s="246">
        <v>45850</v>
      </c>
      <c r="H1365" s="246">
        <v>52400</v>
      </c>
      <c r="I1365" s="246">
        <v>58950</v>
      </c>
      <c r="J1365" s="246">
        <v>65500</v>
      </c>
      <c r="K1365" s="246">
        <v>70750</v>
      </c>
      <c r="L1365" s="246">
        <v>76000</v>
      </c>
      <c r="M1365" s="246">
        <v>81250</v>
      </c>
      <c r="N1365" s="246">
        <v>86500</v>
      </c>
    </row>
    <row r="1366" spans="3:14" ht="21.95" customHeight="1" x14ac:dyDescent="0.25">
      <c r="C1366" s="139" t="str">
        <f t="shared" si="37"/>
        <v>MI_ROSCOMMON COUNTY, MI</v>
      </c>
      <c r="D1366" s="136" t="s">
        <v>83</v>
      </c>
      <c r="E1366" s="262" t="s">
        <v>3968</v>
      </c>
      <c r="F1366" s="136" t="s">
        <v>183</v>
      </c>
      <c r="G1366" s="246">
        <v>45850</v>
      </c>
      <c r="H1366" s="246">
        <v>52400</v>
      </c>
      <c r="I1366" s="246">
        <v>58950</v>
      </c>
      <c r="J1366" s="246">
        <v>65500</v>
      </c>
      <c r="K1366" s="246">
        <v>70750</v>
      </c>
      <c r="L1366" s="246">
        <v>76000</v>
      </c>
      <c r="M1366" s="246">
        <v>81250</v>
      </c>
      <c r="N1366" s="246">
        <v>86500</v>
      </c>
    </row>
    <row r="1367" spans="3:14" ht="21.95" customHeight="1" x14ac:dyDescent="0.25">
      <c r="C1367" s="139" t="str">
        <f t="shared" si="37"/>
        <v>MI_SAGINAW, MI MSA</v>
      </c>
      <c r="D1367" s="136" t="s">
        <v>83</v>
      </c>
      <c r="E1367" s="262" t="s">
        <v>3969</v>
      </c>
      <c r="F1367" s="136" t="s">
        <v>183</v>
      </c>
      <c r="G1367" s="246">
        <v>45850</v>
      </c>
      <c r="H1367" s="246">
        <v>52400</v>
      </c>
      <c r="I1367" s="246">
        <v>58950</v>
      </c>
      <c r="J1367" s="246">
        <v>65500</v>
      </c>
      <c r="K1367" s="246">
        <v>70750</v>
      </c>
      <c r="L1367" s="246">
        <v>76000</v>
      </c>
      <c r="M1367" s="246">
        <v>81250</v>
      </c>
      <c r="N1367" s="246">
        <v>86500</v>
      </c>
    </row>
    <row r="1368" spans="3:14" ht="21.95" customHeight="1" x14ac:dyDescent="0.25">
      <c r="C1368" s="139" t="str">
        <f t="shared" si="37"/>
        <v>MI_SANILAC COUNTY, MI</v>
      </c>
      <c r="D1368" s="136" t="s">
        <v>83</v>
      </c>
      <c r="E1368" s="262" t="s">
        <v>3970</v>
      </c>
      <c r="F1368" s="136" t="s">
        <v>183</v>
      </c>
      <c r="G1368" s="246">
        <v>45850</v>
      </c>
      <c r="H1368" s="246">
        <v>52400</v>
      </c>
      <c r="I1368" s="246">
        <v>58950</v>
      </c>
      <c r="J1368" s="246">
        <v>65500</v>
      </c>
      <c r="K1368" s="246">
        <v>70750</v>
      </c>
      <c r="L1368" s="246">
        <v>76000</v>
      </c>
      <c r="M1368" s="246">
        <v>81250</v>
      </c>
      <c r="N1368" s="246">
        <v>86500</v>
      </c>
    </row>
    <row r="1369" spans="3:14" ht="21.95" customHeight="1" x14ac:dyDescent="0.25">
      <c r="C1369" s="139" t="str">
        <f t="shared" si="37"/>
        <v>MI_SCHOOLCRAFT COUNTY, MI</v>
      </c>
      <c r="D1369" s="136" t="s">
        <v>83</v>
      </c>
      <c r="E1369" s="262" t="s">
        <v>3971</v>
      </c>
      <c r="F1369" s="136" t="s">
        <v>183</v>
      </c>
      <c r="G1369" s="246">
        <v>45850</v>
      </c>
      <c r="H1369" s="246">
        <v>52400</v>
      </c>
      <c r="I1369" s="246">
        <v>58950</v>
      </c>
      <c r="J1369" s="246">
        <v>65500</v>
      </c>
      <c r="K1369" s="246">
        <v>70750</v>
      </c>
      <c r="L1369" s="246">
        <v>76000</v>
      </c>
      <c r="M1369" s="246">
        <v>81250</v>
      </c>
      <c r="N1369" s="246">
        <v>86500</v>
      </c>
    </row>
    <row r="1370" spans="3:14" ht="21.95" customHeight="1" x14ac:dyDescent="0.25">
      <c r="C1370" s="139" t="str">
        <f t="shared" si="37"/>
        <v>MI_SHIAWASSEE COUNTY, MI</v>
      </c>
      <c r="D1370" s="136" t="s">
        <v>83</v>
      </c>
      <c r="E1370" s="262" t="s">
        <v>9204</v>
      </c>
      <c r="F1370" s="136" t="s">
        <v>183</v>
      </c>
      <c r="G1370" s="246">
        <v>48550</v>
      </c>
      <c r="H1370" s="246">
        <v>55450</v>
      </c>
      <c r="I1370" s="246">
        <v>62400</v>
      </c>
      <c r="J1370" s="246">
        <v>69300</v>
      </c>
      <c r="K1370" s="246">
        <v>74850</v>
      </c>
      <c r="L1370" s="246">
        <v>80400</v>
      </c>
      <c r="M1370" s="246">
        <v>85950</v>
      </c>
      <c r="N1370" s="246">
        <v>91500</v>
      </c>
    </row>
    <row r="1371" spans="3:14" ht="21.95" customHeight="1" x14ac:dyDescent="0.25">
      <c r="C1371" s="139" t="str">
        <f t="shared" si="37"/>
        <v>MI_ST. JOSEPH COUNTY, MI</v>
      </c>
      <c r="D1371" s="136" t="s">
        <v>83</v>
      </c>
      <c r="E1371" s="262" t="s">
        <v>3972</v>
      </c>
      <c r="F1371" s="136" t="s">
        <v>183</v>
      </c>
      <c r="G1371" s="246">
        <v>47150</v>
      </c>
      <c r="H1371" s="246">
        <v>53850</v>
      </c>
      <c r="I1371" s="246">
        <v>60600</v>
      </c>
      <c r="J1371" s="246">
        <v>67300</v>
      </c>
      <c r="K1371" s="246">
        <v>72700</v>
      </c>
      <c r="L1371" s="246">
        <v>78100</v>
      </c>
      <c r="M1371" s="246">
        <v>83500</v>
      </c>
      <c r="N1371" s="246">
        <v>88850</v>
      </c>
    </row>
    <row r="1372" spans="3:14" ht="21.95" customHeight="1" x14ac:dyDescent="0.25">
      <c r="C1372" s="139" t="str">
        <f t="shared" si="37"/>
        <v>MI_TUSCOLA COUNTY, MI</v>
      </c>
      <c r="D1372" s="136" t="s">
        <v>83</v>
      </c>
      <c r="E1372" s="262" t="s">
        <v>3973</v>
      </c>
      <c r="F1372" s="136" t="s">
        <v>183</v>
      </c>
      <c r="G1372" s="246">
        <v>45850</v>
      </c>
      <c r="H1372" s="246">
        <v>52400</v>
      </c>
      <c r="I1372" s="246">
        <v>58950</v>
      </c>
      <c r="J1372" s="246">
        <v>65500</v>
      </c>
      <c r="K1372" s="246">
        <v>70750</v>
      </c>
      <c r="L1372" s="246">
        <v>76000</v>
      </c>
      <c r="M1372" s="246">
        <v>81250</v>
      </c>
      <c r="N1372" s="246">
        <v>86500</v>
      </c>
    </row>
    <row r="1373" spans="3:14" ht="21.95" customHeight="1" x14ac:dyDescent="0.25">
      <c r="C1373" s="139" t="str">
        <f t="shared" si="37"/>
        <v>MI_VAN BUREN COUNTY, MI</v>
      </c>
      <c r="D1373" s="136" t="s">
        <v>83</v>
      </c>
      <c r="E1373" s="262" t="s">
        <v>3974</v>
      </c>
      <c r="F1373" s="136" t="s">
        <v>183</v>
      </c>
      <c r="G1373" s="246">
        <v>48650</v>
      </c>
      <c r="H1373" s="246">
        <v>55600</v>
      </c>
      <c r="I1373" s="246">
        <v>62550</v>
      </c>
      <c r="J1373" s="246">
        <v>69500</v>
      </c>
      <c r="K1373" s="246">
        <v>75100</v>
      </c>
      <c r="L1373" s="246">
        <v>80650</v>
      </c>
      <c r="M1373" s="246">
        <v>86200</v>
      </c>
      <c r="N1373" s="246">
        <v>91750</v>
      </c>
    </row>
    <row r="1374" spans="3:14" ht="21.95" customHeight="1" x14ac:dyDescent="0.25">
      <c r="C1374" s="139" t="str">
        <f t="shared" si="37"/>
        <v>MI_WEXFORD COUNTY, MI</v>
      </c>
      <c r="D1374" s="136" t="s">
        <v>83</v>
      </c>
      <c r="E1374" s="262" t="s">
        <v>3975</v>
      </c>
      <c r="F1374" s="136" t="s">
        <v>183</v>
      </c>
      <c r="G1374" s="246">
        <v>47050</v>
      </c>
      <c r="H1374" s="246">
        <v>53800</v>
      </c>
      <c r="I1374" s="246">
        <v>60500</v>
      </c>
      <c r="J1374" s="246">
        <v>67200</v>
      </c>
      <c r="K1374" s="246">
        <v>72600</v>
      </c>
      <c r="L1374" s="246">
        <v>78000</v>
      </c>
      <c r="M1374" s="246">
        <v>83350</v>
      </c>
      <c r="N1374" s="246">
        <v>88750</v>
      </c>
    </row>
    <row r="1375" spans="3:14" ht="21.95" customHeight="1" x14ac:dyDescent="0.25">
      <c r="C1375" s="139" t="str">
        <f t="shared" si="37"/>
        <v>MN_AITKIN COUNTY, MN</v>
      </c>
      <c r="D1375" s="136" t="s">
        <v>82</v>
      </c>
      <c r="E1375" s="262" t="s">
        <v>3976</v>
      </c>
      <c r="F1375" s="136" t="s">
        <v>183</v>
      </c>
      <c r="G1375" s="246">
        <v>53350</v>
      </c>
      <c r="H1375" s="246">
        <v>60950</v>
      </c>
      <c r="I1375" s="246">
        <v>68550</v>
      </c>
      <c r="J1375" s="246">
        <v>76150</v>
      </c>
      <c r="K1375" s="246">
        <v>82250</v>
      </c>
      <c r="L1375" s="246">
        <v>88350</v>
      </c>
      <c r="M1375" s="246">
        <v>94450</v>
      </c>
      <c r="N1375" s="246">
        <v>100550</v>
      </c>
    </row>
    <row r="1376" spans="3:14" ht="21.95" customHeight="1" x14ac:dyDescent="0.25">
      <c r="C1376" s="139" t="str">
        <f t="shared" si="37"/>
        <v>MN_BECKER COUNTY, MN</v>
      </c>
      <c r="D1376" s="136" t="s">
        <v>82</v>
      </c>
      <c r="E1376" s="262" t="s">
        <v>3977</v>
      </c>
      <c r="F1376" s="136" t="s">
        <v>183</v>
      </c>
      <c r="G1376" s="246">
        <v>54600</v>
      </c>
      <c r="H1376" s="246">
        <v>62400</v>
      </c>
      <c r="I1376" s="246">
        <v>70200</v>
      </c>
      <c r="J1376" s="246">
        <v>78000</v>
      </c>
      <c r="K1376" s="246">
        <v>84250</v>
      </c>
      <c r="L1376" s="246">
        <v>90500</v>
      </c>
      <c r="M1376" s="246">
        <v>96750</v>
      </c>
      <c r="N1376" s="246">
        <v>103000</v>
      </c>
    </row>
    <row r="1377" spans="3:14" ht="21.95" customHeight="1" x14ac:dyDescent="0.25">
      <c r="C1377" s="139" t="str">
        <f t="shared" si="37"/>
        <v>MN_BELTRAMI COUNTY, MN</v>
      </c>
      <c r="D1377" s="136" t="s">
        <v>82</v>
      </c>
      <c r="E1377" s="262" t="s">
        <v>3978</v>
      </c>
      <c r="F1377" s="136" t="s">
        <v>183</v>
      </c>
      <c r="G1377" s="246">
        <v>53350</v>
      </c>
      <c r="H1377" s="246">
        <v>60950</v>
      </c>
      <c r="I1377" s="246">
        <v>68550</v>
      </c>
      <c r="J1377" s="246">
        <v>76150</v>
      </c>
      <c r="K1377" s="246">
        <v>82250</v>
      </c>
      <c r="L1377" s="246">
        <v>88350</v>
      </c>
      <c r="M1377" s="246">
        <v>94450</v>
      </c>
      <c r="N1377" s="246">
        <v>100550</v>
      </c>
    </row>
    <row r="1378" spans="3:14" ht="21.95" customHeight="1" x14ac:dyDescent="0.25">
      <c r="C1378" s="139" t="str">
        <f t="shared" si="37"/>
        <v>MN_BIG STONE COUNTY, MN</v>
      </c>
      <c r="D1378" s="136" t="s">
        <v>82</v>
      </c>
      <c r="E1378" s="262" t="s">
        <v>3979</v>
      </c>
      <c r="F1378" s="136" t="s">
        <v>183</v>
      </c>
      <c r="G1378" s="246">
        <v>53350</v>
      </c>
      <c r="H1378" s="246">
        <v>60950</v>
      </c>
      <c r="I1378" s="246">
        <v>68550</v>
      </c>
      <c r="J1378" s="246">
        <v>76150</v>
      </c>
      <c r="K1378" s="246">
        <v>82250</v>
      </c>
      <c r="L1378" s="246">
        <v>88350</v>
      </c>
      <c r="M1378" s="246">
        <v>94450</v>
      </c>
      <c r="N1378" s="246">
        <v>100550</v>
      </c>
    </row>
    <row r="1379" spans="3:14" ht="21.95" customHeight="1" x14ac:dyDescent="0.25">
      <c r="C1379" s="139" t="str">
        <f t="shared" si="37"/>
        <v>MN_BROWN COUNTY, MN</v>
      </c>
      <c r="D1379" s="136" t="s">
        <v>82</v>
      </c>
      <c r="E1379" s="262" t="s">
        <v>3980</v>
      </c>
      <c r="F1379" s="136" t="s">
        <v>183</v>
      </c>
      <c r="G1379" s="246">
        <v>54150</v>
      </c>
      <c r="H1379" s="246">
        <v>61850</v>
      </c>
      <c r="I1379" s="246">
        <v>69600</v>
      </c>
      <c r="J1379" s="246">
        <v>77300</v>
      </c>
      <c r="K1379" s="246">
        <v>83500</v>
      </c>
      <c r="L1379" s="246">
        <v>89700</v>
      </c>
      <c r="M1379" s="246">
        <v>95900</v>
      </c>
      <c r="N1379" s="246">
        <v>102050</v>
      </c>
    </row>
    <row r="1380" spans="3:14" ht="21.95" customHeight="1" x14ac:dyDescent="0.25">
      <c r="C1380" s="139" t="str">
        <f t="shared" si="37"/>
        <v>MN_CASS COUNTY, MN</v>
      </c>
      <c r="D1380" s="136" t="s">
        <v>82</v>
      </c>
      <c r="E1380" s="262" t="s">
        <v>3981</v>
      </c>
      <c r="F1380" s="136" t="s">
        <v>183</v>
      </c>
      <c r="G1380" s="246">
        <v>53350</v>
      </c>
      <c r="H1380" s="246">
        <v>60950</v>
      </c>
      <c r="I1380" s="246">
        <v>68550</v>
      </c>
      <c r="J1380" s="246">
        <v>76150</v>
      </c>
      <c r="K1380" s="246">
        <v>82250</v>
      </c>
      <c r="L1380" s="246">
        <v>88350</v>
      </c>
      <c r="M1380" s="246">
        <v>94450</v>
      </c>
      <c r="N1380" s="246">
        <v>100550</v>
      </c>
    </row>
    <row r="1381" spans="3:14" ht="21.95" customHeight="1" x14ac:dyDescent="0.25">
      <c r="C1381" s="139" t="str">
        <f t="shared" si="37"/>
        <v>MN_CHIPPEWA COUNTY, MN</v>
      </c>
      <c r="D1381" s="136" t="s">
        <v>82</v>
      </c>
      <c r="E1381" s="262" t="s">
        <v>3982</v>
      </c>
      <c r="F1381" s="136" t="s">
        <v>183</v>
      </c>
      <c r="G1381" s="246">
        <v>56000</v>
      </c>
      <c r="H1381" s="246">
        <v>64000</v>
      </c>
      <c r="I1381" s="246">
        <v>72000</v>
      </c>
      <c r="J1381" s="246">
        <v>80000</v>
      </c>
      <c r="K1381" s="246">
        <v>86400</v>
      </c>
      <c r="L1381" s="246">
        <v>92800</v>
      </c>
      <c r="M1381" s="246">
        <v>99200</v>
      </c>
      <c r="N1381" s="246">
        <v>105600</v>
      </c>
    </row>
    <row r="1382" spans="3:14" ht="21.95" customHeight="1" x14ac:dyDescent="0.25">
      <c r="C1382" s="139" t="str">
        <f t="shared" si="37"/>
        <v>MN_CLEARWATER COUNTY, MN</v>
      </c>
      <c r="D1382" s="136" t="s">
        <v>82</v>
      </c>
      <c r="E1382" s="262" t="s">
        <v>3983</v>
      </c>
      <c r="F1382" s="136" t="s">
        <v>183</v>
      </c>
      <c r="G1382" s="246">
        <v>53350</v>
      </c>
      <c r="H1382" s="246">
        <v>60950</v>
      </c>
      <c r="I1382" s="246">
        <v>68550</v>
      </c>
      <c r="J1382" s="246">
        <v>76150</v>
      </c>
      <c r="K1382" s="246">
        <v>82250</v>
      </c>
      <c r="L1382" s="246">
        <v>88350</v>
      </c>
      <c r="M1382" s="246">
        <v>94450</v>
      </c>
      <c r="N1382" s="246">
        <v>100550</v>
      </c>
    </row>
    <row r="1383" spans="3:14" ht="21.95" customHeight="1" x14ac:dyDescent="0.25">
      <c r="C1383" s="139" t="str">
        <f t="shared" si="37"/>
        <v>MN_COOK COUNTY, MN</v>
      </c>
      <c r="D1383" s="136" t="s">
        <v>82</v>
      </c>
      <c r="E1383" s="262" t="s">
        <v>3984</v>
      </c>
      <c r="F1383" s="136" t="s">
        <v>183</v>
      </c>
      <c r="G1383" s="246">
        <v>53350</v>
      </c>
      <c r="H1383" s="246">
        <v>60950</v>
      </c>
      <c r="I1383" s="246">
        <v>68550</v>
      </c>
      <c r="J1383" s="246">
        <v>76150</v>
      </c>
      <c r="K1383" s="246">
        <v>82250</v>
      </c>
      <c r="L1383" s="246">
        <v>88350</v>
      </c>
      <c r="M1383" s="246">
        <v>94450</v>
      </c>
      <c r="N1383" s="246">
        <v>100550</v>
      </c>
    </row>
    <row r="1384" spans="3:14" ht="21.95" customHeight="1" x14ac:dyDescent="0.25">
      <c r="C1384" s="139" t="str">
        <f t="shared" si="37"/>
        <v>MN_COTTONWOOD COUNTY, MN</v>
      </c>
      <c r="D1384" s="136" t="s">
        <v>82</v>
      </c>
      <c r="E1384" s="262" t="s">
        <v>3985</v>
      </c>
      <c r="F1384" s="136" t="s">
        <v>183</v>
      </c>
      <c r="G1384" s="246">
        <v>53350</v>
      </c>
      <c r="H1384" s="246">
        <v>60950</v>
      </c>
      <c r="I1384" s="246">
        <v>68550</v>
      </c>
      <c r="J1384" s="246">
        <v>76150</v>
      </c>
      <c r="K1384" s="246">
        <v>82250</v>
      </c>
      <c r="L1384" s="246">
        <v>88350</v>
      </c>
      <c r="M1384" s="246">
        <v>94450</v>
      </c>
      <c r="N1384" s="246">
        <v>100550</v>
      </c>
    </row>
    <row r="1385" spans="3:14" ht="21.95" customHeight="1" x14ac:dyDescent="0.25">
      <c r="C1385" s="139" t="str">
        <f t="shared" si="37"/>
        <v>MN_CROW WING COUNTY, MN</v>
      </c>
      <c r="D1385" s="136" t="s">
        <v>82</v>
      </c>
      <c r="E1385" s="262" t="s">
        <v>3986</v>
      </c>
      <c r="F1385" s="136" t="s">
        <v>183</v>
      </c>
      <c r="G1385" s="246">
        <v>56000</v>
      </c>
      <c r="H1385" s="246">
        <v>64000</v>
      </c>
      <c r="I1385" s="246">
        <v>72000</v>
      </c>
      <c r="J1385" s="246">
        <v>80000</v>
      </c>
      <c r="K1385" s="246">
        <v>86400</v>
      </c>
      <c r="L1385" s="246">
        <v>92800</v>
      </c>
      <c r="M1385" s="246">
        <v>99200</v>
      </c>
      <c r="N1385" s="246">
        <v>105600</v>
      </c>
    </row>
    <row r="1386" spans="3:14" ht="21.95" customHeight="1" x14ac:dyDescent="0.25">
      <c r="C1386" s="139" t="str">
        <f t="shared" si="37"/>
        <v>MN_DOUGLAS COUNTY, MN</v>
      </c>
      <c r="D1386" s="136" t="s">
        <v>82</v>
      </c>
      <c r="E1386" s="262" t="s">
        <v>3987</v>
      </c>
      <c r="F1386" s="136" t="s">
        <v>183</v>
      </c>
      <c r="G1386" s="246">
        <v>58950</v>
      </c>
      <c r="H1386" s="246">
        <v>67350</v>
      </c>
      <c r="I1386" s="246">
        <v>75750</v>
      </c>
      <c r="J1386" s="246">
        <v>84150</v>
      </c>
      <c r="K1386" s="246">
        <v>90900</v>
      </c>
      <c r="L1386" s="246">
        <v>97650</v>
      </c>
      <c r="M1386" s="246">
        <v>104350</v>
      </c>
      <c r="N1386" s="246">
        <v>111100</v>
      </c>
    </row>
    <row r="1387" spans="3:14" ht="21.95" customHeight="1" x14ac:dyDescent="0.25">
      <c r="C1387" s="139" t="str">
        <f t="shared" si="37"/>
        <v>MN_DULUTH, MN-WI MSA</v>
      </c>
      <c r="D1387" s="136" t="s">
        <v>82</v>
      </c>
      <c r="E1387" s="262" t="s">
        <v>9206</v>
      </c>
      <c r="F1387" s="136" t="s">
        <v>183</v>
      </c>
      <c r="G1387" s="246">
        <v>56350</v>
      </c>
      <c r="H1387" s="246">
        <v>64400</v>
      </c>
      <c r="I1387" s="246">
        <v>72450</v>
      </c>
      <c r="J1387" s="246">
        <v>80500</v>
      </c>
      <c r="K1387" s="246">
        <v>86950</v>
      </c>
      <c r="L1387" s="246">
        <v>93400</v>
      </c>
      <c r="M1387" s="246">
        <v>99850</v>
      </c>
      <c r="N1387" s="246">
        <v>106300</v>
      </c>
    </row>
    <row r="1388" spans="3:14" ht="21.95" customHeight="1" x14ac:dyDescent="0.25">
      <c r="C1388" s="139" t="str">
        <f t="shared" si="37"/>
        <v>MN_FARGO, ND-MN MSA</v>
      </c>
      <c r="D1388" s="136" t="s">
        <v>82</v>
      </c>
      <c r="E1388" s="262" t="s">
        <v>3988</v>
      </c>
      <c r="F1388" s="136" t="s">
        <v>183</v>
      </c>
      <c r="G1388" s="246">
        <v>64750</v>
      </c>
      <c r="H1388" s="246">
        <v>74000</v>
      </c>
      <c r="I1388" s="246">
        <v>83250</v>
      </c>
      <c r="J1388" s="246">
        <v>92500</v>
      </c>
      <c r="K1388" s="246">
        <v>99900</v>
      </c>
      <c r="L1388" s="246">
        <v>107300</v>
      </c>
      <c r="M1388" s="246">
        <v>114700</v>
      </c>
      <c r="N1388" s="246">
        <v>122100</v>
      </c>
    </row>
    <row r="1389" spans="3:14" ht="21.95" customHeight="1" x14ac:dyDescent="0.25">
      <c r="C1389" s="139" t="str">
        <f t="shared" si="37"/>
        <v>MN_FARIBAULT COUNTY, MN</v>
      </c>
      <c r="D1389" s="136" t="s">
        <v>82</v>
      </c>
      <c r="E1389" s="262" t="s">
        <v>3989</v>
      </c>
      <c r="F1389" s="136" t="s">
        <v>183</v>
      </c>
      <c r="G1389" s="246">
        <v>53350</v>
      </c>
      <c r="H1389" s="246">
        <v>60950</v>
      </c>
      <c r="I1389" s="246">
        <v>68550</v>
      </c>
      <c r="J1389" s="246">
        <v>76150</v>
      </c>
      <c r="K1389" s="246">
        <v>82250</v>
      </c>
      <c r="L1389" s="246">
        <v>88350</v>
      </c>
      <c r="M1389" s="246">
        <v>94450</v>
      </c>
      <c r="N1389" s="246">
        <v>100550</v>
      </c>
    </row>
    <row r="1390" spans="3:14" ht="21.95" customHeight="1" x14ac:dyDescent="0.25">
      <c r="C1390" s="139" t="str">
        <f t="shared" si="37"/>
        <v>MN_FILLMORE COUNTY, MN HUD METRO FMR AREA</v>
      </c>
      <c r="D1390" s="136" t="s">
        <v>82</v>
      </c>
      <c r="E1390" s="262" t="s">
        <v>3990</v>
      </c>
      <c r="F1390" s="136" t="s">
        <v>183</v>
      </c>
      <c r="G1390" s="246">
        <v>55250</v>
      </c>
      <c r="H1390" s="246">
        <v>63150</v>
      </c>
      <c r="I1390" s="246">
        <v>71050</v>
      </c>
      <c r="J1390" s="246">
        <v>78900</v>
      </c>
      <c r="K1390" s="246">
        <v>85250</v>
      </c>
      <c r="L1390" s="246">
        <v>91550</v>
      </c>
      <c r="M1390" s="246">
        <v>97850</v>
      </c>
      <c r="N1390" s="246">
        <v>104150</v>
      </c>
    </row>
    <row r="1391" spans="3:14" ht="21.95" customHeight="1" x14ac:dyDescent="0.25">
      <c r="C1391" s="139" t="str">
        <f t="shared" si="37"/>
        <v>MN_FREEBORN COUNTY, MN</v>
      </c>
      <c r="D1391" s="136" t="s">
        <v>82</v>
      </c>
      <c r="E1391" s="262" t="s">
        <v>3991</v>
      </c>
      <c r="F1391" s="136" t="s">
        <v>183</v>
      </c>
      <c r="G1391" s="246">
        <v>53350</v>
      </c>
      <c r="H1391" s="246">
        <v>60950</v>
      </c>
      <c r="I1391" s="246">
        <v>68550</v>
      </c>
      <c r="J1391" s="246">
        <v>76150</v>
      </c>
      <c r="K1391" s="246">
        <v>82250</v>
      </c>
      <c r="L1391" s="246">
        <v>88350</v>
      </c>
      <c r="M1391" s="246">
        <v>94450</v>
      </c>
      <c r="N1391" s="246">
        <v>100550</v>
      </c>
    </row>
    <row r="1392" spans="3:14" ht="21.95" customHeight="1" x14ac:dyDescent="0.25">
      <c r="C1392" s="139" t="str">
        <f t="shared" si="37"/>
        <v>MN_GOODHUE COUNTY, MN</v>
      </c>
      <c r="D1392" s="136" t="s">
        <v>82</v>
      </c>
      <c r="E1392" s="262" t="s">
        <v>3992</v>
      </c>
      <c r="F1392" s="136" t="s">
        <v>183</v>
      </c>
      <c r="G1392" s="246">
        <v>63400</v>
      </c>
      <c r="H1392" s="246">
        <v>72450</v>
      </c>
      <c r="I1392" s="246">
        <v>81500</v>
      </c>
      <c r="J1392" s="246">
        <v>90550</v>
      </c>
      <c r="K1392" s="246">
        <v>97800</v>
      </c>
      <c r="L1392" s="246">
        <v>105050</v>
      </c>
      <c r="M1392" s="246">
        <v>112300</v>
      </c>
      <c r="N1392" s="246">
        <v>119550</v>
      </c>
    </row>
    <row r="1393" spans="3:14" ht="21.95" customHeight="1" x14ac:dyDescent="0.25">
      <c r="C1393" s="139" t="str">
        <f t="shared" si="37"/>
        <v>MN_GRAND FORKS, ND-MN MSA</v>
      </c>
      <c r="D1393" s="136" t="s">
        <v>82</v>
      </c>
      <c r="E1393" s="262" t="s">
        <v>3993</v>
      </c>
      <c r="F1393" s="136" t="s">
        <v>183</v>
      </c>
      <c r="G1393" s="246">
        <v>58450</v>
      </c>
      <c r="H1393" s="246">
        <v>66800</v>
      </c>
      <c r="I1393" s="246">
        <v>75150</v>
      </c>
      <c r="J1393" s="246">
        <v>83500</v>
      </c>
      <c r="K1393" s="246">
        <v>90200</v>
      </c>
      <c r="L1393" s="246">
        <v>96900</v>
      </c>
      <c r="M1393" s="246">
        <v>103550</v>
      </c>
      <c r="N1393" s="246">
        <v>110250</v>
      </c>
    </row>
    <row r="1394" spans="3:14" ht="21.95" customHeight="1" x14ac:dyDescent="0.25">
      <c r="C1394" s="139" t="str">
        <f t="shared" si="37"/>
        <v>MN_GRANT COUNTY, MN</v>
      </c>
      <c r="D1394" s="136" t="s">
        <v>82</v>
      </c>
      <c r="E1394" s="262" t="s">
        <v>3994</v>
      </c>
      <c r="F1394" s="136" t="s">
        <v>183</v>
      </c>
      <c r="G1394" s="246">
        <v>53350</v>
      </c>
      <c r="H1394" s="246">
        <v>60950</v>
      </c>
      <c r="I1394" s="246">
        <v>68550</v>
      </c>
      <c r="J1394" s="246">
        <v>76150</v>
      </c>
      <c r="K1394" s="246">
        <v>82250</v>
      </c>
      <c r="L1394" s="246">
        <v>88350</v>
      </c>
      <c r="M1394" s="246">
        <v>94450</v>
      </c>
      <c r="N1394" s="246">
        <v>100550</v>
      </c>
    </row>
    <row r="1395" spans="3:14" ht="21.95" customHeight="1" x14ac:dyDescent="0.25">
      <c r="C1395" s="139" t="str">
        <f t="shared" si="37"/>
        <v>MN_HUBBARD COUNTY, MN</v>
      </c>
      <c r="D1395" s="136" t="s">
        <v>82</v>
      </c>
      <c r="E1395" s="262" t="s">
        <v>3995</v>
      </c>
      <c r="F1395" s="136" t="s">
        <v>183</v>
      </c>
      <c r="G1395" s="246">
        <v>53350</v>
      </c>
      <c r="H1395" s="246">
        <v>60950</v>
      </c>
      <c r="I1395" s="246">
        <v>68550</v>
      </c>
      <c r="J1395" s="246">
        <v>76150</v>
      </c>
      <c r="K1395" s="246">
        <v>82250</v>
      </c>
      <c r="L1395" s="246">
        <v>88350</v>
      </c>
      <c r="M1395" s="246">
        <v>94450</v>
      </c>
      <c r="N1395" s="246">
        <v>100550</v>
      </c>
    </row>
    <row r="1396" spans="3:14" ht="21.95" customHeight="1" x14ac:dyDescent="0.25">
      <c r="C1396" s="139" t="str">
        <f t="shared" si="37"/>
        <v>MN_ITASCA COUNTY, MN</v>
      </c>
      <c r="D1396" s="136" t="s">
        <v>82</v>
      </c>
      <c r="E1396" s="262" t="s">
        <v>3996</v>
      </c>
      <c r="F1396" s="136" t="s">
        <v>183</v>
      </c>
      <c r="G1396" s="246">
        <v>53350</v>
      </c>
      <c r="H1396" s="246">
        <v>60950</v>
      </c>
      <c r="I1396" s="246">
        <v>68550</v>
      </c>
      <c r="J1396" s="246">
        <v>76150</v>
      </c>
      <c r="K1396" s="246">
        <v>82250</v>
      </c>
      <c r="L1396" s="246">
        <v>88350</v>
      </c>
      <c r="M1396" s="246">
        <v>94450</v>
      </c>
      <c r="N1396" s="246">
        <v>100550</v>
      </c>
    </row>
    <row r="1397" spans="3:14" ht="21.95" customHeight="1" x14ac:dyDescent="0.25">
      <c r="C1397" s="139" t="str">
        <f t="shared" si="37"/>
        <v>MN_JACKSON COUNTY, MN</v>
      </c>
      <c r="D1397" s="136" t="s">
        <v>82</v>
      </c>
      <c r="E1397" s="262" t="s">
        <v>3997</v>
      </c>
      <c r="F1397" s="136" t="s">
        <v>183</v>
      </c>
      <c r="G1397" s="246">
        <v>53350</v>
      </c>
      <c r="H1397" s="246">
        <v>60950</v>
      </c>
      <c r="I1397" s="246">
        <v>68550</v>
      </c>
      <c r="J1397" s="246">
        <v>76150</v>
      </c>
      <c r="K1397" s="246">
        <v>82250</v>
      </c>
      <c r="L1397" s="246">
        <v>88350</v>
      </c>
      <c r="M1397" s="246">
        <v>94450</v>
      </c>
      <c r="N1397" s="246">
        <v>100550</v>
      </c>
    </row>
    <row r="1398" spans="3:14" ht="21.95" customHeight="1" x14ac:dyDescent="0.25">
      <c r="C1398" s="139" t="str">
        <f t="shared" si="37"/>
        <v>MN_KANABEC COUNTY, MN</v>
      </c>
      <c r="D1398" s="136" t="s">
        <v>82</v>
      </c>
      <c r="E1398" s="262" t="s">
        <v>3998</v>
      </c>
      <c r="F1398" s="136" t="s">
        <v>183</v>
      </c>
      <c r="G1398" s="246">
        <v>53350</v>
      </c>
      <c r="H1398" s="246">
        <v>60950</v>
      </c>
      <c r="I1398" s="246">
        <v>68550</v>
      </c>
      <c r="J1398" s="246">
        <v>76150</v>
      </c>
      <c r="K1398" s="246">
        <v>82250</v>
      </c>
      <c r="L1398" s="246">
        <v>88350</v>
      </c>
      <c r="M1398" s="246">
        <v>94450</v>
      </c>
      <c r="N1398" s="246">
        <v>100550</v>
      </c>
    </row>
    <row r="1399" spans="3:14" ht="21.95" customHeight="1" x14ac:dyDescent="0.25">
      <c r="C1399" s="139" t="str">
        <f t="shared" si="37"/>
        <v>MN_KANDIYOHI COUNTY, MN</v>
      </c>
      <c r="D1399" s="136" t="s">
        <v>82</v>
      </c>
      <c r="E1399" s="262" t="s">
        <v>3999</v>
      </c>
      <c r="F1399" s="136" t="s">
        <v>183</v>
      </c>
      <c r="G1399" s="246">
        <v>56500</v>
      </c>
      <c r="H1399" s="246">
        <v>64550</v>
      </c>
      <c r="I1399" s="246">
        <v>72600</v>
      </c>
      <c r="J1399" s="246">
        <v>80650</v>
      </c>
      <c r="K1399" s="246">
        <v>87150</v>
      </c>
      <c r="L1399" s="246">
        <v>93600</v>
      </c>
      <c r="M1399" s="246">
        <v>100050</v>
      </c>
      <c r="N1399" s="246">
        <v>106500</v>
      </c>
    </row>
    <row r="1400" spans="3:14" ht="21.95" customHeight="1" x14ac:dyDescent="0.25">
      <c r="C1400" s="139" t="str">
        <f t="shared" si="37"/>
        <v>MN_KITTSON COUNTY, MN</v>
      </c>
      <c r="D1400" s="136" t="s">
        <v>82</v>
      </c>
      <c r="E1400" s="262" t="s">
        <v>4000</v>
      </c>
      <c r="F1400" s="136" t="s">
        <v>183</v>
      </c>
      <c r="G1400" s="246">
        <v>57200</v>
      </c>
      <c r="H1400" s="246">
        <v>65400</v>
      </c>
      <c r="I1400" s="246">
        <v>73550</v>
      </c>
      <c r="J1400" s="246">
        <v>81700</v>
      </c>
      <c r="K1400" s="246">
        <v>88250</v>
      </c>
      <c r="L1400" s="246">
        <v>94800</v>
      </c>
      <c r="M1400" s="246">
        <v>101350</v>
      </c>
      <c r="N1400" s="246">
        <v>107850</v>
      </c>
    </row>
    <row r="1401" spans="3:14" ht="21.95" customHeight="1" x14ac:dyDescent="0.25">
      <c r="C1401" s="139" t="str">
        <f t="shared" si="37"/>
        <v>MN_KOOCHICHING COUNTY, MN</v>
      </c>
      <c r="D1401" s="136" t="s">
        <v>82</v>
      </c>
      <c r="E1401" s="262" t="s">
        <v>4001</v>
      </c>
      <c r="F1401" s="136" t="s">
        <v>183</v>
      </c>
      <c r="G1401" s="246">
        <v>53350</v>
      </c>
      <c r="H1401" s="246">
        <v>60950</v>
      </c>
      <c r="I1401" s="246">
        <v>68550</v>
      </c>
      <c r="J1401" s="246">
        <v>76150</v>
      </c>
      <c r="K1401" s="246">
        <v>82250</v>
      </c>
      <c r="L1401" s="246">
        <v>88350</v>
      </c>
      <c r="M1401" s="246">
        <v>94450</v>
      </c>
      <c r="N1401" s="246">
        <v>100550</v>
      </c>
    </row>
    <row r="1402" spans="3:14" ht="21.95" customHeight="1" x14ac:dyDescent="0.25">
      <c r="C1402" s="139" t="str">
        <f t="shared" si="37"/>
        <v>MN_LAC QUI PARLE COUNTY, MN</v>
      </c>
      <c r="D1402" s="136" t="s">
        <v>82</v>
      </c>
      <c r="E1402" s="262" t="s">
        <v>4002</v>
      </c>
      <c r="F1402" s="136" t="s">
        <v>183</v>
      </c>
      <c r="G1402" s="246">
        <v>55950</v>
      </c>
      <c r="H1402" s="246">
        <v>63950</v>
      </c>
      <c r="I1402" s="246">
        <v>71950</v>
      </c>
      <c r="J1402" s="246">
        <v>79900</v>
      </c>
      <c r="K1402" s="246">
        <v>86300</v>
      </c>
      <c r="L1402" s="246">
        <v>92700</v>
      </c>
      <c r="M1402" s="246">
        <v>99100</v>
      </c>
      <c r="N1402" s="246">
        <v>105500</v>
      </c>
    </row>
    <row r="1403" spans="3:14" ht="21.95" customHeight="1" x14ac:dyDescent="0.25">
      <c r="C1403" s="139" t="str">
        <f t="shared" si="37"/>
        <v>MN_LA CROSSE-ONALASKA, WI-MN HUD METRO FMR AREA</v>
      </c>
      <c r="D1403" s="136" t="s">
        <v>82</v>
      </c>
      <c r="E1403" s="262" t="s">
        <v>9207</v>
      </c>
      <c r="F1403" s="136" t="s">
        <v>183</v>
      </c>
      <c r="G1403" s="246">
        <v>60150</v>
      </c>
      <c r="H1403" s="246">
        <v>68750</v>
      </c>
      <c r="I1403" s="246">
        <v>77350</v>
      </c>
      <c r="J1403" s="246">
        <v>85900</v>
      </c>
      <c r="K1403" s="246">
        <v>92800</v>
      </c>
      <c r="L1403" s="246">
        <v>99650</v>
      </c>
      <c r="M1403" s="246">
        <v>106550</v>
      </c>
      <c r="N1403" s="246">
        <v>113400</v>
      </c>
    </row>
    <row r="1404" spans="3:14" ht="21.95" customHeight="1" x14ac:dyDescent="0.25">
      <c r="C1404" s="139" t="str">
        <f t="shared" si="37"/>
        <v>MN_LAKE COUNTY, MN</v>
      </c>
      <c r="D1404" s="136" t="s">
        <v>82</v>
      </c>
      <c r="E1404" s="262" t="s">
        <v>9208</v>
      </c>
      <c r="F1404" s="136" t="s">
        <v>183</v>
      </c>
      <c r="G1404" s="246">
        <v>56650</v>
      </c>
      <c r="H1404" s="246">
        <v>64750</v>
      </c>
      <c r="I1404" s="246">
        <v>72850</v>
      </c>
      <c r="J1404" s="246">
        <v>80900</v>
      </c>
      <c r="K1404" s="246">
        <v>87400</v>
      </c>
      <c r="L1404" s="246">
        <v>93850</v>
      </c>
      <c r="M1404" s="246">
        <v>100350</v>
      </c>
      <c r="N1404" s="246">
        <v>106800</v>
      </c>
    </row>
    <row r="1405" spans="3:14" ht="21.95" customHeight="1" x14ac:dyDescent="0.25">
      <c r="C1405" s="139" t="str">
        <f t="shared" si="37"/>
        <v>MN_LAKE OF THE WOODS COUNTY, MN</v>
      </c>
      <c r="D1405" s="136" t="s">
        <v>82</v>
      </c>
      <c r="E1405" s="262" t="s">
        <v>4003</v>
      </c>
      <c r="F1405" s="136" t="s">
        <v>183</v>
      </c>
      <c r="G1405" s="246">
        <v>54000</v>
      </c>
      <c r="H1405" s="246">
        <v>61700</v>
      </c>
      <c r="I1405" s="246">
        <v>69400</v>
      </c>
      <c r="J1405" s="246">
        <v>77100</v>
      </c>
      <c r="K1405" s="246">
        <v>83300</v>
      </c>
      <c r="L1405" s="246">
        <v>89450</v>
      </c>
      <c r="M1405" s="246">
        <v>95650</v>
      </c>
      <c r="N1405" s="246">
        <v>101800</v>
      </c>
    </row>
    <row r="1406" spans="3:14" ht="21.95" customHeight="1" x14ac:dyDescent="0.25">
      <c r="C1406" s="139" t="str">
        <f t="shared" si="37"/>
        <v>MN_LE SUEUR COUNTY, MN HUD METRO FMR AREA</v>
      </c>
      <c r="D1406" s="136" t="s">
        <v>82</v>
      </c>
      <c r="E1406" s="262" t="s">
        <v>4004</v>
      </c>
      <c r="F1406" s="136" t="s">
        <v>183</v>
      </c>
      <c r="G1406" s="246">
        <v>65450</v>
      </c>
      <c r="H1406" s="246">
        <v>74800</v>
      </c>
      <c r="I1406" s="246">
        <v>84150</v>
      </c>
      <c r="J1406" s="246">
        <v>93450</v>
      </c>
      <c r="K1406" s="246">
        <v>100950</v>
      </c>
      <c r="L1406" s="246">
        <v>108450</v>
      </c>
      <c r="M1406" s="246">
        <v>115900</v>
      </c>
      <c r="N1406" s="246">
        <v>123400</v>
      </c>
    </row>
    <row r="1407" spans="3:14" ht="21.95" customHeight="1" x14ac:dyDescent="0.25">
      <c r="C1407" s="139" t="str">
        <f t="shared" si="37"/>
        <v>MN_LINCOLN COUNTY, MN</v>
      </c>
      <c r="D1407" s="136" t="s">
        <v>82</v>
      </c>
      <c r="E1407" s="262" t="s">
        <v>4005</v>
      </c>
      <c r="F1407" s="136" t="s">
        <v>183</v>
      </c>
      <c r="G1407" s="246">
        <v>53350</v>
      </c>
      <c r="H1407" s="246">
        <v>60950</v>
      </c>
      <c r="I1407" s="246">
        <v>68550</v>
      </c>
      <c r="J1407" s="246">
        <v>76150</v>
      </c>
      <c r="K1407" s="246">
        <v>82250</v>
      </c>
      <c r="L1407" s="246">
        <v>88350</v>
      </c>
      <c r="M1407" s="246">
        <v>94450</v>
      </c>
      <c r="N1407" s="246">
        <v>100550</v>
      </c>
    </row>
    <row r="1408" spans="3:14" ht="21.95" customHeight="1" x14ac:dyDescent="0.25">
      <c r="C1408" s="139" t="str">
        <f t="shared" ref="C1408:C1471" si="38">TRIM(UPPER(D1408))&amp;"_"&amp;TRIM(UPPER(E1408))</f>
        <v>MN_LYON COUNTY, MN</v>
      </c>
      <c r="D1408" s="136" t="s">
        <v>82</v>
      </c>
      <c r="E1408" s="262" t="s">
        <v>4006</v>
      </c>
      <c r="F1408" s="136" t="s">
        <v>183</v>
      </c>
      <c r="G1408" s="246">
        <v>56000</v>
      </c>
      <c r="H1408" s="246">
        <v>64000</v>
      </c>
      <c r="I1408" s="246">
        <v>72000</v>
      </c>
      <c r="J1408" s="246">
        <v>80000</v>
      </c>
      <c r="K1408" s="246">
        <v>86400</v>
      </c>
      <c r="L1408" s="246">
        <v>92800</v>
      </c>
      <c r="M1408" s="246">
        <v>99200</v>
      </c>
      <c r="N1408" s="246">
        <v>105600</v>
      </c>
    </row>
    <row r="1409" spans="3:14" ht="21.95" customHeight="1" x14ac:dyDescent="0.25">
      <c r="C1409" s="139" t="str">
        <f t="shared" si="38"/>
        <v>MN_MAHNOMEN COUNTY, MN</v>
      </c>
      <c r="D1409" s="136" t="s">
        <v>82</v>
      </c>
      <c r="E1409" s="262" t="s">
        <v>4007</v>
      </c>
      <c r="F1409" s="136" t="s">
        <v>183</v>
      </c>
      <c r="G1409" s="246">
        <v>53350</v>
      </c>
      <c r="H1409" s="246">
        <v>60950</v>
      </c>
      <c r="I1409" s="246">
        <v>68550</v>
      </c>
      <c r="J1409" s="246">
        <v>76150</v>
      </c>
      <c r="K1409" s="246">
        <v>82250</v>
      </c>
      <c r="L1409" s="246">
        <v>88350</v>
      </c>
      <c r="M1409" s="246">
        <v>94450</v>
      </c>
      <c r="N1409" s="246">
        <v>100550</v>
      </c>
    </row>
    <row r="1410" spans="3:14" ht="21.95" customHeight="1" x14ac:dyDescent="0.25">
      <c r="C1410" s="139" t="str">
        <f t="shared" si="38"/>
        <v>MN_MANKATO, MN MSA</v>
      </c>
      <c r="D1410" s="136" t="s">
        <v>82</v>
      </c>
      <c r="E1410" s="262" t="s">
        <v>9205</v>
      </c>
      <c r="F1410" s="136" t="s">
        <v>183</v>
      </c>
      <c r="G1410" s="246">
        <v>58650</v>
      </c>
      <c r="H1410" s="246">
        <v>67000</v>
      </c>
      <c r="I1410" s="246">
        <v>75400</v>
      </c>
      <c r="J1410" s="246">
        <v>83750</v>
      </c>
      <c r="K1410" s="246">
        <v>90450</v>
      </c>
      <c r="L1410" s="246">
        <v>97150</v>
      </c>
      <c r="M1410" s="246">
        <v>103850</v>
      </c>
      <c r="N1410" s="246">
        <v>110550</v>
      </c>
    </row>
    <row r="1411" spans="3:14" ht="21.95" customHeight="1" x14ac:dyDescent="0.25">
      <c r="C1411" s="139" t="str">
        <f t="shared" si="38"/>
        <v>MN_MARSHALL COUNTY, MN</v>
      </c>
      <c r="D1411" s="136" t="s">
        <v>82</v>
      </c>
      <c r="E1411" s="262" t="s">
        <v>4008</v>
      </c>
      <c r="F1411" s="136" t="s">
        <v>183</v>
      </c>
      <c r="G1411" s="246">
        <v>55750</v>
      </c>
      <c r="H1411" s="246">
        <v>63700</v>
      </c>
      <c r="I1411" s="246">
        <v>71650</v>
      </c>
      <c r="J1411" s="246">
        <v>79600</v>
      </c>
      <c r="K1411" s="246">
        <v>86000</v>
      </c>
      <c r="L1411" s="246">
        <v>92350</v>
      </c>
      <c r="M1411" s="246">
        <v>98750</v>
      </c>
      <c r="N1411" s="246">
        <v>105100</v>
      </c>
    </row>
    <row r="1412" spans="3:14" ht="21.95" customHeight="1" x14ac:dyDescent="0.25">
      <c r="C1412" s="139" t="str">
        <f t="shared" si="38"/>
        <v>MN_MARTIN COUNTY, MN</v>
      </c>
      <c r="D1412" s="136" t="s">
        <v>82</v>
      </c>
      <c r="E1412" s="262" t="s">
        <v>4009</v>
      </c>
      <c r="F1412" s="136" t="s">
        <v>183</v>
      </c>
      <c r="G1412" s="246">
        <v>53350</v>
      </c>
      <c r="H1412" s="246">
        <v>60950</v>
      </c>
      <c r="I1412" s="246">
        <v>68550</v>
      </c>
      <c r="J1412" s="246">
        <v>76150</v>
      </c>
      <c r="K1412" s="246">
        <v>82250</v>
      </c>
      <c r="L1412" s="246">
        <v>88350</v>
      </c>
      <c r="M1412" s="246">
        <v>94450</v>
      </c>
      <c r="N1412" s="246">
        <v>100550</v>
      </c>
    </row>
    <row r="1413" spans="3:14" ht="21.95" customHeight="1" x14ac:dyDescent="0.25">
      <c r="C1413" s="139" t="str">
        <f t="shared" si="38"/>
        <v>MN_MCLEOD COUNTY, MN</v>
      </c>
      <c r="D1413" s="136" t="s">
        <v>82</v>
      </c>
      <c r="E1413" s="262" t="s">
        <v>4010</v>
      </c>
      <c r="F1413" s="136" t="s">
        <v>183</v>
      </c>
      <c r="G1413" s="246">
        <v>61000</v>
      </c>
      <c r="H1413" s="246">
        <v>69700</v>
      </c>
      <c r="I1413" s="246">
        <v>78400</v>
      </c>
      <c r="J1413" s="246">
        <v>87100</v>
      </c>
      <c r="K1413" s="246">
        <v>94100</v>
      </c>
      <c r="L1413" s="246">
        <v>101050</v>
      </c>
      <c r="M1413" s="246">
        <v>108050</v>
      </c>
      <c r="N1413" s="246">
        <v>115000</v>
      </c>
    </row>
    <row r="1414" spans="3:14" ht="21.95" customHeight="1" x14ac:dyDescent="0.25">
      <c r="C1414" s="139" t="str">
        <f t="shared" si="38"/>
        <v>MN_MEEKER COUNTY, MN</v>
      </c>
      <c r="D1414" s="136" t="s">
        <v>82</v>
      </c>
      <c r="E1414" s="262" t="s">
        <v>4011</v>
      </c>
      <c r="F1414" s="136" t="s">
        <v>183</v>
      </c>
      <c r="G1414" s="246">
        <v>57900</v>
      </c>
      <c r="H1414" s="246">
        <v>66200</v>
      </c>
      <c r="I1414" s="246">
        <v>74450</v>
      </c>
      <c r="J1414" s="246">
        <v>82700</v>
      </c>
      <c r="K1414" s="246">
        <v>89350</v>
      </c>
      <c r="L1414" s="246">
        <v>95950</v>
      </c>
      <c r="M1414" s="246">
        <v>102550</v>
      </c>
      <c r="N1414" s="246">
        <v>109200</v>
      </c>
    </row>
    <row r="1415" spans="3:14" ht="21.95" customHeight="1" x14ac:dyDescent="0.25">
      <c r="C1415" s="139" t="str">
        <f t="shared" si="38"/>
        <v>MN_MILLE LACS COUNTY, MN HUD METRO FMR AREA</v>
      </c>
      <c r="D1415" s="136" t="s">
        <v>82</v>
      </c>
      <c r="E1415" s="262" t="s">
        <v>4012</v>
      </c>
      <c r="F1415" s="136" t="s">
        <v>183</v>
      </c>
      <c r="G1415" s="246">
        <v>53350</v>
      </c>
      <c r="H1415" s="246">
        <v>60950</v>
      </c>
      <c r="I1415" s="246">
        <v>68550</v>
      </c>
      <c r="J1415" s="246">
        <v>76150</v>
      </c>
      <c r="K1415" s="246">
        <v>82250</v>
      </c>
      <c r="L1415" s="246">
        <v>88350</v>
      </c>
      <c r="M1415" s="246">
        <v>94450</v>
      </c>
      <c r="N1415" s="246">
        <v>100550</v>
      </c>
    </row>
    <row r="1416" spans="3:14" ht="21.95" customHeight="1" x14ac:dyDescent="0.25">
      <c r="C1416" s="139" t="str">
        <f t="shared" si="38"/>
        <v>MN_MINNEAPOLIS-ST. PAUL-BLOOMINGTON, MN-WI HUD METRO FMR AREA</v>
      </c>
      <c r="D1416" s="136" t="s">
        <v>82</v>
      </c>
      <c r="E1416" s="262" t="s">
        <v>4013</v>
      </c>
      <c r="F1416" s="136" t="s">
        <v>183</v>
      </c>
      <c r="G1416" s="246">
        <v>72950</v>
      </c>
      <c r="H1416" s="246">
        <v>83400</v>
      </c>
      <c r="I1416" s="246">
        <v>93800</v>
      </c>
      <c r="J1416" s="246">
        <v>104200</v>
      </c>
      <c r="K1416" s="246">
        <v>112550</v>
      </c>
      <c r="L1416" s="246">
        <v>120900</v>
      </c>
      <c r="M1416" s="246">
        <v>129250</v>
      </c>
      <c r="N1416" s="246">
        <v>137550</v>
      </c>
    </row>
    <row r="1417" spans="3:14" ht="21.95" customHeight="1" x14ac:dyDescent="0.25">
      <c r="C1417" s="139" t="str">
        <f t="shared" si="38"/>
        <v>MN_MORRISON COUNTY, MN</v>
      </c>
      <c r="D1417" s="136" t="s">
        <v>82</v>
      </c>
      <c r="E1417" s="262" t="s">
        <v>4014</v>
      </c>
      <c r="F1417" s="136" t="s">
        <v>183</v>
      </c>
      <c r="G1417" s="246">
        <v>53350</v>
      </c>
      <c r="H1417" s="246">
        <v>60950</v>
      </c>
      <c r="I1417" s="246">
        <v>68550</v>
      </c>
      <c r="J1417" s="246">
        <v>76150</v>
      </c>
      <c r="K1417" s="246">
        <v>82250</v>
      </c>
      <c r="L1417" s="246">
        <v>88350</v>
      </c>
      <c r="M1417" s="246">
        <v>94450</v>
      </c>
      <c r="N1417" s="246">
        <v>100550</v>
      </c>
    </row>
    <row r="1418" spans="3:14" ht="21.95" customHeight="1" x14ac:dyDescent="0.25">
      <c r="C1418" s="139" t="str">
        <f t="shared" si="38"/>
        <v>MN_MOWER COUNTY, MN</v>
      </c>
      <c r="D1418" s="136" t="s">
        <v>82</v>
      </c>
      <c r="E1418" s="262" t="s">
        <v>4015</v>
      </c>
      <c r="F1418" s="136" t="s">
        <v>183</v>
      </c>
      <c r="G1418" s="246">
        <v>55200</v>
      </c>
      <c r="H1418" s="246">
        <v>63050</v>
      </c>
      <c r="I1418" s="246">
        <v>70950</v>
      </c>
      <c r="J1418" s="246">
        <v>78800</v>
      </c>
      <c r="K1418" s="246">
        <v>85150</v>
      </c>
      <c r="L1418" s="246">
        <v>91450</v>
      </c>
      <c r="M1418" s="246">
        <v>97750</v>
      </c>
      <c r="N1418" s="246">
        <v>104050</v>
      </c>
    </row>
    <row r="1419" spans="3:14" ht="21.95" customHeight="1" x14ac:dyDescent="0.25">
      <c r="C1419" s="139" t="str">
        <f t="shared" si="38"/>
        <v>MN_MURRAY COUNTY, MN</v>
      </c>
      <c r="D1419" s="136" t="s">
        <v>82</v>
      </c>
      <c r="E1419" s="262" t="s">
        <v>4016</v>
      </c>
      <c r="F1419" s="136" t="s">
        <v>183</v>
      </c>
      <c r="G1419" s="246">
        <v>56500</v>
      </c>
      <c r="H1419" s="246">
        <v>64600</v>
      </c>
      <c r="I1419" s="246">
        <v>72650</v>
      </c>
      <c r="J1419" s="246">
        <v>80700</v>
      </c>
      <c r="K1419" s="246">
        <v>87200</v>
      </c>
      <c r="L1419" s="246">
        <v>93650</v>
      </c>
      <c r="M1419" s="246">
        <v>100100</v>
      </c>
      <c r="N1419" s="246">
        <v>106550</v>
      </c>
    </row>
    <row r="1420" spans="3:14" ht="21.95" customHeight="1" x14ac:dyDescent="0.25">
      <c r="C1420" s="139" t="str">
        <f t="shared" si="38"/>
        <v>MN_NOBLES COUNTY, MN</v>
      </c>
      <c r="D1420" s="136" t="s">
        <v>82</v>
      </c>
      <c r="E1420" s="262" t="s">
        <v>4017</v>
      </c>
      <c r="F1420" s="136" t="s">
        <v>183</v>
      </c>
      <c r="G1420" s="246">
        <v>53350</v>
      </c>
      <c r="H1420" s="246">
        <v>60950</v>
      </c>
      <c r="I1420" s="246">
        <v>68550</v>
      </c>
      <c r="J1420" s="246">
        <v>76150</v>
      </c>
      <c r="K1420" s="246">
        <v>82250</v>
      </c>
      <c r="L1420" s="246">
        <v>88350</v>
      </c>
      <c r="M1420" s="246">
        <v>94450</v>
      </c>
      <c r="N1420" s="246">
        <v>100550</v>
      </c>
    </row>
    <row r="1421" spans="3:14" ht="21.95" customHeight="1" x14ac:dyDescent="0.25">
      <c r="C1421" s="139" t="str">
        <f t="shared" si="38"/>
        <v>MN_NORMAN COUNTY, MN</v>
      </c>
      <c r="D1421" s="136" t="s">
        <v>82</v>
      </c>
      <c r="E1421" s="262" t="s">
        <v>4018</v>
      </c>
      <c r="F1421" s="136" t="s">
        <v>183</v>
      </c>
      <c r="G1421" s="246">
        <v>56300</v>
      </c>
      <c r="H1421" s="246">
        <v>64350</v>
      </c>
      <c r="I1421" s="246">
        <v>72400</v>
      </c>
      <c r="J1421" s="246">
        <v>80400</v>
      </c>
      <c r="K1421" s="246">
        <v>86850</v>
      </c>
      <c r="L1421" s="246">
        <v>93300</v>
      </c>
      <c r="M1421" s="246">
        <v>99700</v>
      </c>
      <c r="N1421" s="246">
        <v>106150</v>
      </c>
    </row>
    <row r="1422" spans="3:14" ht="21.95" customHeight="1" x14ac:dyDescent="0.25">
      <c r="C1422" s="139" t="str">
        <f t="shared" si="38"/>
        <v>MN_OTTER TAIL COUNTY, MN</v>
      </c>
      <c r="D1422" s="136" t="s">
        <v>82</v>
      </c>
      <c r="E1422" s="262" t="s">
        <v>4019</v>
      </c>
      <c r="F1422" s="136" t="s">
        <v>183</v>
      </c>
      <c r="G1422" s="246">
        <v>56100</v>
      </c>
      <c r="H1422" s="246">
        <v>64100</v>
      </c>
      <c r="I1422" s="246">
        <v>72100</v>
      </c>
      <c r="J1422" s="246">
        <v>80100</v>
      </c>
      <c r="K1422" s="246">
        <v>86550</v>
      </c>
      <c r="L1422" s="246">
        <v>92950</v>
      </c>
      <c r="M1422" s="246">
        <v>99350</v>
      </c>
      <c r="N1422" s="246">
        <v>105750</v>
      </c>
    </row>
    <row r="1423" spans="3:14" ht="21.95" customHeight="1" x14ac:dyDescent="0.25">
      <c r="C1423" s="139" t="str">
        <f t="shared" si="38"/>
        <v>MN_PENNINGTON COUNTY, MN</v>
      </c>
      <c r="D1423" s="136" t="s">
        <v>82</v>
      </c>
      <c r="E1423" s="262" t="s">
        <v>4020</v>
      </c>
      <c r="F1423" s="136" t="s">
        <v>183</v>
      </c>
      <c r="G1423" s="246">
        <v>59500</v>
      </c>
      <c r="H1423" s="246">
        <v>68000</v>
      </c>
      <c r="I1423" s="246">
        <v>76500</v>
      </c>
      <c r="J1423" s="246">
        <v>84950</v>
      </c>
      <c r="K1423" s="246">
        <v>91750</v>
      </c>
      <c r="L1423" s="246">
        <v>98550</v>
      </c>
      <c r="M1423" s="246">
        <v>105350</v>
      </c>
      <c r="N1423" s="246">
        <v>112150</v>
      </c>
    </row>
    <row r="1424" spans="3:14" ht="21.95" customHeight="1" x14ac:dyDescent="0.25">
      <c r="C1424" s="139" t="str">
        <f t="shared" si="38"/>
        <v>MN_PINE COUNTY, MN</v>
      </c>
      <c r="D1424" s="136" t="s">
        <v>82</v>
      </c>
      <c r="E1424" s="262" t="s">
        <v>4021</v>
      </c>
      <c r="F1424" s="136" t="s">
        <v>183</v>
      </c>
      <c r="G1424" s="246">
        <v>53350</v>
      </c>
      <c r="H1424" s="246">
        <v>60950</v>
      </c>
      <c r="I1424" s="246">
        <v>68550</v>
      </c>
      <c r="J1424" s="246">
        <v>76150</v>
      </c>
      <c r="K1424" s="246">
        <v>82250</v>
      </c>
      <c r="L1424" s="246">
        <v>88350</v>
      </c>
      <c r="M1424" s="246">
        <v>94450</v>
      </c>
      <c r="N1424" s="246">
        <v>100550</v>
      </c>
    </row>
    <row r="1425" spans="3:14" ht="21.95" customHeight="1" x14ac:dyDescent="0.25">
      <c r="C1425" s="139" t="str">
        <f t="shared" si="38"/>
        <v>MN_PIPESTONE COUNTY, MN</v>
      </c>
      <c r="D1425" s="136" t="s">
        <v>82</v>
      </c>
      <c r="E1425" s="262" t="s">
        <v>4022</v>
      </c>
      <c r="F1425" s="136" t="s">
        <v>183</v>
      </c>
      <c r="G1425" s="246">
        <v>53350</v>
      </c>
      <c r="H1425" s="246">
        <v>60950</v>
      </c>
      <c r="I1425" s="246">
        <v>68550</v>
      </c>
      <c r="J1425" s="246">
        <v>76150</v>
      </c>
      <c r="K1425" s="246">
        <v>82250</v>
      </c>
      <c r="L1425" s="246">
        <v>88350</v>
      </c>
      <c r="M1425" s="246">
        <v>94450</v>
      </c>
      <c r="N1425" s="246">
        <v>100550</v>
      </c>
    </row>
    <row r="1426" spans="3:14" ht="21.95" customHeight="1" x14ac:dyDescent="0.25">
      <c r="C1426" s="139" t="str">
        <f t="shared" si="38"/>
        <v>MN_POPE COUNTY, MN</v>
      </c>
      <c r="D1426" s="136" t="s">
        <v>82</v>
      </c>
      <c r="E1426" s="262" t="s">
        <v>4023</v>
      </c>
      <c r="F1426" s="136" t="s">
        <v>183</v>
      </c>
      <c r="G1426" s="246">
        <v>58250</v>
      </c>
      <c r="H1426" s="246">
        <v>66600</v>
      </c>
      <c r="I1426" s="246">
        <v>74900</v>
      </c>
      <c r="J1426" s="246">
        <v>83200</v>
      </c>
      <c r="K1426" s="246">
        <v>89900</v>
      </c>
      <c r="L1426" s="246">
        <v>96550</v>
      </c>
      <c r="M1426" s="246">
        <v>103200</v>
      </c>
      <c r="N1426" s="246">
        <v>109850</v>
      </c>
    </row>
    <row r="1427" spans="3:14" ht="21.95" customHeight="1" x14ac:dyDescent="0.25">
      <c r="C1427" s="139" t="str">
        <f t="shared" si="38"/>
        <v>MN_RED LAKE COUNTY, MN</v>
      </c>
      <c r="D1427" s="136" t="s">
        <v>82</v>
      </c>
      <c r="E1427" s="262" t="s">
        <v>4024</v>
      </c>
      <c r="F1427" s="136" t="s">
        <v>183</v>
      </c>
      <c r="G1427" s="246">
        <v>58450</v>
      </c>
      <c r="H1427" s="246">
        <v>66800</v>
      </c>
      <c r="I1427" s="246">
        <v>75150</v>
      </c>
      <c r="J1427" s="246">
        <v>83500</v>
      </c>
      <c r="K1427" s="246">
        <v>90200</v>
      </c>
      <c r="L1427" s="246">
        <v>96900</v>
      </c>
      <c r="M1427" s="246">
        <v>103550</v>
      </c>
      <c r="N1427" s="246">
        <v>110250</v>
      </c>
    </row>
    <row r="1428" spans="3:14" ht="21.95" customHeight="1" x14ac:dyDescent="0.25">
      <c r="C1428" s="139" t="str">
        <f t="shared" si="38"/>
        <v>MN_REDWOOD COUNTY, MN</v>
      </c>
      <c r="D1428" s="136" t="s">
        <v>82</v>
      </c>
      <c r="E1428" s="262" t="s">
        <v>4025</v>
      </c>
      <c r="F1428" s="136" t="s">
        <v>183</v>
      </c>
      <c r="G1428" s="246">
        <v>53350</v>
      </c>
      <c r="H1428" s="246">
        <v>60950</v>
      </c>
      <c r="I1428" s="246">
        <v>68550</v>
      </c>
      <c r="J1428" s="246">
        <v>76150</v>
      </c>
      <c r="K1428" s="246">
        <v>82250</v>
      </c>
      <c r="L1428" s="246">
        <v>88350</v>
      </c>
      <c r="M1428" s="246">
        <v>94450</v>
      </c>
      <c r="N1428" s="246">
        <v>100550</v>
      </c>
    </row>
    <row r="1429" spans="3:14" ht="21.95" customHeight="1" x14ac:dyDescent="0.25">
      <c r="C1429" s="139" t="str">
        <f t="shared" si="38"/>
        <v>MN_RENVILLE COUNTY, MN</v>
      </c>
      <c r="D1429" s="136" t="s">
        <v>82</v>
      </c>
      <c r="E1429" s="262" t="s">
        <v>4026</v>
      </c>
      <c r="F1429" s="136" t="s">
        <v>183</v>
      </c>
      <c r="G1429" s="246">
        <v>53400</v>
      </c>
      <c r="H1429" s="246">
        <v>61000</v>
      </c>
      <c r="I1429" s="246">
        <v>68650</v>
      </c>
      <c r="J1429" s="246">
        <v>76250</v>
      </c>
      <c r="K1429" s="246">
        <v>82350</v>
      </c>
      <c r="L1429" s="246">
        <v>88450</v>
      </c>
      <c r="M1429" s="246">
        <v>94550</v>
      </c>
      <c r="N1429" s="246">
        <v>100650</v>
      </c>
    </row>
    <row r="1430" spans="3:14" ht="21.95" customHeight="1" x14ac:dyDescent="0.25">
      <c r="C1430" s="139" t="str">
        <f t="shared" si="38"/>
        <v>MN_RICE COUNTY, MN</v>
      </c>
      <c r="D1430" s="136" t="s">
        <v>82</v>
      </c>
      <c r="E1430" s="262" t="s">
        <v>4027</v>
      </c>
      <c r="F1430" s="136" t="s">
        <v>183</v>
      </c>
      <c r="G1430" s="246">
        <v>60350</v>
      </c>
      <c r="H1430" s="246">
        <v>68950</v>
      </c>
      <c r="I1430" s="246">
        <v>77550</v>
      </c>
      <c r="J1430" s="246">
        <v>86150</v>
      </c>
      <c r="K1430" s="246">
        <v>93050</v>
      </c>
      <c r="L1430" s="246">
        <v>99950</v>
      </c>
      <c r="M1430" s="246">
        <v>106850</v>
      </c>
      <c r="N1430" s="246">
        <v>113750</v>
      </c>
    </row>
    <row r="1431" spans="3:14" ht="21.95" customHeight="1" x14ac:dyDescent="0.25">
      <c r="C1431" s="139" t="str">
        <f t="shared" si="38"/>
        <v>MN_ROCHESTER, MN HUD METRO FMR AREA</v>
      </c>
      <c r="D1431" s="136" t="s">
        <v>82</v>
      </c>
      <c r="E1431" s="262" t="s">
        <v>4028</v>
      </c>
      <c r="F1431" s="136" t="s">
        <v>183</v>
      </c>
      <c r="G1431" s="246">
        <v>70350</v>
      </c>
      <c r="H1431" s="246">
        <v>80400</v>
      </c>
      <c r="I1431" s="246">
        <v>90450</v>
      </c>
      <c r="J1431" s="246">
        <v>100500</v>
      </c>
      <c r="K1431" s="246">
        <v>108550</v>
      </c>
      <c r="L1431" s="246">
        <v>116600</v>
      </c>
      <c r="M1431" s="246">
        <v>124650</v>
      </c>
      <c r="N1431" s="246">
        <v>132700</v>
      </c>
    </row>
    <row r="1432" spans="3:14" ht="21.95" customHeight="1" x14ac:dyDescent="0.25">
      <c r="C1432" s="139" t="str">
        <f t="shared" si="38"/>
        <v>MN_ROCK COUNTY, MN HUD METRO FMR AREA</v>
      </c>
      <c r="D1432" s="136" t="s">
        <v>82</v>
      </c>
      <c r="E1432" s="262" t="s">
        <v>9209</v>
      </c>
      <c r="F1432" s="136" t="s">
        <v>183</v>
      </c>
      <c r="G1432" s="246">
        <v>57500</v>
      </c>
      <c r="H1432" s="246">
        <v>65700</v>
      </c>
      <c r="I1432" s="246">
        <v>73900</v>
      </c>
      <c r="J1432" s="246">
        <v>82100</v>
      </c>
      <c r="K1432" s="246">
        <v>88700</v>
      </c>
      <c r="L1432" s="246">
        <v>95250</v>
      </c>
      <c r="M1432" s="246">
        <v>101850</v>
      </c>
      <c r="N1432" s="246">
        <v>108400</v>
      </c>
    </row>
    <row r="1433" spans="3:14" ht="21.95" customHeight="1" x14ac:dyDescent="0.25">
      <c r="C1433" s="139" t="str">
        <f t="shared" si="38"/>
        <v>MN_ROSEAU COUNTY, MN</v>
      </c>
      <c r="D1433" s="136" t="s">
        <v>82</v>
      </c>
      <c r="E1433" s="262" t="s">
        <v>4029</v>
      </c>
      <c r="F1433" s="136" t="s">
        <v>183</v>
      </c>
      <c r="G1433" s="246">
        <v>53900</v>
      </c>
      <c r="H1433" s="246">
        <v>61600</v>
      </c>
      <c r="I1433" s="246">
        <v>69300</v>
      </c>
      <c r="J1433" s="246">
        <v>76950</v>
      </c>
      <c r="K1433" s="246">
        <v>83150</v>
      </c>
      <c r="L1433" s="246">
        <v>89300</v>
      </c>
      <c r="M1433" s="246">
        <v>95450</v>
      </c>
      <c r="N1433" s="246">
        <v>101600</v>
      </c>
    </row>
    <row r="1434" spans="3:14" ht="21.95" customHeight="1" x14ac:dyDescent="0.25">
      <c r="C1434" s="139" t="str">
        <f t="shared" si="38"/>
        <v>MN_SIBLEY COUNTY, MN</v>
      </c>
      <c r="D1434" s="136" t="s">
        <v>82</v>
      </c>
      <c r="E1434" s="262" t="s">
        <v>4030</v>
      </c>
      <c r="F1434" s="136" t="s">
        <v>183</v>
      </c>
      <c r="G1434" s="246">
        <v>56950</v>
      </c>
      <c r="H1434" s="246">
        <v>65100</v>
      </c>
      <c r="I1434" s="246">
        <v>73250</v>
      </c>
      <c r="J1434" s="246">
        <v>81350</v>
      </c>
      <c r="K1434" s="246">
        <v>87900</v>
      </c>
      <c r="L1434" s="246">
        <v>94400</v>
      </c>
      <c r="M1434" s="246">
        <v>100900</v>
      </c>
      <c r="N1434" s="246">
        <v>107400</v>
      </c>
    </row>
    <row r="1435" spans="3:14" ht="21.95" customHeight="1" x14ac:dyDescent="0.25">
      <c r="C1435" s="139" t="str">
        <f t="shared" si="38"/>
        <v>MN_ST. CLOUD, MN MSA</v>
      </c>
      <c r="D1435" s="136" t="s">
        <v>82</v>
      </c>
      <c r="E1435" s="262" t="s">
        <v>4031</v>
      </c>
      <c r="F1435" s="136" t="s">
        <v>183</v>
      </c>
      <c r="G1435" s="246">
        <v>57800</v>
      </c>
      <c r="H1435" s="246">
        <v>66050</v>
      </c>
      <c r="I1435" s="246">
        <v>74300</v>
      </c>
      <c r="J1435" s="246">
        <v>82550</v>
      </c>
      <c r="K1435" s="246">
        <v>89200</v>
      </c>
      <c r="L1435" s="246">
        <v>95800</v>
      </c>
      <c r="M1435" s="246">
        <v>102400</v>
      </c>
      <c r="N1435" s="246">
        <v>109000</v>
      </c>
    </row>
    <row r="1436" spans="3:14" ht="21.95" customHeight="1" x14ac:dyDescent="0.25">
      <c r="C1436" s="139" t="str">
        <f t="shared" si="38"/>
        <v>MN_STEELE COUNTY, MN</v>
      </c>
      <c r="D1436" s="136" t="s">
        <v>82</v>
      </c>
      <c r="E1436" s="262" t="s">
        <v>4032</v>
      </c>
      <c r="F1436" s="136" t="s">
        <v>183</v>
      </c>
      <c r="G1436" s="246">
        <v>64300</v>
      </c>
      <c r="H1436" s="246">
        <v>73500</v>
      </c>
      <c r="I1436" s="246">
        <v>82700</v>
      </c>
      <c r="J1436" s="246">
        <v>91850</v>
      </c>
      <c r="K1436" s="246">
        <v>99200</v>
      </c>
      <c r="L1436" s="246">
        <v>106550</v>
      </c>
      <c r="M1436" s="246">
        <v>113900</v>
      </c>
      <c r="N1436" s="246">
        <v>121250</v>
      </c>
    </row>
    <row r="1437" spans="3:14" ht="21.95" customHeight="1" x14ac:dyDescent="0.25">
      <c r="C1437" s="139" t="str">
        <f t="shared" si="38"/>
        <v>MN_STEVENS COUNTY, MN</v>
      </c>
      <c r="D1437" s="136" t="s">
        <v>82</v>
      </c>
      <c r="E1437" s="262" t="s">
        <v>4033</v>
      </c>
      <c r="F1437" s="136" t="s">
        <v>183</v>
      </c>
      <c r="G1437" s="246">
        <v>57700</v>
      </c>
      <c r="H1437" s="246">
        <v>65950</v>
      </c>
      <c r="I1437" s="246">
        <v>74200</v>
      </c>
      <c r="J1437" s="246">
        <v>82400</v>
      </c>
      <c r="K1437" s="246">
        <v>89000</v>
      </c>
      <c r="L1437" s="246">
        <v>95600</v>
      </c>
      <c r="M1437" s="246">
        <v>102200</v>
      </c>
      <c r="N1437" s="246">
        <v>108800</v>
      </c>
    </row>
    <row r="1438" spans="3:14" ht="21.95" customHeight="1" x14ac:dyDescent="0.25">
      <c r="C1438" s="139" t="str">
        <f t="shared" si="38"/>
        <v>MN_SWIFT COUNTY, MN</v>
      </c>
      <c r="D1438" s="136" t="s">
        <v>82</v>
      </c>
      <c r="E1438" s="262" t="s">
        <v>4034</v>
      </c>
      <c r="F1438" s="136" t="s">
        <v>183</v>
      </c>
      <c r="G1438" s="246">
        <v>53350</v>
      </c>
      <c r="H1438" s="246">
        <v>60950</v>
      </c>
      <c r="I1438" s="246">
        <v>68550</v>
      </c>
      <c r="J1438" s="246">
        <v>76150</v>
      </c>
      <c r="K1438" s="246">
        <v>82250</v>
      </c>
      <c r="L1438" s="246">
        <v>88350</v>
      </c>
      <c r="M1438" s="246">
        <v>94450</v>
      </c>
      <c r="N1438" s="246">
        <v>100550</v>
      </c>
    </row>
    <row r="1439" spans="3:14" ht="21.95" customHeight="1" x14ac:dyDescent="0.25">
      <c r="C1439" s="139" t="str">
        <f t="shared" si="38"/>
        <v>MN_TODD COUNTY, MN</v>
      </c>
      <c r="D1439" s="136" t="s">
        <v>82</v>
      </c>
      <c r="E1439" s="262" t="s">
        <v>4035</v>
      </c>
      <c r="F1439" s="136" t="s">
        <v>183</v>
      </c>
      <c r="G1439" s="246">
        <v>53350</v>
      </c>
      <c r="H1439" s="246">
        <v>60950</v>
      </c>
      <c r="I1439" s="246">
        <v>68550</v>
      </c>
      <c r="J1439" s="246">
        <v>76150</v>
      </c>
      <c r="K1439" s="246">
        <v>82250</v>
      </c>
      <c r="L1439" s="246">
        <v>88350</v>
      </c>
      <c r="M1439" s="246">
        <v>94450</v>
      </c>
      <c r="N1439" s="246">
        <v>100550</v>
      </c>
    </row>
    <row r="1440" spans="3:14" ht="21.95" customHeight="1" x14ac:dyDescent="0.25">
      <c r="C1440" s="139" t="str">
        <f t="shared" si="38"/>
        <v>MN_TRAVERSE COUNTY, MN</v>
      </c>
      <c r="D1440" s="136" t="s">
        <v>82</v>
      </c>
      <c r="E1440" s="262" t="s">
        <v>4036</v>
      </c>
      <c r="F1440" s="136" t="s">
        <v>183</v>
      </c>
      <c r="G1440" s="246">
        <v>55950</v>
      </c>
      <c r="H1440" s="246">
        <v>63950</v>
      </c>
      <c r="I1440" s="246">
        <v>71950</v>
      </c>
      <c r="J1440" s="246">
        <v>79900</v>
      </c>
      <c r="K1440" s="246">
        <v>86300</v>
      </c>
      <c r="L1440" s="246">
        <v>92700</v>
      </c>
      <c r="M1440" s="246">
        <v>99100</v>
      </c>
      <c r="N1440" s="246">
        <v>105500</v>
      </c>
    </row>
    <row r="1441" spans="3:14" ht="21.95" customHeight="1" x14ac:dyDescent="0.25">
      <c r="C1441" s="139" t="str">
        <f t="shared" si="38"/>
        <v>MN_WABASHA COUNTY, MN HUD METRO FMR AREA</v>
      </c>
      <c r="D1441" s="136" t="s">
        <v>82</v>
      </c>
      <c r="E1441" s="262" t="s">
        <v>4037</v>
      </c>
      <c r="F1441" s="136" t="s">
        <v>183</v>
      </c>
      <c r="G1441" s="246">
        <v>58650</v>
      </c>
      <c r="H1441" s="246">
        <v>67000</v>
      </c>
      <c r="I1441" s="246">
        <v>75400</v>
      </c>
      <c r="J1441" s="246">
        <v>83750</v>
      </c>
      <c r="K1441" s="246">
        <v>90450</v>
      </c>
      <c r="L1441" s="246">
        <v>97150</v>
      </c>
      <c r="M1441" s="246">
        <v>103850</v>
      </c>
      <c r="N1441" s="246">
        <v>110550</v>
      </c>
    </row>
    <row r="1442" spans="3:14" ht="21.95" customHeight="1" x14ac:dyDescent="0.25">
      <c r="C1442" s="139" t="str">
        <f t="shared" si="38"/>
        <v>MN_WADENA COUNTY, MN</v>
      </c>
      <c r="D1442" s="136" t="s">
        <v>82</v>
      </c>
      <c r="E1442" s="262" t="s">
        <v>4038</v>
      </c>
      <c r="F1442" s="136" t="s">
        <v>183</v>
      </c>
      <c r="G1442" s="246">
        <v>53350</v>
      </c>
      <c r="H1442" s="246">
        <v>60950</v>
      </c>
      <c r="I1442" s="246">
        <v>68550</v>
      </c>
      <c r="J1442" s="246">
        <v>76150</v>
      </c>
      <c r="K1442" s="246">
        <v>82250</v>
      </c>
      <c r="L1442" s="246">
        <v>88350</v>
      </c>
      <c r="M1442" s="246">
        <v>94450</v>
      </c>
      <c r="N1442" s="246">
        <v>100550</v>
      </c>
    </row>
    <row r="1443" spans="3:14" ht="21.95" customHeight="1" x14ac:dyDescent="0.25">
      <c r="C1443" s="139" t="str">
        <f t="shared" si="38"/>
        <v>MN_WASECA COUNTY, MN</v>
      </c>
      <c r="D1443" s="136" t="s">
        <v>82</v>
      </c>
      <c r="E1443" s="262" t="s">
        <v>4039</v>
      </c>
      <c r="F1443" s="136" t="s">
        <v>183</v>
      </c>
      <c r="G1443" s="246">
        <v>53900</v>
      </c>
      <c r="H1443" s="246">
        <v>61600</v>
      </c>
      <c r="I1443" s="246">
        <v>69300</v>
      </c>
      <c r="J1443" s="246">
        <v>76950</v>
      </c>
      <c r="K1443" s="246">
        <v>83150</v>
      </c>
      <c r="L1443" s="246">
        <v>89300</v>
      </c>
      <c r="M1443" s="246">
        <v>95450</v>
      </c>
      <c r="N1443" s="246">
        <v>101600</v>
      </c>
    </row>
    <row r="1444" spans="3:14" ht="21.95" customHeight="1" x14ac:dyDescent="0.25">
      <c r="C1444" s="139" t="str">
        <f t="shared" si="38"/>
        <v>MN_WATONWAN COUNTY, MN</v>
      </c>
      <c r="D1444" s="136" t="s">
        <v>82</v>
      </c>
      <c r="E1444" s="262" t="s">
        <v>4040</v>
      </c>
      <c r="F1444" s="136" t="s">
        <v>183</v>
      </c>
      <c r="G1444" s="246">
        <v>53350</v>
      </c>
      <c r="H1444" s="246">
        <v>60950</v>
      </c>
      <c r="I1444" s="246">
        <v>68550</v>
      </c>
      <c r="J1444" s="246">
        <v>76150</v>
      </c>
      <c r="K1444" s="246">
        <v>82250</v>
      </c>
      <c r="L1444" s="246">
        <v>88350</v>
      </c>
      <c r="M1444" s="246">
        <v>94450</v>
      </c>
      <c r="N1444" s="246">
        <v>100550</v>
      </c>
    </row>
    <row r="1445" spans="3:14" ht="21.95" customHeight="1" x14ac:dyDescent="0.25">
      <c r="C1445" s="139" t="str">
        <f t="shared" si="38"/>
        <v>MN_WILKIN COUNTY, MN</v>
      </c>
      <c r="D1445" s="136" t="s">
        <v>82</v>
      </c>
      <c r="E1445" s="262" t="s">
        <v>4041</v>
      </c>
      <c r="F1445" s="136" t="s">
        <v>183</v>
      </c>
      <c r="G1445" s="246">
        <v>56400</v>
      </c>
      <c r="H1445" s="246">
        <v>64450</v>
      </c>
      <c r="I1445" s="246">
        <v>72500</v>
      </c>
      <c r="J1445" s="246">
        <v>80550</v>
      </c>
      <c r="K1445" s="246">
        <v>87000</v>
      </c>
      <c r="L1445" s="246">
        <v>93450</v>
      </c>
      <c r="M1445" s="246">
        <v>99900</v>
      </c>
      <c r="N1445" s="246">
        <v>106350</v>
      </c>
    </row>
    <row r="1446" spans="3:14" ht="21.95" customHeight="1" x14ac:dyDescent="0.25">
      <c r="C1446" s="139" t="str">
        <f t="shared" si="38"/>
        <v>MN_WINONA COUNTY, MN</v>
      </c>
      <c r="D1446" s="136" t="s">
        <v>82</v>
      </c>
      <c r="E1446" s="262" t="s">
        <v>4042</v>
      </c>
      <c r="F1446" s="136" t="s">
        <v>183</v>
      </c>
      <c r="G1446" s="246">
        <v>59200</v>
      </c>
      <c r="H1446" s="246">
        <v>67650</v>
      </c>
      <c r="I1446" s="246">
        <v>76100</v>
      </c>
      <c r="J1446" s="246">
        <v>84550</v>
      </c>
      <c r="K1446" s="246">
        <v>91350</v>
      </c>
      <c r="L1446" s="246">
        <v>98100</v>
      </c>
      <c r="M1446" s="246">
        <v>104850</v>
      </c>
      <c r="N1446" s="246">
        <v>111650</v>
      </c>
    </row>
    <row r="1447" spans="3:14" ht="21.95" customHeight="1" x14ac:dyDescent="0.25">
      <c r="C1447" s="139" t="str">
        <f t="shared" si="38"/>
        <v>MN_YELLOW MEDICINE COUNTY, MN</v>
      </c>
      <c r="D1447" s="136" t="s">
        <v>82</v>
      </c>
      <c r="E1447" s="262" t="s">
        <v>4043</v>
      </c>
      <c r="F1447" s="136" t="s">
        <v>183</v>
      </c>
      <c r="G1447" s="246">
        <v>53350</v>
      </c>
      <c r="H1447" s="246">
        <v>60950</v>
      </c>
      <c r="I1447" s="246">
        <v>68550</v>
      </c>
      <c r="J1447" s="246">
        <v>76150</v>
      </c>
      <c r="K1447" s="246">
        <v>82250</v>
      </c>
      <c r="L1447" s="246">
        <v>88350</v>
      </c>
      <c r="M1447" s="246">
        <v>94450</v>
      </c>
      <c r="N1447" s="246">
        <v>100550</v>
      </c>
    </row>
    <row r="1448" spans="3:14" ht="21.95" customHeight="1" x14ac:dyDescent="0.25">
      <c r="C1448" s="139" t="str">
        <f t="shared" si="38"/>
        <v>MO_ADAIR COUNTY, MO</v>
      </c>
      <c r="D1448" s="136" t="s">
        <v>80</v>
      </c>
      <c r="E1448" s="262" t="s">
        <v>4044</v>
      </c>
      <c r="F1448" s="136" t="s">
        <v>183</v>
      </c>
      <c r="G1448" s="246">
        <v>47450</v>
      </c>
      <c r="H1448" s="246">
        <v>54200</v>
      </c>
      <c r="I1448" s="246">
        <v>61000</v>
      </c>
      <c r="J1448" s="246">
        <v>67750</v>
      </c>
      <c r="K1448" s="246">
        <v>73200</v>
      </c>
      <c r="L1448" s="246">
        <v>78600</v>
      </c>
      <c r="M1448" s="246">
        <v>84050</v>
      </c>
      <c r="N1448" s="246">
        <v>89450</v>
      </c>
    </row>
    <row r="1449" spans="3:14" ht="21.95" customHeight="1" x14ac:dyDescent="0.25">
      <c r="C1449" s="139" t="str">
        <f t="shared" si="38"/>
        <v>MO_ATCHISON COUNTY, MO</v>
      </c>
      <c r="D1449" s="136" t="s">
        <v>80</v>
      </c>
      <c r="E1449" s="262" t="s">
        <v>4045</v>
      </c>
      <c r="F1449" s="136" t="s">
        <v>183</v>
      </c>
      <c r="G1449" s="246">
        <v>43200</v>
      </c>
      <c r="H1449" s="246">
        <v>49400</v>
      </c>
      <c r="I1449" s="246">
        <v>55550</v>
      </c>
      <c r="J1449" s="246">
        <v>61700</v>
      </c>
      <c r="K1449" s="246">
        <v>66650</v>
      </c>
      <c r="L1449" s="246">
        <v>71600</v>
      </c>
      <c r="M1449" s="246">
        <v>76550</v>
      </c>
      <c r="N1449" s="246">
        <v>81450</v>
      </c>
    </row>
    <row r="1450" spans="3:14" ht="21.95" customHeight="1" x14ac:dyDescent="0.25">
      <c r="C1450" s="139" t="str">
        <f t="shared" si="38"/>
        <v>MO_AUDRAIN COUNTY, MO</v>
      </c>
      <c r="D1450" s="136" t="s">
        <v>80</v>
      </c>
      <c r="E1450" s="262" t="s">
        <v>4046</v>
      </c>
      <c r="F1450" s="136" t="s">
        <v>183</v>
      </c>
      <c r="G1450" s="246">
        <v>43200</v>
      </c>
      <c r="H1450" s="246">
        <v>49400</v>
      </c>
      <c r="I1450" s="246">
        <v>55550</v>
      </c>
      <c r="J1450" s="246">
        <v>61700</v>
      </c>
      <c r="K1450" s="246">
        <v>66650</v>
      </c>
      <c r="L1450" s="246">
        <v>71600</v>
      </c>
      <c r="M1450" s="246">
        <v>76550</v>
      </c>
      <c r="N1450" s="246">
        <v>81450</v>
      </c>
    </row>
    <row r="1451" spans="3:14" ht="21.95" customHeight="1" x14ac:dyDescent="0.25">
      <c r="C1451" s="139" t="str">
        <f t="shared" si="38"/>
        <v>MO_BARRY COUNTY, MO</v>
      </c>
      <c r="D1451" s="136" t="s">
        <v>80</v>
      </c>
      <c r="E1451" s="262" t="s">
        <v>4047</v>
      </c>
      <c r="F1451" s="136" t="s">
        <v>183</v>
      </c>
      <c r="G1451" s="246">
        <v>43200</v>
      </c>
      <c r="H1451" s="246">
        <v>49400</v>
      </c>
      <c r="I1451" s="246">
        <v>55550</v>
      </c>
      <c r="J1451" s="246">
        <v>61700</v>
      </c>
      <c r="K1451" s="246">
        <v>66650</v>
      </c>
      <c r="L1451" s="246">
        <v>71600</v>
      </c>
      <c r="M1451" s="246">
        <v>76550</v>
      </c>
      <c r="N1451" s="246">
        <v>81450</v>
      </c>
    </row>
    <row r="1452" spans="3:14" ht="21.95" customHeight="1" x14ac:dyDescent="0.25">
      <c r="C1452" s="139" t="str">
        <f t="shared" si="38"/>
        <v>MO_BARTON COUNTY, MO</v>
      </c>
      <c r="D1452" s="136" t="s">
        <v>80</v>
      </c>
      <c r="E1452" s="262" t="s">
        <v>4048</v>
      </c>
      <c r="F1452" s="136" t="s">
        <v>183</v>
      </c>
      <c r="G1452" s="246">
        <v>43200</v>
      </c>
      <c r="H1452" s="246">
        <v>49400</v>
      </c>
      <c r="I1452" s="246">
        <v>55550</v>
      </c>
      <c r="J1452" s="246">
        <v>61700</v>
      </c>
      <c r="K1452" s="246">
        <v>66650</v>
      </c>
      <c r="L1452" s="246">
        <v>71600</v>
      </c>
      <c r="M1452" s="246">
        <v>76550</v>
      </c>
      <c r="N1452" s="246">
        <v>81450</v>
      </c>
    </row>
    <row r="1453" spans="3:14" ht="21.95" customHeight="1" x14ac:dyDescent="0.25">
      <c r="C1453" s="139" t="str">
        <f t="shared" si="38"/>
        <v>MO_BATES COUNTY, MO HUD METRO FMR AREA</v>
      </c>
      <c r="D1453" s="136" t="s">
        <v>80</v>
      </c>
      <c r="E1453" s="262" t="s">
        <v>4049</v>
      </c>
      <c r="F1453" s="136" t="s">
        <v>183</v>
      </c>
      <c r="G1453" s="246">
        <v>46200</v>
      </c>
      <c r="H1453" s="246">
        <v>52800</v>
      </c>
      <c r="I1453" s="246">
        <v>59400</v>
      </c>
      <c r="J1453" s="246">
        <v>66000</v>
      </c>
      <c r="K1453" s="246">
        <v>71300</v>
      </c>
      <c r="L1453" s="246">
        <v>76600</v>
      </c>
      <c r="M1453" s="246">
        <v>81850</v>
      </c>
      <c r="N1453" s="246">
        <v>87150</v>
      </c>
    </row>
    <row r="1454" spans="3:14" ht="21.95" customHeight="1" x14ac:dyDescent="0.25">
      <c r="C1454" s="139" t="str">
        <f t="shared" si="38"/>
        <v>MO_BENTON COUNTY, MO</v>
      </c>
      <c r="D1454" s="136" t="s">
        <v>80</v>
      </c>
      <c r="E1454" s="262" t="s">
        <v>4050</v>
      </c>
      <c r="F1454" s="136" t="s">
        <v>183</v>
      </c>
      <c r="G1454" s="246">
        <v>43200</v>
      </c>
      <c r="H1454" s="246">
        <v>49400</v>
      </c>
      <c r="I1454" s="246">
        <v>55550</v>
      </c>
      <c r="J1454" s="246">
        <v>61700</v>
      </c>
      <c r="K1454" s="246">
        <v>66650</v>
      </c>
      <c r="L1454" s="246">
        <v>71600</v>
      </c>
      <c r="M1454" s="246">
        <v>76550</v>
      </c>
      <c r="N1454" s="246">
        <v>81450</v>
      </c>
    </row>
    <row r="1455" spans="3:14" ht="21.95" customHeight="1" x14ac:dyDescent="0.25">
      <c r="C1455" s="139" t="str">
        <f t="shared" si="38"/>
        <v>MO_BUTLER COUNTY, MO</v>
      </c>
      <c r="D1455" s="136" t="s">
        <v>80</v>
      </c>
      <c r="E1455" s="262" t="s">
        <v>4051</v>
      </c>
      <c r="F1455" s="136" t="s">
        <v>183</v>
      </c>
      <c r="G1455" s="246">
        <v>43200</v>
      </c>
      <c r="H1455" s="246">
        <v>49400</v>
      </c>
      <c r="I1455" s="246">
        <v>55550</v>
      </c>
      <c r="J1455" s="246">
        <v>61700</v>
      </c>
      <c r="K1455" s="246">
        <v>66650</v>
      </c>
      <c r="L1455" s="246">
        <v>71600</v>
      </c>
      <c r="M1455" s="246">
        <v>76550</v>
      </c>
      <c r="N1455" s="246">
        <v>81450</v>
      </c>
    </row>
    <row r="1456" spans="3:14" ht="21.95" customHeight="1" x14ac:dyDescent="0.25">
      <c r="C1456" s="139" t="str">
        <f t="shared" si="38"/>
        <v>MO_CALLAWAY COUNTY, MO HUD METRO FMR AREA</v>
      </c>
      <c r="D1456" s="136" t="s">
        <v>80</v>
      </c>
      <c r="E1456" s="262" t="s">
        <v>4052</v>
      </c>
      <c r="F1456" s="136" t="s">
        <v>183</v>
      </c>
      <c r="G1456" s="246">
        <v>52450</v>
      </c>
      <c r="H1456" s="246">
        <v>59950</v>
      </c>
      <c r="I1456" s="246">
        <v>67450</v>
      </c>
      <c r="J1456" s="246">
        <v>74900</v>
      </c>
      <c r="K1456" s="246">
        <v>80900</v>
      </c>
      <c r="L1456" s="246">
        <v>86900</v>
      </c>
      <c r="M1456" s="246">
        <v>92900</v>
      </c>
      <c r="N1456" s="246">
        <v>98900</v>
      </c>
    </row>
    <row r="1457" spans="3:14" ht="21.95" customHeight="1" x14ac:dyDescent="0.25">
      <c r="C1457" s="139" t="str">
        <f t="shared" si="38"/>
        <v>MO_CAMDEN COUNTY, MO</v>
      </c>
      <c r="D1457" s="136" t="s">
        <v>80</v>
      </c>
      <c r="E1457" s="262" t="s">
        <v>4053</v>
      </c>
      <c r="F1457" s="136" t="s">
        <v>183</v>
      </c>
      <c r="G1457" s="246">
        <v>48400</v>
      </c>
      <c r="H1457" s="246">
        <v>55300</v>
      </c>
      <c r="I1457" s="246">
        <v>62200</v>
      </c>
      <c r="J1457" s="246">
        <v>69100</v>
      </c>
      <c r="K1457" s="246">
        <v>74650</v>
      </c>
      <c r="L1457" s="246">
        <v>80200</v>
      </c>
      <c r="M1457" s="246">
        <v>85700</v>
      </c>
      <c r="N1457" s="246">
        <v>91250</v>
      </c>
    </row>
    <row r="1458" spans="3:14" ht="21.95" customHeight="1" x14ac:dyDescent="0.25">
      <c r="C1458" s="139" t="str">
        <f t="shared" si="38"/>
        <v>MO_CAPE GIRARDEAU, MO-IL MSA</v>
      </c>
      <c r="D1458" s="136" t="s">
        <v>80</v>
      </c>
      <c r="E1458" s="262" t="s">
        <v>3506</v>
      </c>
      <c r="F1458" s="136" t="s">
        <v>183</v>
      </c>
      <c r="G1458" s="246">
        <v>50700</v>
      </c>
      <c r="H1458" s="246">
        <v>57950</v>
      </c>
      <c r="I1458" s="246">
        <v>65200</v>
      </c>
      <c r="J1458" s="246">
        <v>72400</v>
      </c>
      <c r="K1458" s="246">
        <v>78200</v>
      </c>
      <c r="L1458" s="246">
        <v>84000</v>
      </c>
      <c r="M1458" s="246">
        <v>89800</v>
      </c>
      <c r="N1458" s="246">
        <v>95600</v>
      </c>
    </row>
    <row r="1459" spans="3:14" ht="21.95" customHeight="1" x14ac:dyDescent="0.25">
      <c r="C1459" s="139" t="str">
        <f t="shared" si="38"/>
        <v>MO_CARROLL COUNTY, MO</v>
      </c>
      <c r="D1459" s="136" t="s">
        <v>80</v>
      </c>
      <c r="E1459" s="262" t="s">
        <v>4054</v>
      </c>
      <c r="F1459" s="136" t="s">
        <v>183</v>
      </c>
      <c r="G1459" s="246">
        <v>46200</v>
      </c>
      <c r="H1459" s="246">
        <v>52800</v>
      </c>
      <c r="I1459" s="246">
        <v>59400</v>
      </c>
      <c r="J1459" s="246">
        <v>66000</v>
      </c>
      <c r="K1459" s="246">
        <v>71300</v>
      </c>
      <c r="L1459" s="246">
        <v>76600</v>
      </c>
      <c r="M1459" s="246">
        <v>81850</v>
      </c>
      <c r="N1459" s="246">
        <v>87150</v>
      </c>
    </row>
    <row r="1460" spans="3:14" ht="21.95" customHeight="1" x14ac:dyDescent="0.25">
      <c r="C1460" s="139" t="str">
        <f t="shared" si="38"/>
        <v>MO_CARTER COUNTY, MO</v>
      </c>
      <c r="D1460" s="136" t="s">
        <v>80</v>
      </c>
      <c r="E1460" s="262" t="s">
        <v>4055</v>
      </c>
      <c r="F1460" s="136" t="s">
        <v>183</v>
      </c>
      <c r="G1460" s="246">
        <v>45200</v>
      </c>
      <c r="H1460" s="246">
        <v>51650</v>
      </c>
      <c r="I1460" s="246">
        <v>58100</v>
      </c>
      <c r="J1460" s="246">
        <v>64550</v>
      </c>
      <c r="K1460" s="246">
        <v>69750</v>
      </c>
      <c r="L1460" s="246">
        <v>74900</v>
      </c>
      <c r="M1460" s="246">
        <v>80050</v>
      </c>
      <c r="N1460" s="246">
        <v>85250</v>
      </c>
    </row>
    <row r="1461" spans="3:14" ht="21.95" customHeight="1" x14ac:dyDescent="0.25">
      <c r="C1461" s="139" t="str">
        <f t="shared" si="38"/>
        <v>MO_CEDAR COUNTY, MO</v>
      </c>
      <c r="D1461" s="136" t="s">
        <v>80</v>
      </c>
      <c r="E1461" s="262" t="s">
        <v>4056</v>
      </c>
      <c r="F1461" s="136" t="s">
        <v>183</v>
      </c>
      <c r="G1461" s="246">
        <v>43200</v>
      </c>
      <c r="H1461" s="246">
        <v>49400</v>
      </c>
      <c r="I1461" s="246">
        <v>55550</v>
      </c>
      <c r="J1461" s="246">
        <v>61700</v>
      </c>
      <c r="K1461" s="246">
        <v>66650</v>
      </c>
      <c r="L1461" s="246">
        <v>71600</v>
      </c>
      <c r="M1461" s="246">
        <v>76550</v>
      </c>
      <c r="N1461" s="246">
        <v>81450</v>
      </c>
    </row>
    <row r="1462" spans="3:14" ht="21.95" customHeight="1" x14ac:dyDescent="0.25">
      <c r="C1462" s="139" t="str">
        <f t="shared" si="38"/>
        <v>MO_CHARITON COUNTY, MO</v>
      </c>
      <c r="D1462" s="136" t="s">
        <v>80</v>
      </c>
      <c r="E1462" s="262" t="s">
        <v>4057</v>
      </c>
      <c r="F1462" s="136" t="s">
        <v>183</v>
      </c>
      <c r="G1462" s="246">
        <v>45950</v>
      </c>
      <c r="H1462" s="246">
        <v>52500</v>
      </c>
      <c r="I1462" s="246">
        <v>59050</v>
      </c>
      <c r="J1462" s="246">
        <v>65600</v>
      </c>
      <c r="K1462" s="246">
        <v>70850</v>
      </c>
      <c r="L1462" s="246">
        <v>76100</v>
      </c>
      <c r="M1462" s="246">
        <v>81350</v>
      </c>
      <c r="N1462" s="246">
        <v>86600</v>
      </c>
    </row>
    <row r="1463" spans="3:14" ht="21.95" customHeight="1" x14ac:dyDescent="0.25">
      <c r="C1463" s="139" t="str">
        <f t="shared" si="38"/>
        <v>MO_CLARK COUNTY, MO</v>
      </c>
      <c r="D1463" s="136" t="s">
        <v>80</v>
      </c>
      <c r="E1463" s="262" t="s">
        <v>4058</v>
      </c>
      <c r="F1463" s="136" t="s">
        <v>183</v>
      </c>
      <c r="G1463" s="246">
        <v>43200</v>
      </c>
      <c r="H1463" s="246">
        <v>49400</v>
      </c>
      <c r="I1463" s="246">
        <v>55550</v>
      </c>
      <c r="J1463" s="246">
        <v>61700</v>
      </c>
      <c r="K1463" s="246">
        <v>66650</v>
      </c>
      <c r="L1463" s="246">
        <v>71600</v>
      </c>
      <c r="M1463" s="246">
        <v>76550</v>
      </c>
      <c r="N1463" s="246">
        <v>81450</v>
      </c>
    </row>
    <row r="1464" spans="3:14" ht="21.95" customHeight="1" x14ac:dyDescent="0.25">
      <c r="C1464" s="139" t="str">
        <f t="shared" si="38"/>
        <v>MO_COLUMBIA, MO HUD METRO FMR AREA</v>
      </c>
      <c r="D1464" s="136" t="s">
        <v>80</v>
      </c>
      <c r="E1464" s="262" t="s">
        <v>4059</v>
      </c>
      <c r="F1464" s="136" t="s">
        <v>183</v>
      </c>
      <c r="G1464" s="246">
        <v>59300</v>
      </c>
      <c r="H1464" s="246">
        <v>67750</v>
      </c>
      <c r="I1464" s="246">
        <v>76200</v>
      </c>
      <c r="J1464" s="246">
        <v>84650</v>
      </c>
      <c r="K1464" s="246">
        <v>91450</v>
      </c>
      <c r="L1464" s="246">
        <v>98200</v>
      </c>
      <c r="M1464" s="246">
        <v>105000</v>
      </c>
      <c r="N1464" s="246">
        <v>111750</v>
      </c>
    </row>
    <row r="1465" spans="3:14" ht="21.95" customHeight="1" x14ac:dyDescent="0.25">
      <c r="C1465" s="139" t="str">
        <f t="shared" si="38"/>
        <v>MO_COOPER COUNTY, MO HUD METRO FMR AREA</v>
      </c>
      <c r="D1465" s="136" t="s">
        <v>80</v>
      </c>
      <c r="E1465" s="262" t="s">
        <v>4060</v>
      </c>
      <c r="F1465" s="136" t="s">
        <v>183</v>
      </c>
      <c r="G1465" s="246">
        <v>49500</v>
      </c>
      <c r="H1465" s="246">
        <v>56600</v>
      </c>
      <c r="I1465" s="246">
        <v>63650</v>
      </c>
      <c r="J1465" s="246">
        <v>70700</v>
      </c>
      <c r="K1465" s="246">
        <v>76400</v>
      </c>
      <c r="L1465" s="246">
        <v>82050</v>
      </c>
      <c r="M1465" s="246">
        <v>87700</v>
      </c>
      <c r="N1465" s="246">
        <v>93350</v>
      </c>
    </row>
    <row r="1466" spans="3:14" ht="21.95" customHeight="1" x14ac:dyDescent="0.25">
      <c r="C1466" s="139" t="str">
        <f t="shared" si="38"/>
        <v>MO_CRAWFORD COUNTY, MO</v>
      </c>
      <c r="D1466" s="136" t="s">
        <v>80</v>
      </c>
      <c r="E1466" s="262" t="s">
        <v>4061</v>
      </c>
      <c r="F1466" s="136" t="s">
        <v>183</v>
      </c>
      <c r="G1466" s="246">
        <v>43250</v>
      </c>
      <c r="H1466" s="246">
        <v>49400</v>
      </c>
      <c r="I1466" s="246">
        <v>55600</v>
      </c>
      <c r="J1466" s="246">
        <v>61750</v>
      </c>
      <c r="K1466" s="246">
        <v>66700</v>
      </c>
      <c r="L1466" s="246">
        <v>71650</v>
      </c>
      <c r="M1466" s="246">
        <v>76600</v>
      </c>
      <c r="N1466" s="246">
        <v>81550</v>
      </c>
    </row>
    <row r="1467" spans="3:14" ht="21.95" customHeight="1" x14ac:dyDescent="0.25">
      <c r="C1467" s="139" t="str">
        <f t="shared" si="38"/>
        <v>MO_DADE COUNTY, MO</v>
      </c>
      <c r="D1467" s="136" t="s">
        <v>80</v>
      </c>
      <c r="E1467" s="262" t="s">
        <v>4062</v>
      </c>
      <c r="F1467" s="136" t="s">
        <v>183</v>
      </c>
      <c r="G1467" s="246">
        <v>43200</v>
      </c>
      <c r="H1467" s="246">
        <v>49400</v>
      </c>
      <c r="I1467" s="246">
        <v>55550</v>
      </c>
      <c r="J1467" s="246">
        <v>61700</v>
      </c>
      <c r="K1467" s="246">
        <v>66650</v>
      </c>
      <c r="L1467" s="246">
        <v>71600</v>
      </c>
      <c r="M1467" s="246">
        <v>76550</v>
      </c>
      <c r="N1467" s="246">
        <v>81450</v>
      </c>
    </row>
    <row r="1468" spans="3:14" ht="21.95" customHeight="1" x14ac:dyDescent="0.25">
      <c r="C1468" s="139" t="str">
        <f t="shared" si="38"/>
        <v>MO_DALLAS COUNTY, MO HUD METRO FMR AREA</v>
      </c>
      <c r="D1468" s="136" t="s">
        <v>80</v>
      </c>
      <c r="E1468" s="262" t="s">
        <v>4063</v>
      </c>
      <c r="F1468" s="136" t="s">
        <v>183</v>
      </c>
      <c r="G1468" s="246">
        <v>43200</v>
      </c>
      <c r="H1468" s="246">
        <v>49400</v>
      </c>
      <c r="I1468" s="246">
        <v>55550</v>
      </c>
      <c r="J1468" s="246">
        <v>61700</v>
      </c>
      <c r="K1468" s="246">
        <v>66650</v>
      </c>
      <c r="L1468" s="246">
        <v>71600</v>
      </c>
      <c r="M1468" s="246">
        <v>76550</v>
      </c>
      <c r="N1468" s="246">
        <v>81450</v>
      </c>
    </row>
    <row r="1469" spans="3:14" ht="21.95" customHeight="1" x14ac:dyDescent="0.25">
      <c r="C1469" s="139" t="str">
        <f t="shared" si="38"/>
        <v>MO_DAVIESS COUNTY, MO</v>
      </c>
      <c r="D1469" s="136" t="s">
        <v>80</v>
      </c>
      <c r="E1469" s="262" t="s">
        <v>4064</v>
      </c>
      <c r="F1469" s="136" t="s">
        <v>183</v>
      </c>
      <c r="G1469" s="246">
        <v>43900</v>
      </c>
      <c r="H1469" s="246">
        <v>50150</v>
      </c>
      <c r="I1469" s="246">
        <v>56400</v>
      </c>
      <c r="J1469" s="246">
        <v>62650</v>
      </c>
      <c r="K1469" s="246">
        <v>67700</v>
      </c>
      <c r="L1469" s="246">
        <v>72700</v>
      </c>
      <c r="M1469" s="246">
        <v>77700</v>
      </c>
      <c r="N1469" s="246">
        <v>82700</v>
      </c>
    </row>
    <row r="1470" spans="3:14" ht="21.95" customHeight="1" x14ac:dyDescent="0.25">
      <c r="C1470" s="139" t="str">
        <f t="shared" si="38"/>
        <v>MO_DENT COUNTY, MO</v>
      </c>
      <c r="D1470" s="136" t="s">
        <v>80</v>
      </c>
      <c r="E1470" s="262" t="s">
        <v>4065</v>
      </c>
      <c r="F1470" s="136" t="s">
        <v>183</v>
      </c>
      <c r="G1470" s="246">
        <v>43200</v>
      </c>
      <c r="H1470" s="246">
        <v>49400</v>
      </c>
      <c r="I1470" s="246">
        <v>55550</v>
      </c>
      <c r="J1470" s="246">
        <v>61700</v>
      </c>
      <c r="K1470" s="246">
        <v>66650</v>
      </c>
      <c r="L1470" s="246">
        <v>71600</v>
      </c>
      <c r="M1470" s="246">
        <v>76550</v>
      </c>
      <c r="N1470" s="246">
        <v>81450</v>
      </c>
    </row>
    <row r="1471" spans="3:14" ht="21.95" customHeight="1" x14ac:dyDescent="0.25">
      <c r="C1471" s="139" t="str">
        <f t="shared" si="38"/>
        <v>MO_DOUGLAS COUNTY, MO</v>
      </c>
      <c r="D1471" s="136" t="s">
        <v>80</v>
      </c>
      <c r="E1471" s="262" t="s">
        <v>4066</v>
      </c>
      <c r="F1471" s="136" t="s">
        <v>183</v>
      </c>
      <c r="G1471" s="246">
        <v>43200</v>
      </c>
      <c r="H1471" s="246">
        <v>49400</v>
      </c>
      <c r="I1471" s="246">
        <v>55550</v>
      </c>
      <c r="J1471" s="246">
        <v>61700</v>
      </c>
      <c r="K1471" s="246">
        <v>66650</v>
      </c>
      <c r="L1471" s="246">
        <v>71600</v>
      </c>
      <c r="M1471" s="246">
        <v>76550</v>
      </c>
      <c r="N1471" s="246">
        <v>81450</v>
      </c>
    </row>
    <row r="1472" spans="3:14" ht="21.95" customHeight="1" x14ac:dyDescent="0.25">
      <c r="C1472" s="139" t="str">
        <f t="shared" ref="C1472:C1535" si="39">TRIM(UPPER(D1472))&amp;"_"&amp;TRIM(UPPER(E1472))</f>
        <v>MO_DUNKLIN COUNTY, MO</v>
      </c>
      <c r="D1472" s="136" t="s">
        <v>80</v>
      </c>
      <c r="E1472" s="262" t="s">
        <v>4067</v>
      </c>
      <c r="F1472" s="136" t="s">
        <v>183</v>
      </c>
      <c r="G1472" s="246">
        <v>43200</v>
      </c>
      <c r="H1472" s="246">
        <v>49400</v>
      </c>
      <c r="I1472" s="246">
        <v>55550</v>
      </c>
      <c r="J1472" s="246">
        <v>61700</v>
      </c>
      <c r="K1472" s="246">
        <v>66650</v>
      </c>
      <c r="L1472" s="246">
        <v>71600</v>
      </c>
      <c r="M1472" s="246">
        <v>76550</v>
      </c>
      <c r="N1472" s="246">
        <v>81450</v>
      </c>
    </row>
    <row r="1473" spans="3:14" ht="21.95" customHeight="1" x14ac:dyDescent="0.25">
      <c r="C1473" s="139" t="str">
        <f t="shared" si="39"/>
        <v>MO_GASCONADE COUNTY, MO</v>
      </c>
      <c r="D1473" s="136" t="s">
        <v>80</v>
      </c>
      <c r="E1473" s="262" t="s">
        <v>4068</v>
      </c>
      <c r="F1473" s="136" t="s">
        <v>183</v>
      </c>
      <c r="G1473" s="246">
        <v>45750</v>
      </c>
      <c r="H1473" s="246">
        <v>52250</v>
      </c>
      <c r="I1473" s="246">
        <v>58800</v>
      </c>
      <c r="J1473" s="246">
        <v>65300</v>
      </c>
      <c r="K1473" s="246">
        <v>70550</v>
      </c>
      <c r="L1473" s="246">
        <v>75750</v>
      </c>
      <c r="M1473" s="246">
        <v>81000</v>
      </c>
      <c r="N1473" s="246">
        <v>86200</v>
      </c>
    </row>
    <row r="1474" spans="3:14" ht="21.95" customHeight="1" x14ac:dyDescent="0.25">
      <c r="C1474" s="139" t="str">
        <f t="shared" si="39"/>
        <v>MO_GENTRY COUNTY, MO</v>
      </c>
      <c r="D1474" s="136" t="s">
        <v>80</v>
      </c>
      <c r="E1474" s="262" t="s">
        <v>4069</v>
      </c>
      <c r="F1474" s="136" t="s">
        <v>183</v>
      </c>
      <c r="G1474" s="246">
        <v>45300</v>
      </c>
      <c r="H1474" s="246">
        <v>51750</v>
      </c>
      <c r="I1474" s="246">
        <v>58200</v>
      </c>
      <c r="J1474" s="246">
        <v>64650</v>
      </c>
      <c r="K1474" s="246">
        <v>69850</v>
      </c>
      <c r="L1474" s="246">
        <v>75000</v>
      </c>
      <c r="M1474" s="246">
        <v>80200</v>
      </c>
      <c r="N1474" s="246">
        <v>85350</v>
      </c>
    </row>
    <row r="1475" spans="3:14" ht="21.95" customHeight="1" x14ac:dyDescent="0.25">
      <c r="C1475" s="139" t="str">
        <f t="shared" si="39"/>
        <v>MO_GRUNDY COUNTY, MO</v>
      </c>
      <c r="D1475" s="136" t="s">
        <v>80</v>
      </c>
      <c r="E1475" s="262" t="s">
        <v>4070</v>
      </c>
      <c r="F1475" s="136" t="s">
        <v>183</v>
      </c>
      <c r="G1475" s="246">
        <v>43200</v>
      </c>
      <c r="H1475" s="246">
        <v>49400</v>
      </c>
      <c r="I1475" s="246">
        <v>55550</v>
      </c>
      <c r="J1475" s="246">
        <v>61700</v>
      </c>
      <c r="K1475" s="246">
        <v>66650</v>
      </c>
      <c r="L1475" s="246">
        <v>71600</v>
      </c>
      <c r="M1475" s="246">
        <v>76550</v>
      </c>
      <c r="N1475" s="246">
        <v>81450</v>
      </c>
    </row>
    <row r="1476" spans="3:14" ht="21.95" customHeight="1" x14ac:dyDescent="0.25">
      <c r="C1476" s="139" t="str">
        <f t="shared" si="39"/>
        <v>MO_HARRISON COUNTY, MO</v>
      </c>
      <c r="D1476" s="136" t="s">
        <v>80</v>
      </c>
      <c r="E1476" s="262" t="s">
        <v>4071</v>
      </c>
      <c r="F1476" s="136" t="s">
        <v>183</v>
      </c>
      <c r="G1476" s="246">
        <v>43200</v>
      </c>
      <c r="H1476" s="246">
        <v>49400</v>
      </c>
      <c r="I1476" s="246">
        <v>55550</v>
      </c>
      <c r="J1476" s="246">
        <v>61700</v>
      </c>
      <c r="K1476" s="246">
        <v>66650</v>
      </c>
      <c r="L1476" s="246">
        <v>71600</v>
      </c>
      <c r="M1476" s="246">
        <v>76550</v>
      </c>
      <c r="N1476" s="246">
        <v>81450</v>
      </c>
    </row>
    <row r="1477" spans="3:14" ht="21.95" customHeight="1" x14ac:dyDescent="0.25">
      <c r="C1477" s="139" t="str">
        <f t="shared" si="39"/>
        <v>MO_HENRY COUNTY, MO</v>
      </c>
      <c r="D1477" s="136" t="s">
        <v>80</v>
      </c>
      <c r="E1477" s="262" t="s">
        <v>4072</v>
      </c>
      <c r="F1477" s="136" t="s">
        <v>183</v>
      </c>
      <c r="G1477" s="246">
        <v>43200</v>
      </c>
      <c r="H1477" s="246">
        <v>49400</v>
      </c>
      <c r="I1477" s="246">
        <v>55550</v>
      </c>
      <c r="J1477" s="246">
        <v>61700</v>
      </c>
      <c r="K1477" s="246">
        <v>66650</v>
      </c>
      <c r="L1477" s="246">
        <v>71600</v>
      </c>
      <c r="M1477" s="246">
        <v>76550</v>
      </c>
      <c r="N1477" s="246">
        <v>81450</v>
      </c>
    </row>
    <row r="1478" spans="3:14" ht="21.95" customHeight="1" x14ac:dyDescent="0.25">
      <c r="C1478" s="139" t="str">
        <f t="shared" si="39"/>
        <v>MO_HICKORY COUNTY, MO</v>
      </c>
      <c r="D1478" s="136" t="s">
        <v>80</v>
      </c>
      <c r="E1478" s="262" t="s">
        <v>4073</v>
      </c>
      <c r="F1478" s="136" t="s">
        <v>183</v>
      </c>
      <c r="G1478" s="246">
        <v>43200</v>
      </c>
      <c r="H1478" s="246">
        <v>49400</v>
      </c>
      <c r="I1478" s="246">
        <v>55550</v>
      </c>
      <c r="J1478" s="246">
        <v>61700</v>
      </c>
      <c r="K1478" s="246">
        <v>66650</v>
      </c>
      <c r="L1478" s="246">
        <v>71600</v>
      </c>
      <c r="M1478" s="246">
        <v>76550</v>
      </c>
      <c r="N1478" s="246">
        <v>81450</v>
      </c>
    </row>
    <row r="1479" spans="3:14" ht="21.95" customHeight="1" x14ac:dyDescent="0.25">
      <c r="C1479" s="139" t="str">
        <f t="shared" si="39"/>
        <v>MO_HOLT COUNTY, MO</v>
      </c>
      <c r="D1479" s="136" t="s">
        <v>80</v>
      </c>
      <c r="E1479" s="262" t="s">
        <v>4074</v>
      </c>
      <c r="F1479" s="136" t="s">
        <v>183</v>
      </c>
      <c r="G1479" s="246">
        <v>44050</v>
      </c>
      <c r="H1479" s="246">
        <v>50350</v>
      </c>
      <c r="I1479" s="246">
        <v>56650</v>
      </c>
      <c r="J1479" s="246">
        <v>62900</v>
      </c>
      <c r="K1479" s="246">
        <v>67950</v>
      </c>
      <c r="L1479" s="246">
        <v>73000</v>
      </c>
      <c r="M1479" s="246">
        <v>78000</v>
      </c>
      <c r="N1479" s="246">
        <v>83050</v>
      </c>
    </row>
    <row r="1480" spans="3:14" ht="21.95" customHeight="1" x14ac:dyDescent="0.25">
      <c r="C1480" s="139" t="str">
        <f t="shared" si="39"/>
        <v>MO_HOWARD COUNTY, MO HUD METRO FMR AREA</v>
      </c>
      <c r="D1480" s="136" t="s">
        <v>80</v>
      </c>
      <c r="E1480" s="262" t="s">
        <v>4075</v>
      </c>
      <c r="F1480" s="136" t="s">
        <v>183</v>
      </c>
      <c r="G1480" s="246">
        <v>46600</v>
      </c>
      <c r="H1480" s="246">
        <v>53250</v>
      </c>
      <c r="I1480" s="246">
        <v>59900</v>
      </c>
      <c r="J1480" s="246">
        <v>66550</v>
      </c>
      <c r="K1480" s="246">
        <v>71900</v>
      </c>
      <c r="L1480" s="246">
        <v>77200</v>
      </c>
      <c r="M1480" s="246">
        <v>82550</v>
      </c>
      <c r="N1480" s="246">
        <v>87850</v>
      </c>
    </row>
    <row r="1481" spans="3:14" ht="21.95" customHeight="1" x14ac:dyDescent="0.25">
      <c r="C1481" s="139" t="str">
        <f t="shared" si="39"/>
        <v>MO_HOWELL COUNTY, MO</v>
      </c>
      <c r="D1481" s="136" t="s">
        <v>80</v>
      </c>
      <c r="E1481" s="262" t="s">
        <v>4076</v>
      </c>
      <c r="F1481" s="136" t="s">
        <v>183</v>
      </c>
      <c r="G1481" s="246">
        <v>43200</v>
      </c>
      <c r="H1481" s="246">
        <v>49400</v>
      </c>
      <c r="I1481" s="246">
        <v>55550</v>
      </c>
      <c r="J1481" s="246">
        <v>61700</v>
      </c>
      <c r="K1481" s="246">
        <v>66650</v>
      </c>
      <c r="L1481" s="246">
        <v>71600</v>
      </c>
      <c r="M1481" s="246">
        <v>76550</v>
      </c>
      <c r="N1481" s="246">
        <v>81450</v>
      </c>
    </row>
    <row r="1482" spans="3:14" ht="21.95" customHeight="1" x14ac:dyDescent="0.25">
      <c r="C1482" s="139" t="str">
        <f t="shared" si="39"/>
        <v>MO_IRON COUNTY, MO</v>
      </c>
      <c r="D1482" s="136" t="s">
        <v>80</v>
      </c>
      <c r="E1482" s="262" t="s">
        <v>4077</v>
      </c>
      <c r="F1482" s="136" t="s">
        <v>183</v>
      </c>
      <c r="G1482" s="246">
        <v>43500</v>
      </c>
      <c r="H1482" s="246">
        <v>49700</v>
      </c>
      <c r="I1482" s="246">
        <v>55900</v>
      </c>
      <c r="J1482" s="246">
        <v>62100</v>
      </c>
      <c r="K1482" s="246">
        <v>67100</v>
      </c>
      <c r="L1482" s="246">
        <v>72050</v>
      </c>
      <c r="M1482" s="246">
        <v>77050</v>
      </c>
      <c r="N1482" s="246">
        <v>82000</v>
      </c>
    </row>
    <row r="1483" spans="3:14" ht="21.95" customHeight="1" x14ac:dyDescent="0.25">
      <c r="C1483" s="139" t="str">
        <f t="shared" si="39"/>
        <v>MO_JEFFERSON CITY, MO HUD METRO FMR AREA</v>
      </c>
      <c r="D1483" s="136" t="s">
        <v>80</v>
      </c>
      <c r="E1483" s="262" t="s">
        <v>4078</v>
      </c>
      <c r="F1483" s="136" t="s">
        <v>183</v>
      </c>
      <c r="G1483" s="246">
        <v>58800</v>
      </c>
      <c r="H1483" s="246">
        <v>67200</v>
      </c>
      <c r="I1483" s="246">
        <v>75600</v>
      </c>
      <c r="J1483" s="246">
        <v>84000</v>
      </c>
      <c r="K1483" s="246">
        <v>90750</v>
      </c>
      <c r="L1483" s="246">
        <v>97450</v>
      </c>
      <c r="M1483" s="246">
        <v>104200</v>
      </c>
      <c r="N1483" s="246">
        <v>110900</v>
      </c>
    </row>
    <row r="1484" spans="3:14" ht="21.95" customHeight="1" x14ac:dyDescent="0.25">
      <c r="C1484" s="139" t="str">
        <f t="shared" si="39"/>
        <v>MO_JOHNSON COUNTY, MO</v>
      </c>
      <c r="D1484" s="136" t="s">
        <v>80</v>
      </c>
      <c r="E1484" s="262" t="s">
        <v>4079</v>
      </c>
      <c r="F1484" s="136" t="s">
        <v>183</v>
      </c>
      <c r="G1484" s="246">
        <v>51350</v>
      </c>
      <c r="H1484" s="246">
        <v>58700</v>
      </c>
      <c r="I1484" s="246">
        <v>66050</v>
      </c>
      <c r="J1484" s="246">
        <v>73350</v>
      </c>
      <c r="K1484" s="246">
        <v>79250</v>
      </c>
      <c r="L1484" s="246">
        <v>85100</v>
      </c>
      <c r="M1484" s="246">
        <v>91000</v>
      </c>
      <c r="N1484" s="246">
        <v>96850</v>
      </c>
    </row>
    <row r="1485" spans="3:14" ht="21.95" customHeight="1" x14ac:dyDescent="0.25">
      <c r="C1485" s="139" t="str">
        <f t="shared" si="39"/>
        <v>MO_JOPLIN, MO HUD METRO FMR AREA</v>
      </c>
      <c r="D1485" s="136" t="s">
        <v>80</v>
      </c>
      <c r="E1485" s="262" t="s">
        <v>9210</v>
      </c>
      <c r="F1485" s="136" t="s">
        <v>183</v>
      </c>
      <c r="G1485" s="246">
        <v>43200</v>
      </c>
      <c r="H1485" s="246">
        <v>49400</v>
      </c>
      <c r="I1485" s="246">
        <v>55550</v>
      </c>
      <c r="J1485" s="246">
        <v>61700</v>
      </c>
      <c r="K1485" s="246">
        <v>66650</v>
      </c>
      <c r="L1485" s="246">
        <v>71600</v>
      </c>
      <c r="M1485" s="246">
        <v>76550</v>
      </c>
      <c r="N1485" s="246">
        <v>81450</v>
      </c>
    </row>
    <row r="1486" spans="3:14" ht="21.95" customHeight="1" x14ac:dyDescent="0.25">
      <c r="C1486" s="139" t="str">
        <f t="shared" si="39"/>
        <v>MO_KANSAS CITY, MO-KS HUD METRO FMR AREA</v>
      </c>
      <c r="D1486" s="136" t="s">
        <v>80</v>
      </c>
      <c r="E1486" s="262" t="s">
        <v>3678</v>
      </c>
      <c r="F1486" s="136" t="s">
        <v>183</v>
      </c>
      <c r="G1486" s="246">
        <v>62400</v>
      </c>
      <c r="H1486" s="246">
        <v>71300</v>
      </c>
      <c r="I1486" s="246">
        <v>80200</v>
      </c>
      <c r="J1486" s="246">
        <v>89100</v>
      </c>
      <c r="K1486" s="246">
        <v>96250</v>
      </c>
      <c r="L1486" s="246">
        <v>103400</v>
      </c>
      <c r="M1486" s="246">
        <v>110500</v>
      </c>
      <c r="N1486" s="246">
        <v>117650</v>
      </c>
    </row>
    <row r="1487" spans="3:14" ht="21.95" customHeight="1" x14ac:dyDescent="0.25">
      <c r="C1487" s="139" t="str">
        <f t="shared" si="39"/>
        <v>MO_KNOX COUNTY, MO</v>
      </c>
      <c r="D1487" s="136" t="s">
        <v>80</v>
      </c>
      <c r="E1487" s="262" t="s">
        <v>4080</v>
      </c>
      <c r="F1487" s="136" t="s">
        <v>183</v>
      </c>
      <c r="G1487" s="246">
        <v>43200</v>
      </c>
      <c r="H1487" s="246">
        <v>49400</v>
      </c>
      <c r="I1487" s="246">
        <v>55550</v>
      </c>
      <c r="J1487" s="246">
        <v>61700</v>
      </c>
      <c r="K1487" s="246">
        <v>66650</v>
      </c>
      <c r="L1487" s="246">
        <v>71600</v>
      </c>
      <c r="M1487" s="246">
        <v>76550</v>
      </c>
      <c r="N1487" s="246">
        <v>81450</v>
      </c>
    </row>
    <row r="1488" spans="3:14" ht="21.95" customHeight="1" x14ac:dyDescent="0.25">
      <c r="C1488" s="139" t="str">
        <f t="shared" si="39"/>
        <v>MO_LACLEDE COUNTY, MO</v>
      </c>
      <c r="D1488" s="136" t="s">
        <v>80</v>
      </c>
      <c r="E1488" s="262" t="s">
        <v>4081</v>
      </c>
      <c r="F1488" s="136" t="s">
        <v>183</v>
      </c>
      <c r="G1488" s="246">
        <v>43200</v>
      </c>
      <c r="H1488" s="246">
        <v>49400</v>
      </c>
      <c r="I1488" s="246">
        <v>55550</v>
      </c>
      <c r="J1488" s="246">
        <v>61700</v>
      </c>
      <c r="K1488" s="246">
        <v>66650</v>
      </c>
      <c r="L1488" s="246">
        <v>71600</v>
      </c>
      <c r="M1488" s="246">
        <v>76550</v>
      </c>
      <c r="N1488" s="246">
        <v>81450</v>
      </c>
    </row>
    <row r="1489" spans="3:14" ht="21.95" customHeight="1" x14ac:dyDescent="0.25">
      <c r="C1489" s="139" t="str">
        <f t="shared" si="39"/>
        <v>MO_LAWRENCE COUNTY, MO</v>
      </c>
      <c r="D1489" s="136" t="s">
        <v>80</v>
      </c>
      <c r="E1489" s="262" t="s">
        <v>4082</v>
      </c>
      <c r="F1489" s="136" t="s">
        <v>183</v>
      </c>
      <c r="G1489" s="246">
        <v>43200</v>
      </c>
      <c r="H1489" s="246">
        <v>49400</v>
      </c>
      <c r="I1489" s="246">
        <v>55550</v>
      </c>
      <c r="J1489" s="246">
        <v>61700</v>
      </c>
      <c r="K1489" s="246">
        <v>66650</v>
      </c>
      <c r="L1489" s="246">
        <v>71600</v>
      </c>
      <c r="M1489" s="246">
        <v>76550</v>
      </c>
      <c r="N1489" s="246">
        <v>81450</v>
      </c>
    </row>
    <row r="1490" spans="3:14" ht="21.95" customHeight="1" x14ac:dyDescent="0.25">
      <c r="C1490" s="139" t="str">
        <f t="shared" si="39"/>
        <v>MO_LEWIS COUNTY, MO</v>
      </c>
      <c r="D1490" s="136" t="s">
        <v>80</v>
      </c>
      <c r="E1490" s="262" t="s">
        <v>4083</v>
      </c>
      <c r="F1490" s="136" t="s">
        <v>183</v>
      </c>
      <c r="G1490" s="246">
        <v>43500</v>
      </c>
      <c r="H1490" s="246">
        <v>49700</v>
      </c>
      <c r="I1490" s="246">
        <v>55900</v>
      </c>
      <c r="J1490" s="246">
        <v>62100</v>
      </c>
      <c r="K1490" s="246">
        <v>67100</v>
      </c>
      <c r="L1490" s="246">
        <v>72050</v>
      </c>
      <c r="M1490" s="246">
        <v>77050</v>
      </c>
      <c r="N1490" s="246">
        <v>82000</v>
      </c>
    </row>
    <row r="1491" spans="3:14" ht="21.95" customHeight="1" x14ac:dyDescent="0.25">
      <c r="C1491" s="139" t="str">
        <f t="shared" si="39"/>
        <v>MO_LINN COUNTY, MO</v>
      </c>
      <c r="D1491" s="136" t="s">
        <v>80</v>
      </c>
      <c r="E1491" s="262" t="s">
        <v>4084</v>
      </c>
      <c r="F1491" s="136" t="s">
        <v>183</v>
      </c>
      <c r="G1491" s="246">
        <v>44700</v>
      </c>
      <c r="H1491" s="246">
        <v>51100</v>
      </c>
      <c r="I1491" s="246">
        <v>57500</v>
      </c>
      <c r="J1491" s="246">
        <v>63850</v>
      </c>
      <c r="K1491" s="246">
        <v>69000</v>
      </c>
      <c r="L1491" s="246">
        <v>74100</v>
      </c>
      <c r="M1491" s="246">
        <v>79200</v>
      </c>
      <c r="N1491" s="246">
        <v>84300</v>
      </c>
    </row>
    <row r="1492" spans="3:14" ht="21.95" customHeight="1" x14ac:dyDescent="0.25">
      <c r="C1492" s="139" t="str">
        <f t="shared" si="39"/>
        <v>MO_LIVINGSTON COUNTY, MO</v>
      </c>
      <c r="D1492" s="136" t="s">
        <v>80</v>
      </c>
      <c r="E1492" s="262" t="s">
        <v>4085</v>
      </c>
      <c r="F1492" s="136" t="s">
        <v>183</v>
      </c>
      <c r="G1492" s="246">
        <v>47350</v>
      </c>
      <c r="H1492" s="246">
        <v>54100</v>
      </c>
      <c r="I1492" s="246">
        <v>60850</v>
      </c>
      <c r="J1492" s="246">
        <v>67600</v>
      </c>
      <c r="K1492" s="246">
        <v>73050</v>
      </c>
      <c r="L1492" s="246">
        <v>78450</v>
      </c>
      <c r="M1492" s="246">
        <v>83850</v>
      </c>
      <c r="N1492" s="246">
        <v>89250</v>
      </c>
    </row>
    <row r="1493" spans="3:14" ht="21.95" customHeight="1" x14ac:dyDescent="0.25">
      <c r="C1493" s="139" t="str">
        <f t="shared" si="39"/>
        <v>MO_MACON COUNTY, MO</v>
      </c>
      <c r="D1493" s="136" t="s">
        <v>80</v>
      </c>
      <c r="E1493" s="262" t="s">
        <v>4086</v>
      </c>
      <c r="F1493" s="136" t="s">
        <v>183</v>
      </c>
      <c r="G1493" s="246">
        <v>44750</v>
      </c>
      <c r="H1493" s="246">
        <v>51150</v>
      </c>
      <c r="I1493" s="246">
        <v>57550</v>
      </c>
      <c r="J1493" s="246">
        <v>63900</v>
      </c>
      <c r="K1493" s="246">
        <v>69050</v>
      </c>
      <c r="L1493" s="246">
        <v>74150</v>
      </c>
      <c r="M1493" s="246">
        <v>79250</v>
      </c>
      <c r="N1493" s="246">
        <v>84350</v>
      </c>
    </row>
    <row r="1494" spans="3:14" ht="21.95" customHeight="1" x14ac:dyDescent="0.25">
      <c r="C1494" s="139" t="str">
        <f t="shared" si="39"/>
        <v>MO_MADISON COUNTY, MO</v>
      </c>
      <c r="D1494" s="136" t="s">
        <v>80</v>
      </c>
      <c r="E1494" s="262" t="s">
        <v>4087</v>
      </c>
      <c r="F1494" s="136" t="s">
        <v>183</v>
      </c>
      <c r="G1494" s="246">
        <v>43500</v>
      </c>
      <c r="H1494" s="246">
        <v>49700</v>
      </c>
      <c r="I1494" s="246">
        <v>55900</v>
      </c>
      <c r="J1494" s="246">
        <v>62100</v>
      </c>
      <c r="K1494" s="246">
        <v>67100</v>
      </c>
      <c r="L1494" s="246">
        <v>72050</v>
      </c>
      <c r="M1494" s="246">
        <v>77050</v>
      </c>
      <c r="N1494" s="246">
        <v>82000</v>
      </c>
    </row>
    <row r="1495" spans="3:14" ht="21.95" customHeight="1" x14ac:dyDescent="0.25">
      <c r="C1495" s="139" t="str">
        <f t="shared" si="39"/>
        <v>MO_MARIES COUNTY, MO</v>
      </c>
      <c r="D1495" s="136" t="s">
        <v>80</v>
      </c>
      <c r="E1495" s="262" t="s">
        <v>4088</v>
      </c>
      <c r="F1495" s="136" t="s">
        <v>183</v>
      </c>
      <c r="G1495" s="246">
        <v>46200</v>
      </c>
      <c r="H1495" s="246">
        <v>52800</v>
      </c>
      <c r="I1495" s="246">
        <v>59400</v>
      </c>
      <c r="J1495" s="246">
        <v>66000</v>
      </c>
      <c r="K1495" s="246">
        <v>71300</v>
      </c>
      <c r="L1495" s="246">
        <v>76600</v>
      </c>
      <c r="M1495" s="246">
        <v>81850</v>
      </c>
      <c r="N1495" s="246">
        <v>87150</v>
      </c>
    </row>
    <row r="1496" spans="3:14" ht="21.95" customHeight="1" x14ac:dyDescent="0.25">
      <c r="C1496" s="139" t="str">
        <f t="shared" si="39"/>
        <v>MO_MARION COUNTY, MO</v>
      </c>
      <c r="D1496" s="136" t="s">
        <v>80</v>
      </c>
      <c r="E1496" s="262" t="s">
        <v>4089</v>
      </c>
      <c r="F1496" s="136" t="s">
        <v>183</v>
      </c>
      <c r="G1496" s="246">
        <v>46850</v>
      </c>
      <c r="H1496" s="246">
        <v>53550</v>
      </c>
      <c r="I1496" s="246">
        <v>60250</v>
      </c>
      <c r="J1496" s="246">
        <v>66900</v>
      </c>
      <c r="K1496" s="246">
        <v>72300</v>
      </c>
      <c r="L1496" s="246">
        <v>77650</v>
      </c>
      <c r="M1496" s="246">
        <v>83000</v>
      </c>
      <c r="N1496" s="246">
        <v>88350</v>
      </c>
    </row>
    <row r="1497" spans="3:14" ht="21.95" customHeight="1" x14ac:dyDescent="0.25">
      <c r="C1497" s="139" t="str">
        <f t="shared" si="39"/>
        <v>MO_MCDONALD COUNTY, MO</v>
      </c>
      <c r="D1497" s="136" t="s">
        <v>80</v>
      </c>
      <c r="E1497" s="262" t="s">
        <v>4090</v>
      </c>
      <c r="F1497" s="136" t="s">
        <v>183</v>
      </c>
      <c r="G1497" s="246">
        <v>43200</v>
      </c>
      <c r="H1497" s="246">
        <v>49400</v>
      </c>
      <c r="I1497" s="246">
        <v>55550</v>
      </c>
      <c r="J1497" s="246">
        <v>61700</v>
      </c>
      <c r="K1497" s="246">
        <v>66650</v>
      </c>
      <c r="L1497" s="246">
        <v>71600</v>
      </c>
      <c r="M1497" s="246">
        <v>76550</v>
      </c>
      <c r="N1497" s="246">
        <v>81450</v>
      </c>
    </row>
    <row r="1498" spans="3:14" ht="21.95" customHeight="1" x14ac:dyDescent="0.25">
      <c r="C1498" s="139" t="str">
        <f t="shared" si="39"/>
        <v>MO_MERCER COUNTY, MO</v>
      </c>
      <c r="D1498" s="136" t="s">
        <v>80</v>
      </c>
      <c r="E1498" s="262" t="s">
        <v>4091</v>
      </c>
      <c r="F1498" s="136" t="s">
        <v>183</v>
      </c>
      <c r="G1498" s="246">
        <v>43200</v>
      </c>
      <c r="H1498" s="246">
        <v>49400</v>
      </c>
      <c r="I1498" s="246">
        <v>55550</v>
      </c>
      <c r="J1498" s="246">
        <v>61700</v>
      </c>
      <c r="K1498" s="246">
        <v>66650</v>
      </c>
      <c r="L1498" s="246">
        <v>71600</v>
      </c>
      <c r="M1498" s="246">
        <v>76550</v>
      </c>
      <c r="N1498" s="246">
        <v>81450</v>
      </c>
    </row>
    <row r="1499" spans="3:14" ht="21.95" customHeight="1" x14ac:dyDescent="0.25">
      <c r="C1499" s="139" t="str">
        <f t="shared" si="39"/>
        <v>MO_MILLER COUNTY, MO</v>
      </c>
      <c r="D1499" s="136" t="s">
        <v>80</v>
      </c>
      <c r="E1499" s="262" t="s">
        <v>4092</v>
      </c>
      <c r="F1499" s="136" t="s">
        <v>183</v>
      </c>
      <c r="G1499" s="246">
        <v>44750</v>
      </c>
      <c r="H1499" s="246">
        <v>51150</v>
      </c>
      <c r="I1499" s="246">
        <v>57550</v>
      </c>
      <c r="J1499" s="246">
        <v>63900</v>
      </c>
      <c r="K1499" s="246">
        <v>69050</v>
      </c>
      <c r="L1499" s="246">
        <v>74150</v>
      </c>
      <c r="M1499" s="246">
        <v>79250</v>
      </c>
      <c r="N1499" s="246">
        <v>84350</v>
      </c>
    </row>
    <row r="1500" spans="3:14" ht="21.95" customHeight="1" x14ac:dyDescent="0.25">
      <c r="C1500" s="139" t="str">
        <f t="shared" si="39"/>
        <v>MO_MISSISSIPPI COUNTY, MO</v>
      </c>
      <c r="D1500" s="136" t="s">
        <v>80</v>
      </c>
      <c r="E1500" s="262" t="s">
        <v>4093</v>
      </c>
      <c r="F1500" s="136" t="s">
        <v>183</v>
      </c>
      <c r="G1500" s="246">
        <v>43200</v>
      </c>
      <c r="H1500" s="246">
        <v>49400</v>
      </c>
      <c r="I1500" s="246">
        <v>55550</v>
      </c>
      <c r="J1500" s="246">
        <v>61700</v>
      </c>
      <c r="K1500" s="246">
        <v>66650</v>
      </c>
      <c r="L1500" s="246">
        <v>71600</v>
      </c>
      <c r="M1500" s="246">
        <v>76550</v>
      </c>
      <c r="N1500" s="246">
        <v>81450</v>
      </c>
    </row>
    <row r="1501" spans="3:14" ht="21.95" customHeight="1" x14ac:dyDescent="0.25">
      <c r="C1501" s="139" t="str">
        <f t="shared" si="39"/>
        <v>MO_MONITEAU COUNTY, MO HUD METRO FMR AREA</v>
      </c>
      <c r="D1501" s="136" t="s">
        <v>80</v>
      </c>
      <c r="E1501" s="262" t="s">
        <v>4094</v>
      </c>
      <c r="F1501" s="136" t="s">
        <v>183</v>
      </c>
      <c r="G1501" s="246">
        <v>51800</v>
      </c>
      <c r="H1501" s="246">
        <v>59200</v>
      </c>
      <c r="I1501" s="246">
        <v>66600</v>
      </c>
      <c r="J1501" s="246">
        <v>74000</v>
      </c>
      <c r="K1501" s="246">
        <v>79950</v>
      </c>
      <c r="L1501" s="246">
        <v>85850</v>
      </c>
      <c r="M1501" s="246">
        <v>91800</v>
      </c>
      <c r="N1501" s="246">
        <v>97700</v>
      </c>
    </row>
    <row r="1502" spans="3:14" ht="21.95" customHeight="1" x14ac:dyDescent="0.25">
      <c r="C1502" s="139" t="str">
        <f t="shared" si="39"/>
        <v>MO_MONROE COUNTY, MO</v>
      </c>
      <c r="D1502" s="136" t="s">
        <v>80</v>
      </c>
      <c r="E1502" s="262" t="s">
        <v>4095</v>
      </c>
      <c r="F1502" s="136" t="s">
        <v>183</v>
      </c>
      <c r="G1502" s="246">
        <v>44050</v>
      </c>
      <c r="H1502" s="246">
        <v>50350</v>
      </c>
      <c r="I1502" s="246">
        <v>56650</v>
      </c>
      <c r="J1502" s="246">
        <v>62900</v>
      </c>
      <c r="K1502" s="246">
        <v>67950</v>
      </c>
      <c r="L1502" s="246">
        <v>73000</v>
      </c>
      <c r="M1502" s="246">
        <v>78000</v>
      </c>
      <c r="N1502" s="246">
        <v>83050</v>
      </c>
    </row>
    <row r="1503" spans="3:14" ht="21.95" customHeight="1" x14ac:dyDescent="0.25">
      <c r="C1503" s="139" t="str">
        <f t="shared" si="39"/>
        <v>MO_MONTGOMERY COUNTY, MO</v>
      </c>
      <c r="D1503" s="136" t="s">
        <v>80</v>
      </c>
      <c r="E1503" s="262" t="s">
        <v>4096</v>
      </c>
      <c r="F1503" s="136" t="s">
        <v>183</v>
      </c>
      <c r="G1503" s="246">
        <v>44900</v>
      </c>
      <c r="H1503" s="246">
        <v>51300</v>
      </c>
      <c r="I1503" s="246">
        <v>57700</v>
      </c>
      <c r="J1503" s="246">
        <v>64100</v>
      </c>
      <c r="K1503" s="246">
        <v>69250</v>
      </c>
      <c r="L1503" s="246">
        <v>74400</v>
      </c>
      <c r="M1503" s="246">
        <v>79500</v>
      </c>
      <c r="N1503" s="246">
        <v>84650</v>
      </c>
    </row>
    <row r="1504" spans="3:14" ht="21.95" customHeight="1" x14ac:dyDescent="0.25">
      <c r="C1504" s="139" t="str">
        <f t="shared" si="39"/>
        <v>MO_MORGAN COUNTY, MO</v>
      </c>
      <c r="D1504" s="136" t="s">
        <v>80</v>
      </c>
      <c r="E1504" s="262" t="s">
        <v>4097</v>
      </c>
      <c r="F1504" s="136" t="s">
        <v>183</v>
      </c>
      <c r="G1504" s="246">
        <v>43200</v>
      </c>
      <c r="H1504" s="246">
        <v>49400</v>
      </c>
      <c r="I1504" s="246">
        <v>55550</v>
      </c>
      <c r="J1504" s="246">
        <v>61700</v>
      </c>
      <c r="K1504" s="246">
        <v>66650</v>
      </c>
      <c r="L1504" s="246">
        <v>71600</v>
      </c>
      <c r="M1504" s="246">
        <v>76550</v>
      </c>
      <c r="N1504" s="246">
        <v>81450</v>
      </c>
    </row>
    <row r="1505" spans="3:14" ht="21.95" customHeight="1" x14ac:dyDescent="0.25">
      <c r="C1505" s="139" t="str">
        <f t="shared" si="39"/>
        <v>MO_NEW MADRID COUNTY, MO</v>
      </c>
      <c r="D1505" s="136" t="s">
        <v>80</v>
      </c>
      <c r="E1505" s="262" t="s">
        <v>4098</v>
      </c>
      <c r="F1505" s="136" t="s">
        <v>183</v>
      </c>
      <c r="G1505" s="246">
        <v>43200</v>
      </c>
      <c r="H1505" s="246">
        <v>49400</v>
      </c>
      <c r="I1505" s="246">
        <v>55550</v>
      </c>
      <c r="J1505" s="246">
        <v>61700</v>
      </c>
      <c r="K1505" s="246">
        <v>66650</v>
      </c>
      <c r="L1505" s="246">
        <v>71600</v>
      </c>
      <c r="M1505" s="246">
        <v>76550</v>
      </c>
      <c r="N1505" s="246">
        <v>81450</v>
      </c>
    </row>
    <row r="1506" spans="3:14" ht="21.95" customHeight="1" x14ac:dyDescent="0.25">
      <c r="C1506" s="139" t="str">
        <f t="shared" si="39"/>
        <v>MO_NODAWAY COUNTY, MO</v>
      </c>
      <c r="D1506" s="136" t="s">
        <v>80</v>
      </c>
      <c r="E1506" s="262" t="s">
        <v>4099</v>
      </c>
      <c r="F1506" s="136" t="s">
        <v>183</v>
      </c>
      <c r="G1506" s="246">
        <v>48800</v>
      </c>
      <c r="H1506" s="246">
        <v>55800</v>
      </c>
      <c r="I1506" s="246">
        <v>62750</v>
      </c>
      <c r="J1506" s="246">
        <v>69700</v>
      </c>
      <c r="K1506" s="246">
        <v>75300</v>
      </c>
      <c r="L1506" s="246">
        <v>80900</v>
      </c>
      <c r="M1506" s="246">
        <v>86450</v>
      </c>
      <c r="N1506" s="246">
        <v>92050</v>
      </c>
    </row>
    <row r="1507" spans="3:14" ht="21.95" customHeight="1" x14ac:dyDescent="0.25">
      <c r="C1507" s="139" t="str">
        <f t="shared" si="39"/>
        <v>MO_OREGON COUNTY, MO</v>
      </c>
      <c r="D1507" s="136" t="s">
        <v>80</v>
      </c>
      <c r="E1507" s="262" t="s">
        <v>4100</v>
      </c>
      <c r="F1507" s="136" t="s">
        <v>183</v>
      </c>
      <c r="G1507" s="246">
        <v>43200</v>
      </c>
      <c r="H1507" s="246">
        <v>49400</v>
      </c>
      <c r="I1507" s="246">
        <v>55550</v>
      </c>
      <c r="J1507" s="246">
        <v>61700</v>
      </c>
      <c r="K1507" s="246">
        <v>66650</v>
      </c>
      <c r="L1507" s="246">
        <v>71600</v>
      </c>
      <c r="M1507" s="246">
        <v>76550</v>
      </c>
      <c r="N1507" s="246">
        <v>81450</v>
      </c>
    </row>
    <row r="1508" spans="3:14" ht="21.95" customHeight="1" x14ac:dyDescent="0.25">
      <c r="C1508" s="139" t="str">
        <f t="shared" si="39"/>
        <v>MO_OZARK COUNTY, MO</v>
      </c>
      <c r="D1508" s="136" t="s">
        <v>80</v>
      </c>
      <c r="E1508" s="262" t="s">
        <v>4101</v>
      </c>
      <c r="F1508" s="136" t="s">
        <v>183</v>
      </c>
      <c r="G1508" s="246">
        <v>43200</v>
      </c>
      <c r="H1508" s="246">
        <v>49400</v>
      </c>
      <c r="I1508" s="246">
        <v>55550</v>
      </c>
      <c r="J1508" s="246">
        <v>61700</v>
      </c>
      <c r="K1508" s="246">
        <v>66650</v>
      </c>
      <c r="L1508" s="246">
        <v>71600</v>
      </c>
      <c r="M1508" s="246">
        <v>76550</v>
      </c>
      <c r="N1508" s="246">
        <v>81450</v>
      </c>
    </row>
    <row r="1509" spans="3:14" ht="21.95" customHeight="1" x14ac:dyDescent="0.25">
      <c r="C1509" s="139" t="str">
        <f t="shared" si="39"/>
        <v>MO_PEMISCOT COUNTY, MO</v>
      </c>
      <c r="D1509" s="136" t="s">
        <v>80</v>
      </c>
      <c r="E1509" s="262" t="s">
        <v>4102</v>
      </c>
      <c r="F1509" s="136" t="s">
        <v>183</v>
      </c>
      <c r="G1509" s="246">
        <v>43200</v>
      </c>
      <c r="H1509" s="246">
        <v>49400</v>
      </c>
      <c r="I1509" s="246">
        <v>55550</v>
      </c>
      <c r="J1509" s="246">
        <v>61700</v>
      </c>
      <c r="K1509" s="246">
        <v>66650</v>
      </c>
      <c r="L1509" s="246">
        <v>71600</v>
      </c>
      <c r="M1509" s="246">
        <v>76550</v>
      </c>
      <c r="N1509" s="246">
        <v>81450</v>
      </c>
    </row>
    <row r="1510" spans="3:14" ht="21.95" customHeight="1" x14ac:dyDescent="0.25">
      <c r="C1510" s="139" t="str">
        <f t="shared" si="39"/>
        <v>MO_PERRY COUNTY, MO</v>
      </c>
      <c r="D1510" s="136" t="s">
        <v>80</v>
      </c>
      <c r="E1510" s="262" t="s">
        <v>4103</v>
      </c>
      <c r="F1510" s="136" t="s">
        <v>183</v>
      </c>
      <c r="G1510" s="246">
        <v>49250</v>
      </c>
      <c r="H1510" s="246">
        <v>56250</v>
      </c>
      <c r="I1510" s="246">
        <v>63300</v>
      </c>
      <c r="J1510" s="246">
        <v>70300</v>
      </c>
      <c r="K1510" s="246">
        <v>75950</v>
      </c>
      <c r="L1510" s="246">
        <v>81550</v>
      </c>
      <c r="M1510" s="246">
        <v>87200</v>
      </c>
      <c r="N1510" s="246">
        <v>92800</v>
      </c>
    </row>
    <row r="1511" spans="3:14" ht="21.95" customHeight="1" x14ac:dyDescent="0.25">
      <c r="C1511" s="139" t="str">
        <f t="shared" si="39"/>
        <v>MO_PETTIS COUNTY, MO</v>
      </c>
      <c r="D1511" s="136" t="s">
        <v>80</v>
      </c>
      <c r="E1511" s="262" t="s">
        <v>4104</v>
      </c>
      <c r="F1511" s="136" t="s">
        <v>183</v>
      </c>
      <c r="G1511" s="246">
        <v>44150</v>
      </c>
      <c r="H1511" s="246">
        <v>50450</v>
      </c>
      <c r="I1511" s="246">
        <v>56750</v>
      </c>
      <c r="J1511" s="246">
        <v>63050</v>
      </c>
      <c r="K1511" s="246">
        <v>68100</v>
      </c>
      <c r="L1511" s="246">
        <v>73150</v>
      </c>
      <c r="M1511" s="246">
        <v>78200</v>
      </c>
      <c r="N1511" s="246">
        <v>83250</v>
      </c>
    </row>
    <row r="1512" spans="3:14" ht="21.95" customHeight="1" x14ac:dyDescent="0.25">
      <c r="C1512" s="139" t="str">
        <f t="shared" si="39"/>
        <v>MO_PHELPS COUNTY, MO</v>
      </c>
      <c r="D1512" s="136" t="s">
        <v>80</v>
      </c>
      <c r="E1512" s="262" t="s">
        <v>4105</v>
      </c>
      <c r="F1512" s="136" t="s">
        <v>183</v>
      </c>
      <c r="G1512" s="246">
        <v>43400</v>
      </c>
      <c r="H1512" s="246">
        <v>49600</v>
      </c>
      <c r="I1512" s="246">
        <v>55800</v>
      </c>
      <c r="J1512" s="246">
        <v>62000</v>
      </c>
      <c r="K1512" s="246">
        <v>67000</v>
      </c>
      <c r="L1512" s="246">
        <v>71950</v>
      </c>
      <c r="M1512" s="246">
        <v>76900</v>
      </c>
      <c r="N1512" s="246">
        <v>81850</v>
      </c>
    </row>
    <row r="1513" spans="3:14" ht="21.95" customHeight="1" x14ac:dyDescent="0.25">
      <c r="C1513" s="139" t="str">
        <f t="shared" si="39"/>
        <v>MO_PIKE COUNTY, MO</v>
      </c>
      <c r="D1513" s="136" t="s">
        <v>80</v>
      </c>
      <c r="E1513" s="262" t="s">
        <v>4106</v>
      </c>
      <c r="F1513" s="136" t="s">
        <v>183</v>
      </c>
      <c r="G1513" s="246">
        <v>46700</v>
      </c>
      <c r="H1513" s="246">
        <v>53350</v>
      </c>
      <c r="I1513" s="246">
        <v>60000</v>
      </c>
      <c r="J1513" s="246">
        <v>66650</v>
      </c>
      <c r="K1513" s="246">
        <v>72000</v>
      </c>
      <c r="L1513" s="246">
        <v>77350</v>
      </c>
      <c r="M1513" s="246">
        <v>82650</v>
      </c>
      <c r="N1513" s="246">
        <v>88000</v>
      </c>
    </row>
    <row r="1514" spans="3:14" ht="21.95" customHeight="1" x14ac:dyDescent="0.25">
      <c r="C1514" s="139" t="str">
        <f t="shared" si="39"/>
        <v>MO_POLK COUNTY, MO HUD METRO FMR AREA</v>
      </c>
      <c r="D1514" s="136" t="s">
        <v>80</v>
      </c>
      <c r="E1514" s="262" t="s">
        <v>4107</v>
      </c>
      <c r="F1514" s="136" t="s">
        <v>183</v>
      </c>
      <c r="G1514" s="246">
        <v>43200</v>
      </c>
      <c r="H1514" s="246">
        <v>49400</v>
      </c>
      <c r="I1514" s="246">
        <v>55550</v>
      </c>
      <c r="J1514" s="246">
        <v>61700</v>
      </c>
      <c r="K1514" s="246">
        <v>66650</v>
      </c>
      <c r="L1514" s="246">
        <v>71600</v>
      </c>
      <c r="M1514" s="246">
        <v>76550</v>
      </c>
      <c r="N1514" s="246">
        <v>81450</v>
      </c>
    </row>
    <row r="1515" spans="3:14" ht="21.95" customHeight="1" x14ac:dyDescent="0.25">
      <c r="C1515" s="139" t="str">
        <f t="shared" si="39"/>
        <v>MO_PULASKI COUNTY, MO</v>
      </c>
      <c r="D1515" s="136" t="s">
        <v>80</v>
      </c>
      <c r="E1515" s="262" t="s">
        <v>4108</v>
      </c>
      <c r="F1515" s="136" t="s">
        <v>183</v>
      </c>
      <c r="G1515" s="246">
        <v>49400</v>
      </c>
      <c r="H1515" s="246">
        <v>56450</v>
      </c>
      <c r="I1515" s="246">
        <v>63500</v>
      </c>
      <c r="J1515" s="246">
        <v>70550</v>
      </c>
      <c r="K1515" s="246">
        <v>76200</v>
      </c>
      <c r="L1515" s="246">
        <v>81850</v>
      </c>
      <c r="M1515" s="246">
        <v>87500</v>
      </c>
      <c r="N1515" s="246">
        <v>93150</v>
      </c>
    </row>
    <row r="1516" spans="3:14" ht="21.95" customHeight="1" x14ac:dyDescent="0.25">
      <c r="C1516" s="139" t="str">
        <f t="shared" si="39"/>
        <v>MO_PUTNAM COUNTY, MO</v>
      </c>
      <c r="D1516" s="136" t="s">
        <v>80</v>
      </c>
      <c r="E1516" s="262" t="s">
        <v>4109</v>
      </c>
      <c r="F1516" s="136" t="s">
        <v>183</v>
      </c>
      <c r="G1516" s="246">
        <v>44750</v>
      </c>
      <c r="H1516" s="246">
        <v>51150</v>
      </c>
      <c r="I1516" s="246">
        <v>57550</v>
      </c>
      <c r="J1516" s="246">
        <v>63900</v>
      </c>
      <c r="K1516" s="246">
        <v>69050</v>
      </c>
      <c r="L1516" s="246">
        <v>74150</v>
      </c>
      <c r="M1516" s="246">
        <v>79250</v>
      </c>
      <c r="N1516" s="246">
        <v>84350</v>
      </c>
    </row>
    <row r="1517" spans="3:14" ht="21.95" customHeight="1" x14ac:dyDescent="0.25">
      <c r="C1517" s="139" t="str">
        <f t="shared" si="39"/>
        <v>MO_RALLS COUNTY, MO</v>
      </c>
      <c r="D1517" s="136" t="s">
        <v>80</v>
      </c>
      <c r="E1517" s="262" t="s">
        <v>4110</v>
      </c>
      <c r="F1517" s="136" t="s">
        <v>183</v>
      </c>
      <c r="G1517" s="246">
        <v>49600</v>
      </c>
      <c r="H1517" s="246">
        <v>56650</v>
      </c>
      <c r="I1517" s="246">
        <v>63750</v>
      </c>
      <c r="J1517" s="246">
        <v>70800</v>
      </c>
      <c r="K1517" s="246">
        <v>76500</v>
      </c>
      <c r="L1517" s="246">
        <v>82150</v>
      </c>
      <c r="M1517" s="246">
        <v>87800</v>
      </c>
      <c r="N1517" s="246">
        <v>93500</v>
      </c>
    </row>
    <row r="1518" spans="3:14" ht="21.95" customHeight="1" x14ac:dyDescent="0.25">
      <c r="C1518" s="139" t="str">
        <f t="shared" si="39"/>
        <v>MO_RANDOLPH COUNTY, MO</v>
      </c>
      <c r="D1518" s="136" t="s">
        <v>80</v>
      </c>
      <c r="E1518" s="262" t="s">
        <v>4111</v>
      </c>
      <c r="F1518" s="136" t="s">
        <v>183</v>
      </c>
      <c r="G1518" s="246">
        <v>43300</v>
      </c>
      <c r="H1518" s="246">
        <v>49500</v>
      </c>
      <c r="I1518" s="246">
        <v>55700</v>
      </c>
      <c r="J1518" s="246">
        <v>61850</v>
      </c>
      <c r="K1518" s="246">
        <v>66800</v>
      </c>
      <c r="L1518" s="246">
        <v>71750</v>
      </c>
      <c r="M1518" s="246">
        <v>76700</v>
      </c>
      <c r="N1518" s="246">
        <v>81650</v>
      </c>
    </row>
    <row r="1519" spans="3:14" ht="21.95" customHeight="1" x14ac:dyDescent="0.25">
      <c r="C1519" s="139" t="str">
        <f t="shared" si="39"/>
        <v>MO_REYNOLDS COUNTY, MO</v>
      </c>
      <c r="D1519" s="136" t="s">
        <v>80</v>
      </c>
      <c r="E1519" s="262" t="s">
        <v>4112</v>
      </c>
      <c r="F1519" s="136" t="s">
        <v>183</v>
      </c>
      <c r="G1519" s="246">
        <v>43200</v>
      </c>
      <c r="H1519" s="246">
        <v>49400</v>
      </c>
      <c r="I1519" s="246">
        <v>55550</v>
      </c>
      <c r="J1519" s="246">
        <v>61700</v>
      </c>
      <c r="K1519" s="246">
        <v>66650</v>
      </c>
      <c r="L1519" s="246">
        <v>71600</v>
      </c>
      <c r="M1519" s="246">
        <v>76550</v>
      </c>
      <c r="N1519" s="246">
        <v>81450</v>
      </c>
    </row>
    <row r="1520" spans="3:14" ht="21.95" customHeight="1" x14ac:dyDescent="0.25">
      <c r="C1520" s="139" t="str">
        <f t="shared" si="39"/>
        <v>MO_RIPLEY COUNTY, MO</v>
      </c>
      <c r="D1520" s="136" t="s">
        <v>80</v>
      </c>
      <c r="E1520" s="262" t="s">
        <v>4113</v>
      </c>
      <c r="F1520" s="136" t="s">
        <v>183</v>
      </c>
      <c r="G1520" s="246">
        <v>43200</v>
      </c>
      <c r="H1520" s="246">
        <v>49400</v>
      </c>
      <c r="I1520" s="246">
        <v>55550</v>
      </c>
      <c r="J1520" s="246">
        <v>61700</v>
      </c>
      <c r="K1520" s="246">
        <v>66650</v>
      </c>
      <c r="L1520" s="246">
        <v>71600</v>
      </c>
      <c r="M1520" s="246">
        <v>76550</v>
      </c>
      <c r="N1520" s="246">
        <v>81450</v>
      </c>
    </row>
    <row r="1521" spans="3:14" ht="21.95" customHeight="1" x14ac:dyDescent="0.25">
      <c r="C1521" s="139" t="str">
        <f t="shared" si="39"/>
        <v>MO_SALINE COUNTY, MO</v>
      </c>
      <c r="D1521" s="136" t="s">
        <v>80</v>
      </c>
      <c r="E1521" s="262" t="s">
        <v>4114</v>
      </c>
      <c r="F1521" s="136" t="s">
        <v>183</v>
      </c>
      <c r="G1521" s="246">
        <v>45300</v>
      </c>
      <c r="H1521" s="246">
        <v>51800</v>
      </c>
      <c r="I1521" s="246">
        <v>58250</v>
      </c>
      <c r="J1521" s="246">
        <v>64700</v>
      </c>
      <c r="K1521" s="246">
        <v>69900</v>
      </c>
      <c r="L1521" s="246">
        <v>75100</v>
      </c>
      <c r="M1521" s="246">
        <v>80250</v>
      </c>
      <c r="N1521" s="246">
        <v>85450</v>
      </c>
    </row>
    <row r="1522" spans="3:14" ht="21.95" customHeight="1" x14ac:dyDescent="0.25">
      <c r="C1522" s="139" t="str">
        <f t="shared" si="39"/>
        <v>MO_SCHUYLER COUNTY, MO</v>
      </c>
      <c r="D1522" s="136" t="s">
        <v>80</v>
      </c>
      <c r="E1522" s="262" t="s">
        <v>4115</v>
      </c>
      <c r="F1522" s="136" t="s">
        <v>183</v>
      </c>
      <c r="G1522" s="246">
        <v>43200</v>
      </c>
      <c r="H1522" s="246">
        <v>49400</v>
      </c>
      <c r="I1522" s="246">
        <v>55550</v>
      </c>
      <c r="J1522" s="246">
        <v>61700</v>
      </c>
      <c r="K1522" s="246">
        <v>66650</v>
      </c>
      <c r="L1522" s="246">
        <v>71600</v>
      </c>
      <c r="M1522" s="246">
        <v>76550</v>
      </c>
      <c r="N1522" s="246">
        <v>81450</v>
      </c>
    </row>
    <row r="1523" spans="3:14" ht="21.95" customHeight="1" x14ac:dyDescent="0.25">
      <c r="C1523" s="139" t="str">
        <f t="shared" si="39"/>
        <v>MO_SCOTLAND COUNTY, MO</v>
      </c>
      <c r="D1523" s="136" t="s">
        <v>80</v>
      </c>
      <c r="E1523" s="262" t="s">
        <v>4116</v>
      </c>
      <c r="F1523" s="136" t="s">
        <v>183</v>
      </c>
      <c r="G1523" s="246">
        <v>44050</v>
      </c>
      <c r="H1523" s="246">
        <v>50350</v>
      </c>
      <c r="I1523" s="246">
        <v>56650</v>
      </c>
      <c r="J1523" s="246">
        <v>62900</v>
      </c>
      <c r="K1523" s="246">
        <v>67950</v>
      </c>
      <c r="L1523" s="246">
        <v>73000</v>
      </c>
      <c r="M1523" s="246">
        <v>78000</v>
      </c>
      <c r="N1523" s="246">
        <v>83050</v>
      </c>
    </row>
    <row r="1524" spans="3:14" ht="21.95" customHeight="1" x14ac:dyDescent="0.25">
      <c r="C1524" s="139" t="str">
        <f t="shared" si="39"/>
        <v>MO_SCOTT COUNTY, MO</v>
      </c>
      <c r="D1524" s="136" t="s">
        <v>80</v>
      </c>
      <c r="E1524" s="262" t="s">
        <v>4117</v>
      </c>
      <c r="F1524" s="136" t="s">
        <v>183</v>
      </c>
      <c r="G1524" s="246">
        <v>43200</v>
      </c>
      <c r="H1524" s="246">
        <v>49400</v>
      </c>
      <c r="I1524" s="246">
        <v>55550</v>
      </c>
      <c r="J1524" s="246">
        <v>61700</v>
      </c>
      <c r="K1524" s="246">
        <v>66650</v>
      </c>
      <c r="L1524" s="246">
        <v>71600</v>
      </c>
      <c r="M1524" s="246">
        <v>76550</v>
      </c>
      <c r="N1524" s="246">
        <v>81450</v>
      </c>
    </row>
    <row r="1525" spans="3:14" ht="21.95" customHeight="1" x14ac:dyDescent="0.25">
      <c r="C1525" s="139" t="str">
        <f t="shared" si="39"/>
        <v>MO_SHANNON COUNTY, MO</v>
      </c>
      <c r="D1525" s="136" t="s">
        <v>80</v>
      </c>
      <c r="E1525" s="262" t="s">
        <v>4118</v>
      </c>
      <c r="F1525" s="136" t="s">
        <v>183</v>
      </c>
      <c r="G1525" s="246">
        <v>43200</v>
      </c>
      <c r="H1525" s="246">
        <v>49400</v>
      </c>
      <c r="I1525" s="246">
        <v>55550</v>
      </c>
      <c r="J1525" s="246">
        <v>61700</v>
      </c>
      <c r="K1525" s="246">
        <v>66650</v>
      </c>
      <c r="L1525" s="246">
        <v>71600</v>
      </c>
      <c r="M1525" s="246">
        <v>76550</v>
      </c>
      <c r="N1525" s="246">
        <v>81450</v>
      </c>
    </row>
    <row r="1526" spans="3:14" ht="21.95" customHeight="1" x14ac:dyDescent="0.25">
      <c r="C1526" s="139" t="str">
        <f t="shared" si="39"/>
        <v>MO_SHELBY COUNTY, MO</v>
      </c>
      <c r="D1526" s="136" t="s">
        <v>80</v>
      </c>
      <c r="E1526" s="262" t="s">
        <v>4119</v>
      </c>
      <c r="F1526" s="136" t="s">
        <v>183</v>
      </c>
      <c r="G1526" s="246">
        <v>43200</v>
      </c>
      <c r="H1526" s="246">
        <v>49400</v>
      </c>
      <c r="I1526" s="246">
        <v>55550</v>
      </c>
      <c r="J1526" s="246">
        <v>61700</v>
      </c>
      <c r="K1526" s="246">
        <v>66650</v>
      </c>
      <c r="L1526" s="246">
        <v>71600</v>
      </c>
      <c r="M1526" s="246">
        <v>76550</v>
      </c>
      <c r="N1526" s="246">
        <v>81450</v>
      </c>
    </row>
    <row r="1527" spans="3:14" ht="21.95" customHeight="1" x14ac:dyDescent="0.25">
      <c r="C1527" s="139" t="str">
        <f t="shared" si="39"/>
        <v>MO_SPRINGFIELD, MO HUD METRO FMR AREA</v>
      </c>
      <c r="D1527" s="136" t="s">
        <v>80</v>
      </c>
      <c r="E1527" s="262" t="s">
        <v>4120</v>
      </c>
      <c r="F1527" s="136" t="s">
        <v>183</v>
      </c>
      <c r="G1527" s="246">
        <v>49850</v>
      </c>
      <c r="H1527" s="246">
        <v>57000</v>
      </c>
      <c r="I1527" s="246">
        <v>64100</v>
      </c>
      <c r="J1527" s="246">
        <v>71200</v>
      </c>
      <c r="K1527" s="246">
        <v>76900</v>
      </c>
      <c r="L1527" s="246">
        <v>82600</v>
      </c>
      <c r="M1527" s="246">
        <v>88300</v>
      </c>
      <c r="N1527" s="246">
        <v>94000</v>
      </c>
    </row>
    <row r="1528" spans="3:14" ht="21.95" customHeight="1" x14ac:dyDescent="0.25">
      <c r="C1528" s="139" t="str">
        <f t="shared" si="39"/>
        <v>MO_ST. CLAIR COUNTY, MO</v>
      </c>
      <c r="D1528" s="136" t="s">
        <v>80</v>
      </c>
      <c r="E1528" s="262" t="s">
        <v>4121</v>
      </c>
      <c r="F1528" s="136" t="s">
        <v>183</v>
      </c>
      <c r="G1528" s="246">
        <v>43200</v>
      </c>
      <c r="H1528" s="246">
        <v>49400</v>
      </c>
      <c r="I1528" s="246">
        <v>55550</v>
      </c>
      <c r="J1528" s="246">
        <v>61700</v>
      </c>
      <c r="K1528" s="246">
        <v>66650</v>
      </c>
      <c r="L1528" s="246">
        <v>71600</v>
      </c>
      <c r="M1528" s="246">
        <v>76550</v>
      </c>
      <c r="N1528" s="246">
        <v>81450</v>
      </c>
    </row>
    <row r="1529" spans="3:14" ht="21.95" customHeight="1" x14ac:dyDescent="0.25">
      <c r="C1529" s="139" t="str">
        <f t="shared" si="39"/>
        <v>MO_STE. GENEVIEVE COUNTY, MO</v>
      </c>
      <c r="D1529" s="136" t="s">
        <v>80</v>
      </c>
      <c r="E1529" s="262" t="s">
        <v>4123</v>
      </c>
      <c r="F1529" s="136" t="s">
        <v>183</v>
      </c>
      <c r="G1529" s="246">
        <v>52000</v>
      </c>
      <c r="H1529" s="246">
        <v>59400</v>
      </c>
      <c r="I1529" s="246">
        <v>66850</v>
      </c>
      <c r="J1529" s="246">
        <v>74250</v>
      </c>
      <c r="K1529" s="246">
        <v>80200</v>
      </c>
      <c r="L1529" s="246">
        <v>86150</v>
      </c>
      <c r="M1529" s="246">
        <v>92100</v>
      </c>
      <c r="N1529" s="246">
        <v>98050</v>
      </c>
    </row>
    <row r="1530" spans="3:14" ht="21.95" customHeight="1" x14ac:dyDescent="0.25">
      <c r="C1530" s="139" t="str">
        <f t="shared" si="39"/>
        <v>MO_ST. FRANCOIS COUNTY, MO</v>
      </c>
      <c r="D1530" s="136" t="s">
        <v>80</v>
      </c>
      <c r="E1530" s="262" t="s">
        <v>4122</v>
      </c>
      <c r="F1530" s="136" t="s">
        <v>183</v>
      </c>
      <c r="G1530" s="246">
        <v>43200</v>
      </c>
      <c r="H1530" s="246">
        <v>49400</v>
      </c>
      <c r="I1530" s="246">
        <v>55550</v>
      </c>
      <c r="J1530" s="246">
        <v>61700</v>
      </c>
      <c r="K1530" s="246">
        <v>66650</v>
      </c>
      <c r="L1530" s="246">
        <v>71600</v>
      </c>
      <c r="M1530" s="246">
        <v>76550</v>
      </c>
      <c r="N1530" s="246">
        <v>81450</v>
      </c>
    </row>
    <row r="1531" spans="3:14" ht="21.95" customHeight="1" x14ac:dyDescent="0.25">
      <c r="C1531" s="139" t="str">
        <f t="shared" si="39"/>
        <v>MO_ST. JOSEPH, MO-KS MSA</v>
      </c>
      <c r="D1531" s="136" t="s">
        <v>80</v>
      </c>
      <c r="E1531" s="262" t="s">
        <v>3719</v>
      </c>
      <c r="F1531" s="136" t="s">
        <v>183</v>
      </c>
      <c r="G1531" s="246">
        <v>46700</v>
      </c>
      <c r="H1531" s="246">
        <v>53400</v>
      </c>
      <c r="I1531" s="246">
        <v>60050</v>
      </c>
      <c r="J1531" s="246">
        <v>66700</v>
      </c>
      <c r="K1531" s="246">
        <v>72050</v>
      </c>
      <c r="L1531" s="246">
        <v>77400</v>
      </c>
      <c r="M1531" s="246">
        <v>82750</v>
      </c>
      <c r="N1531" s="246">
        <v>88050</v>
      </c>
    </row>
    <row r="1532" spans="3:14" ht="21.95" customHeight="1" x14ac:dyDescent="0.25">
      <c r="C1532" s="139" t="str">
        <f t="shared" si="39"/>
        <v>MO_ST. LOUIS, MO-IL HUD METRO FMR AREA</v>
      </c>
      <c r="D1532" s="136" t="s">
        <v>80</v>
      </c>
      <c r="E1532" s="262" t="s">
        <v>3565</v>
      </c>
      <c r="F1532" s="136" t="s">
        <v>183</v>
      </c>
      <c r="G1532" s="246">
        <v>62400</v>
      </c>
      <c r="H1532" s="246">
        <v>71300</v>
      </c>
      <c r="I1532" s="246">
        <v>80200</v>
      </c>
      <c r="J1532" s="246">
        <v>89100</v>
      </c>
      <c r="K1532" s="246">
        <v>96250</v>
      </c>
      <c r="L1532" s="246">
        <v>103400</v>
      </c>
      <c r="M1532" s="246">
        <v>110500</v>
      </c>
      <c r="N1532" s="246">
        <v>117650</v>
      </c>
    </row>
    <row r="1533" spans="3:14" ht="21.95" customHeight="1" x14ac:dyDescent="0.25">
      <c r="C1533" s="139" t="str">
        <f t="shared" si="39"/>
        <v>MO_STODDARD COUNTY, MO</v>
      </c>
      <c r="D1533" s="136" t="s">
        <v>80</v>
      </c>
      <c r="E1533" s="262" t="s">
        <v>4124</v>
      </c>
      <c r="F1533" s="136" t="s">
        <v>183</v>
      </c>
      <c r="G1533" s="246">
        <v>43200</v>
      </c>
      <c r="H1533" s="246">
        <v>49400</v>
      </c>
      <c r="I1533" s="246">
        <v>55550</v>
      </c>
      <c r="J1533" s="246">
        <v>61700</v>
      </c>
      <c r="K1533" s="246">
        <v>66650</v>
      </c>
      <c r="L1533" s="246">
        <v>71600</v>
      </c>
      <c r="M1533" s="246">
        <v>76550</v>
      </c>
      <c r="N1533" s="246">
        <v>81450</v>
      </c>
    </row>
    <row r="1534" spans="3:14" ht="21.95" customHeight="1" x14ac:dyDescent="0.25">
      <c r="C1534" s="139" t="str">
        <f t="shared" si="39"/>
        <v>MO_STONE COUNTY, MO</v>
      </c>
      <c r="D1534" s="136" t="s">
        <v>80</v>
      </c>
      <c r="E1534" s="262" t="s">
        <v>4125</v>
      </c>
      <c r="F1534" s="136" t="s">
        <v>183</v>
      </c>
      <c r="G1534" s="246">
        <v>43350</v>
      </c>
      <c r="H1534" s="246">
        <v>49550</v>
      </c>
      <c r="I1534" s="246">
        <v>55750</v>
      </c>
      <c r="J1534" s="246">
        <v>61900</v>
      </c>
      <c r="K1534" s="246">
        <v>66900</v>
      </c>
      <c r="L1534" s="246">
        <v>71850</v>
      </c>
      <c r="M1534" s="246">
        <v>76800</v>
      </c>
      <c r="N1534" s="246">
        <v>81750</v>
      </c>
    </row>
    <row r="1535" spans="3:14" ht="21.95" customHeight="1" x14ac:dyDescent="0.25">
      <c r="C1535" s="139" t="str">
        <f t="shared" si="39"/>
        <v>MO_SULLIVAN COUNTY, MO</v>
      </c>
      <c r="D1535" s="136" t="s">
        <v>80</v>
      </c>
      <c r="E1535" s="262" t="s">
        <v>4126</v>
      </c>
      <c r="F1535" s="136" t="s">
        <v>183</v>
      </c>
      <c r="G1535" s="246">
        <v>43200</v>
      </c>
      <c r="H1535" s="246">
        <v>49400</v>
      </c>
      <c r="I1535" s="246">
        <v>55550</v>
      </c>
      <c r="J1535" s="246">
        <v>61700</v>
      </c>
      <c r="K1535" s="246">
        <v>66650</v>
      </c>
      <c r="L1535" s="246">
        <v>71600</v>
      </c>
      <c r="M1535" s="246">
        <v>76550</v>
      </c>
      <c r="N1535" s="246">
        <v>81450</v>
      </c>
    </row>
    <row r="1536" spans="3:14" ht="21.95" customHeight="1" x14ac:dyDescent="0.25">
      <c r="C1536" s="139" t="str">
        <f t="shared" ref="C1536:C1599" si="40">TRIM(UPPER(D1536))&amp;"_"&amp;TRIM(UPPER(E1536))</f>
        <v>MO_TANEY COUNTY, MO</v>
      </c>
      <c r="D1536" s="136" t="s">
        <v>80</v>
      </c>
      <c r="E1536" s="262" t="s">
        <v>4127</v>
      </c>
      <c r="F1536" s="136" t="s">
        <v>183</v>
      </c>
      <c r="G1536" s="246">
        <v>43200</v>
      </c>
      <c r="H1536" s="246">
        <v>49400</v>
      </c>
      <c r="I1536" s="246">
        <v>55550</v>
      </c>
      <c r="J1536" s="246">
        <v>61700</v>
      </c>
      <c r="K1536" s="246">
        <v>66650</v>
      </c>
      <c r="L1536" s="246">
        <v>71600</v>
      </c>
      <c r="M1536" s="246">
        <v>76550</v>
      </c>
      <c r="N1536" s="246">
        <v>81450</v>
      </c>
    </row>
    <row r="1537" spans="3:14" ht="21.95" customHeight="1" x14ac:dyDescent="0.25">
      <c r="C1537" s="139" t="str">
        <f t="shared" si="40"/>
        <v>MO_TEXAS COUNTY, MO</v>
      </c>
      <c r="D1537" s="136" t="s">
        <v>80</v>
      </c>
      <c r="E1537" s="262" t="s">
        <v>4128</v>
      </c>
      <c r="F1537" s="136" t="s">
        <v>183</v>
      </c>
      <c r="G1537" s="246">
        <v>43200</v>
      </c>
      <c r="H1537" s="246">
        <v>49400</v>
      </c>
      <c r="I1537" s="246">
        <v>55550</v>
      </c>
      <c r="J1537" s="246">
        <v>61700</v>
      </c>
      <c r="K1537" s="246">
        <v>66650</v>
      </c>
      <c r="L1537" s="246">
        <v>71600</v>
      </c>
      <c r="M1537" s="246">
        <v>76550</v>
      </c>
      <c r="N1537" s="246">
        <v>81450</v>
      </c>
    </row>
    <row r="1538" spans="3:14" ht="21.95" customHeight="1" x14ac:dyDescent="0.25">
      <c r="C1538" s="139" t="str">
        <f t="shared" si="40"/>
        <v>MO_VERNON COUNTY, MO</v>
      </c>
      <c r="D1538" s="136" t="s">
        <v>80</v>
      </c>
      <c r="E1538" s="262" t="s">
        <v>4129</v>
      </c>
      <c r="F1538" s="136" t="s">
        <v>183</v>
      </c>
      <c r="G1538" s="246">
        <v>43200</v>
      </c>
      <c r="H1538" s="246">
        <v>49400</v>
      </c>
      <c r="I1538" s="246">
        <v>55550</v>
      </c>
      <c r="J1538" s="246">
        <v>61700</v>
      </c>
      <c r="K1538" s="246">
        <v>66650</v>
      </c>
      <c r="L1538" s="246">
        <v>71600</v>
      </c>
      <c r="M1538" s="246">
        <v>76550</v>
      </c>
      <c r="N1538" s="246">
        <v>81450</v>
      </c>
    </row>
    <row r="1539" spans="3:14" ht="21.95" customHeight="1" x14ac:dyDescent="0.25">
      <c r="C1539" s="139" t="str">
        <f t="shared" si="40"/>
        <v>MO_WASHINGTON COUNTY, MO</v>
      </c>
      <c r="D1539" s="136" t="s">
        <v>80</v>
      </c>
      <c r="E1539" s="262" t="s">
        <v>4130</v>
      </c>
      <c r="F1539" s="136" t="s">
        <v>183</v>
      </c>
      <c r="G1539" s="246">
        <v>43200</v>
      </c>
      <c r="H1539" s="246">
        <v>49400</v>
      </c>
      <c r="I1539" s="246">
        <v>55550</v>
      </c>
      <c r="J1539" s="246">
        <v>61700</v>
      </c>
      <c r="K1539" s="246">
        <v>66650</v>
      </c>
      <c r="L1539" s="246">
        <v>71600</v>
      </c>
      <c r="M1539" s="246">
        <v>76550</v>
      </c>
      <c r="N1539" s="246">
        <v>81450</v>
      </c>
    </row>
    <row r="1540" spans="3:14" ht="21.95" customHeight="1" x14ac:dyDescent="0.25">
      <c r="C1540" s="139" t="str">
        <f t="shared" si="40"/>
        <v>MO_WAYNE COUNTY, MO</v>
      </c>
      <c r="D1540" s="136" t="s">
        <v>80</v>
      </c>
      <c r="E1540" s="262" t="s">
        <v>4131</v>
      </c>
      <c r="F1540" s="136" t="s">
        <v>183</v>
      </c>
      <c r="G1540" s="246">
        <v>43200</v>
      </c>
      <c r="H1540" s="246">
        <v>49400</v>
      </c>
      <c r="I1540" s="246">
        <v>55550</v>
      </c>
      <c r="J1540" s="246">
        <v>61700</v>
      </c>
      <c r="K1540" s="246">
        <v>66650</v>
      </c>
      <c r="L1540" s="246">
        <v>71600</v>
      </c>
      <c r="M1540" s="246">
        <v>76550</v>
      </c>
      <c r="N1540" s="246">
        <v>81450</v>
      </c>
    </row>
    <row r="1541" spans="3:14" ht="21.95" customHeight="1" x14ac:dyDescent="0.25">
      <c r="C1541" s="139" t="str">
        <f t="shared" si="40"/>
        <v>MO_WORTH COUNTY, MO</v>
      </c>
      <c r="D1541" s="136" t="s">
        <v>80</v>
      </c>
      <c r="E1541" s="262" t="s">
        <v>4132</v>
      </c>
      <c r="F1541" s="136" t="s">
        <v>183</v>
      </c>
      <c r="G1541" s="246">
        <v>43200</v>
      </c>
      <c r="H1541" s="246">
        <v>49400</v>
      </c>
      <c r="I1541" s="246">
        <v>55550</v>
      </c>
      <c r="J1541" s="246">
        <v>61700</v>
      </c>
      <c r="K1541" s="246">
        <v>66650</v>
      </c>
      <c r="L1541" s="246">
        <v>71600</v>
      </c>
      <c r="M1541" s="246">
        <v>76550</v>
      </c>
      <c r="N1541" s="246">
        <v>81450</v>
      </c>
    </row>
    <row r="1542" spans="3:14" ht="21.95" customHeight="1" x14ac:dyDescent="0.25">
      <c r="C1542" s="139" t="str">
        <f t="shared" si="40"/>
        <v>MO_WRIGHT COUNTY, MO</v>
      </c>
      <c r="D1542" s="136" t="s">
        <v>80</v>
      </c>
      <c r="E1542" s="262" t="s">
        <v>4133</v>
      </c>
      <c r="F1542" s="136" t="s">
        <v>183</v>
      </c>
      <c r="G1542" s="246">
        <v>43200</v>
      </c>
      <c r="H1542" s="246">
        <v>49400</v>
      </c>
      <c r="I1542" s="246">
        <v>55550</v>
      </c>
      <c r="J1542" s="246">
        <v>61700</v>
      </c>
      <c r="K1542" s="246">
        <v>66650</v>
      </c>
      <c r="L1542" s="246">
        <v>71600</v>
      </c>
      <c r="M1542" s="246">
        <v>76550</v>
      </c>
      <c r="N1542" s="246">
        <v>81450</v>
      </c>
    </row>
    <row r="1543" spans="3:14" ht="21.95" customHeight="1" x14ac:dyDescent="0.25">
      <c r="C1543" s="139" t="str">
        <f t="shared" si="40"/>
        <v>MP_NORTHERN MARIANA ISLANDS</v>
      </c>
      <c r="D1543" s="136" t="s">
        <v>2948</v>
      </c>
      <c r="E1543" s="262" t="s">
        <v>4134</v>
      </c>
      <c r="F1543" s="136" t="s">
        <v>183</v>
      </c>
      <c r="G1543" s="246">
        <v>32550</v>
      </c>
      <c r="H1543" s="246">
        <v>37200</v>
      </c>
      <c r="I1543" s="246">
        <v>41850</v>
      </c>
      <c r="J1543" s="246">
        <v>46500</v>
      </c>
      <c r="K1543" s="246">
        <v>50250</v>
      </c>
      <c r="L1543" s="246">
        <v>53950</v>
      </c>
      <c r="M1543" s="246">
        <v>57700</v>
      </c>
      <c r="N1543" s="246">
        <v>61400</v>
      </c>
    </row>
    <row r="1544" spans="3:14" ht="21.95" customHeight="1" x14ac:dyDescent="0.25">
      <c r="C1544" s="139" t="str">
        <f t="shared" si="40"/>
        <v>MS_ADAMS COUNTY, MS</v>
      </c>
      <c r="D1544" s="136" t="s">
        <v>81</v>
      </c>
      <c r="E1544" s="262" t="s">
        <v>4135</v>
      </c>
      <c r="F1544" s="136" t="s">
        <v>183</v>
      </c>
      <c r="G1544" s="246">
        <v>38750</v>
      </c>
      <c r="H1544" s="246">
        <v>44250</v>
      </c>
      <c r="I1544" s="246">
        <v>49800</v>
      </c>
      <c r="J1544" s="246">
        <v>55300</v>
      </c>
      <c r="K1544" s="246">
        <v>59750</v>
      </c>
      <c r="L1544" s="246">
        <v>64150</v>
      </c>
      <c r="M1544" s="246">
        <v>68600</v>
      </c>
      <c r="N1544" s="246">
        <v>73000</v>
      </c>
    </row>
    <row r="1545" spans="3:14" ht="21.95" customHeight="1" x14ac:dyDescent="0.25">
      <c r="C1545" s="139" t="str">
        <f t="shared" si="40"/>
        <v>MS_ALCORN COUNTY, MS</v>
      </c>
      <c r="D1545" s="136" t="s">
        <v>81</v>
      </c>
      <c r="E1545" s="262" t="s">
        <v>4136</v>
      </c>
      <c r="F1545" s="136" t="s">
        <v>183</v>
      </c>
      <c r="G1545" s="246">
        <v>39250</v>
      </c>
      <c r="H1545" s="246">
        <v>44850</v>
      </c>
      <c r="I1545" s="246">
        <v>50450</v>
      </c>
      <c r="J1545" s="246">
        <v>56050</v>
      </c>
      <c r="K1545" s="246">
        <v>60550</v>
      </c>
      <c r="L1545" s="246">
        <v>65050</v>
      </c>
      <c r="M1545" s="246">
        <v>69550</v>
      </c>
      <c r="N1545" s="246">
        <v>74000</v>
      </c>
    </row>
    <row r="1546" spans="3:14" ht="21.95" customHeight="1" x14ac:dyDescent="0.25">
      <c r="C1546" s="139" t="str">
        <f t="shared" si="40"/>
        <v>MS_AMITE COUNTY, MS</v>
      </c>
      <c r="D1546" s="136" t="s">
        <v>81</v>
      </c>
      <c r="E1546" s="262" t="s">
        <v>4137</v>
      </c>
      <c r="F1546" s="136" t="s">
        <v>183</v>
      </c>
      <c r="G1546" s="246">
        <v>38750</v>
      </c>
      <c r="H1546" s="246">
        <v>44250</v>
      </c>
      <c r="I1546" s="246">
        <v>49800</v>
      </c>
      <c r="J1546" s="246">
        <v>55300</v>
      </c>
      <c r="K1546" s="246">
        <v>59750</v>
      </c>
      <c r="L1546" s="246">
        <v>64150</v>
      </c>
      <c r="M1546" s="246">
        <v>68600</v>
      </c>
      <c r="N1546" s="246">
        <v>73000</v>
      </c>
    </row>
    <row r="1547" spans="3:14" ht="21.95" customHeight="1" x14ac:dyDescent="0.25">
      <c r="C1547" s="139" t="str">
        <f t="shared" si="40"/>
        <v>MS_ATTALA COUNTY, MS</v>
      </c>
      <c r="D1547" s="136" t="s">
        <v>81</v>
      </c>
      <c r="E1547" s="262" t="s">
        <v>4138</v>
      </c>
      <c r="F1547" s="136" t="s">
        <v>183</v>
      </c>
      <c r="G1547" s="246">
        <v>38750</v>
      </c>
      <c r="H1547" s="246">
        <v>44250</v>
      </c>
      <c r="I1547" s="246">
        <v>49800</v>
      </c>
      <c r="J1547" s="246">
        <v>55300</v>
      </c>
      <c r="K1547" s="246">
        <v>59750</v>
      </c>
      <c r="L1547" s="246">
        <v>64150</v>
      </c>
      <c r="M1547" s="246">
        <v>68600</v>
      </c>
      <c r="N1547" s="246">
        <v>73000</v>
      </c>
    </row>
    <row r="1548" spans="3:14" ht="21.95" customHeight="1" x14ac:dyDescent="0.25">
      <c r="C1548" s="139" t="str">
        <f t="shared" si="40"/>
        <v>MS_BENTON COUNTY, MS HUD METRO FMR AREA</v>
      </c>
      <c r="D1548" s="136" t="s">
        <v>81</v>
      </c>
      <c r="E1548" s="262" t="s">
        <v>9211</v>
      </c>
      <c r="F1548" s="136" t="s">
        <v>183</v>
      </c>
      <c r="G1548" s="246">
        <v>38750</v>
      </c>
      <c r="H1548" s="246">
        <v>44250</v>
      </c>
      <c r="I1548" s="246">
        <v>49800</v>
      </c>
      <c r="J1548" s="246">
        <v>55300</v>
      </c>
      <c r="K1548" s="246">
        <v>59750</v>
      </c>
      <c r="L1548" s="246">
        <v>64150</v>
      </c>
      <c r="M1548" s="246">
        <v>68600</v>
      </c>
      <c r="N1548" s="246">
        <v>73000</v>
      </c>
    </row>
    <row r="1549" spans="3:14" ht="21.95" customHeight="1" x14ac:dyDescent="0.25">
      <c r="C1549" s="139" t="str">
        <f t="shared" si="40"/>
        <v>MS_BOLIVAR COUNTY, MS</v>
      </c>
      <c r="D1549" s="136" t="s">
        <v>81</v>
      </c>
      <c r="E1549" s="262" t="s">
        <v>4139</v>
      </c>
      <c r="F1549" s="136" t="s">
        <v>183</v>
      </c>
      <c r="G1549" s="246">
        <v>38750</v>
      </c>
      <c r="H1549" s="246">
        <v>44250</v>
      </c>
      <c r="I1549" s="246">
        <v>49800</v>
      </c>
      <c r="J1549" s="246">
        <v>55300</v>
      </c>
      <c r="K1549" s="246">
        <v>59750</v>
      </c>
      <c r="L1549" s="246">
        <v>64150</v>
      </c>
      <c r="M1549" s="246">
        <v>68600</v>
      </c>
      <c r="N1549" s="246">
        <v>73000</v>
      </c>
    </row>
    <row r="1550" spans="3:14" ht="21.95" customHeight="1" x14ac:dyDescent="0.25">
      <c r="C1550" s="139" t="str">
        <f t="shared" si="40"/>
        <v>MS_CALHOUN COUNTY, MS</v>
      </c>
      <c r="D1550" s="136" t="s">
        <v>81</v>
      </c>
      <c r="E1550" s="262" t="s">
        <v>4140</v>
      </c>
      <c r="F1550" s="136" t="s">
        <v>183</v>
      </c>
      <c r="G1550" s="246">
        <v>38750</v>
      </c>
      <c r="H1550" s="246">
        <v>44250</v>
      </c>
      <c r="I1550" s="246">
        <v>49800</v>
      </c>
      <c r="J1550" s="246">
        <v>55300</v>
      </c>
      <c r="K1550" s="246">
        <v>59750</v>
      </c>
      <c r="L1550" s="246">
        <v>64150</v>
      </c>
      <c r="M1550" s="246">
        <v>68600</v>
      </c>
      <c r="N1550" s="246">
        <v>73000</v>
      </c>
    </row>
    <row r="1551" spans="3:14" ht="21.95" customHeight="1" x14ac:dyDescent="0.25">
      <c r="C1551" s="139" t="str">
        <f t="shared" si="40"/>
        <v>MS_CARROLL COUNTY, MS</v>
      </c>
      <c r="D1551" s="136" t="s">
        <v>81</v>
      </c>
      <c r="E1551" s="262" t="s">
        <v>4141</v>
      </c>
      <c r="F1551" s="136" t="s">
        <v>183</v>
      </c>
      <c r="G1551" s="246">
        <v>43050</v>
      </c>
      <c r="H1551" s="246">
        <v>49200</v>
      </c>
      <c r="I1551" s="246">
        <v>55350</v>
      </c>
      <c r="J1551" s="246">
        <v>61450</v>
      </c>
      <c r="K1551" s="246">
        <v>66400</v>
      </c>
      <c r="L1551" s="246">
        <v>71300</v>
      </c>
      <c r="M1551" s="246">
        <v>76200</v>
      </c>
      <c r="N1551" s="246">
        <v>81150</v>
      </c>
    </row>
    <row r="1552" spans="3:14" ht="21.95" customHeight="1" x14ac:dyDescent="0.25">
      <c r="C1552" s="139" t="str">
        <f t="shared" si="40"/>
        <v>MS_CHICKASAW COUNTY, MS</v>
      </c>
      <c r="D1552" s="136" t="s">
        <v>81</v>
      </c>
      <c r="E1552" s="262" t="s">
        <v>4142</v>
      </c>
      <c r="F1552" s="136" t="s">
        <v>183</v>
      </c>
      <c r="G1552" s="246">
        <v>38750</v>
      </c>
      <c r="H1552" s="246">
        <v>44250</v>
      </c>
      <c r="I1552" s="246">
        <v>49800</v>
      </c>
      <c r="J1552" s="246">
        <v>55300</v>
      </c>
      <c r="K1552" s="246">
        <v>59750</v>
      </c>
      <c r="L1552" s="246">
        <v>64150</v>
      </c>
      <c r="M1552" s="246">
        <v>68600</v>
      </c>
      <c r="N1552" s="246">
        <v>73000</v>
      </c>
    </row>
    <row r="1553" spans="3:14" ht="21.95" customHeight="1" x14ac:dyDescent="0.25">
      <c r="C1553" s="139" t="str">
        <f t="shared" si="40"/>
        <v>MS_CHOCTAW COUNTY, MS</v>
      </c>
      <c r="D1553" s="136" t="s">
        <v>81</v>
      </c>
      <c r="E1553" s="262" t="s">
        <v>4143</v>
      </c>
      <c r="F1553" s="136" t="s">
        <v>183</v>
      </c>
      <c r="G1553" s="246">
        <v>38750</v>
      </c>
      <c r="H1553" s="246">
        <v>44250</v>
      </c>
      <c r="I1553" s="246">
        <v>49800</v>
      </c>
      <c r="J1553" s="246">
        <v>55300</v>
      </c>
      <c r="K1553" s="246">
        <v>59750</v>
      </c>
      <c r="L1553" s="246">
        <v>64150</v>
      </c>
      <c r="M1553" s="246">
        <v>68600</v>
      </c>
      <c r="N1553" s="246">
        <v>73000</v>
      </c>
    </row>
    <row r="1554" spans="3:14" ht="21.95" customHeight="1" x14ac:dyDescent="0.25">
      <c r="C1554" s="139" t="str">
        <f t="shared" si="40"/>
        <v>MS_CLAIBORNE COUNTY, MS</v>
      </c>
      <c r="D1554" s="136" t="s">
        <v>81</v>
      </c>
      <c r="E1554" s="262" t="s">
        <v>4144</v>
      </c>
      <c r="F1554" s="136" t="s">
        <v>183</v>
      </c>
      <c r="G1554" s="246">
        <v>38750</v>
      </c>
      <c r="H1554" s="246">
        <v>44250</v>
      </c>
      <c r="I1554" s="246">
        <v>49800</v>
      </c>
      <c r="J1554" s="246">
        <v>55300</v>
      </c>
      <c r="K1554" s="246">
        <v>59750</v>
      </c>
      <c r="L1554" s="246">
        <v>64150</v>
      </c>
      <c r="M1554" s="246">
        <v>68600</v>
      </c>
      <c r="N1554" s="246">
        <v>73000</v>
      </c>
    </row>
    <row r="1555" spans="3:14" ht="21.95" customHeight="1" x14ac:dyDescent="0.25">
      <c r="C1555" s="139" t="str">
        <f t="shared" si="40"/>
        <v>MS_CLARKE COUNTY, MS</v>
      </c>
      <c r="D1555" s="136" t="s">
        <v>81</v>
      </c>
      <c r="E1555" s="262" t="s">
        <v>4145</v>
      </c>
      <c r="F1555" s="136" t="s">
        <v>183</v>
      </c>
      <c r="G1555" s="246">
        <v>38750</v>
      </c>
      <c r="H1555" s="246">
        <v>44250</v>
      </c>
      <c r="I1555" s="246">
        <v>49800</v>
      </c>
      <c r="J1555" s="246">
        <v>55300</v>
      </c>
      <c r="K1555" s="246">
        <v>59750</v>
      </c>
      <c r="L1555" s="246">
        <v>64150</v>
      </c>
      <c r="M1555" s="246">
        <v>68600</v>
      </c>
      <c r="N1555" s="246">
        <v>73000</v>
      </c>
    </row>
    <row r="1556" spans="3:14" ht="21.95" customHeight="1" x14ac:dyDescent="0.25">
      <c r="C1556" s="139" t="str">
        <f t="shared" si="40"/>
        <v>MS_CLAY COUNTY, MS</v>
      </c>
      <c r="D1556" s="136" t="s">
        <v>81</v>
      </c>
      <c r="E1556" s="262" t="s">
        <v>4146</v>
      </c>
      <c r="F1556" s="136" t="s">
        <v>183</v>
      </c>
      <c r="G1556" s="246">
        <v>38750</v>
      </c>
      <c r="H1556" s="246">
        <v>44250</v>
      </c>
      <c r="I1556" s="246">
        <v>49800</v>
      </c>
      <c r="J1556" s="246">
        <v>55300</v>
      </c>
      <c r="K1556" s="246">
        <v>59750</v>
      </c>
      <c r="L1556" s="246">
        <v>64150</v>
      </c>
      <c r="M1556" s="246">
        <v>68600</v>
      </c>
      <c r="N1556" s="246">
        <v>73000</v>
      </c>
    </row>
    <row r="1557" spans="3:14" ht="21.95" customHeight="1" x14ac:dyDescent="0.25">
      <c r="C1557" s="139" t="str">
        <f t="shared" si="40"/>
        <v>MS_COAHOMA COUNTY, MS</v>
      </c>
      <c r="D1557" s="136" t="s">
        <v>81</v>
      </c>
      <c r="E1557" s="262" t="s">
        <v>4147</v>
      </c>
      <c r="F1557" s="136" t="s">
        <v>183</v>
      </c>
      <c r="G1557" s="246">
        <v>38750</v>
      </c>
      <c r="H1557" s="246">
        <v>44250</v>
      </c>
      <c r="I1557" s="246">
        <v>49800</v>
      </c>
      <c r="J1557" s="246">
        <v>55300</v>
      </c>
      <c r="K1557" s="246">
        <v>59750</v>
      </c>
      <c r="L1557" s="246">
        <v>64150</v>
      </c>
      <c r="M1557" s="246">
        <v>68600</v>
      </c>
      <c r="N1557" s="246">
        <v>73000</v>
      </c>
    </row>
    <row r="1558" spans="3:14" ht="21.95" customHeight="1" x14ac:dyDescent="0.25">
      <c r="C1558" s="139" t="str">
        <f t="shared" si="40"/>
        <v>MS_COVINGTON COUNTY, MS</v>
      </c>
      <c r="D1558" s="136" t="s">
        <v>81</v>
      </c>
      <c r="E1558" s="262" t="s">
        <v>9212</v>
      </c>
      <c r="F1558" s="136" t="s">
        <v>183</v>
      </c>
      <c r="G1558" s="246">
        <v>38750</v>
      </c>
      <c r="H1558" s="246">
        <v>44250</v>
      </c>
      <c r="I1558" s="246">
        <v>49800</v>
      </c>
      <c r="J1558" s="246">
        <v>55300</v>
      </c>
      <c r="K1558" s="246">
        <v>59750</v>
      </c>
      <c r="L1558" s="246">
        <v>64150</v>
      </c>
      <c r="M1558" s="246">
        <v>68600</v>
      </c>
      <c r="N1558" s="246">
        <v>73000</v>
      </c>
    </row>
    <row r="1559" spans="3:14" ht="21.95" customHeight="1" x14ac:dyDescent="0.25">
      <c r="C1559" s="139" t="str">
        <f t="shared" si="40"/>
        <v>MS_FRANKLIN COUNTY, MS</v>
      </c>
      <c r="D1559" s="136" t="s">
        <v>81</v>
      </c>
      <c r="E1559" s="262" t="s">
        <v>4148</v>
      </c>
      <c r="F1559" s="136" t="s">
        <v>183</v>
      </c>
      <c r="G1559" s="246">
        <v>38750</v>
      </c>
      <c r="H1559" s="246">
        <v>44250</v>
      </c>
      <c r="I1559" s="246">
        <v>49800</v>
      </c>
      <c r="J1559" s="246">
        <v>55300</v>
      </c>
      <c r="K1559" s="246">
        <v>59750</v>
      </c>
      <c r="L1559" s="246">
        <v>64150</v>
      </c>
      <c r="M1559" s="246">
        <v>68600</v>
      </c>
      <c r="N1559" s="246">
        <v>73000</v>
      </c>
    </row>
    <row r="1560" spans="3:14" ht="21.95" customHeight="1" x14ac:dyDescent="0.25">
      <c r="C1560" s="139" t="str">
        <f t="shared" si="40"/>
        <v>MS_GEORGE COUNTY, MS</v>
      </c>
      <c r="D1560" s="136" t="s">
        <v>81</v>
      </c>
      <c r="E1560" s="262" t="s">
        <v>4149</v>
      </c>
      <c r="F1560" s="136" t="s">
        <v>183</v>
      </c>
      <c r="G1560" s="246">
        <v>40850</v>
      </c>
      <c r="H1560" s="246">
        <v>46650</v>
      </c>
      <c r="I1560" s="246">
        <v>52500</v>
      </c>
      <c r="J1560" s="246">
        <v>58300</v>
      </c>
      <c r="K1560" s="246">
        <v>63000</v>
      </c>
      <c r="L1560" s="246">
        <v>67650</v>
      </c>
      <c r="M1560" s="246">
        <v>72300</v>
      </c>
      <c r="N1560" s="246">
        <v>77000</v>
      </c>
    </row>
    <row r="1561" spans="3:14" ht="21.95" customHeight="1" x14ac:dyDescent="0.25">
      <c r="C1561" s="139" t="str">
        <f t="shared" si="40"/>
        <v>MS_GREENE COUNTY, MS</v>
      </c>
      <c r="D1561" s="136" t="s">
        <v>81</v>
      </c>
      <c r="E1561" s="262" t="s">
        <v>4150</v>
      </c>
      <c r="F1561" s="136" t="s">
        <v>183</v>
      </c>
      <c r="G1561" s="246">
        <v>41350</v>
      </c>
      <c r="H1561" s="246">
        <v>47250</v>
      </c>
      <c r="I1561" s="246">
        <v>53150</v>
      </c>
      <c r="J1561" s="246">
        <v>59050</v>
      </c>
      <c r="K1561" s="246">
        <v>63800</v>
      </c>
      <c r="L1561" s="246">
        <v>68500</v>
      </c>
      <c r="M1561" s="246">
        <v>73250</v>
      </c>
      <c r="N1561" s="246">
        <v>77950</v>
      </c>
    </row>
    <row r="1562" spans="3:14" ht="21.95" customHeight="1" x14ac:dyDescent="0.25">
      <c r="C1562" s="139" t="str">
        <f t="shared" si="40"/>
        <v>MS_GRENADA COUNTY, MS</v>
      </c>
      <c r="D1562" s="136" t="s">
        <v>81</v>
      </c>
      <c r="E1562" s="262" t="s">
        <v>4151</v>
      </c>
      <c r="F1562" s="136" t="s">
        <v>183</v>
      </c>
      <c r="G1562" s="246">
        <v>38750</v>
      </c>
      <c r="H1562" s="246">
        <v>44250</v>
      </c>
      <c r="I1562" s="246">
        <v>49800</v>
      </c>
      <c r="J1562" s="246">
        <v>55300</v>
      </c>
      <c r="K1562" s="246">
        <v>59750</v>
      </c>
      <c r="L1562" s="246">
        <v>64150</v>
      </c>
      <c r="M1562" s="246">
        <v>68600</v>
      </c>
      <c r="N1562" s="246">
        <v>73000</v>
      </c>
    </row>
    <row r="1563" spans="3:14" ht="21.95" customHeight="1" x14ac:dyDescent="0.25">
      <c r="C1563" s="139" t="str">
        <f t="shared" si="40"/>
        <v>MS_GULFPORT-BILOXI, MS HUD METRO FMR AREA</v>
      </c>
      <c r="D1563" s="136" t="s">
        <v>81</v>
      </c>
      <c r="E1563" s="262" t="s">
        <v>4152</v>
      </c>
      <c r="F1563" s="136" t="s">
        <v>183</v>
      </c>
      <c r="G1563" s="246">
        <v>45150</v>
      </c>
      <c r="H1563" s="246">
        <v>51600</v>
      </c>
      <c r="I1563" s="246">
        <v>58050</v>
      </c>
      <c r="J1563" s="246">
        <v>64500</v>
      </c>
      <c r="K1563" s="246">
        <v>69700</v>
      </c>
      <c r="L1563" s="246">
        <v>74850</v>
      </c>
      <c r="M1563" s="246">
        <v>80000</v>
      </c>
      <c r="N1563" s="246">
        <v>85150</v>
      </c>
    </row>
    <row r="1564" spans="3:14" ht="21.95" customHeight="1" x14ac:dyDescent="0.25">
      <c r="C1564" s="139" t="str">
        <f t="shared" si="40"/>
        <v>MS_HATTIESBURG, MS MSA</v>
      </c>
      <c r="D1564" s="136" t="s">
        <v>81</v>
      </c>
      <c r="E1564" s="262" t="s">
        <v>9213</v>
      </c>
      <c r="F1564" s="136" t="s">
        <v>183</v>
      </c>
      <c r="G1564" s="246">
        <v>44700</v>
      </c>
      <c r="H1564" s="246">
        <v>51100</v>
      </c>
      <c r="I1564" s="246">
        <v>57500</v>
      </c>
      <c r="J1564" s="246">
        <v>63850</v>
      </c>
      <c r="K1564" s="246">
        <v>69000</v>
      </c>
      <c r="L1564" s="246">
        <v>74100</v>
      </c>
      <c r="M1564" s="246">
        <v>79200</v>
      </c>
      <c r="N1564" s="246">
        <v>84300</v>
      </c>
    </row>
    <row r="1565" spans="3:14" ht="21.95" customHeight="1" x14ac:dyDescent="0.25">
      <c r="C1565" s="139" t="str">
        <f t="shared" si="40"/>
        <v>MS_HOLMES COUNTY, MS HUD METRO FMR AREA</v>
      </c>
      <c r="D1565" s="136" t="s">
        <v>81</v>
      </c>
      <c r="E1565" s="262" t="s">
        <v>4153</v>
      </c>
      <c r="F1565" s="136" t="s">
        <v>183</v>
      </c>
      <c r="G1565" s="246">
        <v>38750</v>
      </c>
      <c r="H1565" s="246">
        <v>44250</v>
      </c>
      <c r="I1565" s="246">
        <v>49800</v>
      </c>
      <c r="J1565" s="246">
        <v>55300</v>
      </c>
      <c r="K1565" s="246">
        <v>59750</v>
      </c>
      <c r="L1565" s="246">
        <v>64150</v>
      </c>
      <c r="M1565" s="246">
        <v>68600</v>
      </c>
      <c r="N1565" s="246">
        <v>73000</v>
      </c>
    </row>
    <row r="1566" spans="3:14" ht="21.95" customHeight="1" x14ac:dyDescent="0.25">
      <c r="C1566" s="139" t="str">
        <f t="shared" si="40"/>
        <v>MS_HUMPHREYS COUNTY, MS</v>
      </c>
      <c r="D1566" s="136" t="s">
        <v>81</v>
      </c>
      <c r="E1566" s="262" t="s">
        <v>4154</v>
      </c>
      <c r="F1566" s="136" t="s">
        <v>183</v>
      </c>
      <c r="G1566" s="246">
        <v>38750</v>
      </c>
      <c r="H1566" s="246">
        <v>44250</v>
      </c>
      <c r="I1566" s="246">
        <v>49800</v>
      </c>
      <c r="J1566" s="246">
        <v>55300</v>
      </c>
      <c r="K1566" s="246">
        <v>59750</v>
      </c>
      <c r="L1566" s="246">
        <v>64150</v>
      </c>
      <c r="M1566" s="246">
        <v>68600</v>
      </c>
      <c r="N1566" s="246">
        <v>73000</v>
      </c>
    </row>
    <row r="1567" spans="3:14" ht="21.95" customHeight="1" x14ac:dyDescent="0.25">
      <c r="C1567" s="139" t="str">
        <f t="shared" si="40"/>
        <v>MS_ISSAQUENA COUNTY, MS</v>
      </c>
      <c r="D1567" s="136" t="s">
        <v>81</v>
      </c>
      <c r="E1567" s="262" t="s">
        <v>4155</v>
      </c>
      <c r="F1567" s="136" t="s">
        <v>183</v>
      </c>
      <c r="G1567" s="246">
        <v>39450</v>
      </c>
      <c r="H1567" s="246">
        <v>45050</v>
      </c>
      <c r="I1567" s="246">
        <v>50700</v>
      </c>
      <c r="J1567" s="246">
        <v>56300</v>
      </c>
      <c r="K1567" s="246">
        <v>60850</v>
      </c>
      <c r="L1567" s="246">
        <v>65350</v>
      </c>
      <c r="M1567" s="246">
        <v>69850</v>
      </c>
      <c r="N1567" s="246">
        <v>74350</v>
      </c>
    </row>
    <row r="1568" spans="3:14" ht="21.95" customHeight="1" x14ac:dyDescent="0.25">
      <c r="C1568" s="139" t="str">
        <f t="shared" si="40"/>
        <v>MS_ITAWAMBA COUNTY, MS</v>
      </c>
      <c r="D1568" s="136" t="s">
        <v>81</v>
      </c>
      <c r="E1568" s="262" t="s">
        <v>4156</v>
      </c>
      <c r="F1568" s="136" t="s">
        <v>183</v>
      </c>
      <c r="G1568" s="246">
        <v>42000</v>
      </c>
      <c r="H1568" s="246">
        <v>48000</v>
      </c>
      <c r="I1568" s="246">
        <v>54000</v>
      </c>
      <c r="J1568" s="246">
        <v>60000</v>
      </c>
      <c r="K1568" s="246">
        <v>64800</v>
      </c>
      <c r="L1568" s="246">
        <v>69600</v>
      </c>
      <c r="M1568" s="246">
        <v>74400</v>
      </c>
      <c r="N1568" s="246">
        <v>79200</v>
      </c>
    </row>
    <row r="1569" spans="3:14" ht="21.95" customHeight="1" x14ac:dyDescent="0.25">
      <c r="C1569" s="139" t="str">
        <f t="shared" si="40"/>
        <v>MS_JACKSON, MS HUD METRO FMR AREA</v>
      </c>
      <c r="D1569" s="136" t="s">
        <v>81</v>
      </c>
      <c r="E1569" s="262" t="s">
        <v>4157</v>
      </c>
      <c r="F1569" s="136" t="s">
        <v>183</v>
      </c>
      <c r="G1569" s="246">
        <v>49950</v>
      </c>
      <c r="H1569" s="246">
        <v>57050</v>
      </c>
      <c r="I1569" s="246">
        <v>64200</v>
      </c>
      <c r="J1569" s="246">
        <v>71300</v>
      </c>
      <c r="K1569" s="246">
        <v>77050</v>
      </c>
      <c r="L1569" s="246">
        <v>82750</v>
      </c>
      <c r="M1569" s="246">
        <v>88450</v>
      </c>
      <c r="N1569" s="246">
        <v>94150</v>
      </c>
    </row>
    <row r="1570" spans="3:14" ht="21.95" customHeight="1" x14ac:dyDescent="0.25">
      <c r="C1570" s="139" t="str">
        <f t="shared" si="40"/>
        <v>MS_JASPER COUNTY, MS</v>
      </c>
      <c r="D1570" s="136" t="s">
        <v>81</v>
      </c>
      <c r="E1570" s="262" t="s">
        <v>4158</v>
      </c>
      <c r="F1570" s="136" t="s">
        <v>183</v>
      </c>
      <c r="G1570" s="246">
        <v>38750</v>
      </c>
      <c r="H1570" s="246">
        <v>44250</v>
      </c>
      <c r="I1570" s="246">
        <v>49800</v>
      </c>
      <c r="J1570" s="246">
        <v>55300</v>
      </c>
      <c r="K1570" s="246">
        <v>59750</v>
      </c>
      <c r="L1570" s="246">
        <v>64150</v>
      </c>
      <c r="M1570" s="246">
        <v>68600</v>
      </c>
      <c r="N1570" s="246">
        <v>73000</v>
      </c>
    </row>
    <row r="1571" spans="3:14" ht="21.95" customHeight="1" x14ac:dyDescent="0.25">
      <c r="C1571" s="139" t="str">
        <f t="shared" si="40"/>
        <v>MS_JEFFERSON COUNTY, MS</v>
      </c>
      <c r="D1571" s="136" t="s">
        <v>81</v>
      </c>
      <c r="E1571" s="262" t="s">
        <v>4159</v>
      </c>
      <c r="F1571" s="136" t="s">
        <v>183</v>
      </c>
      <c r="G1571" s="246">
        <v>38750</v>
      </c>
      <c r="H1571" s="246">
        <v>44250</v>
      </c>
      <c r="I1571" s="246">
        <v>49800</v>
      </c>
      <c r="J1571" s="246">
        <v>55300</v>
      </c>
      <c r="K1571" s="246">
        <v>59750</v>
      </c>
      <c r="L1571" s="246">
        <v>64150</v>
      </c>
      <c r="M1571" s="246">
        <v>68600</v>
      </c>
      <c r="N1571" s="246">
        <v>73000</v>
      </c>
    </row>
    <row r="1572" spans="3:14" ht="21.95" customHeight="1" x14ac:dyDescent="0.25">
      <c r="C1572" s="139" t="str">
        <f t="shared" si="40"/>
        <v>MS_JEFFERSON DAVIS COUNTY, MS</v>
      </c>
      <c r="D1572" s="136" t="s">
        <v>81</v>
      </c>
      <c r="E1572" s="262" t="s">
        <v>4160</v>
      </c>
      <c r="F1572" s="136" t="s">
        <v>183</v>
      </c>
      <c r="G1572" s="246">
        <v>38750</v>
      </c>
      <c r="H1572" s="246">
        <v>44250</v>
      </c>
      <c r="I1572" s="246">
        <v>49800</v>
      </c>
      <c r="J1572" s="246">
        <v>55300</v>
      </c>
      <c r="K1572" s="246">
        <v>59750</v>
      </c>
      <c r="L1572" s="246">
        <v>64150</v>
      </c>
      <c r="M1572" s="246">
        <v>68600</v>
      </c>
      <c r="N1572" s="246">
        <v>73000</v>
      </c>
    </row>
    <row r="1573" spans="3:14" ht="21.95" customHeight="1" x14ac:dyDescent="0.25">
      <c r="C1573" s="139" t="str">
        <f t="shared" si="40"/>
        <v>MS_JONES COUNTY, MS</v>
      </c>
      <c r="D1573" s="136" t="s">
        <v>81</v>
      </c>
      <c r="E1573" s="262" t="s">
        <v>4161</v>
      </c>
      <c r="F1573" s="136" t="s">
        <v>183</v>
      </c>
      <c r="G1573" s="246">
        <v>41800</v>
      </c>
      <c r="H1573" s="246">
        <v>47800</v>
      </c>
      <c r="I1573" s="246">
        <v>53750</v>
      </c>
      <c r="J1573" s="246">
        <v>59700</v>
      </c>
      <c r="K1573" s="246">
        <v>64500</v>
      </c>
      <c r="L1573" s="246">
        <v>69300</v>
      </c>
      <c r="M1573" s="246">
        <v>74050</v>
      </c>
      <c r="N1573" s="246">
        <v>78850</v>
      </c>
    </row>
    <row r="1574" spans="3:14" ht="21.95" customHeight="1" x14ac:dyDescent="0.25">
      <c r="C1574" s="139" t="str">
        <f t="shared" si="40"/>
        <v>MS_KEMPER COUNTY, MS</v>
      </c>
      <c r="D1574" s="136" t="s">
        <v>81</v>
      </c>
      <c r="E1574" s="262" t="s">
        <v>4162</v>
      </c>
      <c r="F1574" s="136" t="s">
        <v>183</v>
      </c>
      <c r="G1574" s="246">
        <v>38750</v>
      </c>
      <c r="H1574" s="246">
        <v>44250</v>
      </c>
      <c r="I1574" s="246">
        <v>49800</v>
      </c>
      <c r="J1574" s="246">
        <v>55300</v>
      </c>
      <c r="K1574" s="246">
        <v>59750</v>
      </c>
      <c r="L1574" s="246">
        <v>64150</v>
      </c>
      <c r="M1574" s="246">
        <v>68600</v>
      </c>
      <c r="N1574" s="246">
        <v>73000</v>
      </c>
    </row>
    <row r="1575" spans="3:14" ht="21.95" customHeight="1" x14ac:dyDescent="0.25">
      <c r="C1575" s="139" t="str">
        <f t="shared" si="40"/>
        <v>MS_LAFAYETTE COUNTY, MS</v>
      </c>
      <c r="D1575" s="136" t="s">
        <v>81</v>
      </c>
      <c r="E1575" s="262" t="s">
        <v>4163</v>
      </c>
      <c r="F1575" s="136" t="s">
        <v>183</v>
      </c>
      <c r="G1575" s="246">
        <v>51200</v>
      </c>
      <c r="H1575" s="246">
        <v>58500</v>
      </c>
      <c r="I1575" s="246">
        <v>65800</v>
      </c>
      <c r="J1575" s="246">
        <v>73100</v>
      </c>
      <c r="K1575" s="246">
        <v>78950</v>
      </c>
      <c r="L1575" s="246">
        <v>84800</v>
      </c>
      <c r="M1575" s="246">
        <v>90650</v>
      </c>
      <c r="N1575" s="246">
        <v>96500</v>
      </c>
    </row>
    <row r="1576" spans="3:14" ht="21.95" customHeight="1" x14ac:dyDescent="0.25">
      <c r="C1576" s="139" t="str">
        <f t="shared" si="40"/>
        <v>MS_LAUDERDALE COUNTY, MS</v>
      </c>
      <c r="D1576" s="136" t="s">
        <v>81</v>
      </c>
      <c r="E1576" s="262" t="s">
        <v>4164</v>
      </c>
      <c r="F1576" s="136" t="s">
        <v>183</v>
      </c>
      <c r="G1576" s="246">
        <v>41800</v>
      </c>
      <c r="H1576" s="246">
        <v>47800</v>
      </c>
      <c r="I1576" s="246">
        <v>53750</v>
      </c>
      <c r="J1576" s="246">
        <v>59700</v>
      </c>
      <c r="K1576" s="246">
        <v>64500</v>
      </c>
      <c r="L1576" s="246">
        <v>69300</v>
      </c>
      <c r="M1576" s="246">
        <v>74050</v>
      </c>
      <c r="N1576" s="246">
        <v>78850</v>
      </c>
    </row>
    <row r="1577" spans="3:14" ht="21.95" customHeight="1" x14ac:dyDescent="0.25">
      <c r="C1577" s="139" t="str">
        <f t="shared" si="40"/>
        <v>MS_LAWRENCE COUNTY, MS</v>
      </c>
      <c r="D1577" s="136" t="s">
        <v>81</v>
      </c>
      <c r="E1577" s="262" t="s">
        <v>4165</v>
      </c>
      <c r="F1577" s="136" t="s">
        <v>183</v>
      </c>
      <c r="G1577" s="246">
        <v>38750</v>
      </c>
      <c r="H1577" s="246">
        <v>44250</v>
      </c>
      <c r="I1577" s="246">
        <v>49800</v>
      </c>
      <c r="J1577" s="246">
        <v>55300</v>
      </c>
      <c r="K1577" s="246">
        <v>59750</v>
      </c>
      <c r="L1577" s="246">
        <v>64150</v>
      </c>
      <c r="M1577" s="246">
        <v>68600</v>
      </c>
      <c r="N1577" s="246">
        <v>73000</v>
      </c>
    </row>
    <row r="1578" spans="3:14" ht="21.95" customHeight="1" x14ac:dyDescent="0.25">
      <c r="C1578" s="139" t="str">
        <f t="shared" si="40"/>
        <v>MS_LEAKE COUNTY, MS</v>
      </c>
      <c r="D1578" s="136" t="s">
        <v>81</v>
      </c>
      <c r="E1578" s="262" t="s">
        <v>4166</v>
      </c>
      <c r="F1578" s="136" t="s">
        <v>183</v>
      </c>
      <c r="G1578" s="246">
        <v>38750</v>
      </c>
      <c r="H1578" s="246">
        <v>44250</v>
      </c>
      <c r="I1578" s="246">
        <v>49800</v>
      </c>
      <c r="J1578" s="246">
        <v>55300</v>
      </c>
      <c r="K1578" s="246">
        <v>59750</v>
      </c>
      <c r="L1578" s="246">
        <v>64150</v>
      </c>
      <c r="M1578" s="246">
        <v>68600</v>
      </c>
      <c r="N1578" s="246">
        <v>73000</v>
      </c>
    </row>
    <row r="1579" spans="3:14" ht="21.95" customHeight="1" x14ac:dyDescent="0.25">
      <c r="C1579" s="139" t="str">
        <f t="shared" si="40"/>
        <v>MS_LEE COUNTY, MS</v>
      </c>
      <c r="D1579" s="136" t="s">
        <v>81</v>
      </c>
      <c r="E1579" s="262" t="s">
        <v>4167</v>
      </c>
      <c r="F1579" s="136" t="s">
        <v>183</v>
      </c>
      <c r="G1579" s="246">
        <v>46200</v>
      </c>
      <c r="H1579" s="246">
        <v>52800</v>
      </c>
      <c r="I1579" s="246">
        <v>59400</v>
      </c>
      <c r="J1579" s="246">
        <v>66000</v>
      </c>
      <c r="K1579" s="246">
        <v>71300</v>
      </c>
      <c r="L1579" s="246">
        <v>76600</v>
      </c>
      <c r="M1579" s="246">
        <v>81850</v>
      </c>
      <c r="N1579" s="246">
        <v>87150</v>
      </c>
    </row>
    <row r="1580" spans="3:14" ht="21.95" customHeight="1" x14ac:dyDescent="0.25">
      <c r="C1580" s="139" t="str">
        <f t="shared" si="40"/>
        <v>MS_LEFLORE COUNTY, MS</v>
      </c>
      <c r="D1580" s="136" t="s">
        <v>81</v>
      </c>
      <c r="E1580" s="262" t="s">
        <v>4168</v>
      </c>
      <c r="F1580" s="136" t="s">
        <v>183</v>
      </c>
      <c r="G1580" s="246">
        <v>38750</v>
      </c>
      <c r="H1580" s="246">
        <v>44250</v>
      </c>
      <c r="I1580" s="246">
        <v>49800</v>
      </c>
      <c r="J1580" s="246">
        <v>55300</v>
      </c>
      <c r="K1580" s="246">
        <v>59750</v>
      </c>
      <c r="L1580" s="246">
        <v>64150</v>
      </c>
      <c r="M1580" s="246">
        <v>68600</v>
      </c>
      <c r="N1580" s="246">
        <v>73000</v>
      </c>
    </row>
    <row r="1581" spans="3:14" ht="21.95" customHeight="1" x14ac:dyDescent="0.25">
      <c r="C1581" s="139" t="str">
        <f t="shared" si="40"/>
        <v>MS_LINCOLN COUNTY, MS</v>
      </c>
      <c r="D1581" s="136" t="s">
        <v>81</v>
      </c>
      <c r="E1581" s="262" t="s">
        <v>4169</v>
      </c>
      <c r="F1581" s="136" t="s">
        <v>183</v>
      </c>
      <c r="G1581" s="246">
        <v>41800</v>
      </c>
      <c r="H1581" s="246">
        <v>47800</v>
      </c>
      <c r="I1581" s="246">
        <v>53750</v>
      </c>
      <c r="J1581" s="246">
        <v>59700</v>
      </c>
      <c r="K1581" s="246">
        <v>64500</v>
      </c>
      <c r="L1581" s="246">
        <v>69300</v>
      </c>
      <c r="M1581" s="246">
        <v>74050</v>
      </c>
      <c r="N1581" s="246">
        <v>78850</v>
      </c>
    </row>
    <row r="1582" spans="3:14" ht="21.95" customHeight="1" x14ac:dyDescent="0.25">
      <c r="C1582" s="139" t="str">
        <f t="shared" si="40"/>
        <v>MS_LOWNDES COUNTY, MS</v>
      </c>
      <c r="D1582" s="136" t="s">
        <v>81</v>
      </c>
      <c r="E1582" s="262" t="s">
        <v>4170</v>
      </c>
      <c r="F1582" s="136" t="s">
        <v>183</v>
      </c>
      <c r="G1582" s="246">
        <v>44650</v>
      </c>
      <c r="H1582" s="246">
        <v>51000</v>
      </c>
      <c r="I1582" s="246">
        <v>57400</v>
      </c>
      <c r="J1582" s="246">
        <v>63750</v>
      </c>
      <c r="K1582" s="246">
        <v>68850</v>
      </c>
      <c r="L1582" s="246">
        <v>73950</v>
      </c>
      <c r="M1582" s="246">
        <v>79050</v>
      </c>
      <c r="N1582" s="246">
        <v>84150</v>
      </c>
    </row>
    <row r="1583" spans="3:14" ht="21.95" customHeight="1" x14ac:dyDescent="0.25">
      <c r="C1583" s="139" t="str">
        <f t="shared" si="40"/>
        <v>MS_MARION COUNTY, MS</v>
      </c>
      <c r="D1583" s="136" t="s">
        <v>81</v>
      </c>
      <c r="E1583" s="262" t="s">
        <v>4171</v>
      </c>
      <c r="F1583" s="136" t="s">
        <v>183</v>
      </c>
      <c r="G1583" s="246">
        <v>38750</v>
      </c>
      <c r="H1583" s="246">
        <v>44250</v>
      </c>
      <c r="I1583" s="246">
        <v>49800</v>
      </c>
      <c r="J1583" s="246">
        <v>55300</v>
      </c>
      <c r="K1583" s="246">
        <v>59750</v>
      </c>
      <c r="L1583" s="246">
        <v>64150</v>
      </c>
      <c r="M1583" s="246">
        <v>68600</v>
      </c>
      <c r="N1583" s="246">
        <v>73000</v>
      </c>
    </row>
    <row r="1584" spans="3:14" ht="21.95" customHeight="1" x14ac:dyDescent="0.25">
      <c r="C1584" s="139" t="str">
        <f t="shared" si="40"/>
        <v>MS_MARSHALL COUNTY, MS HUD METRO FMR AREA</v>
      </c>
      <c r="D1584" s="136" t="s">
        <v>81</v>
      </c>
      <c r="E1584" s="262" t="s">
        <v>4172</v>
      </c>
      <c r="F1584" s="136" t="s">
        <v>183</v>
      </c>
      <c r="G1584" s="246">
        <v>38750</v>
      </c>
      <c r="H1584" s="246">
        <v>44250</v>
      </c>
      <c r="I1584" s="246">
        <v>49800</v>
      </c>
      <c r="J1584" s="246">
        <v>55300</v>
      </c>
      <c r="K1584" s="246">
        <v>59750</v>
      </c>
      <c r="L1584" s="246">
        <v>64150</v>
      </c>
      <c r="M1584" s="246">
        <v>68600</v>
      </c>
      <c r="N1584" s="246">
        <v>73000</v>
      </c>
    </row>
    <row r="1585" spans="3:14" ht="21.95" customHeight="1" x14ac:dyDescent="0.25">
      <c r="C1585" s="139" t="str">
        <f t="shared" si="40"/>
        <v>MS_MEMPHIS, TN-MS-AR HUD METRO FMR AREA</v>
      </c>
      <c r="D1585" s="136" t="s">
        <v>81</v>
      </c>
      <c r="E1585" s="262" t="s">
        <v>3074</v>
      </c>
      <c r="F1585" s="136" t="s">
        <v>183</v>
      </c>
      <c r="G1585" s="246">
        <v>51050</v>
      </c>
      <c r="H1585" s="246">
        <v>58350</v>
      </c>
      <c r="I1585" s="246">
        <v>65650</v>
      </c>
      <c r="J1585" s="246">
        <v>72900</v>
      </c>
      <c r="K1585" s="246">
        <v>78750</v>
      </c>
      <c r="L1585" s="246">
        <v>84600</v>
      </c>
      <c r="M1585" s="246">
        <v>90400</v>
      </c>
      <c r="N1585" s="246">
        <v>96250</v>
      </c>
    </row>
    <row r="1586" spans="3:14" ht="21.95" customHeight="1" x14ac:dyDescent="0.25">
      <c r="C1586" s="139" t="str">
        <f t="shared" si="40"/>
        <v>MS_MONROE COUNTY, MS</v>
      </c>
      <c r="D1586" s="136" t="s">
        <v>81</v>
      </c>
      <c r="E1586" s="262" t="s">
        <v>4173</v>
      </c>
      <c r="F1586" s="136" t="s">
        <v>183</v>
      </c>
      <c r="G1586" s="246">
        <v>40700</v>
      </c>
      <c r="H1586" s="246">
        <v>46500</v>
      </c>
      <c r="I1586" s="246">
        <v>52300</v>
      </c>
      <c r="J1586" s="246">
        <v>58100</v>
      </c>
      <c r="K1586" s="246">
        <v>62750</v>
      </c>
      <c r="L1586" s="246">
        <v>67400</v>
      </c>
      <c r="M1586" s="246">
        <v>72050</v>
      </c>
      <c r="N1586" s="246">
        <v>76700</v>
      </c>
    </row>
    <row r="1587" spans="3:14" ht="21.95" customHeight="1" x14ac:dyDescent="0.25">
      <c r="C1587" s="139" t="str">
        <f t="shared" si="40"/>
        <v>MS_MONTGOMERY COUNTY, MS</v>
      </c>
      <c r="D1587" s="136" t="s">
        <v>81</v>
      </c>
      <c r="E1587" s="262" t="s">
        <v>4174</v>
      </c>
      <c r="F1587" s="136" t="s">
        <v>183</v>
      </c>
      <c r="G1587" s="246">
        <v>38750</v>
      </c>
      <c r="H1587" s="246">
        <v>44250</v>
      </c>
      <c r="I1587" s="246">
        <v>49800</v>
      </c>
      <c r="J1587" s="246">
        <v>55300</v>
      </c>
      <c r="K1587" s="246">
        <v>59750</v>
      </c>
      <c r="L1587" s="246">
        <v>64150</v>
      </c>
      <c r="M1587" s="246">
        <v>68600</v>
      </c>
      <c r="N1587" s="246">
        <v>73000</v>
      </c>
    </row>
    <row r="1588" spans="3:14" ht="21.95" customHeight="1" x14ac:dyDescent="0.25">
      <c r="C1588" s="139" t="str">
        <f t="shared" si="40"/>
        <v>MS_NESHOBA COUNTY, MS</v>
      </c>
      <c r="D1588" s="136" t="s">
        <v>81</v>
      </c>
      <c r="E1588" s="262" t="s">
        <v>4175</v>
      </c>
      <c r="F1588" s="136" t="s">
        <v>183</v>
      </c>
      <c r="G1588" s="246">
        <v>38750</v>
      </c>
      <c r="H1588" s="246">
        <v>44250</v>
      </c>
      <c r="I1588" s="246">
        <v>49800</v>
      </c>
      <c r="J1588" s="246">
        <v>55300</v>
      </c>
      <c r="K1588" s="246">
        <v>59750</v>
      </c>
      <c r="L1588" s="246">
        <v>64150</v>
      </c>
      <c r="M1588" s="246">
        <v>68600</v>
      </c>
      <c r="N1588" s="246">
        <v>73000</v>
      </c>
    </row>
    <row r="1589" spans="3:14" ht="21.95" customHeight="1" x14ac:dyDescent="0.25">
      <c r="C1589" s="139" t="str">
        <f t="shared" si="40"/>
        <v>MS_NEWTON COUNTY, MS</v>
      </c>
      <c r="D1589" s="136" t="s">
        <v>81</v>
      </c>
      <c r="E1589" s="262" t="s">
        <v>4176</v>
      </c>
      <c r="F1589" s="136" t="s">
        <v>183</v>
      </c>
      <c r="G1589" s="246">
        <v>39400</v>
      </c>
      <c r="H1589" s="246">
        <v>45000</v>
      </c>
      <c r="I1589" s="246">
        <v>50650</v>
      </c>
      <c r="J1589" s="246">
        <v>56250</v>
      </c>
      <c r="K1589" s="246">
        <v>60750</v>
      </c>
      <c r="L1589" s="246">
        <v>65250</v>
      </c>
      <c r="M1589" s="246">
        <v>69750</v>
      </c>
      <c r="N1589" s="246">
        <v>74250</v>
      </c>
    </row>
    <row r="1590" spans="3:14" ht="21.95" customHeight="1" x14ac:dyDescent="0.25">
      <c r="C1590" s="139" t="str">
        <f t="shared" si="40"/>
        <v>MS_NOXUBEE COUNTY, MS</v>
      </c>
      <c r="D1590" s="136" t="s">
        <v>81</v>
      </c>
      <c r="E1590" s="262" t="s">
        <v>4177</v>
      </c>
      <c r="F1590" s="136" t="s">
        <v>183</v>
      </c>
      <c r="G1590" s="246">
        <v>38750</v>
      </c>
      <c r="H1590" s="246">
        <v>44250</v>
      </c>
      <c r="I1590" s="246">
        <v>49800</v>
      </c>
      <c r="J1590" s="246">
        <v>55300</v>
      </c>
      <c r="K1590" s="246">
        <v>59750</v>
      </c>
      <c r="L1590" s="246">
        <v>64150</v>
      </c>
      <c r="M1590" s="246">
        <v>68600</v>
      </c>
      <c r="N1590" s="246">
        <v>73000</v>
      </c>
    </row>
    <row r="1591" spans="3:14" ht="21.95" customHeight="1" x14ac:dyDescent="0.25">
      <c r="C1591" s="139" t="str">
        <f t="shared" si="40"/>
        <v>MS_OKTIBBEHA COUNTY, MS</v>
      </c>
      <c r="D1591" s="136" t="s">
        <v>81</v>
      </c>
      <c r="E1591" s="262" t="s">
        <v>4178</v>
      </c>
      <c r="F1591" s="136" t="s">
        <v>183</v>
      </c>
      <c r="G1591" s="246">
        <v>45850</v>
      </c>
      <c r="H1591" s="246">
        <v>52400</v>
      </c>
      <c r="I1591" s="246">
        <v>58950</v>
      </c>
      <c r="J1591" s="246">
        <v>65450</v>
      </c>
      <c r="K1591" s="246">
        <v>70700</v>
      </c>
      <c r="L1591" s="246">
        <v>75950</v>
      </c>
      <c r="M1591" s="246">
        <v>81200</v>
      </c>
      <c r="N1591" s="246">
        <v>86400</v>
      </c>
    </row>
    <row r="1592" spans="3:14" ht="21.95" customHeight="1" x14ac:dyDescent="0.25">
      <c r="C1592" s="139" t="str">
        <f t="shared" si="40"/>
        <v>MS_PANOLA COUNTY, MS</v>
      </c>
      <c r="D1592" s="136" t="s">
        <v>81</v>
      </c>
      <c r="E1592" s="262" t="s">
        <v>4179</v>
      </c>
      <c r="F1592" s="136" t="s">
        <v>183</v>
      </c>
      <c r="G1592" s="246">
        <v>38750</v>
      </c>
      <c r="H1592" s="246">
        <v>44250</v>
      </c>
      <c r="I1592" s="246">
        <v>49800</v>
      </c>
      <c r="J1592" s="246">
        <v>55300</v>
      </c>
      <c r="K1592" s="246">
        <v>59750</v>
      </c>
      <c r="L1592" s="246">
        <v>64150</v>
      </c>
      <c r="M1592" s="246">
        <v>68600</v>
      </c>
      <c r="N1592" s="246">
        <v>73000</v>
      </c>
    </row>
    <row r="1593" spans="3:14" ht="21.95" customHeight="1" x14ac:dyDescent="0.25">
      <c r="C1593" s="139" t="str">
        <f t="shared" si="40"/>
        <v>MS_PASCAGOULA, MS HUD METRO FMR AREA</v>
      </c>
      <c r="D1593" s="136" t="s">
        <v>81</v>
      </c>
      <c r="E1593" s="262" t="s">
        <v>4180</v>
      </c>
      <c r="F1593" s="136" t="s">
        <v>183</v>
      </c>
      <c r="G1593" s="246">
        <v>48650</v>
      </c>
      <c r="H1593" s="246">
        <v>55600</v>
      </c>
      <c r="I1593" s="246">
        <v>62550</v>
      </c>
      <c r="J1593" s="246">
        <v>69450</v>
      </c>
      <c r="K1593" s="246">
        <v>75050</v>
      </c>
      <c r="L1593" s="246">
        <v>80600</v>
      </c>
      <c r="M1593" s="246">
        <v>86150</v>
      </c>
      <c r="N1593" s="246">
        <v>91700</v>
      </c>
    </row>
    <row r="1594" spans="3:14" ht="21.95" customHeight="1" x14ac:dyDescent="0.25">
      <c r="C1594" s="139" t="str">
        <f t="shared" si="40"/>
        <v>MS_PEARL RIVER COUNTY, MS</v>
      </c>
      <c r="D1594" s="136" t="s">
        <v>81</v>
      </c>
      <c r="E1594" s="262" t="s">
        <v>4181</v>
      </c>
      <c r="F1594" s="136" t="s">
        <v>183</v>
      </c>
      <c r="G1594" s="246">
        <v>43900</v>
      </c>
      <c r="H1594" s="246">
        <v>50150</v>
      </c>
      <c r="I1594" s="246">
        <v>56400</v>
      </c>
      <c r="J1594" s="246">
        <v>62650</v>
      </c>
      <c r="K1594" s="246">
        <v>67700</v>
      </c>
      <c r="L1594" s="246">
        <v>72700</v>
      </c>
      <c r="M1594" s="246">
        <v>77700</v>
      </c>
      <c r="N1594" s="246">
        <v>82700</v>
      </c>
    </row>
    <row r="1595" spans="3:14" ht="21.95" customHeight="1" x14ac:dyDescent="0.25">
      <c r="C1595" s="139" t="str">
        <f t="shared" si="40"/>
        <v>MS_PIKE COUNTY, MS</v>
      </c>
      <c r="D1595" s="136" t="s">
        <v>81</v>
      </c>
      <c r="E1595" s="262" t="s">
        <v>4182</v>
      </c>
      <c r="F1595" s="136" t="s">
        <v>183</v>
      </c>
      <c r="G1595" s="246">
        <v>38750</v>
      </c>
      <c r="H1595" s="246">
        <v>44250</v>
      </c>
      <c r="I1595" s="246">
        <v>49800</v>
      </c>
      <c r="J1595" s="246">
        <v>55300</v>
      </c>
      <c r="K1595" s="246">
        <v>59750</v>
      </c>
      <c r="L1595" s="246">
        <v>64150</v>
      </c>
      <c r="M1595" s="246">
        <v>68600</v>
      </c>
      <c r="N1595" s="246">
        <v>73000</v>
      </c>
    </row>
    <row r="1596" spans="3:14" ht="21.95" customHeight="1" x14ac:dyDescent="0.25">
      <c r="C1596" s="139" t="str">
        <f t="shared" si="40"/>
        <v>MS_PONTOTOC COUNTY, MS</v>
      </c>
      <c r="D1596" s="136" t="s">
        <v>81</v>
      </c>
      <c r="E1596" s="262" t="s">
        <v>4183</v>
      </c>
      <c r="F1596" s="136" t="s">
        <v>183</v>
      </c>
      <c r="G1596" s="246">
        <v>42250</v>
      </c>
      <c r="H1596" s="246">
        <v>48250</v>
      </c>
      <c r="I1596" s="246">
        <v>54300</v>
      </c>
      <c r="J1596" s="246">
        <v>60300</v>
      </c>
      <c r="K1596" s="246">
        <v>65150</v>
      </c>
      <c r="L1596" s="246">
        <v>69950</v>
      </c>
      <c r="M1596" s="246">
        <v>74800</v>
      </c>
      <c r="N1596" s="246">
        <v>79600</v>
      </c>
    </row>
    <row r="1597" spans="3:14" ht="21.95" customHeight="1" x14ac:dyDescent="0.25">
      <c r="C1597" s="139" t="str">
        <f t="shared" si="40"/>
        <v>MS_PRENTISS COUNTY, MS</v>
      </c>
      <c r="D1597" s="136" t="s">
        <v>81</v>
      </c>
      <c r="E1597" s="262" t="s">
        <v>4184</v>
      </c>
      <c r="F1597" s="136" t="s">
        <v>183</v>
      </c>
      <c r="G1597" s="246">
        <v>39600</v>
      </c>
      <c r="H1597" s="246">
        <v>45250</v>
      </c>
      <c r="I1597" s="246">
        <v>50900</v>
      </c>
      <c r="J1597" s="246">
        <v>56550</v>
      </c>
      <c r="K1597" s="246">
        <v>61100</v>
      </c>
      <c r="L1597" s="246">
        <v>65600</v>
      </c>
      <c r="M1597" s="246">
        <v>70150</v>
      </c>
      <c r="N1597" s="246">
        <v>74650</v>
      </c>
    </row>
    <row r="1598" spans="3:14" ht="21.95" customHeight="1" x14ac:dyDescent="0.25">
      <c r="C1598" s="139" t="str">
        <f t="shared" si="40"/>
        <v>MS_QUITMAN COUNTY, MS</v>
      </c>
      <c r="D1598" s="136" t="s">
        <v>81</v>
      </c>
      <c r="E1598" s="262" t="s">
        <v>4185</v>
      </c>
      <c r="F1598" s="136" t="s">
        <v>183</v>
      </c>
      <c r="G1598" s="246">
        <v>38750</v>
      </c>
      <c r="H1598" s="246">
        <v>44250</v>
      </c>
      <c r="I1598" s="246">
        <v>49800</v>
      </c>
      <c r="J1598" s="246">
        <v>55300</v>
      </c>
      <c r="K1598" s="246">
        <v>59750</v>
      </c>
      <c r="L1598" s="246">
        <v>64150</v>
      </c>
      <c r="M1598" s="246">
        <v>68600</v>
      </c>
      <c r="N1598" s="246">
        <v>73000</v>
      </c>
    </row>
    <row r="1599" spans="3:14" ht="21.95" customHeight="1" x14ac:dyDescent="0.25">
      <c r="C1599" s="139" t="str">
        <f t="shared" si="40"/>
        <v>MS_SCOTT COUNTY, MS HUD METRO FMR AREA</v>
      </c>
      <c r="D1599" s="136" t="s">
        <v>81</v>
      </c>
      <c r="E1599" s="262" t="s">
        <v>9214</v>
      </c>
      <c r="F1599" s="136" t="s">
        <v>183</v>
      </c>
      <c r="G1599" s="246">
        <v>38750</v>
      </c>
      <c r="H1599" s="246">
        <v>44250</v>
      </c>
      <c r="I1599" s="246">
        <v>49800</v>
      </c>
      <c r="J1599" s="246">
        <v>55300</v>
      </c>
      <c r="K1599" s="246">
        <v>59750</v>
      </c>
      <c r="L1599" s="246">
        <v>64150</v>
      </c>
      <c r="M1599" s="246">
        <v>68600</v>
      </c>
      <c r="N1599" s="246">
        <v>73000</v>
      </c>
    </row>
    <row r="1600" spans="3:14" ht="21.95" customHeight="1" x14ac:dyDescent="0.25">
      <c r="C1600" s="139" t="str">
        <f t="shared" ref="C1600:C1663" si="41">TRIM(UPPER(D1600))&amp;"_"&amp;TRIM(UPPER(E1600))</f>
        <v>MS_SHARKEY COUNTY, MS</v>
      </c>
      <c r="D1600" s="136" t="s">
        <v>81</v>
      </c>
      <c r="E1600" s="262" t="s">
        <v>4186</v>
      </c>
      <c r="F1600" s="136" t="s">
        <v>183</v>
      </c>
      <c r="G1600" s="246">
        <v>38750</v>
      </c>
      <c r="H1600" s="246">
        <v>44250</v>
      </c>
      <c r="I1600" s="246">
        <v>49800</v>
      </c>
      <c r="J1600" s="246">
        <v>55300</v>
      </c>
      <c r="K1600" s="246">
        <v>59750</v>
      </c>
      <c r="L1600" s="246">
        <v>64150</v>
      </c>
      <c r="M1600" s="246">
        <v>68600</v>
      </c>
      <c r="N1600" s="246">
        <v>73000</v>
      </c>
    </row>
    <row r="1601" spans="3:14" ht="21.95" customHeight="1" x14ac:dyDescent="0.25">
      <c r="C1601" s="139" t="str">
        <f t="shared" si="41"/>
        <v>MS_SIMPSON COUNTY, MS HUD METRO FMR AREA</v>
      </c>
      <c r="D1601" s="136" t="s">
        <v>81</v>
      </c>
      <c r="E1601" s="262" t="s">
        <v>4187</v>
      </c>
      <c r="F1601" s="136" t="s">
        <v>183</v>
      </c>
      <c r="G1601" s="246">
        <v>39400</v>
      </c>
      <c r="H1601" s="246">
        <v>45000</v>
      </c>
      <c r="I1601" s="246">
        <v>50650</v>
      </c>
      <c r="J1601" s="246">
        <v>56250</v>
      </c>
      <c r="K1601" s="246">
        <v>60750</v>
      </c>
      <c r="L1601" s="246">
        <v>65250</v>
      </c>
      <c r="M1601" s="246">
        <v>69750</v>
      </c>
      <c r="N1601" s="246">
        <v>74250</v>
      </c>
    </row>
    <row r="1602" spans="3:14" ht="21.95" customHeight="1" x14ac:dyDescent="0.25">
      <c r="C1602" s="139" t="str">
        <f t="shared" si="41"/>
        <v>MS_SMITH COUNTY, MS</v>
      </c>
      <c r="D1602" s="136" t="s">
        <v>81</v>
      </c>
      <c r="E1602" s="262" t="s">
        <v>4188</v>
      </c>
      <c r="F1602" s="136" t="s">
        <v>183</v>
      </c>
      <c r="G1602" s="246">
        <v>41550</v>
      </c>
      <c r="H1602" s="246">
        <v>47450</v>
      </c>
      <c r="I1602" s="246">
        <v>53400</v>
      </c>
      <c r="J1602" s="246">
        <v>59300</v>
      </c>
      <c r="K1602" s="246">
        <v>64050</v>
      </c>
      <c r="L1602" s="246">
        <v>68800</v>
      </c>
      <c r="M1602" s="246">
        <v>73550</v>
      </c>
      <c r="N1602" s="246">
        <v>78300</v>
      </c>
    </row>
    <row r="1603" spans="3:14" ht="21.95" customHeight="1" x14ac:dyDescent="0.25">
      <c r="C1603" s="139" t="str">
        <f t="shared" si="41"/>
        <v>MS_STONE COUNTY, MS HUD METRO FMR AREA</v>
      </c>
      <c r="D1603" s="136" t="s">
        <v>81</v>
      </c>
      <c r="E1603" s="262" t="s">
        <v>4189</v>
      </c>
      <c r="F1603" s="136" t="s">
        <v>183</v>
      </c>
      <c r="G1603" s="246">
        <v>42500</v>
      </c>
      <c r="H1603" s="246">
        <v>48600</v>
      </c>
      <c r="I1603" s="246">
        <v>54650</v>
      </c>
      <c r="J1603" s="246">
        <v>60700</v>
      </c>
      <c r="K1603" s="246">
        <v>65600</v>
      </c>
      <c r="L1603" s="246">
        <v>70450</v>
      </c>
      <c r="M1603" s="246">
        <v>75300</v>
      </c>
      <c r="N1603" s="246">
        <v>80150</v>
      </c>
    </row>
    <row r="1604" spans="3:14" ht="21.95" customHeight="1" x14ac:dyDescent="0.25">
      <c r="C1604" s="139" t="str">
        <f t="shared" si="41"/>
        <v>MS_SUNFLOWER COUNTY, MS</v>
      </c>
      <c r="D1604" s="136" t="s">
        <v>81</v>
      </c>
      <c r="E1604" s="262" t="s">
        <v>4190</v>
      </c>
      <c r="F1604" s="136" t="s">
        <v>183</v>
      </c>
      <c r="G1604" s="246">
        <v>38750</v>
      </c>
      <c r="H1604" s="246">
        <v>44250</v>
      </c>
      <c r="I1604" s="246">
        <v>49800</v>
      </c>
      <c r="J1604" s="246">
        <v>55300</v>
      </c>
      <c r="K1604" s="246">
        <v>59750</v>
      </c>
      <c r="L1604" s="246">
        <v>64150</v>
      </c>
      <c r="M1604" s="246">
        <v>68600</v>
      </c>
      <c r="N1604" s="246">
        <v>73000</v>
      </c>
    </row>
    <row r="1605" spans="3:14" ht="21.95" customHeight="1" x14ac:dyDescent="0.25">
      <c r="C1605" s="139" t="str">
        <f t="shared" si="41"/>
        <v>MS_TALLAHATCHIE COUNTY, MS</v>
      </c>
      <c r="D1605" s="136" t="s">
        <v>81</v>
      </c>
      <c r="E1605" s="262" t="s">
        <v>4191</v>
      </c>
      <c r="F1605" s="136" t="s">
        <v>183</v>
      </c>
      <c r="G1605" s="246">
        <v>38750</v>
      </c>
      <c r="H1605" s="246">
        <v>44250</v>
      </c>
      <c r="I1605" s="246">
        <v>49800</v>
      </c>
      <c r="J1605" s="246">
        <v>55300</v>
      </c>
      <c r="K1605" s="246">
        <v>59750</v>
      </c>
      <c r="L1605" s="246">
        <v>64150</v>
      </c>
      <c r="M1605" s="246">
        <v>68600</v>
      </c>
      <c r="N1605" s="246">
        <v>73000</v>
      </c>
    </row>
    <row r="1606" spans="3:14" ht="21.95" customHeight="1" x14ac:dyDescent="0.25">
      <c r="C1606" s="139" t="str">
        <f t="shared" si="41"/>
        <v>MS_TATE COUNTY, MS HUD METRO FMR AREA</v>
      </c>
      <c r="D1606" s="136" t="s">
        <v>81</v>
      </c>
      <c r="E1606" s="262" t="s">
        <v>4192</v>
      </c>
      <c r="F1606" s="136" t="s">
        <v>183</v>
      </c>
      <c r="G1606" s="246">
        <v>43350</v>
      </c>
      <c r="H1606" s="246">
        <v>49550</v>
      </c>
      <c r="I1606" s="246">
        <v>55750</v>
      </c>
      <c r="J1606" s="246">
        <v>61900</v>
      </c>
      <c r="K1606" s="246">
        <v>66900</v>
      </c>
      <c r="L1606" s="246">
        <v>71850</v>
      </c>
      <c r="M1606" s="246">
        <v>76800</v>
      </c>
      <c r="N1606" s="246">
        <v>81750</v>
      </c>
    </row>
    <row r="1607" spans="3:14" ht="21.95" customHeight="1" x14ac:dyDescent="0.25">
      <c r="C1607" s="139" t="str">
        <f t="shared" si="41"/>
        <v>MS_TIPPAH COUNTY, MS</v>
      </c>
      <c r="D1607" s="136" t="s">
        <v>81</v>
      </c>
      <c r="E1607" s="262" t="s">
        <v>4193</v>
      </c>
      <c r="F1607" s="136" t="s">
        <v>183</v>
      </c>
      <c r="G1607" s="246">
        <v>38750</v>
      </c>
      <c r="H1607" s="246">
        <v>44250</v>
      </c>
      <c r="I1607" s="246">
        <v>49800</v>
      </c>
      <c r="J1607" s="246">
        <v>55300</v>
      </c>
      <c r="K1607" s="246">
        <v>59750</v>
      </c>
      <c r="L1607" s="246">
        <v>64150</v>
      </c>
      <c r="M1607" s="246">
        <v>68600</v>
      </c>
      <c r="N1607" s="246">
        <v>73000</v>
      </c>
    </row>
    <row r="1608" spans="3:14" ht="21.95" customHeight="1" x14ac:dyDescent="0.25">
      <c r="C1608" s="139" t="str">
        <f t="shared" si="41"/>
        <v>MS_TISHOMINGO COUNTY, MS</v>
      </c>
      <c r="D1608" s="136" t="s">
        <v>81</v>
      </c>
      <c r="E1608" s="262" t="s">
        <v>4194</v>
      </c>
      <c r="F1608" s="136" t="s">
        <v>183</v>
      </c>
      <c r="G1608" s="246">
        <v>41800</v>
      </c>
      <c r="H1608" s="246">
        <v>47800</v>
      </c>
      <c r="I1608" s="246">
        <v>53750</v>
      </c>
      <c r="J1608" s="246">
        <v>59700</v>
      </c>
      <c r="K1608" s="246">
        <v>64500</v>
      </c>
      <c r="L1608" s="246">
        <v>69300</v>
      </c>
      <c r="M1608" s="246">
        <v>74050</v>
      </c>
      <c r="N1608" s="246">
        <v>78850</v>
      </c>
    </row>
    <row r="1609" spans="3:14" ht="21.95" customHeight="1" x14ac:dyDescent="0.25">
      <c r="C1609" s="139" t="str">
        <f t="shared" si="41"/>
        <v>MS_TUNICA COUNTY, MS HUD METRO FMR AREA</v>
      </c>
      <c r="D1609" s="136" t="s">
        <v>81</v>
      </c>
      <c r="E1609" s="262" t="s">
        <v>4195</v>
      </c>
      <c r="F1609" s="136" t="s">
        <v>183</v>
      </c>
      <c r="G1609" s="246">
        <v>40250</v>
      </c>
      <c r="H1609" s="246">
        <v>46000</v>
      </c>
      <c r="I1609" s="246">
        <v>51750</v>
      </c>
      <c r="J1609" s="246">
        <v>57500</v>
      </c>
      <c r="K1609" s="246">
        <v>62100</v>
      </c>
      <c r="L1609" s="246">
        <v>66700</v>
      </c>
      <c r="M1609" s="246">
        <v>71300</v>
      </c>
      <c r="N1609" s="246">
        <v>75900</v>
      </c>
    </row>
    <row r="1610" spans="3:14" ht="21.95" customHeight="1" x14ac:dyDescent="0.25">
      <c r="C1610" s="139" t="str">
        <f t="shared" si="41"/>
        <v>MS_UNION COUNTY, MS</v>
      </c>
      <c r="D1610" s="136" t="s">
        <v>81</v>
      </c>
      <c r="E1610" s="262" t="s">
        <v>4196</v>
      </c>
      <c r="F1610" s="136" t="s">
        <v>183</v>
      </c>
      <c r="G1610" s="246">
        <v>42750</v>
      </c>
      <c r="H1610" s="246">
        <v>48850</v>
      </c>
      <c r="I1610" s="246">
        <v>54950</v>
      </c>
      <c r="J1610" s="246">
        <v>61050</v>
      </c>
      <c r="K1610" s="246">
        <v>65950</v>
      </c>
      <c r="L1610" s="246">
        <v>70850</v>
      </c>
      <c r="M1610" s="246">
        <v>75750</v>
      </c>
      <c r="N1610" s="246">
        <v>80600</v>
      </c>
    </row>
    <row r="1611" spans="3:14" ht="21.95" customHeight="1" x14ac:dyDescent="0.25">
      <c r="C1611" s="139" t="str">
        <f t="shared" si="41"/>
        <v>MS_WALTHALL COUNTY, MS</v>
      </c>
      <c r="D1611" s="136" t="s">
        <v>81</v>
      </c>
      <c r="E1611" s="262" t="s">
        <v>4197</v>
      </c>
      <c r="F1611" s="136" t="s">
        <v>183</v>
      </c>
      <c r="G1611" s="246">
        <v>38950</v>
      </c>
      <c r="H1611" s="246">
        <v>44500</v>
      </c>
      <c r="I1611" s="246">
        <v>50050</v>
      </c>
      <c r="J1611" s="246">
        <v>55600</v>
      </c>
      <c r="K1611" s="246">
        <v>60050</v>
      </c>
      <c r="L1611" s="246">
        <v>64500</v>
      </c>
      <c r="M1611" s="246">
        <v>68950</v>
      </c>
      <c r="N1611" s="246">
        <v>73400</v>
      </c>
    </row>
    <row r="1612" spans="3:14" ht="21.95" customHeight="1" x14ac:dyDescent="0.25">
      <c r="C1612" s="139" t="str">
        <f t="shared" si="41"/>
        <v>MS_WARREN COUNTY, MS</v>
      </c>
      <c r="D1612" s="136" t="s">
        <v>81</v>
      </c>
      <c r="E1612" s="262" t="s">
        <v>4198</v>
      </c>
      <c r="F1612" s="136" t="s">
        <v>183</v>
      </c>
      <c r="G1612" s="246">
        <v>44600</v>
      </c>
      <c r="H1612" s="246">
        <v>50950</v>
      </c>
      <c r="I1612" s="246">
        <v>57300</v>
      </c>
      <c r="J1612" s="246">
        <v>63650</v>
      </c>
      <c r="K1612" s="246">
        <v>68750</v>
      </c>
      <c r="L1612" s="246">
        <v>73850</v>
      </c>
      <c r="M1612" s="246">
        <v>78950</v>
      </c>
      <c r="N1612" s="246">
        <v>84050</v>
      </c>
    </row>
    <row r="1613" spans="3:14" ht="21.95" customHeight="1" x14ac:dyDescent="0.25">
      <c r="C1613" s="139" t="str">
        <f t="shared" si="41"/>
        <v>MS_WASHINGTON COUNTY, MS</v>
      </c>
      <c r="D1613" s="136" t="s">
        <v>81</v>
      </c>
      <c r="E1613" s="262" t="s">
        <v>4199</v>
      </c>
      <c r="F1613" s="136" t="s">
        <v>183</v>
      </c>
      <c r="G1613" s="246">
        <v>38750</v>
      </c>
      <c r="H1613" s="246">
        <v>44250</v>
      </c>
      <c r="I1613" s="246">
        <v>49800</v>
      </c>
      <c r="J1613" s="246">
        <v>55300</v>
      </c>
      <c r="K1613" s="246">
        <v>59750</v>
      </c>
      <c r="L1613" s="246">
        <v>64150</v>
      </c>
      <c r="M1613" s="246">
        <v>68600</v>
      </c>
      <c r="N1613" s="246">
        <v>73000</v>
      </c>
    </row>
    <row r="1614" spans="3:14" ht="21.95" customHeight="1" x14ac:dyDescent="0.25">
      <c r="C1614" s="139" t="str">
        <f t="shared" si="41"/>
        <v>MS_WAYNE COUNTY, MS</v>
      </c>
      <c r="D1614" s="136" t="s">
        <v>81</v>
      </c>
      <c r="E1614" s="262" t="s">
        <v>4200</v>
      </c>
      <c r="F1614" s="136" t="s">
        <v>183</v>
      </c>
      <c r="G1614" s="246">
        <v>38750</v>
      </c>
      <c r="H1614" s="246">
        <v>44250</v>
      </c>
      <c r="I1614" s="246">
        <v>49800</v>
      </c>
      <c r="J1614" s="246">
        <v>55300</v>
      </c>
      <c r="K1614" s="246">
        <v>59750</v>
      </c>
      <c r="L1614" s="246">
        <v>64150</v>
      </c>
      <c r="M1614" s="246">
        <v>68600</v>
      </c>
      <c r="N1614" s="246">
        <v>73000</v>
      </c>
    </row>
    <row r="1615" spans="3:14" ht="21.95" customHeight="1" x14ac:dyDescent="0.25">
      <c r="C1615" s="139" t="str">
        <f t="shared" si="41"/>
        <v>MS_WEBSTER COUNTY, MS</v>
      </c>
      <c r="D1615" s="136" t="s">
        <v>81</v>
      </c>
      <c r="E1615" s="262" t="s">
        <v>4201</v>
      </c>
      <c r="F1615" s="136" t="s">
        <v>183</v>
      </c>
      <c r="G1615" s="246">
        <v>44000</v>
      </c>
      <c r="H1615" s="246">
        <v>50250</v>
      </c>
      <c r="I1615" s="246">
        <v>56550</v>
      </c>
      <c r="J1615" s="246">
        <v>62800</v>
      </c>
      <c r="K1615" s="246">
        <v>67850</v>
      </c>
      <c r="L1615" s="246">
        <v>72850</v>
      </c>
      <c r="M1615" s="246">
        <v>77900</v>
      </c>
      <c r="N1615" s="246">
        <v>82900</v>
      </c>
    </row>
    <row r="1616" spans="3:14" ht="21.95" customHeight="1" x14ac:dyDescent="0.25">
      <c r="C1616" s="139" t="str">
        <f t="shared" si="41"/>
        <v>MS_WILKINSON COUNTY, MS</v>
      </c>
      <c r="D1616" s="136" t="s">
        <v>81</v>
      </c>
      <c r="E1616" s="262" t="s">
        <v>4202</v>
      </c>
      <c r="F1616" s="136" t="s">
        <v>183</v>
      </c>
      <c r="G1616" s="246">
        <v>38750</v>
      </c>
      <c r="H1616" s="246">
        <v>44250</v>
      </c>
      <c r="I1616" s="246">
        <v>49800</v>
      </c>
      <c r="J1616" s="246">
        <v>55300</v>
      </c>
      <c r="K1616" s="246">
        <v>59750</v>
      </c>
      <c r="L1616" s="246">
        <v>64150</v>
      </c>
      <c r="M1616" s="246">
        <v>68600</v>
      </c>
      <c r="N1616" s="246">
        <v>73000</v>
      </c>
    </row>
    <row r="1617" spans="3:14" ht="21.95" customHeight="1" x14ac:dyDescent="0.25">
      <c r="C1617" s="139" t="str">
        <f t="shared" si="41"/>
        <v>MS_WINSTON COUNTY, MS</v>
      </c>
      <c r="D1617" s="136" t="s">
        <v>81</v>
      </c>
      <c r="E1617" s="262" t="s">
        <v>4203</v>
      </c>
      <c r="F1617" s="136" t="s">
        <v>183</v>
      </c>
      <c r="G1617" s="246">
        <v>38750</v>
      </c>
      <c r="H1617" s="246">
        <v>44250</v>
      </c>
      <c r="I1617" s="246">
        <v>49800</v>
      </c>
      <c r="J1617" s="246">
        <v>55300</v>
      </c>
      <c r="K1617" s="246">
        <v>59750</v>
      </c>
      <c r="L1617" s="246">
        <v>64150</v>
      </c>
      <c r="M1617" s="246">
        <v>68600</v>
      </c>
      <c r="N1617" s="246">
        <v>73000</v>
      </c>
    </row>
    <row r="1618" spans="3:14" ht="21.95" customHeight="1" x14ac:dyDescent="0.25">
      <c r="C1618" s="139" t="str">
        <f t="shared" si="41"/>
        <v>MS_YALOBUSHA COUNTY, MS</v>
      </c>
      <c r="D1618" s="136" t="s">
        <v>81</v>
      </c>
      <c r="E1618" s="262" t="s">
        <v>4204</v>
      </c>
      <c r="F1618" s="136" t="s">
        <v>183</v>
      </c>
      <c r="G1618" s="246">
        <v>38750</v>
      </c>
      <c r="H1618" s="246">
        <v>44250</v>
      </c>
      <c r="I1618" s="246">
        <v>49800</v>
      </c>
      <c r="J1618" s="246">
        <v>55300</v>
      </c>
      <c r="K1618" s="246">
        <v>59750</v>
      </c>
      <c r="L1618" s="246">
        <v>64150</v>
      </c>
      <c r="M1618" s="246">
        <v>68600</v>
      </c>
      <c r="N1618" s="246">
        <v>73000</v>
      </c>
    </row>
    <row r="1619" spans="3:14" ht="21.95" customHeight="1" x14ac:dyDescent="0.25">
      <c r="C1619" s="139" t="str">
        <f t="shared" si="41"/>
        <v>MS_YAZOO COUNTY, MS HUD METRO FMR AREA</v>
      </c>
      <c r="D1619" s="136" t="s">
        <v>81</v>
      </c>
      <c r="E1619" s="262" t="s">
        <v>4205</v>
      </c>
      <c r="F1619" s="136" t="s">
        <v>183</v>
      </c>
      <c r="G1619" s="246">
        <v>38750</v>
      </c>
      <c r="H1619" s="246">
        <v>44250</v>
      </c>
      <c r="I1619" s="246">
        <v>49800</v>
      </c>
      <c r="J1619" s="246">
        <v>55300</v>
      </c>
      <c r="K1619" s="246">
        <v>59750</v>
      </c>
      <c r="L1619" s="246">
        <v>64150</v>
      </c>
      <c r="M1619" s="246">
        <v>68600</v>
      </c>
      <c r="N1619" s="246">
        <v>73000</v>
      </c>
    </row>
    <row r="1620" spans="3:14" ht="21.95" customHeight="1" x14ac:dyDescent="0.25">
      <c r="C1620" s="139" t="str">
        <f t="shared" si="41"/>
        <v>MT_BEAVERHEAD COUNTY, MT</v>
      </c>
      <c r="D1620" s="136" t="s">
        <v>79</v>
      </c>
      <c r="E1620" s="262" t="s">
        <v>4206</v>
      </c>
      <c r="F1620" s="136" t="s">
        <v>183</v>
      </c>
      <c r="G1620" s="246">
        <v>48900</v>
      </c>
      <c r="H1620" s="246">
        <v>55900</v>
      </c>
      <c r="I1620" s="246">
        <v>62900</v>
      </c>
      <c r="J1620" s="246">
        <v>69850</v>
      </c>
      <c r="K1620" s="246">
        <v>75450</v>
      </c>
      <c r="L1620" s="246">
        <v>81050</v>
      </c>
      <c r="M1620" s="246">
        <v>86650</v>
      </c>
      <c r="N1620" s="246">
        <v>92250</v>
      </c>
    </row>
    <row r="1621" spans="3:14" ht="21.95" customHeight="1" x14ac:dyDescent="0.25">
      <c r="C1621" s="139" t="str">
        <f t="shared" si="41"/>
        <v>MT_BIG HORN COUNTY, MT</v>
      </c>
      <c r="D1621" s="136" t="s">
        <v>79</v>
      </c>
      <c r="E1621" s="262" t="s">
        <v>4207</v>
      </c>
      <c r="F1621" s="136" t="s">
        <v>183</v>
      </c>
      <c r="G1621" s="246">
        <v>48900</v>
      </c>
      <c r="H1621" s="246">
        <v>55900</v>
      </c>
      <c r="I1621" s="246">
        <v>62900</v>
      </c>
      <c r="J1621" s="246">
        <v>69850</v>
      </c>
      <c r="K1621" s="246">
        <v>75450</v>
      </c>
      <c r="L1621" s="246">
        <v>81050</v>
      </c>
      <c r="M1621" s="246">
        <v>86650</v>
      </c>
      <c r="N1621" s="246">
        <v>92250</v>
      </c>
    </row>
    <row r="1622" spans="3:14" ht="21.95" customHeight="1" x14ac:dyDescent="0.25">
      <c r="C1622" s="139" t="str">
        <f t="shared" si="41"/>
        <v>MT_BILLINGS, MT HUD METRO FMR AREA</v>
      </c>
      <c r="D1622" s="136" t="s">
        <v>79</v>
      </c>
      <c r="E1622" s="262" t="s">
        <v>4208</v>
      </c>
      <c r="F1622" s="136" t="s">
        <v>183</v>
      </c>
      <c r="G1622" s="246">
        <v>54400</v>
      </c>
      <c r="H1622" s="246">
        <v>62200</v>
      </c>
      <c r="I1622" s="246">
        <v>69950</v>
      </c>
      <c r="J1622" s="246">
        <v>77700</v>
      </c>
      <c r="K1622" s="246">
        <v>83950</v>
      </c>
      <c r="L1622" s="246">
        <v>90150</v>
      </c>
      <c r="M1622" s="246">
        <v>96350</v>
      </c>
      <c r="N1622" s="246">
        <v>102600</v>
      </c>
    </row>
    <row r="1623" spans="3:14" ht="21.95" customHeight="1" x14ac:dyDescent="0.25">
      <c r="C1623" s="139" t="str">
        <f t="shared" si="41"/>
        <v>MT_BLAINE COUNTY, MT</v>
      </c>
      <c r="D1623" s="136" t="s">
        <v>79</v>
      </c>
      <c r="E1623" s="262" t="s">
        <v>4209</v>
      </c>
      <c r="F1623" s="136" t="s">
        <v>183</v>
      </c>
      <c r="G1623" s="246">
        <v>48900</v>
      </c>
      <c r="H1623" s="246">
        <v>55900</v>
      </c>
      <c r="I1623" s="246">
        <v>62900</v>
      </c>
      <c r="J1623" s="246">
        <v>69850</v>
      </c>
      <c r="K1623" s="246">
        <v>75450</v>
      </c>
      <c r="L1623" s="246">
        <v>81050</v>
      </c>
      <c r="M1623" s="246">
        <v>86650</v>
      </c>
      <c r="N1623" s="246">
        <v>92250</v>
      </c>
    </row>
    <row r="1624" spans="3:14" ht="21.95" customHeight="1" x14ac:dyDescent="0.25">
      <c r="C1624" s="139" t="str">
        <f t="shared" si="41"/>
        <v>MT_BOZEMAN, MT MSA</v>
      </c>
      <c r="D1624" s="136" t="s">
        <v>79</v>
      </c>
      <c r="E1624" s="262" t="s">
        <v>9216</v>
      </c>
      <c r="F1624" s="136" t="s">
        <v>183</v>
      </c>
      <c r="G1624" s="246">
        <v>66650</v>
      </c>
      <c r="H1624" s="246">
        <v>76200</v>
      </c>
      <c r="I1624" s="246">
        <v>85700</v>
      </c>
      <c r="J1624" s="246">
        <v>95200</v>
      </c>
      <c r="K1624" s="246">
        <v>102850</v>
      </c>
      <c r="L1624" s="246">
        <v>110450</v>
      </c>
      <c r="M1624" s="246">
        <v>118050</v>
      </c>
      <c r="N1624" s="246">
        <v>125700</v>
      </c>
    </row>
    <row r="1625" spans="3:14" ht="21.95" customHeight="1" x14ac:dyDescent="0.25">
      <c r="C1625" s="139" t="str">
        <f t="shared" si="41"/>
        <v>MT_BROADWATER COUNTY, MT HUD METRO FMR AREA</v>
      </c>
      <c r="D1625" s="136" t="s">
        <v>79</v>
      </c>
      <c r="E1625" s="262" t="s">
        <v>9215</v>
      </c>
      <c r="F1625" s="136" t="s">
        <v>183</v>
      </c>
      <c r="G1625" s="246">
        <v>52500</v>
      </c>
      <c r="H1625" s="246">
        <v>60000</v>
      </c>
      <c r="I1625" s="246">
        <v>67500</v>
      </c>
      <c r="J1625" s="246">
        <v>75000</v>
      </c>
      <c r="K1625" s="246">
        <v>81000</v>
      </c>
      <c r="L1625" s="246">
        <v>87000</v>
      </c>
      <c r="M1625" s="246">
        <v>93000</v>
      </c>
      <c r="N1625" s="246">
        <v>99000</v>
      </c>
    </row>
    <row r="1626" spans="3:14" ht="21.95" customHeight="1" x14ac:dyDescent="0.25">
      <c r="C1626" s="139" t="str">
        <f t="shared" si="41"/>
        <v>MT_CARTER COUNTY, MT</v>
      </c>
      <c r="D1626" s="136" t="s">
        <v>79</v>
      </c>
      <c r="E1626" s="262" t="s">
        <v>4210</v>
      </c>
      <c r="F1626" s="136" t="s">
        <v>183</v>
      </c>
      <c r="G1626" s="246">
        <v>48900</v>
      </c>
      <c r="H1626" s="246">
        <v>55900</v>
      </c>
      <c r="I1626" s="246">
        <v>62900</v>
      </c>
      <c r="J1626" s="246">
        <v>69850</v>
      </c>
      <c r="K1626" s="246">
        <v>75450</v>
      </c>
      <c r="L1626" s="246">
        <v>81050</v>
      </c>
      <c r="M1626" s="246">
        <v>86650</v>
      </c>
      <c r="N1626" s="246">
        <v>92250</v>
      </c>
    </row>
    <row r="1627" spans="3:14" ht="21.95" customHeight="1" x14ac:dyDescent="0.25">
      <c r="C1627" s="139" t="str">
        <f t="shared" si="41"/>
        <v>MT_CHOUTEAU COUNTY, MT</v>
      </c>
      <c r="D1627" s="136" t="s">
        <v>79</v>
      </c>
      <c r="E1627" s="262" t="s">
        <v>4211</v>
      </c>
      <c r="F1627" s="136" t="s">
        <v>183</v>
      </c>
      <c r="G1627" s="246">
        <v>50050</v>
      </c>
      <c r="H1627" s="246">
        <v>57200</v>
      </c>
      <c r="I1627" s="246">
        <v>64350</v>
      </c>
      <c r="J1627" s="246">
        <v>71500</v>
      </c>
      <c r="K1627" s="246">
        <v>77250</v>
      </c>
      <c r="L1627" s="246">
        <v>82950</v>
      </c>
      <c r="M1627" s="246">
        <v>88700</v>
      </c>
      <c r="N1627" s="246">
        <v>94400</v>
      </c>
    </row>
    <row r="1628" spans="3:14" ht="21.95" customHeight="1" x14ac:dyDescent="0.25">
      <c r="C1628" s="139" t="str">
        <f t="shared" si="41"/>
        <v>MT_CUSTER COUNTY, MT</v>
      </c>
      <c r="D1628" s="136" t="s">
        <v>79</v>
      </c>
      <c r="E1628" s="262" t="s">
        <v>4212</v>
      </c>
      <c r="F1628" s="136" t="s">
        <v>183</v>
      </c>
      <c r="G1628" s="246">
        <v>52950</v>
      </c>
      <c r="H1628" s="246">
        <v>60500</v>
      </c>
      <c r="I1628" s="246">
        <v>68050</v>
      </c>
      <c r="J1628" s="246">
        <v>75600</v>
      </c>
      <c r="K1628" s="246">
        <v>81650</v>
      </c>
      <c r="L1628" s="246">
        <v>87700</v>
      </c>
      <c r="M1628" s="246">
        <v>93750</v>
      </c>
      <c r="N1628" s="246">
        <v>99800</v>
      </c>
    </row>
    <row r="1629" spans="3:14" ht="21.95" customHeight="1" x14ac:dyDescent="0.25">
      <c r="C1629" s="139" t="str">
        <f t="shared" si="41"/>
        <v>MT_DANIELS COUNTY, MT</v>
      </c>
      <c r="D1629" s="136" t="s">
        <v>79</v>
      </c>
      <c r="E1629" s="262" t="s">
        <v>4213</v>
      </c>
      <c r="F1629" s="136" t="s">
        <v>183</v>
      </c>
      <c r="G1629" s="246">
        <v>51650</v>
      </c>
      <c r="H1629" s="246">
        <v>59000</v>
      </c>
      <c r="I1629" s="246">
        <v>66400</v>
      </c>
      <c r="J1629" s="246">
        <v>73750</v>
      </c>
      <c r="K1629" s="246">
        <v>79650</v>
      </c>
      <c r="L1629" s="246">
        <v>85550</v>
      </c>
      <c r="M1629" s="246">
        <v>91450</v>
      </c>
      <c r="N1629" s="246">
        <v>97350</v>
      </c>
    </row>
    <row r="1630" spans="3:14" ht="21.95" customHeight="1" x14ac:dyDescent="0.25">
      <c r="C1630" s="139" t="str">
        <f t="shared" si="41"/>
        <v>MT_DAWSON COUNTY, MT</v>
      </c>
      <c r="D1630" s="136" t="s">
        <v>79</v>
      </c>
      <c r="E1630" s="262" t="s">
        <v>4214</v>
      </c>
      <c r="F1630" s="136" t="s">
        <v>183</v>
      </c>
      <c r="G1630" s="246">
        <v>51350</v>
      </c>
      <c r="H1630" s="246">
        <v>58650</v>
      </c>
      <c r="I1630" s="246">
        <v>66000</v>
      </c>
      <c r="J1630" s="246">
        <v>73300</v>
      </c>
      <c r="K1630" s="246">
        <v>79200</v>
      </c>
      <c r="L1630" s="246">
        <v>85050</v>
      </c>
      <c r="M1630" s="246">
        <v>90900</v>
      </c>
      <c r="N1630" s="246">
        <v>96800</v>
      </c>
    </row>
    <row r="1631" spans="3:14" ht="21.95" customHeight="1" x14ac:dyDescent="0.25">
      <c r="C1631" s="139" t="str">
        <f t="shared" si="41"/>
        <v>MT_DEER LODGE COUNTY, MT</v>
      </c>
      <c r="D1631" s="136" t="s">
        <v>79</v>
      </c>
      <c r="E1631" s="262" t="s">
        <v>4215</v>
      </c>
      <c r="F1631" s="136" t="s">
        <v>183</v>
      </c>
      <c r="G1631" s="246">
        <v>48900</v>
      </c>
      <c r="H1631" s="246">
        <v>55900</v>
      </c>
      <c r="I1631" s="246">
        <v>62900</v>
      </c>
      <c r="J1631" s="246">
        <v>69850</v>
      </c>
      <c r="K1631" s="246">
        <v>75450</v>
      </c>
      <c r="L1631" s="246">
        <v>81050</v>
      </c>
      <c r="M1631" s="246">
        <v>86650</v>
      </c>
      <c r="N1631" s="246">
        <v>92250</v>
      </c>
    </row>
    <row r="1632" spans="3:14" ht="21.95" customHeight="1" x14ac:dyDescent="0.25">
      <c r="C1632" s="139" t="str">
        <f t="shared" si="41"/>
        <v>MT_FALLON COUNTY, MT</v>
      </c>
      <c r="D1632" s="136" t="s">
        <v>79</v>
      </c>
      <c r="E1632" s="262" t="s">
        <v>4216</v>
      </c>
      <c r="F1632" s="136" t="s">
        <v>183</v>
      </c>
      <c r="G1632" s="246">
        <v>64400</v>
      </c>
      <c r="H1632" s="246">
        <v>73600</v>
      </c>
      <c r="I1632" s="246">
        <v>82800</v>
      </c>
      <c r="J1632" s="246">
        <v>92000</v>
      </c>
      <c r="K1632" s="246">
        <v>99400</v>
      </c>
      <c r="L1632" s="246">
        <v>106750</v>
      </c>
      <c r="M1632" s="246">
        <v>114100</v>
      </c>
      <c r="N1632" s="246">
        <v>121450</v>
      </c>
    </row>
    <row r="1633" spans="3:14" ht="21.95" customHeight="1" x14ac:dyDescent="0.25">
      <c r="C1633" s="139" t="str">
        <f t="shared" si="41"/>
        <v>MT_FERGUS COUNTY, MT</v>
      </c>
      <c r="D1633" s="136" t="s">
        <v>79</v>
      </c>
      <c r="E1633" s="262" t="s">
        <v>4217</v>
      </c>
      <c r="F1633" s="136" t="s">
        <v>183</v>
      </c>
      <c r="G1633" s="246">
        <v>50600</v>
      </c>
      <c r="H1633" s="246">
        <v>57800</v>
      </c>
      <c r="I1633" s="246">
        <v>65050</v>
      </c>
      <c r="J1633" s="246">
        <v>72250</v>
      </c>
      <c r="K1633" s="246">
        <v>78050</v>
      </c>
      <c r="L1633" s="246">
        <v>83850</v>
      </c>
      <c r="M1633" s="246">
        <v>89600</v>
      </c>
      <c r="N1633" s="246">
        <v>95400</v>
      </c>
    </row>
    <row r="1634" spans="3:14" ht="21.95" customHeight="1" x14ac:dyDescent="0.25">
      <c r="C1634" s="139" t="str">
        <f t="shared" si="41"/>
        <v>MT_FLATHEAD COUNTY, MT</v>
      </c>
      <c r="D1634" s="136" t="s">
        <v>79</v>
      </c>
      <c r="E1634" s="262" t="s">
        <v>4218</v>
      </c>
      <c r="F1634" s="136" t="s">
        <v>183</v>
      </c>
      <c r="G1634" s="246">
        <v>54050</v>
      </c>
      <c r="H1634" s="246">
        <v>61800</v>
      </c>
      <c r="I1634" s="246">
        <v>69500</v>
      </c>
      <c r="J1634" s="246">
        <v>77200</v>
      </c>
      <c r="K1634" s="246">
        <v>83400</v>
      </c>
      <c r="L1634" s="246">
        <v>89600</v>
      </c>
      <c r="M1634" s="246">
        <v>95750</v>
      </c>
      <c r="N1634" s="246">
        <v>101950</v>
      </c>
    </row>
    <row r="1635" spans="3:14" ht="21.95" customHeight="1" x14ac:dyDescent="0.25">
      <c r="C1635" s="139" t="str">
        <f t="shared" si="41"/>
        <v>MT_GARFIELD COUNTY, MT</v>
      </c>
      <c r="D1635" s="136" t="s">
        <v>79</v>
      </c>
      <c r="E1635" s="262" t="s">
        <v>4219</v>
      </c>
      <c r="F1635" s="136" t="s">
        <v>183</v>
      </c>
      <c r="G1635" s="246">
        <v>50250</v>
      </c>
      <c r="H1635" s="246">
        <v>57400</v>
      </c>
      <c r="I1635" s="246">
        <v>64600</v>
      </c>
      <c r="J1635" s="246">
        <v>71750</v>
      </c>
      <c r="K1635" s="246">
        <v>77500</v>
      </c>
      <c r="L1635" s="246">
        <v>83250</v>
      </c>
      <c r="M1635" s="246">
        <v>89000</v>
      </c>
      <c r="N1635" s="246">
        <v>94750</v>
      </c>
    </row>
    <row r="1636" spans="3:14" ht="21.95" customHeight="1" x14ac:dyDescent="0.25">
      <c r="C1636" s="139" t="str">
        <f t="shared" si="41"/>
        <v>MT_GLACIER COUNTY, MT</v>
      </c>
      <c r="D1636" s="136" t="s">
        <v>79</v>
      </c>
      <c r="E1636" s="262" t="s">
        <v>4220</v>
      </c>
      <c r="F1636" s="136" t="s">
        <v>183</v>
      </c>
      <c r="G1636" s="246">
        <v>48900</v>
      </c>
      <c r="H1636" s="246">
        <v>55900</v>
      </c>
      <c r="I1636" s="246">
        <v>62900</v>
      </c>
      <c r="J1636" s="246">
        <v>69850</v>
      </c>
      <c r="K1636" s="246">
        <v>75450</v>
      </c>
      <c r="L1636" s="246">
        <v>81050</v>
      </c>
      <c r="M1636" s="246">
        <v>86650</v>
      </c>
      <c r="N1636" s="246">
        <v>92250</v>
      </c>
    </row>
    <row r="1637" spans="3:14" ht="21.95" customHeight="1" x14ac:dyDescent="0.25">
      <c r="C1637" s="139" t="str">
        <f t="shared" si="41"/>
        <v>MT_GOLDEN VALLEY COUNTY, MT</v>
      </c>
      <c r="D1637" s="136" t="s">
        <v>79</v>
      </c>
      <c r="E1637" s="262" t="s">
        <v>4221</v>
      </c>
      <c r="F1637" s="136" t="s">
        <v>183</v>
      </c>
      <c r="G1637" s="246">
        <v>48900</v>
      </c>
      <c r="H1637" s="246">
        <v>55900</v>
      </c>
      <c r="I1637" s="246">
        <v>62900</v>
      </c>
      <c r="J1637" s="246">
        <v>69850</v>
      </c>
      <c r="K1637" s="246">
        <v>75450</v>
      </c>
      <c r="L1637" s="246">
        <v>81050</v>
      </c>
      <c r="M1637" s="246">
        <v>86650</v>
      </c>
      <c r="N1637" s="246">
        <v>92250</v>
      </c>
    </row>
    <row r="1638" spans="3:14" ht="21.95" customHeight="1" x14ac:dyDescent="0.25">
      <c r="C1638" s="139" t="str">
        <f t="shared" si="41"/>
        <v>MT_GRANITE COUNTY, MT</v>
      </c>
      <c r="D1638" s="136" t="s">
        <v>79</v>
      </c>
      <c r="E1638" s="262" t="s">
        <v>4222</v>
      </c>
      <c r="F1638" s="136" t="s">
        <v>183</v>
      </c>
      <c r="G1638" s="246">
        <v>48900</v>
      </c>
      <c r="H1638" s="246">
        <v>55900</v>
      </c>
      <c r="I1638" s="246">
        <v>62900</v>
      </c>
      <c r="J1638" s="246">
        <v>69850</v>
      </c>
      <c r="K1638" s="246">
        <v>75450</v>
      </c>
      <c r="L1638" s="246">
        <v>81050</v>
      </c>
      <c r="M1638" s="246">
        <v>86650</v>
      </c>
      <c r="N1638" s="246">
        <v>92250</v>
      </c>
    </row>
    <row r="1639" spans="3:14" ht="21.95" customHeight="1" x14ac:dyDescent="0.25">
      <c r="C1639" s="139" t="str">
        <f t="shared" si="41"/>
        <v>MT_GREAT FALLS, MT MSA</v>
      </c>
      <c r="D1639" s="136" t="s">
        <v>79</v>
      </c>
      <c r="E1639" s="262" t="s">
        <v>4223</v>
      </c>
      <c r="F1639" s="136" t="s">
        <v>183</v>
      </c>
      <c r="G1639" s="246">
        <v>50900</v>
      </c>
      <c r="H1639" s="246">
        <v>58150</v>
      </c>
      <c r="I1639" s="246">
        <v>65400</v>
      </c>
      <c r="J1639" s="246">
        <v>72650</v>
      </c>
      <c r="K1639" s="246">
        <v>78500</v>
      </c>
      <c r="L1639" s="246">
        <v>84300</v>
      </c>
      <c r="M1639" s="246">
        <v>90100</v>
      </c>
      <c r="N1639" s="246">
        <v>95900</v>
      </c>
    </row>
    <row r="1640" spans="3:14" ht="21.95" customHeight="1" x14ac:dyDescent="0.25">
      <c r="C1640" s="139" t="str">
        <f t="shared" si="41"/>
        <v>MT_HILL COUNTY, MT</v>
      </c>
      <c r="D1640" s="136" t="s">
        <v>79</v>
      </c>
      <c r="E1640" s="262" t="s">
        <v>4224</v>
      </c>
      <c r="F1640" s="136" t="s">
        <v>183</v>
      </c>
      <c r="G1640" s="246">
        <v>48900</v>
      </c>
      <c r="H1640" s="246">
        <v>55900</v>
      </c>
      <c r="I1640" s="246">
        <v>62900</v>
      </c>
      <c r="J1640" s="246">
        <v>69850</v>
      </c>
      <c r="K1640" s="246">
        <v>75450</v>
      </c>
      <c r="L1640" s="246">
        <v>81050</v>
      </c>
      <c r="M1640" s="246">
        <v>86650</v>
      </c>
      <c r="N1640" s="246">
        <v>92250</v>
      </c>
    </row>
    <row r="1641" spans="3:14" ht="21.95" customHeight="1" x14ac:dyDescent="0.25">
      <c r="C1641" s="139" t="str">
        <f t="shared" si="41"/>
        <v>MT_JEFFERSON COUNTY, MT HUD METRO FMR AREA</v>
      </c>
      <c r="D1641" s="136" t="s">
        <v>79</v>
      </c>
      <c r="E1641" s="262" t="s">
        <v>9217</v>
      </c>
      <c r="F1641" s="136" t="s">
        <v>183</v>
      </c>
      <c r="G1641" s="246">
        <v>58450</v>
      </c>
      <c r="H1641" s="246">
        <v>66800</v>
      </c>
      <c r="I1641" s="246">
        <v>75150</v>
      </c>
      <c r="J1641" s="246">
        <v>83450</v>
      </c>
      <c r="K1641" s="246">
        <v>90150</v>
      </c>
      <c r="L1641" s="246">
        <v>96850</v>
      </c>
      <c r="M1641" s="246">
        <v>103500</v>
      </c>
      <c r="N1641" s="246">
        <v>110200</v>
      </c>
    </row>
    <row r="1642" spans="3:14" ht="21.95" customHeight="1" x14ac:dyDescent="0.25">
      <c r="C1642" s="139" t="str">
        <f t="shared" si="41"/>
        <v>MT_JUDITH BASIN COUNTY, MT</v>
      </c>
      <c r="D1642" s="136" t="s">
        <v>79</v>
      </c>
      <c r="E1642" s="262" t="s">
        <v>4225</v>
      </c>
      <c r="F1642" s="136" t="s">
        <v>183</v>
      </c>
      <c r="G1642" s="246">
        <v>49950</v>
      </c>
      <c r="H1642" s="246">
        <v>57050</v>
      </c>
      <c r="I1642" s="246">
        <v>64200</v>
      </c>
      <c r="J1642" s="246">
        <v>71300</v>
      </c>
      <c r="K1642" s="246">
        <v>77050</v>
      </c>
      <c r="L1642" s="246">
        <v>82750</v>
      </c>
      <c r="M1642" s="246">
        <v>88450</v>
      </c>
      <c r="N1642" s="246">
        <v>94150</v>
      </c>
    </row>
    <row r="1643" spans="3:14" ht="21.95" customHeight="1" x14ac:dyDescent="0.25">
      <c r="C1643" s="139" t="str">
        <f t="shared" si="41"/>
        <v>MT_LAKE COUNTY, MT</v>
      </c>
      <c r="D1643" s="136" t="s">
        <v>79</v>
      </c>
      <c r="E1643" s="262" t="s">
        <v>4226</v>
      </c>
      <c r="F1643" s="136" t="s">
        <v>183</v>
      </c>
      <c r="G1643" s="246">
        <v>48900</v>
      </c>
      <c r="H1643" s="246">
        <v>55900</v>
      </c>
      <c r="I1643" s="246">
        <v>62900</v>
      </c>
      <c r="J1643" s="246">
        <v>69850</v>
      </c>
      <c r="K1643" s="246">
        <v>75450</v>
      </c>
      <c r="L1643" s="246">
        <v>81050</v>
      </c>
      <c r="M1643" s="246">
        <v>86650</v>
      </c>
      <c r="N1643" s="246">
        <v>92250</v>
      </c>
    </row>
    <row r="1644" spans="3:14" ht="21.95" customHeight="1" x14ac:dyDescent="0.25">
      <c r="C1644" s="139" t="str">
        <f t="shared" si="41"/>
        <v>MT_LEWIS AND CLARK COUNTY, MT HUD METRO FMR AREA</v>
      </c>
      <c r="D1644" s="136" t="s">
        <v>79</v>
      </c>
      <c r="E1644" s="262" t="s">
        <v>9218</v>
      </c>
      <c r="F1644" s="136" t="s">
        <v>183</v>
      </c>
      <c r="G1644" s="246">
        <v>59950</v>
      </c>
      <c r="H1644" s="246">
        <v>68500</v>
      </c>
      <c r="I1644" s="246">
        <v>77050</v>
      </c>
      <c r="J1644" s="246">
        <v>85600</v>
      </c>
      <c r="K1644" s="246">
        <v>92450</v>
      </c>
      <c r="L1644" s="246">
        <v>99300</v>
      </c>
      <c r="M1644" s="246">
        <v>106150</v>
      </c>
      <c r="N1644" s="246">
        <v>113000</v>
      </c>
    </row>
    <row r="1645" spans="3:14" ht="21.95" customHeight="1" x14ac:dyDescent="0.25">
      <c r="C1645" s="139" t="str">
        <f t="shared" si="41"/>
        <v>MT_LIBERTY COUNTY, MT</v>
      </c>
      <c r="D1645" s="136" t="s">
        <v>79</v>
      </c>
      <c r="E1645" s="262" t="s">
        <v>4227</v>
      </c>
      <c r="F1645" s="136" t="s">
        <v>183</v>
      </c>
      <c r="G1645" s="246">
        <v>48900</v>
      </c>
      <c r="H1645" s="246">
        <v>55900</v>
      </c>
      <c r="I1645" s="246">
        <v>62900</v>
      </c>
      <c r="J1645" s="246">
        <v>69850</v>
      </c>
      <c r="K1645" s="246">
        <v>75450</v>
      </c>
      <c r="L1645" s="246">
        <v>81050</v>
      </c>
      <c r="M1645" s="246">
        <v>86650</v>
      </c>
      <c r="N1645" s="246">
        <v>92250</v>
      </c>
    </row>
    <row r="1646" spans="3:14" ht="21.95" customHeight="1" x14ac:dyDescent="0.25">
      <c r="C1646" s="139" t="str">
        <f t="shared" si="41"/>
        <v>MT_LINCOLN COUNTY, MT</v>
      </c>
      <c r="D1646" s="136" t="s">
        <v>79</v>
      </c>
      <c r="E1646" s="262" t="s">
        <v>4228</v>
      </c>
      <c r="F1646" s="136" t="s">
        <v>183</v>
      </c>
      <c r="G1646" s="246">
        <v>48900</v>
      </c>
      <c r="H1646" s="246">
        <v>55900</v>
      </c>
      <c r="I1646" s="246">
        <v>62900</v>
      </c>
      <c r="J1646" s="246">
        <v>69850</v>
      </c>
      <c r="K1646" s="246">
        <v>75450</v>
      </c>
      <c r="L1646" s="246">
        <v>81050</v>
      </c>
      <c r="M1646" s="246">
        <v>86650</v>
      </c>
      <c r="N1646" s="246">
        <v>92250</v>
      </c>
    </row>
    <row r="1647" spans="3:14" ht="21.95" customHeight="1" x14ac:dyDescent="0.25">
      <c r="C1647" s="139" t="str">
        <f t="shared" si="41"/>
        <v>MT_MADISON COUNTY, MT</v>
      </c>
      <c r="D1647" s="136" t="s">
        <v>79</v>
      </c>
      <c r="E1647" s="262" t="s">
        <v>4229</v>
      </c>
      <c r="F1647" s="136" t="s">
        <v>183</v>
      </c>
      <c r="G1647" s="246">
        <v>48900</v>
      </c>
      <c r="H1647" s="246">
        <v>55900</v>
      </c>
      <c r="I1647" s="246">
        <v>62900</v>
      </c>
      <c r="J1647" s="246">
        <v>69850</v>
      </c>
      <c r="K1647" s="246">
        <v>75450</v>
      </c>
      <c r="L1647" s="246">
        <v>81050</v>
      </c>
      <c r="M1647" s="246">
        <v>86650</v>
      </c>
      <c r="N1647" s="246">
        <v>92250</v>
      </c>
    </row>
    <row r="1648" spans="3:14" ht="21.95" customHeight="1" x14ac:dyDescent="0.25">
      <c r="C1648" s="139" t="str">
        <f t="shared" si="41"/>
        <v>MT_MCCONE COUNTY, MT</v>
      </c>
      <c r="D1648" s="136" t="s">
        <v>79</v>
      </c>
      <c r="E1648" s="262" t="s">
        <v>4230</v>
      </c>
      <c r="F1648" s="136" t="s">
        <v>183</v>
      </c>
      <c r="G1648" s="246">
        <v>53800</v>
      </c>
      <c r="H1648" s="246">
        <v>61450</v>
      </c>
      <c r="I1648" s="246">
        <v>69150</v>
      </c>
      <c r="J1648" s="246">
        <v>76800</v>
      </c>
      <c r="K1648" s="246">
        <v>82950</v>
      </c>
      <c r="L1648" s="246">
        <v>89100</v>
      </c>
      <c r="M1648" s="246">
        <v>95250</v>
      </c>
      <c r="N1648" s="246">
        <v>101400</v>
      </c>
    </row>
    <row r="1649" spans="3:14" ht="21.95" customHeight="1" x14ac:dyDescent="0.25">
      <c r="C1649" s="139" t="str">
        <f t="shared" si="41"/>
        <v>MT_MEAGHER COUNTY, MT</v>
      </c>
      <c r="D1649" s="136" t="s">
        <v>79</v>
      </c>
      <c r="E1649" s="262" t="s">
        <v>4231</v>
      </c>
      <c r="F1649" s="136" t="s">
        <v>183</v>
      </c>
      <c r="G1649" s="246">
        <v>48900</v>
      </c>
      <c r="H1649" s="246">
        <v>55900</v>
      </c>
      <c r="I1649" s="246">
        <v>62900</v>
      </c>
      <c r="J1649" s="246">
        <v>69850</v>
      </c>
      <c r="K1649" s="246">
        <v>75450</v>
      </c>
      <c r="L1649" s="246">
        <v>81050</v>
      </c>
      <c r="M1649" s="246">
        <v>86650</v>
      </c>
      <c r="N1649" s="246">
        <v>92250</v>
      </c>
    </row>
    <row r="1650" spans="3:14" ht="21.95" customHeight="1" x14ac:dyDescent="0.25">
      <c r="C1650" s="139" t="str">
        <f t="shared" si="41"/>
        <v>MT_MINERAL COUNTY, MT HUD METRO FMR AREA</v>
      </c>
      <c r="D1650" s="136" t="s">
        <v>79</v>
      </c>
      <c r="E1650" s="262" t="s">
        <v>9219</v>
      </c>
      <c r="F1650" s="136" t="s">
        <v>183</v>
      </c>
      <c r="G1650" s="246">
        <v>48900</v>
      </c>
      <c r="H1650" s="246">
        <v>55900</v>
      </c>
      <c r="I1650" s="246">
        <v>62900</v>
      </c>
      <c r="J1650" s="246">
        <v>69850</v>
      </c>
      <c r="K1650" s="246">
        <v>75450</v>
      </c>
      <c r="L1650" s="246">
        <v>81050</v>
      </c>
      <c r="M1650" s="246">
        <v>86650</v>
      </c>
      <c r="N1650" s="246">
        <v>92250</v>
      </c>
    </row>
    <row r="1651" spans="3:14" ht="21.95" customHeight="1" x14ac:dyDescent="0.25">
      <c r="C1651" s="139" t="str">
        <f t="shared" si="41"/>
        <v>MT_MISSOULA, MT HUD METRO FMR AREA</v>
      </c>
      <c r="D1651" s="136" t="s">
        <v>79</v>
      </c>
      <c r="E1651" s="262" t="s">
        <v>9220</v>
      </c>
      <c r="F1651" s="136" t="s">
        <v>183</v>
      </c>
      <c r="G1651" s="246">
        <v>55200</v>
      </c>
      <c r="H1651" s="246">
        <v>63050</v>
      </c>
      <c r="I1651" s="246">
        <v>70950</v>
      </c>
      <c r="J1651" s="246">
        <v>78800</v>
      </c>
      <c r="K1651" s="246">
        <v>85150</v>
      </c>
      <c r="L1651" s="246">
        <v>91450</v>
      </c>
      <c r="M1651" s="246">
        <v>97750</v>
      </c>
      <c r="N1651" s="246">
        <v>104050</v>
      </c>
    </row>
    <row r="1652" spans="3:14" ht="21.95" customHeight="1" x14ac:dyDescent="0.25">
      <c r="C1652" s="139" t="str">
        <f t="shared" si="41"/>
        <v>MT_MUSSELSHELL COUNTY, MT</v>
      </c>
      <c r="D1652" s="136" t="s">
        <v>79</v>
      </c>
      <c r="E1652" s="262" t="s">
        <v>4232</v>
      </c>
      <c r="F1652" s="136" t="s">
        <v>183</v>
      </c>
      <c r="G1652" s="246">
        <v>48900</v>
      </c>
      <c r="H1652" s="246">
        <v>55900</v>
      </c>
      <c r="I1652" s="246">
        <v>62900</v>
      </c>
      <c r="J1652" s="246">
        <v>69850</v>
      </c>
      <c r="K1652" s="246">
        <v>75450</v>
      </c>
      <c r="L1652" s="246">
        <v>81050</v>
      </c>
      <c r="M1652" s="246">
        <v>86650</v>
      </c>
      <c r="N1652" s="246">
        <v>92250</v>
      </c>
    </row>
    <row r="1653" spans="3:14" ht="21.95" customHeight="1" x14ac:dyDescent="0.25">
      <c r="C1653" s="139" t="str">
        <f t="shared" si="41"/>
        <v>MT_PARK COUNTY, MT</v>
      </c>
      <c r="D1653" s="136" t="s">
        <v>79</v>
      </c>
      <c r="E1653" s="262" t="s">
        <v>4233</v>
      </c>
      <c r="F1653" s="136" t="s">
        <v>183</v>
      </c>
      <c r="G1653" s="246">
        <v>56350</v>
      </c>
      <c r="H1653" s="246">
        <v>64400</v>
      </c>
      <c r="I1653" s="246">
        <v>72450</v>
      </c>
      <c r="J1653" s="246">
        <v>80500</v>
      </c>
      <c r="K1653" s="246">
        <v>86950</v>
      </c>
      <c r="L1653" s="246">
        <v>93400</v>
      </c>
      <c r="M1653" s="246">
        <v>99850</v>
      </c>
      <c r="N1653" s="246">
        <v>106300</v>
      </c>
    </row>
    <row r="1654" spans="3:14" ht="21.95" customHeight="1" x14ac:dyDescent="0.25">
      <c r="C1654" s="139" t="str">
        <f t="shared" si="41"/>
        <v>MT_PETROLEUM COUNTY, MT</v>
      </c>
      <c r="D1654" s="136" t="s">
        <v>79</v>
      </c>
      <c r="E1654" s="262" t="s">
        <v>4234</v>
      </c>
      <c r="F1654" s="136" t="s">
        <v>183</v>
      </c>
      <c r="G1654" s="246">
        <v>51650</v>
      </c>
      <c r="H1654" s="246">
        <v>59000</v>
      </c>
      <c r="I1654" s="246">
        <v>66400</v>
      </c>
      <c r="J1654" s="246">
        <v>73750</v>
      </c>
      <c r="K1654" s="246">
        <v>79650</v>
      </c>
      <c r="L1654" s="246">
        <v>85550</v>
      </c>
      <c r="M1654" s="246">
        <v>91450</v>
      </c>
      <c r="N1654" s="246">
        <v>97350</v>
      </c>
    </row>
    <row r="1655" spans="3:14" ht="21.95" customHeight="1" x14ac:dyDescent="0.25">
      <c r="C1655" s="139" t="str">
        <f t="shared" si="41"/>
        <v>MT_PHILLIPS COUNTY, MT</v>
      </c>
      <c r="D1655" s="136" t="s">
        <v>79</v>
      </c>
      <c r="E1655" s="262" t="s">
        <v>4235</v>
      </c>
      <c r="F1655" s="136" t="s">
        <v>183</v>
      </c>
      <c r="G1655" s="246">
        <v>48900</v>
      </c>
      <c r="H1655" s="246">
        <v>55900</v>
      </c>
      <c r="I1655" s="246">
        <v>62900</v>
      </c>
      <c r="J1655" s="246">
        <v>69850</v>
      </c>
      <c r="K1655" s="246">
        <v>75450</v>
      </c>
      <c r="L1655" s="246">
        <v>81050</v>
      </c>
      <c r="M1655" s="246">
        <v>86650</v>
      </c>
      <c r="N1655" s="246">
        <v>92250</v>
      </c>
    </row>
    <row r="1656" spans="3:14" ht="21.95" customHeight="1" x14ac:dyDescent="0.25">
      <c r="C1656" s="139" t="str">
        <f t="shared" si="41"/>
        <v>MT_PONDERA COUNTY, MT</v>
      </c>
      <c r="D1656" s="136" t="s">
        <v>79</v>
      </c>
      <c r="E1656" s="262" t="s">
        <v>4236</v>
      </c>
      <c r="F1656" s="136" t="s">
        <v>183</v>
      </c>
      <c r="G1656" s="246">
        <v>48900</v>
      </c>
      <c r="H1656" s="246">
        <v>55900</v>
      </c>
      <c r="I1656" s="246">
        <v>62900</v>
      </c>
      <c r="J1656" s="246">
        <v>69850</v>
      </c>
      <c r="K1656" s="246">
        <v>75450</v>
      </c>
      <c r="L1656" s="246">
        <v>81050</v>
      </c>
      <c r="M1656" s="246">
        <v>86650</v>
      </c>
      <c r="N1656" s="246">
        <v>92250</v>
      </c>
    </row>
    <row r="1657" spans="3:14" ht="21.95" customHeight="1" x14ac:dyDescent="0.25">
      <c r="C1657" s="139" t="str">
        <f t="shared" si="41"/>
        <v>MT_POWDER RIVER COUNTY, MT</v>
      </c>
      <c r="D1657" s="136" t="s">
        <v>79</v>
      </c>
      <c r="E1657" s="262" t="s">
        <v>4237</v>
      </c>
      <c r="F1657" s="136" t="s">
        <v>183</v>
      </c>
      <c r="G1657" s="246">
        <v>51950</v>
      </c>
      <c r="H1657" s="246">
        <v>59350</v>
      </c>
      <c r="I1657" s="246">
        <v>66750</v>
      </c>
      <c r="J1657" s="246">
        <v>74150</v>
      </c>
      <c r="K1657" s="246">
        <v>80100</v>
      </c>
      <c r="L1657" s="246">
        <v>86050</v>
      </c>
      <c r="M1657" s="246">
        <v>91950</v>
      </c>
      <c r="N1657" s="246">
        <v>97900</v>
      </c>
    </row>
    <row r="1658" spans="3:14" ht="21.95" customHeight="1" x14ac:dyDescent="0.25">
      <c r="C1658" s="139" t="str">
        <f t="shared" si="41"/>
        <v>MT_POWELL COUNTY, MT</v>
      </c>
      <c r="D1658" s="136" t="s">
        <v>79</v>
      </c>
      <c r="E1658" s="262" t="s">
        <v>4238</v>
      </c>
      <c r="F1658" s="136" t="s">
        <v>183</v>
      </c>
      <c r="G1658" s="246">
        <v>48900</v>
      </c>
      <c r="H1658" s="246">
        <v>55900</v>
      </c>
      <c r="I1658" s="246">
        <v>62900</v>
      </c>
      <c r="J1658" s="246">
        <v>69850</v>
      </c>
      <c r="K1658" s="246">
        <v>75450</v>
      </c>
      <c r="L1658" s="246">
        <v>81050</v>
      </c>
      <c r="M1658" s="246">
        <v>86650</v>
      </c>
      <c r="N1658" s="246">
        <v>92250</v>
      </c>
    </row>
    <row r="1659" spans="3:14" ht="21.95" customHeight="1" x14ac:dyDescent="0.25">
      <c r="C1659" s="139" t="str">
        <f t="shared" si="41"/>
        <v>MT_PRAIRIE COUNTY, MT</v>
      </c>
      <c r="D1659" s="136" t="s">
        <v>79</v>
      </c>
      <c r="E1659" s="262" t="s">
        <v>4239</v>
      </c>
      <c r="F1659" s="136" t="s">
        <v>183</v>
      </c>
      <c r="G1659" s="246">
        <v>48950</v>
      </c>
      <c r="H1659" s="246">
        <v>55950</v>
      </c>
      <c r="I1659" s="246">
        <v>62950</v>
      </c>
      <c r="J1659" s="246">
        <v>69900</v>
      </c>
      <c r="K1659" s="246">
        <v>75500</v>
      </c>
      <c r="L1659" s="246">
        <v>81100</v>
      </c>
      <c r="M1659" s="246">
        <v>86700</v>
      </c>
      <c r="N1659" s="246">
        <v>92300</v>
      </c>
    </row>
    <row r="1660" spans="3:14" ht="21.95" customHeight="1" x14ac:dyDescent="0.25">
      <c r="C1660" s="139" t="str">
        <f t="shared" si="41"/>
        <v>MT_RAVALLI COUNTY, MT</v>
      </c>
      <c r="D1660" s="136" t="s">
        <v>79</v>
      </c>
      <c r="E1660" s="262" t="s">
        <v>4240</v>
      </c>
      <c r="F1660" s="136" t="s">
        <v>183</v>
      </c>
      <c r="G1660" s="246">
        <v>52200</v>
      </c>
      <c r="H1660" s="246">
        <v>59650</v>
      </c>
      <c r="I1660" s="246">
        <v>67100</v>
      </c>
      <c r="J1660" s="246">
        <v>74550</v>
      </c>
      <c r="K1660" s="246">
        <v>80550</v>
      </c>
      <c r="L1660" s="246">
        <v>86500</v>
      </c>
      <c r="M1660" s="246">
        <v>92450</v>
      </c>
      <c r="N1660" s="246">
        <v>98450</v>
      </c>
    </row>
    <row r="1661" spans="3:14" ht="21.95" customHeight="1" x14ac:dyDescent="0.25">
      <c r="C1661" s="139" t="str">
        <f t="shared" si="41"/>
        <v>MT_RICHLAND COUNTY, MT</v>
      </c>
      <c r="D1661" s="136" t="s">
        <v>79</v>
      </c>
      <c r="E1661" s="262" t="s">
        <v>4241</v>
      </c>
      <c r="F1661" s="136" t="s">
        <v>183</v>
      </c>
      <c r="G1661" s="246">
        <v>52850</v>
      </c>
      <c r="H1661" s="246">
        <v>60400</v>
      </c>
      <c r="I1661" s="246">
        <v>67950</v>
      </c>
      <c r="J1661" s="246">
        <v>75500</v>
      </c>
      <c r="K1661" s="246">
        <v>81550</v>
      </c>
      <c r="L1661" s="246">
        <v>87600</v>
      </c>
      <c r="M1661" s="246">
        <v>93650</v>
      </c>
      <c r="N1661" s="246">
        <v>99700</v>
      </c>
    </row>
    <row r="1662" spans="3:14" ht="21.95" customHeight="1" x14ac:dyDescent="0.25">
      <c r="C1662" s="139" t="str">
        <f t="shared" si="41"/>
        <v>MT_ROOSEVELT COUNTY, MT</v>
      </c>
      <c r="D1662" s="136" t="s">
        <v>79</v>
      </c>
      <c r="E1662" s="262" t="s">
        <v>4242</v>
      </c>
      <c r="F1662" s="136" t="s">
        <v>183</v>
      </c>
      <c r="G1662" s="246">
        <v>48900</v>
      </c>
      <c r="H1662" s="246">
        <v>55900</v>
      </c>
      <c r="I1662" s="246">
        <v>62900</v>
      </c>
      <c r="J1662" s="246">
        <v>69850</v>
      </c>
      <c r="K1662" s="246">
        <v>75450</v>
      </c>
      <c r="L1662" s="246">
        <v>81050</v>
      </c>
      <c r="M1662" s="246">
        <v>86650</v>
      </c>
      <c r="N1662" s="246">
        <v>92250</v>
      </c>
    </row>
    <row r="1663" spans="3:14" ht="21.95" customHeight="1" x14ac:dyDescent="0.25">
      <c r="C1663" s="139" t="str">
        <f t="shared" si="41"/>
        <v>MT_ROSEBUD COUNTY, MT</v>
      </c>
      <c r="D1663" s="136" t="s">
        <v>79</v>
      </c>
      <c r="E1663" s="262" t="s">
        <v>4243</v>
      </c>
      <c r="F1663" s="136" t="s">
        <v>183</v>
      </c>
      <c r="G1663" s="246">
        <v>48900</v>
      </c>
      <c r="H1663" s="246">
        <v>55900</v>
      </c>
      <c r="I1663" s="246">
        <v>62900</v>
      </c>
      <c r="J1663" s="246">
        <v>69850</v>
      </c>
      <c r="K1663" s="246">
        <v>75450</v>
      </c>
      <c r="L1663" s="246">
        <v>81050</v>
      </c>
      <c r="M1663" s="246">
        <v>86650</v>
      </c>
      <c r="N1663" s="246">
        <v>92250</v>
      </c>
    </row>
    <row r="1664" spans="3:14" ht="21.95" customHeight="1" x14ac:dyDescent="0.25">
      <c r="C1664" s="139" t="str">
        <f t="shared" ref="C1664:C1727" si="42">TRIM(UPPER(D1664))&amp;"_"&amp;TRIM(UPPER(E1664))</f>
        <v>MT_SANDERS COUNTY, MT</v>
      </c>
      <c r="D1664" s="136" t="s">
        <v>79</v>
      </c>
      <c r="E1664" s="262" t="s">
        <v>4244</v>
      </c>
      <c r="F1664" s="136" t="s">
        <v>183</v>
      </c>
      <c r="G1664" s="246">
        <v>48900</v>
      </c>
      <c r="H1664" s="246">
        <v>55900</v>
      </c>
      <c r="I1664" s="246">
        <v>62900</v>
      </c>
      <c r="J1664" s="246">
        <v>69850</v>
      </c>
      <c r="K1664" s="246">
        <v>75450</v>
      </c>
      <c r="L1664" s="246">
        <v>81050</v>
      </c>
      <c r="M1664" s="246">
        <v>86650</v>
      </c>
      <c r="N1664" s="246">
        <v>92250</v>
      </c>
    </row>
    <row r="1665" spans="3:14" ht="21.95" customHeight="1" x14ac:dyDescent="0.25">
      <c r="C1665" s="139" t="str">
        <f t="shared" si="42"/>
        <v>MT_SHERIDAN COUNTY, MT</v>
      </c>
      <c r="D1665" s="136" t="s">
        <v>79</v>
      </c>
      <c r="E1665" s="262" t="s">
        <v>4245</v>
      </c>
      <c r="F1665" s="136" t="s">
        <v>183</v>
      </c>
      <c r="G1665" s="246">
        <v>55200</v>
      </c>
      <c r="H1665" s="246">
        <v>63050</v>
      </c>
      <c r="I1665" s="246">
        <v>70950</v>
      </c>
      <c r="J1665" s="246">
        <v>78800</v>
      </c>
      <c r="K1665" s="246">
        <v>85150</v>
      </c>
      <c r="L1665" s="246">
        <v>91450</v>
      </c>
      <c r="M1665" s="246">
        <v>97750</v>
      </c>
      <c r="N1665" s="246">
        <v>104050</v>
      </c>
    </row>
    <row r="1666" spans="3:14" ht="21.95" customHeight="1" x14ac:dyDescent="0.25">
      <c r="C1666" s="139" t="str">
        <f t="shared" si="42"/>
        <v>MT_SILVER BOW COUNTY, MT</v>
      </c>
      <c r="D1666" s="136" t="s">
        <v>79</v>
      </c>
      <c r="E1666" s="262" t="s">
        <v>4246</v>
      </c>
      <c r="F1666" s="136" t="s">
        <v>183</v>
      </c>
      <c r="G1666" s="246">
        <v>48900</v>
      </c>
      <c r="H1666" s="246">
        <v>55900</v>
      </c>
      <c r="I1666" s="246">
        <v>62900</v>
      </c>
      <c r="J1666" s="246">
        <v>69850</v>
      </c>
      <c r="K1666" s="246">
        <v>75450</v>
      </c>
      <c r="L1666" s="246">
        <v>81050</v>
      </c>
      <c r="M1666" s="246">
        <v>86650</v>
      </c>
      <c r="N1666" s="246">
        <v>92250</v>
      </c>
    </row>
    <row r="1667" spans="3:14" ht="21.95" customHeight="1" x14ac:dyDescent="0.25">
      <c r="C1667" s="139" t="str">
        <f t="shared" si="42"/>
        <v>MT_STILLWATER COUNTY, MT HUD METRO FMR AREA</v>
      </c>
      <c r="D1667" s="136" t="s">
        <v>79</v>
      </c>
      <c r="E1667" s="262" t="s">
        <v>4247</v>
      </c>
      <c r="F1667" s="136" t="s">
        <v>183</v>
      </c>
      <c r="G1667" s="246">
        <v>61550</v>
      </c>
      <c r="H1667" s="246">
        <v>70350</v>
      </c>
      <c r="I1667" s="246">
        <v>79150</v>
      </c>
      <c r="J1667" s="246">
        <v>87900</v>
      </c>
      <c r="K1667" s="246">
        <v>94950</v>
      </c>
      <c r="L1667" s="246">
        <v>102000</v>
      </c>
      <c r="M1667" s="246">
        <v>109000</v>
      </c>
      <c r="N1667" s="246">
        <v>116050</v>
      </c>
    </row>
    <row r="1668" spans="3:14" ht="21.95" customHeight="1" x14ac:dyDescent="0.25">
      <c r="C1668" s="139" t="str">
        <f t="shared" si="42"/>
        <v>MT_SWEET GRASS COUNTY, MT</v>
      </c>
      <c r="D1668" s="136" t="s">
        <v>79</v>
      </c>
      <c r="E1668" s="262" t="s">
        <v>4248</v>
      </c>
      <c r="F1668" s="136" t="s">
        <v>183</v>
      </c>
      <c r="G1668" s="246">
        <v>53450</v>
      </c>
      <c r="H1668" s="246">
        <v>61050</v>
      </c>
      <c r="I1668" s="246">
        <v>68700</v>
      </c>
      <c r="J1668" s="246">
        <v>76300</v>
      </c>
      <c r="K1668" s="246">
        <v>82450</v>
      </c>
      <c r="L1668" s="246">
        <v>88550</v>
      </c>
      <c r="M1668" s="246">
        <v>94650</v>
      </c>
      <c r="N1668" s="246">
        <v>100750</v>
      </c>
    </row>
    <row r="1669" spans="3:14" ht="21.95" customHeight="1" x14ac:dyDescent="0.25">
      <c r="C1669" s="139" t="str">
        <f t="shared" si="42"/>
        <v>MT_TETON COUNTY, MT</v>
      </c>
      <c r="D1669" s="136" t="s">
        <v>79</v>
      </c>
      <c r="E1669" s="262" t="s">
        <v>4249</v>
      </c>
      <c r="F1669" s="136" t="s">
        <v>183</v>
      </c>
      <c r="G1669" s="246">
        <v>50150</v>
      </c>
      <c r="H1669" s="246">
        <v>57300</v>
      </c>
      <c r="I1669" s="246">
        <v>64450</v>
      </c>
      <c r="J1669" s="246">
        <v>71600</v>
      </c>
      <c r="K1669" s="246">
        <v>77350</v>
      </c>
      <c r="L1669" s="246">
        <v>83100</v>
      </c>
      <c r="M1669" s="246">
        <v>88800</v>
      </c>
      <c r="N1669" s="246">
        <v>94550</v>
      </c>
    </row>
    <row r="1670" spans="3:14" ht="21.95" customHeight="1" x14ac:dyDescent="0.25">
      <c r="C1670" s="139" t="str">
        <f t="shared" si="42"/>
        <v>MT_TOOLE COUNTY, MT</v>
      </c>
      <c r="D1670" s="136" t="s">
        <v>79</v>
      </c>
      <c r="E1670" s="262" t="s">
        <v>4250</v>
      </c>
      <c r="F1670" s="136" t="s">
        <v>183</v>
      </c>
      <c r="G1670" s="246">
        <v>48900</v>
      </c>
      <c r="H1670" s="246">
        <v>55900</v>
      </c>
      <c r="I1670" s="246">
        <v>62900</v>
      </c>
      <c r="J1670" s="246">
        <v>69850</v>
      </c>
      <c r="K1670" s="246">
        <v>75450</v>
      </c>
      <c r="L1670" s="246">
        <v>81050</v>
      </c>
      <c r="M1670" s="246">
        <v>86650</v>
      </c>
      <c r="N1670" s="246">
        <v>92250</v>
      </c>
    </row>
    <row r="1671" spans="3:14" ht="21.95" customHeight="1" x14ac:dyDescent="0.25">
      <c r="C1671" s="139" t="str">
        <f t="shared" si="42"/>
        <v>MT_TREASURE COUNTY, MT</v>
      </c>
      <c r="D1671" s="136" t="s">
        <v>79</v>
      </c>
      <c r="E1671" s="262" t="s">
        <v>4251</v>
      </c>
      <c r="F1671" s="136" t="s">
        <v>183</v>
      </c>
      <c r="G1671" s="246">
        <v>49400</v>
      </c>
      <c r="H1671" s="246">
        <v>56450</v>
      </c>
      <c r="I1671" s="246">
        <v>63500</v>
      </c>
      <c r="J1671" s="246">
        <v>70550</v>
      </c>
      <c r="K1671" s="246">
        <v>76200</v>
      </c>
      <c r="L1671" s="246">
        <v>81850</v>
      </c>
      <c r="M1671" s="246">
        <v>87500</v>
      </c>
      <c r="N1671" s="246">
        <v>93150</v>
      </c>
    </row>
    <row r="1672" spans="3:14" ht="21.95" customHeight="1" x14ac:dyDescent="0.25">
      <c r="C1672" s="139" t="str">
        <f t="shared" si="42"/>
        <v>MT_VALLEY COUNTY, MT</v>
      </c>
      <c r="D1672" s="136" t="s">
        <v>79</v>
      </c>
      <c r="E1672" s="262" t="s">
        <v>4252</v>
      </c>
      <c r="F1672" s="136" t="s">
        <v>183</v>
      </c>
      <c r="G1672" s="246">
        <v>53200</v>
      </c>
      <c r="H1672" s="246">
        <v>60800</v>
      </c>
      <c r="I1672" s="246">
        <v>68400</v>
      </c>
      <c r="J1672" s="246">
        <v>76000</v>
      </c>
      <c r="K1672" s="246">
        <v>82100</v>
      </c>
      <c r="L1672" s="246">
        <v>88200</v>
      </c>
      <c r="M1672" s="246">
        <v>94250</v>
      </c>
      <c r="N1672" s="246">
        <v>100350</v>
      </c>
    </row>
    <row r="1673" spans="3:14" ht="21.95" customHeight="1" x14ac:dyDescent="0.25">
      <c r="C1673" s="139" t="str">
        <f t="shared" si="42"/>
        <v>MT_WHEATLAND COUNTY, MT</v>
      </c>
      <c r="D1673" s="136" t="s">
        <v>79</v>
      </c>
      <c r="E1673" s="262" t="s">
        <v>4253</v>
      </c>
      <c r="F1673" s="136" t="s">
        <v>183</v>
      </c>
      <c r="G1673" s="246">
        <v>48900</v>
      </c>
      <c r="H1673" s="246">
        <v>55900</v>
      </c>
      <c r="I1673" s="246">
        <v>62900</v>
      </c>
      <c r="J1673" s="246">
        <v>69850</v>
      </c>
      <c r="K1673" s="246">
        <v>75450</v>
      </c>
      <c r="L1673" s="246">
        <v>81050</v>
      </c>
      <c r="M1673" s="246">
        <v>86650</v>
      </c>
      <c r="N1673" s="246">
        <v>92250</v>
      </c>
    </row>
    <row r="1674" spans="3:14" ht="21.95" customHeight="1" x14ac:dyDescent="0.25">
      <c r="C1674" s="139" t="str">
        <f t="shared" si="42"/>
        <v>MT_WIBAUX COUNTY, MT</v>
      </c>
      <c r="D1674" s="136" t="s">
        <v>79</v>
      </c>
      <c r="E1674" s="262" t="s">
        <v>4254</v>
      </c>
      <c r="F1674" s="136" t="s">
        <v>183</v>
      </c>
      <c r="G1674" s="246">
        <v>56500</v>
      </c>
      <c r="H1674" s="246">
        <v>64600</v>
      </c>
      <c r="I1674" s="246">
        <v>72650</v>
      </c>
      <c r="J1674" s="246">
        <v>80700</v>
      </c>
      <c r="K1674" s="246">
        <v>87200</v>
      </c>
      <c r="L1674" s="246">
        <v>93650</v>
      </c>
      <c r="M1674" s="246">
        <v>100100</v>
      </c>
      <c r="N1674" s="246">
        <v>106550</v>
      </c>
    </row>
    <row r="1675" spans="3:14" ht="21.95" customHeight="1" x14ac:dyDescent="0.25">
      <c r="C1675" s="139" t="str">
        <f t="shared" si="42"/>
        <v>NC_ALLEGHANY COUNTY, NC</v>
      </c>
      <c r="D1675" s="136" t="s">
        <v>73</v>
      </c>
      <c r="E1675" s="262" t="s">
        <v>4255</v>
      </c>
      <c r="F1675" s="136" t="s">
        <v>183</v>
      </c>
      <c r="G1675" s="246">
        <v>42800</v>
      </c>
      <c r="H1675" s="246">
        <v>48900</v>
      </c>
      <c r="I1675" s="246">
        <v>55000</v>
      </c>
      <c r="J1675" s="246">
        <v>61100</v>
      </c>
      <c r="K1675" s="246">
        <v>66000</v>
      </c>
      <c r="L1675" s="246">
        <v>70900</v>
      </c>
      <c r="M1675" s="246">
        <v>75800</v>
      </c>
      <c r="N1675" s="246">
        <v>80700</v>
      </c>
    </row>
    <row r="1676" spans="3:14" ht="21.95" customHeight="1" x14ac:dyDescent="0.25">
      <c r="C1676" s="139" t="str">
        <f t="shared" si="42"/>
        <v>NC_ANSON COUNTY, NC HUD METRO FMR AREA</v>
      </c>
      <c r="D1676" s="136" t="s">
        <v>73</v>
      </c>
      <c r="E1676" s="262" t="s">
        <v>4256</v>
      </c>
      <c r="F1676" s="136" t="s">
        <v>183</v>
      </c>
      <c r="G1676" s="246">
        <v>42800</v>
      </c>
      <c r="H1676" s="246">
        <v>48900</v>
      </c>
      <c r="I1676" s="246">
        <v>55000</v>
      </c>
      <c r="J1676" s="246">
        <v>61100</v>
      </c>
      <c r="K1676" s="246">
        <v>66000</v>
      </c>
      <c r="L1676" s="246">
        <v>70900</v>
      </c>
      <c r="M1676" s="246">
        <v>75800</v>
      </c>
      <c r="N1676" s="246">
        <v>80700</v>
      </c>
    </row>
    <row r="1677" spans="3:14" ht="21.95" customHeight="1" x14ac:dyDescent="0.25">
      <c r="C1677" s="139" t="str">
        <f t="shared" si="42"/>
        <v>NC_ASHE COUNTY, NC</v>
      </c>
      <c r="D1677" s="136" t="s">
        <v>73</v>
      </c>
      <c r="E1677" s="262" t="s">
        <v>4257</v>
      </c>
      <c r="F1677" s="136" t="s">
        <v>183</v>
      </c>
      <c r="G1677" s="246">
        <v>42800</v>
      </c>
      <c r="H1677" s="246">
        <v>48900</v>
      </c>
      <c r="I1677" s="246">
        <v>55000</v>
      </c>
      <c r="J1677" s="246">
        <v>61100</v>
      </c>
      <c r="K1677" s="246">
        <v>66000</v>
      </c>
      <c r="L1677" s="246">
        <v>70900</v>
      </c>
      <c r="M1677" s="246">
        <v>75800</v>
      </c>
      <c r="N1677" s="246">
        <v>80700</v>
      </c>
    </row>
    <row r="1678" spans="3:14" ht="21.95" customHeight="1" x14ac:dyDescent="0.25">
      <c r="C1678" s="139" t="str">
        <f t="shared" si="42"/>
        <v>NC_ASHEVILLE, NC MSA</v>
      </c>
      <c r="D1678" s="136" t="s">
        <v>73</v>
      </c>
      <c r="E1678" s="262" t="s">
        <v>9221</v>
      </c>
      <c r="F1678" s="136" t="s">
        <v>183</v>
      </c>
      <c r="G1678" s="246">
        <v>52150</v>
      </c>
      <c r="H1678" s="246">
        <v>59600</v>
      </c>
      <c r="I1678" s="246">
        <v>67050</v>
      </c>
      <c r="J1678" s="246">
        <v>74500</v>
      </c>
      <c r="K1678" s="246">
        <v>80500</v>
      </c>
      <c r="L1678" s="246">
        <v>86450</v>
      </c>
      <c r="M1678" s="246">
        <v>92400</v>
      </c>
      <c r="N1678" s="246">
        <v>98350</v>
      </c>
    </row>
    <row r="1679" spans="3:14" ht="21.95" customHeight="1" x14ac:dyDescent="0.25">
      <c r="C1679" s="139" t="str">
        <f t="shared" si="42"/>
        <v>NC_AVERY COUNTY, NC</v>
      </c>
      <c r="D1679" s="136" t="s">
        <v>73</v>
      </c>
      <c r="E1679" s="262" t="s">
        <v>4258</v>
      </c>
      <c r="F1679" s="136" t="s">
        <v>183</v>
      </c>
      <c r="G1679" s="246">
        <v>46100</v>
      </c>
      <c r="H1679" s="246">
        <v>52700</v>
      </c>
      <c r="I1679" s="246">
        <v>59300</v>
      </c>
      <c r="J1679" s="246">
        <v>65850</v>
      </c>
      <c r="K1679" s="246">
        <v>71150</v>
      </c>
      <c r="L1679" s="246">
        <v>76400</v>
      </c>
      <c r="M1679" s="246">
        <v>81700</v>
      </c>
      <c r="N1679" s="246">
        <v>86950</v>
      </c>
    </row>
    <row r="1680" spans="3:14" ht="21.95" customHeight="1" x14ac:dyDescent="0.25">
      <c r="C1680" s="139" t="str">
        <f t="shared" si="42"/>
        <v>NC_BEAUFORT COUNTY, NC</v>
      </c>
      <c r="D1680" s="136" t="s">
        <v>73</v>
      </c>
      <c r="E1680" s="262" t="s">
        <v>4259</v>
      </c>
      <c r="F1680" s="136" t="s">
        <v>183</v>
      </c>
      <c r="G1680" s="246">
        <v>43800</v>
      </c>
      <c r="H1680" s="246">
        <v>50050</v>
      </c>
      <c r="I1680" s="246">
        <v>56300</v>
      </c>
      <c r="J1680" s="246">
        <v>62550</v>
      </c>
      <c r="K1680" s="246">
        <v>67600</v>
      </c>
      <c r="L1680" s="246">
        <v>72600</v>
      </c>
      <c r="M1680" s="246">
        <v>77600</v>
      </c>
      <c r="N1680" s="246">
        <v>82600</v>
      </c>
    </row>
    <row r="1681" spans="3:14" ht="21.95" customHeight="1" x14ac:dyDescent="0.25">
      <c r="C1681" s="139" t="str">
        <f t="shared" si="42"/>
        <v>NC_BERTIE COUNTY, NC</v>
      </c>
      <c r="D1681" s="136" t="s">
        <v>73</v>
      </c>
      <c r="E1681" s="262" t="s">
        <v>4260</v>
      </c>
      <c r="F1681" s="136" t="s">
        <v>183</v>
      </c>
      <c r="G1681" s="246">
        <v>42800</v>
      </c>
      <c r="H1681" s="246">
        <v>48900</v>
      </c>
      <c r="I1681" s="246">
        <v>55000</v>
      </c>
      <c r="J1681" s="246">
        <v>61100</v>
      </c>
      <c r="K1681" s="246">
        <v>66000</v>
      </c>
      <c r="L1681" s="246">
        <v>70900</v>
      </c>
      <c r="M1681" s="246">
        <v>75800</v>
      </c>
      <c r="N1681" s="246">
        <v>80700</v>
      </c>
    </row>
    <row r="1682" spans="3:14" ht="21.95" customHeight="1" x14ac:dyDescent="0.25">
      <c r="C1682" s="139" t="str">
        <f t="shared" si="42"/>
        <v>NC_BLADEN COUNTY, NC</v>
      </c>
      <c r="D1682" s="136" t="s">
        <v>73</v>
      </c>
      <c r="E1682" s="262" t="s">
        <v>4261</v>
      </c>
      <c r="F1682" s="136" t="s">
        <v>183</v>
      </c>
      <c r="G1682" s="246">
        <v>42800</v>
      </c>
      <c r="H1682" s="246">
        <v>48900</v>
      </c>
      <c r="I1682" s="246">
        <v>55000</v>
      </c>
      <c r="J1682" s="246">
        <v>61100</v>
      </c>
      <c r="K1682" s="246">
        <v>66000</v>
      </c>
      <c r="L1682" s="246">
        <v>70900</v>
      </c>
      <c r="M1682" s="246">
        <v>75800</v>
      </c>
      <c r="N1682" s="246">
        <v>80700</v>
      </c>
    </row>
    <row r="1683" spans="3:14" ht="21.95" customHeight="1" x14ac:dyDescent="0.25">
      <c r="C1683" s="139" t="str">
        <f t="shared" si="42"/>
        <v>NC_BRUNSWICK COUNTY, NC HUD METRO FMR AREA</v>
      </c>
      <c r="D1683" s="136" t="s">
        <v>73</v>
      </c>
      <c r="E1683" s="262" t="s">
        <v>4262</v>
      </c>
      <c r="F1683" s="136" t="s">
        <v>183</v>
      </c>
      <c r="G1683" s="246">
        <v>53200</v>
      </c>
      <c r="H1683" s="246">
        <v>60800</v>
      </c>
      <c r="I1683" s="246">
        <v>68400</v>
      </c>
      <c r="J1683" s="246">
        <v>76000</v>
      </c>
      <c r="K1683" s="246">
        <v>82100</v>
      </c>
      <c r="L1683" s="246">
        <v>88200</v>
      </c>
      <c r="M1683" s="246">
        <v>94250</v>
      </c>
      <c r="N1683" s="246">
        <v>100350</v>
      </c>
    </row>
    <row r="1684" spans="3:14" ht="21.95" customHeight="1" x14ac:dyDescent="0.25">
      <c r="C1684" s="139" t="str">
        <f t="shared" si="42"/>
        <v>NC_BURLINGTON, NC MSA</v>
      </c>
      <c r="D1684" s="136" t="s">
        <v>73</v>
      </c>
      <c r="E1684" s="262" t="s">
        <v>4263</v>
      </c>
      <c r="F1684" s="136" t="s">
        <v>183</v>
      </c>
      <c r="G1684" s="246">
        <v>47600</v>
      </c>
      <c r="H1684" s="246">
        <v>54400</v>
      </c>
      <c r="I1684" s="246">
        <v>61200</v>
      </c>
      <c r="J1684" s="246">
        <v>68000</v>
      </c>
      <c r="K1684" s="246">
        <v>73450</v>
      </c>
      <c r="L1684" s="246">
        <v>78900</v>
      </c>
      <c r="M1684" s="246">
        <v>84350</v>
      </c>
      <c r="N1684" s="246">
        <v>89800</v>
      </c>
    </row>
    <row r="1685" spans="3:14" ht="21.95" customHeight="1" x14ac:dyDescent="0.25">
      <c r="C1685" s="139" t="str">
        <f t="shared" si="42"/>
        <v>NC_CAMDEN COUNTY, NC HUD METRO FMR AREA</v>
      </c>
      <c r="D1685" s="136" t="s">
        <v>73</v>
      </c>
      <c r="E1685" s="262" t="s">
        <v>4264</v>
      </c>
      <c r="F1685" s="136" t="s">
        <v>183</v>
      </c>
      <c r="G1685" s="246">
        <v>57250</v>
      </c>
      <c r="H1685" s="246">
        <v>65400</v>
      </c>
      <c r="I1685" s="246">
        <v>73600</v>
      </c>
      <c r="J1685" s="246">
        <v>81750</v>
      </c>
      <c r="K1685" s="246">
        <v>88300</v>
      </c>
      <c r="L1685" s="246">
        <v>94850</v>
      </c>
      <c r="M1685" s="246">
        <v>101400</v>
      </c>
      <c r="N1685" s="246">
        <v>107950</v>
      </c>
    </row>
    <row r="1686" spans="3:14" ht="21.95" customHeight="1" x14ac:dyDescent="0.25">
      <c r="C1686" s="139" t="str">
        <f t="shared" si="42"/>
        <v>NC_CARTERET COUNTY, NC</v>
      </c>
      <c r="D1686" s="136" t="s">
        <v>73</v>
      </c>
      <c r="E1686" s="262" t="s">
        <v>4265</v>
      </c>
      <c r="F1686" s="136" t="s">
        <v>183</v>
      </c>
      <c r="G1686" s="246">
        <v>54150</v>
      </c>
      <c r="H1686" s="246">
        <v>61900</v>
      </c>
      <c r="I1686" s="246">
        <v>69650</v>
      </c>
      <c r="J1686" s="246">
        <v>77350</v>
      </c>
      <c r="K1686" s="246">
        <v>83550</v>
      </c>
      <c r="L1686" s="246">
        <v>89750</v>
      </c>
      <c r="M1686" s="246">
        <v>95950</v>
      </c>
      <c r="N1686" s="246">
        <v>102150</v>
      </c>
    </row>
    <row r="1687" spans="3:14" ht="21.95" customHeight="1" x14ac:dyDescent="0.25">
      <c r="C1687" s="139" t="str">
        <f t="shared" si="42"/>
        <v>NC_CASWELL COUNTY, NC</v>
      </c>
      <c r="D1687" s="136" t="s">
        <v>73</v>
      </c>
      <c r="E1687" s="262" t="s">
        <v>4266</v>
      </c>
      <c r="F1687" s="136" t="s">
        <v>183</v>
      </c>
      <c r="G1687" s="246">
        <v>44000</v>
      </c>
      <c r="H1687" s="246">
        <v>50250</v>
      </c>
      <c r="I1687" s="246">
        <v>56550</v>
      </c>
      <c r="J1687" s="246">
        <v>62800</v>
      </c>
      <c r="K1687" s="246">
        <v>67850</v>
      </c>
      <c r="L1687" s="246">
        <v>72850</v>
      </c>
      <c r="M1687" s="246">
        <v>77900</v>
      </c>
      <c r="N1687" s="246">
        <v>82900</v>
      </c>
    </row>
    <row r="1688" spans="3:14" ht="21.95" customHeight="1" x14ac:dyDescent="0.25">
      <c r="C1688" s="139" t="str">
        <f t="shared" si="42"/>
        <v>NC_CHARLOTTE-CONCORD-GASTONIA, NC-SC HUD METRO FMR AREA</v>
      </c>
      <c r="D1688" s="136" t="s">
        <v>73</v>
      </c>
      <c r="E1688" s="262" t="s">
        <v>4267</v>
      </c>
      <c r="F1688" s="136" t="s">
        <v>183</v>
      </c>
      <c r="G1688" s="246">
        <v>62850</v>
      </c>
      <c r="H1688" s="246">
        <v>71800</v>
      </c>
      <c r="I1688" s="246">
        <v>80800</v>
      </c>
      <c r="J1688" s="246">
        <v>89750</v>
      </c>
      <c r="K1688" s="246">
        <v>96950</v>
      </c>
      <c r="L1688" s="246">
        <v>104150</v>
      </c>
      <c r="M1688" s="246">
        <v>111300</v>
      </c>
      <c r="N1688" s="246">
        <v>118500</v>
      </c>
    </row>
    <row r="1689" spans="3:14" ht="21.95" customHeight="1" x14ac:dyDescent="0.25">
      <c r="C1689" s="139" t="str">
        <f t="shared" si="42"/>
        <v>NC_CHEROKEE COUNTY, NC</v>
      </c>
      <c r="D1689" s="136" t="s">
        <v>73</v>
      </c>
      <c r="E1689" s="262" t="s">
        <v>4268</v>
      </c>
      <c r="F1689" s="136" t="s">
        <v>183</v>
      </c>
      <c r="G1689" s="246">
        <v>42800</v>
      </c>
      <c r="H1689" s="246">
        <v>48900</v>
      </c>
      <c r="I1689" s="246">
        <v>55000</v>
      </c>
      <c r="J1689" s="246">
        <v>61100</v>
      </c>
      <c r="K1689" s="246">
        <v>66000</v>
      </c>
      <c r="L1689" s="246">
        <v>70900</v>
      </c>
      <c r="M1689" s="246">
        <v>75800</v>
      </c>
      <c r="N1689" s="246">
        <v>80700</v>
      </c>
    </row>
    <row r="1690" spans="3:14" ht="21.95" customHeight="1" x14ac:dyDescent="0.25">
      <c r="C1690" s="139" t="str">
        <f t="shared" si="42"/>
        <v>NC_CHOWAN COUNTY, NC</v>
      </c>
      <c r="D1690" s="136" t="s">
        <v>73</v>
      </c>
      <c r="E1690" s="262" t="s">
        <v>4269</v>
      </c>
      <c r="F1690" s="136" t="s">
        <v>183</v>
      </c>
      <c r="G1690" s="246">
        <v>42800</v>
      </c>
      <c r="H1690" s="246">
        <v>48900</v>
      </c>
      <c r="I1690" s="246">
        <v>55000</v>
      </c>
      <c r="J1690" s="246">
        <v>61100</v>
      </c>
      <c r="K1690" s="246">
        <v>66000</v>
      </c>
      <c r="L1690" s="246">
        <v>70900</v>
      </c>
      <c r="M1690" s="246">
        <v>75800</v>
      </c>
      <c r="N1690" s="246">
        <v>80700</v>
      </c>
    </row>
    <row r="1691" spans="3:14" ht="21.95" customHeight="1" x14ac:dyDescent="0.25">
      <c r="C1691" s="139" t="str">
        <f t="shared" si="42"/>
        <v>NC_CLAY COUNTY, NC</v>
      </c>
      <c r="D1691" s="136" t="s">
        <v>73</v>
      </c>
      <c r="E1691" s="262" t="s">
        <v>4270</v>
      </c>
      <c r="F1691" s="136" t="s">
        <v>183</v>
      </c>
      <c r="G1691" s="246">
        <v>46550</v>
      </c>
      <c r="H1691" s="246">
        <v>53200</v>
      </c>
      <c r="I1691" s="246">
        <v>59850</v>
      </c>
      <c r="J1691" s="246">
        <v>66450</v>
      </c>
      <c r="K1691" s="246">
        <v>71800</v>
      </c>
      <c r="L1691" s="246">
        <v>77100</v>
      </c>
      <c r="M1691" s="246">
        <v>82400</v>
      </c>
      <c r="N1691" s="246">
        <v>87750</v>
      </c>
    </row>
    <row r="1692" spans="3:14" ht="21.95" customHeight="1" x14ac:dyDescent="0.25">
      <c r="C1692" s="139" t="str">
        <f t="shared" si="42"/>
        <v>NC_CLEVELAND COUNTY, NC</v>
      </c>
      <c r="D1692" s="136" t="s">
        <v>73</v>
      </c>
      <c r="E1692" s="262" t="s">
        <v>4271</v>
      </c>
      <c r="F1692" s="136" t="s">
        <v>183</v>
      </c>
      <c r="G1692" s="246">
        <v>42950</v>
      </c>
      <c r="H1692" s="246">
        <v>49050</v>
      </c>
      <c r="I1692" s="246">
        <v>55200</v>
      </c>
      <c r="J1692" s="246">
        <v>61300</v>
      </c>
      <c r="K1692" s="246">
        <v>66250</v>
      </c>
      <c r="L1692" s="246">
        <v>71150</v>
      </c>
      <c r="M1692" s="246">
        <v>76050</v>
      </c>
      <c r="N1692" s="246">
        <v>80950</v>
      </c>
    </row>
    <row r="1693" spans="3:14" ht="21.95" customHeight="1" x14ac:dyDescent="0.25">
      <c r="C1693" s="139" t="str">
        <f t="shared" si="42"/>
        <v>NC_COLUMBUS COUNTY, NC</v>
      </c>
      <c r="D1693" s="136" t="s">
        <v>73</v>
      </c>
      <c r="E1693" s="262" t="s">
        <v>4272</v>
      </c>
      <c r="F1693" s="136" t="s">
        <v>183</v>
      </c>
      <c r="G1693" s="246">
        <v>42800</v>
      </c>
      <c r="H1693" s="246">
        <v>48900</v>
      </c>
      <c r="I1693" s="246">
        <v>55000</v>
      </c>
      <c r="J1693" s="246">
        <v>61100</v>
      </c>
      <c r="K1693" s="246">
        <v>66000</v>
      </c>
      <c r="L1693" s="246">
        <v>70900</v>
      </c>
      <c r="M1693" s="246">
        <v>75800</v>
      </c>
      <c r="N1693" s="246">
        <v>80700</v>
      </c>
    </row>
    <row r="1694" spans="3:14" ht="21.95" customHeight="1" x14ac:dyDescent="0.25">
      <c r="C1694" s="139" t="str">
        <f t="shared" si="42"/>
        <v>NC_CRAVEN COUNTY, NC</v>
      </c>
      <c r="D1694" s="136" t="s">
        <v>73</v>
      </c>
      <c r="E1694" s="262" t="s">
        <v>9222</v>
      </c>
      <c r="F1694" s="136" t="s">
        <v>183</v>
      </c>
      <c r="G1694" s="246">
        <v>49500</v>
      </c>
      <c r="H1694" s="246">
        <v>56550</v>
      </c>
      <c r="I1694" s="246">
        <v>63600</v>
      </c>
      <c r="J1694" s="246">
        <v>70650</v>
      </c>
      <c r="K1694" s="246">
        <v>76350</v>
      </c>
      <c r="L1694" s="246">
        <v>82000</v>
      </c>
      <c r="M1694" s="246">
        <v>87650</v>
      </c>
      <c r="N1694" s="246">
        <v>93300</v>
      </c>
    </row>
    <row r="1695" spans="3:14" ht="21.95" customHeight="1" x14ac:dyDescent="0.25">
      <c r="C1695" s="139" t="str">
        <f t="shared" si="42"/>
        <v>NC_DARE COUNTY, NC</v>
      </c>
      <c r="D1695" s="136" t="s">
        <v>73</v>
      </c>
      <c r="E1695" s="262" t="s">
        <v>4273</v>
      </c>
      <c r="F1695" s="136" t="s">
        <v>183</v>
      </c>
      <c r="G1695" s="246">
        <v>56150</v>
      </c>
      <c r="H1695" s="246">
        <v>64150</v>
      </c>
      <c r="I1695" s="246">
        <v>72150</v>
      </c>
      <c r="J1695" s="246">
        <v>80150</v>
      </c>
      <c r="K1695" s="246">
        <v>86600</v>
      </c>
      <c r="L1695" s="246">
        <v>93000</v>
      </c>
      <c r="M1695" s="246">
        <v>99400</v>
      </c>
      <c r="N1695" s="246">
        <v>105800</v>
      </c>
    </row>
    <row r="1696" spans="3:14" ht="21.95" customHeight="1" x14ac:dyDescent="0.25">
      <c r="C1696" s="139" t="str">
        <f t="shared" si="42"/>
        <v>NC_DAVIDSON COUNTY, NC HUD METRO FMR AREA</v>
      </c>
      <c r="D1696" s="136" t="s">
        <v>73</v>
      </c>
      <c r="E1696" s="262" t="s">
        <v>4274</v>
      </c>
      <c r="F1696" s="136" t="s">
        <v>183</v>
      </c>
      <c r="G1696" s="246">
        <v>45000</v>
      </c>
      <c r="H1696" s="246">
        <v>51400</v>
      </c>
      <c r="I1696" s="246">
        <v>57850</v>
      </c>
      <c r="J1696" s="246">
        <v>64250</v>
      </c>
      <c r="K1696" s="246">
        <v>69400</v>
      </c>
      <c r="L1696" s="246">
        <v>74550</v>
      </c>
      <c r="M1696" s="246">
        <v>79700</v>
      </c>
      <c r="N1696" s="246">
        <v>84850</v>
      </c>
    </row>
    <row r="1697" spans="3:14" ht="21.95" customHeight="1" x14ac:dyDescent="0.25">
      <c r="C1697" s="139" t="str">
        <f t="shared" si="42"/>
        <v>NC_DUPLIN COUNTY, NC</v>
      </c>
      <c r="D1697" s="136" t="s">
        <v>73</v>
      </c>
      <c r="E1697" s="262" t="s">
        <v>4275</v>
      </c>
      <c r="F1697" s="136" t="s">
        <v>183</v>
      </c>
      <c r="G1697" s="246">
        <v>42800</v>
      </c>
      <c r="H1697" s="246">
        <v>48900</v>
      </c>
      <c r="I1697" s="246">
        <v>55000</v>
      </c>
      <c r="J1697" s="246">
        <v>61100</v>
      </c>
      <c r="K1697" s="246">
        <v>66000</v>
      </c>
      <c r="L1697" s="246">
        <v>70900</v>
      </c>
      <c r="M1697" s="246">
        <v>75800</v>
      </c>
      <c r="N1697" s="246">
        <v>80700</v>
      </c>
    </row>
    <row r="1698" spans="3:14" ht="21.95" customHeight="1" x14ac:dyDescent="0.25">
      <c r="C1698" s="139" t="str">
        <f t="shared" si="42"/>
        <v>NC_DURHAM-CHAPEL HILL, NC HUD METRO FMR AREA</v>
      </c>
      <c r="D1698" s="136" t="s">
        <v>73</v>
      </c>
      <c r="E1698" s="262" t="s">
        <v>4276</v>
      </c>
      <c r="F1698" s="136" t="s">
        <v>183</v>
      </c>
      <c r="G1698" s="246">
        <v>64750</v>
      </c>
      <c r="H1698" s="246">
        <v>74000</v>
      </c>
      <c r="I1698" s="246">
        <v>83250</v>
      </c>
      <c r="J1698" s="246">
        <v>92500</v>
      </c>
      <c r="K1698" s="246">
        <v>99900</v>
      </c>
      <c r="L1698" s="246">
        <v>107300</v>
      </c>
      <c r="M1698" s="246">
        <v>114700</v>
      </c>
      <c r="N1698" s="246">
        <v>122100</v>
      </c>
    </row>
    <row r="1699" spans="3:14" ht="21.95" customHeight="1" x14ac:dyDescent="0.25">
      <c r="C1699" s="139" t="str">
        <f t="shared" si="42"/>
        <v>NC_FAYETTEVILLE, NC HUD METRO FMR AREA</v>
      </c>
      <c r="D1699" s="136" t="s">
        <v>73</v>
      </c>
      <c r="E1699" s="262" t="s">
        <v>4277</v>
      </c>
      <c r="F1699" s="136" t="s">
        <v>183</v>
      </c>
      <c r="G1699" s="246">
        <v>44250</v>
      </c>
      <c r="H1699" s="246">
        <v>50600</v>
      </c>
      <c r="I1699" s="246">
        <v>56900</v>
      </c>
      <c r="J1699" s="246">
        <v>63200</v>
      </c>
      <c r="K1699" s="246">
        <v>68300</v>
      </c>
      <c r="L1699" s="246">
        <v>73350</v>
      </c>
      <c r="M1699" s="246">
        <v>78400</v>
      </c>
      <c r="N1699" s="246">
        <v>83450</v>
      </c>
    </row>
    <row r="1700" spans="3:14" ht="21.95" customHeight="1" x14ac:dyDescent="0.25">
      <c r="C1700" s="139" t="str">
        <f t="shared" si="42"/>
        <v>NC_GATES COUNTY, NC HUD METRO FMR AREA</v>
      </c>
      <c r="D1700" s="136" t="s">
        <v>73</v>
      </c>
      <c r="E1700" s="262" t="s">
        <v>4278</v>
      </c>
      <c r="F1700" s="136" t="s">
        <v>183</v>
      </c>
      <c r="G1700" s="246">
        <v>45150</v>
      </c>
      <c r="H1700" s="246">
        <v>51600</v>
      </c>
      <c r="I1700" s="246">
        <v>58050</v>
      </c>
      <c r="J1700" s="246">
        <v>64500</v>
      </c>
      <c r="K1700" s="246">
        <v>69700</v>
      </c>
      <c r="L1700" s="246">
        <v>74850</v>
      </c>
      <c r="M1700" s="246">
        <v>80000</v>
      </c>
      <c r="N1700" s="246">
        <v>85150</v>
      </c>
    </row>
    <row r="1701" spans="3:14" ht="21.95" customHeight="1" x14ac:dyDescent="0.25">
      <c r="C1701" s="139" t="str">
        <f t="shared" si="42"/>
        <v>NC_GOLDSBORO, NC MSA</v>
      </c>
      <c r="D1701" s="136" t="s">
        <v>73</v>
      </c>
      <c r="E1701" s="262" t="s">
        <v>4279</v>
      </c>
      <c r="F1701" s="136" t="s">
        <v>183</v>
      </c>
      <c r="G1701" s="246">
        <v>42800</v>
      </c>
      <c r="H1701" s="246">
        <v>48900</v>
      </c>
      <c r="I1701" s="246">
        <v>55000</v>
      </c>
      <c r="J1701" s="246">
        <v>61100</v>
      </c>
      <c r="K1701" s="246">
        <v>66000</v>
      </c>
      <c r="L1701" s="246">
        <v>70900</v>
      </c>
      <c r="M1701" s="246">
        <v>75800</v>
      </c>
      <c r="N1701" s="246">
        <v>80700</v>
      </c>
    </row>
    <row r="1702" spans="3:14" ht="21.95" customHeight="1" x14ac:dyDescent="0.25">
      <c r="C1702" s="139" t="str">
        <f t="shared" si="42"/>
        <v>NC_GRAHAM COUNTY, NC</v>
      </c>
      <c r="D1702" s="136" t="s">
        <v>73</v>
      </c>
      <c r="E1702" s="262" t="s">
        <v>4280</v>
      </c>
      <c r="F1702" s="136" t="s">
        <v>183</v>
      </c>
      <c r="G1702" s="246">
        <v>42800</v>
      </c>
      <c r="H1702" s="246">
        <v>48900</v>
      </c>
      <c r="I1702" s="246">
        <v>55000</v>
      </c>
      <c r="J1702" s="246">
        <v>61100</v>
      </c>
      <c r="K1702" s="246">
        <v>66000</v>
      </c>
      <c r="L1702" s="246">
        <v>70900</v>
      </c>
      <c r="M1702" s="246">
        <v>75800</v>
      </c>
      <c r="N1702" s="246">
        <v>80700</v>
      </c>
    </row>
    <row r="1703" spans="3:14" ht="21.95" customHeight="1" x14ac:dyDescent="0.25">
      <c r="C1703" s="139" t="str">
        <f t="shared" si="42"/>
        <v>NC_GRANVILLE COUNTY, NC</v>
      </c>
      <c r="D1703" s="136" t="s">
        <v>73</v>
      </c>
      <c r="E1703" s="262" t="s">
        <v>9224</v>
      </c>
      <c r="F1703" s="136" t="s">
        <v>183</v>
      </c>
      <c r="G1703" s="246">
        <v>51050</v>
      </c>
      <c r="H1703" s="246">
        <v>58350</v>
      </c>
      <c r="I1703" s="246">
        <v>65650</v>
      </c>
      <c r="J1703" s="246">
        <v>72900</v>
      </c>
      <c r="K1703" s="246">
        <v>78750</v>
      </c>
      <c r="L1703" s="246">
        <v>84600</v>
      </c>
      <c r="M1703" s="246">
        <v>90400</v>
      </c>
      <c r="N1703" s="246">
        <v>96250</v>
      </c>
    </row>
    <row r="1704" spans="3:14" ht="21.95" customHeight="1" x14ac:dyDescent="0.25">
      <c r="C1704" s="139" t="str">
        <f t="shared" si="42"/>
        <v>NC_GREENE COUNTY, NC</v>
      </c>
      <c r="D1704" s="136" t="s">
        <v>73</v>
      </c>
      <c r="E1704" s="262" t="s">
        <v>4281</v>
      </c>
      <c r="F1704" s="136" t="s">
        <v>183</v>
      </c>
      <c r="G1704" s="246">
        <v>42800</v>
      </c>
      <c r="H1704" s="246">
        <v>48900</v>
      </c>
      <c r="I1704" s="246">
        <v>55000</v>
      </c>
      <c r="J1704" s="246">
        <v>61100</v>
      </c>
      <c r="K1704" s="246">
        <v>66000</v>
      </c>
      <c r="L1704" s="246">
        <v>70900</v>
      </c>
      <c r="M1704" s="246">
        <v>75800</v>
      </c>
      <c r="N1704" s="246">
        <v>80700</v>
      </c>
    </row>
    <row r="1705" spans="3:14" ht="21.95" customHeight="1" x14ac:dyDescent="0.25">
      <c r="C1705" s="139" t="str">
        <f t="shared" si="42"/>
        <v>NC_GREENSBORO-HIGH POINT, NC HUD METRO FMR AREA</v>
      </c>
      <c r="D1705" s="136" t="s">
        <v>73</v>
      </c>
      <c r="E1705" s="262" t="s">
        <v>4282</v>
      </c>
      <c r="F1705" s="136" t="s">
        <v>183</v>
      </c>
      <c r="G1705" s="246">
        <v>47950</v>
      </c>
      <c r="H1705" s="246">
        <v>54800</v>
      </c>
      <c r="I1705" s="246">
        <v>61650</v>
      </c>
      <c r="J1705" s="246">
        <v>68500</v>
      </c>
      <c r="K1705" s="246">
        <v>74000</v>
      </c>
      <c r="L1705" s="246">
        <v>79500</v>
      </c>
      <c r="M1705" s="246">
        <v>84950</v>
      </c>
      <c r="N1705" s="246">
        <v>90450</v>
      </c>
    </row>
    <row r="1706" spans="3:14" ht="21.95" customHeight="1" x14ac:dyDescent="0.25">
      <c r="C1706" s="139" t="str">
        <f t="shared" si="42"/>
        <v>NC_GREENVILLE, NC MSA</v>
      </c>
      <c r="D1706" s="136" t="s">
        <v>73</v>
      </c>
      <c r="E1706" s="262" t="s">
        <v>4283</v>
      </c>
      <c r="F1706" s="136" t="s">
        <v>183</v>
      </c>
      <c r="G1706" s="246">
        <v>46000</v>
      </c>
      <c r="H1706" s="246">
        <v>52600</v>
      </c>
      <c r="I1706" s="246">
        <v>59150</v>
      </c>
      <c r="J1706" s="246">
        <v>65700</v>
      </c>
      <c r="K1706" s="246">
        <v>71000</v>
      </c>
      <c r="L1706" s="246">
        <v>76250</v>
      </c>
      <c r="M1706" s="246">
        <v>81500</v>
      </c>
      <c r="N1706" s="246">
        <v>86750</v>
      </c>
    </row>
    <row r="1707" spans="3:14" ht="21.95" customHeight="1" x14ac:dyDescent="0.25">
      <c r="C1707" s="139" t="str">
        <f t="shared" si="42"/>
        <v>NC_HALIFAX COUNTY, NC</v>
      </c>
      <c r="D1707" s="136" t="s">
        <v>73</v>
      </c>
      <c r="E1707" s="262" t="s">
        <v>4284</v>
      </c>
      <c r="F1707" s="136" t="s">
        <v>183</v>
      </c>
      <c r="G1707" s="246">
        <v>42800</v>
      </c>
      <c r="H1707" s="246">
        <v>48900</v>
      </c>
      <c r="I1707" s="246">
        <v>55000</v>
      </c>
      <c r="J1707" s="246">
        <v>61100</v>
      </c>
      <c r="K1707" s="246">
        <v>66000</v>
      </c>
      <c r="L1707" s="246">
        <v>70900</v>
      </c>
      <c r="M1707" s="246">
        <v>75800</v>
      </c>
      <c r="N1707" s="246">
        <v>80700</v>
      </c>
    </row>
    <row r="1708" spans="3:14" ht="21.95" customHeight="1" x14ac:dyDescent="0.25">
      <c r="C1708" s="139" t="str">
        <f t="shared" si="42"/>
        <v>NC_HARNETT COUNTY, NC</v>
      </c>
      <c r="D1708" s="136" t="s">
        <v>73</v>
      </c>
      <c r="E1708" s="262" t="s">
        <v>9225</v>
      </c>
      <c r="F1708" s="136" t="s">
        <v>183</v>
      </c>
      <c r="G1708" s="246">
        <v>50050</v>
      </c>
      <c r="H1708" s="246">
        <v>57200</v>
      </c>
      <c r="I1708" s="246">
        <v>64350</v>
      </c>
      <c r="J1708" s="246">
        <v>71500</v>
      </c>
      <c r="K1708" s="246">
        <v>77250</v>
      </c>
      <c r="L1708" s="246">
        <v>82950</v>
      </c>
      <c r="M1708" s="246">
        <v>88700</v>
      </c>
      <c r="N1708" s="246">
        <v>94400</v>
      </c>
    </row>
    <row r="1709" spans="3:14" ht="21.95" customHeight="1" x14ac:dyDescent="0.25">
      <c r="C1709" s="139" t="str">
        <f t="shared" si="42"/>
        <v>NC_HAYWOOD COUNTY, NC</v>
      </c>
      <c r="D1709" s="136" t="s">
        <v>73</v>
      </c>
      <c r="E1709" s="262" t="s">
        <v>9226</v>
      </c>
      <c r="F1709" s="136" t="s">
        <v>183</v>
      </c>
      <c r="G1709" s="246">
        <v>49600</v>
      </c>
      <c r="H1709" s="246">
        <v>56650</v>
      </c>
      <c r="I1709" s="246">
        <v>63750</v>
      </c>
      <c r="J1709" s="246">
        <v>70800</v>
      </c>
      <c r="K1709" s="246">
        <v>76500</v>
      </c>
      <c r="L1709" s="246">
        <v>82150</v>
      </c>
      <c r="M1709" s="246">
        <v>87800</v>
      </c>
      <c r="N1709" s="246">
        <v>93500</v>
      </c>
    </row>
    <row r="1710" spans="3:14" ht="21.95" customHeight="1" x14ac:dyDescent="0.25">
      <c r="C1710" s="139" t="str">
        <f t="shared" si="42"/>
        <v>NC_HERTFORD COUNTY, NC</v>
      </c>
      <c r="D1710" s="136" t="s">
        <v>73</v>
      </c>
      <c r="E1710" s="262" t="s">
        <v>4285</v>
      </c>
      <c r="F1710" s="136" t="s">
        <v>183</v>
      </c>
      <c r="G1710" s="246">
        <v>42800</v>
      </c>
      <c r="H1710" s="246">
        <v>48900</v>
      </c>
      <c r="I1710" s="246">
        <v>55000</v>
      </c>
      <c r="J1710" s="246">
        <v>61100</v>
      </c>
      <c r="K1710" s="246">
        <v>66000</v>
      </c>
      <c r="L1710" s="246">
        <v>70900</v>
      </c>
      <c r="M1710" s="246">
        <v>75800</v>
      </c>
      <c r="N1710" s="246">
        <v>80700</v>
      </c>
    </row>
    <row r="1711" spans="3:14" ht="21.95" customHeight="1" x14ac:dyDescent="0.25">
      <c r="C1711" s="139" t="str">
        <f t="shared" si="42"/>
        <v>NC_HICKORY-LENOIR-MORGANTON, NC MSA</v>
      </c>
      <c r="D1711" s="136" t="s">
        <v>73</v>
      </c>
      <c r="E1711" s="262" t="s">
        <v>4286</v>
      </c>
      <c r="F1711" s="136" t="s">
        <v>183</v>
      </c>
      <c r="G1711" s="246">
        <v>43500</v>
      </c>
      <c r="H1711" s="246">
        <v>49700</v>
      </c>
      <c r="I1711" s="246">
        <v>55900</v>
      </c>
      <c r="J1711" s="246">
        <v>62100</v>
      </c>
      <c r="K1711" s="246">
        <v>67100</v>
      </c>
      <c r="L1711" s="246">
        <v>72050</v>
      </c>
      <c r="M1711" s="246">
        <v>77050</v>
      </c>
      <c r="N1711" s="246">
        <v>82000</v>
      </c>
    </row>
    <row r="1712" spans="3:14" ht="21.95" customHeight="1" x14ac:dyDescent="0.25">
      <c r="C1712" s="139" t="str">
        <f t="shared" si="42"/>
        <v>NC_HOKE COUNTY, NC HUD METRO FMR AREA</v>
      </c>
      <c r="D1712" s="136" t="s">
        <v>73</v>
      </c>
      <c r="E1712" s="262" t="s">
        <v>4287</v>
      </c>
      <c r="F1712" s="136" t="s">
        <v>183</v>
      </c>
      <c r="G1712" s="246">
        <v>44200</v>
      </c>
      <c r="H1712" s="246">
        <v>50500</v>
      </c>
      <c r="I1712" s="246">
        <v>56800</v>
      </c>
      <c r="J1712" s="246">
        <v>63100</v>
      </c>
      <c r="K1712" s="246">
        <v>68150</v>
      </c>
      <c r="L1712" s="246">
        <v>73200</v>
      </c>
      <c r="M1712" s="246">
        <v>78250</v>
      </c>
      <c r="N1712" s="246">
        <v>83300</v>
      </c>
    </row>
    <row r="1713" spans="3:14" ht="21.95" customHeight="1" x14ac:dyDescent="0.25">
      <c r="C1713" s="139" t="str">
        <f t="shared" si="42"/>
        <v>NC_HYDE COUNTY, NC</v>
      </c>
      <c r="D1713" s="136" t="s">
        <v>73</v>
      </c>
      <c r="E1713" s="262" t="s">
        <v>4288</v>
      </c>
      <c r="F1713" s="136" t="s">
        <v>183</v>
      </c>
      <c r="G1713" s="246">
        <v>42800</v>
      </c>
      <c r="H1713" s="246">
        <v>48900</v>
      </c>
      <c r="I1713" s="246">
        <v>55000</v>
      </c>
      <c r="J1713" s="246">
        <v>61100</v>
      </c>
      <c r="K1713" s="246">
        <v>66000</v>
      </c>
      <c r="L1713" s="246">
        <v>70900</v>
      </c>
      <c r="M1713" s="246">
        <v>75800</v>
      </c>
      <c r="N1713" s="246">
        <v>80700</v>
      </c>
    </row>
    <row r="1714" spans="3:14" ht="21.95" customHeight="1" x14ac:dyDescent="0.25">
      <c r="C1714" s="139" t="str">
        <f t="shared" si="42"/>
        <v>NC_IREDELL COUNTY, NC HUD METRO FMR AREA</v>
      </c>
      <c r="D1714" s="136" t="s">
        <v>73</v>
      </c>
      <c r="E1714" s="262" t="s">
        <v>4289</v>
      </c>
      <c r="F1714" s="136" t="s">
        <v>183</v>
      </c>
      <c r="G1714" s="246">
        <v>55450</v>
      </c>
      <c r="H1714" s="246">
        <v>63350</v>
      </c>
      <c r="I1714" s="246">
        <v>71250</v>
      </c>
      <c r="J1714" s="246">
        <v>79150</v>
      </c>
      <c r="K1714" s="246">
        <v>85500</v>
      </c>
      <c r="L1714" s="246">
        <v>91850</v>
      </c>
      <c r="M1714" s="246">
        <v>98150</v>
      </c>
      <c r="N1714" s="246">
        <v>104500</v>
      </c>
    </row>
    <row r="1715" spans="3:14" ht="21.95" customHeight="1" x14ac:dyDescent="0.25">
      <c r="C1715" s="139" t="str">
        <f t="shared" si="42"/>
        <v>NC_JACKSON COUNTY, NC</v>
      </c>
      <c r="D1715" s="136" t="s">
        <v>73</v>
      </c>
      <c r="E1715" s="262" t="s">
        <v>4290</v>
      </c>
      <c r="F1715" s="136" t="s">
        <v>183</v>
      </c>
      <c r="G1715" s="246">
        <v>45300</v>
      </c>
      <c r="H1715" s="246">
        <v>51750</v>
      </c>
      <c r="I1715" s="246">
        <v>58200</v>
      </c>
      <c r="J1715" s="246">
        <v>64650</v>
      </c>
      <c r="K1715" s="246">
        <v>69850</v>
      </c>
      <c r="L1715" s="246">
        <v>75000</v>
      </c>
      <c r="M1715" s="246">
        <v>80200</v>
      </c>
      <c r="N1715" s="246">
        <v>85350</v>
      </c>
    </row>
    <row r="1716" spans="3:14" ht="21.95" customHeight="1" x14ac:dyDescent="0.25">
      <c r="C1716" s="139" t="str">
        <f t="shared" si="42"/>
        <v>NC_JACKSONVILLE, NC MSA</v>
      </c>
      <c r="D1716" s="136" t="s">
        <v>73</v>
      </c>
      <c r="E1716" s="262" t="s">
        <v>4291</v>
      </c>
      <c r="F1716" s="136" t="s">
        <v>183</v>
      </c>
      <c r="G1716" s="246">
        <v>45300</v>
      </c>
      <c r="H1716" s="246">
        <v>51750</v>
      </c>
      <c r="I1716" s="246">
        <v>58200</v>
      </c>
      <c r="J1716" s="246">
        <v>64650</v>
      </c>
      <c r="K1716" s="246">
        <v>69850</v>
      </c>
      <c r="L1716" s="246">
        <v>75000</v>
      </c>
      <c r="M1716" s="246">
        <v>80200</v>
      </c>
      <c r="N1716" s="246">
        <v>85350</v>
      </c>
    </row>
    <row r="1717" spans="3:14" ht="21.95" customHeight="1" x14ac:dyDescent="0.25">
      <c r="C1717" s="139" t="str">
        <f t="shared" si="42"/>
        <v>NC_JONES COUNTY, NC</v>
      </c>
      <c r="D1717" s="136" t="s">
        <v>73</v>
      </c>
      <c r="E1717" s="262" t="s">
        <v>9227</v>
      </c>
      <c r="F1717" s="136" t="s">
        <v>183</v>
      </c>
      <c r="G1717" s="246">
        <v>42800</v>
      </c>
      <c r="H1717" s="246">
        <v>48900</v>
      </c>
      <c r="I1717" s="246">
        <v>55000</v>
      </c>
      <c r="J1717" s="246">
        <v>61100</v>
      </c>
      <c r="K1717" s="246">
        <v>66000</v>
      </c>
      <c r="L1717" s="246">
        <v>70900</v>
      </c>
      <c r="M1717" s="246">
        <v>75800</v>
      </c>
      <c r="N1717" s="246">
        <v>80700</v>
      </c>
    </row>
    <row r="1718" spans="3:14" ht="21.95" customHeight="1" x14ac:dyDescent="0.25">
      <c r="C1718" s="139" t="str">
        <f t="shared" si="42"/>
        <v>NC_LEE COUNTY, NC</v>
      </c>
      <c r="D1718" s="136" t="s">
        <v>73</v>
      </c>
      <c r="E1718" s="262" t="s">
        <v>4292</v>
      </c>
      <c r="F1718" s="136" t="s">
        <v>183</v>
      </c>
      <c r="G1718" s="246">
        <v>42800</v>
      </c>
      <c r="H1718" s="246">
        <v>48900</v>
      </c>
      <c r="I1718" s="246">
        <v>55000</v>
      </c>
      <c r="J1718" s="246">
        <v>61100</v>
      </c>
      <c r="K1718" s="246">
        <v>66000</v>
      </c>
      <c r="L1718" s="246">
        <v>70900</v>
      </c>
      <c r="M1718" s="246">
        <v>75800</v>
      </c>
      <c r="N1718" s="246">
        <v>80700</v>
      </c>
    </row>
    <row r="1719" spans="3:14" ht="21.95" customHeight="1" x14ac:dyDescent="0.25">
      <c r="C1719" s="139" t="str">
        <f t="shared" si="42"/>
        <v>NC_LENOIR COUNTY, NC</v>
      </c>
      <c r="D1719" s="136" t="s">
        <v>73</v>
      </c>
      <c r="E1719" s="262" t="s">
        <v>4293</v>
      </c>
      <c r="F1719" s="136" t="s">
        <v>183</v>
      </c>
      <c r="G1719" s="246">
        <v>42800</v>
      </c>
      <c r="H1719" s="246">
        <v>48900</v>
      </c>
      <c r="I1719" s="246">
        <v>55000</v>
      </c>
      <c r="J1719" s="246">
        <v>61100</v>
      </c>
      <c r="K1719" s="246">
        <v>66000</v>
      </c>
      <c r="L1719" s="246">
        <v>70900</v>
      </c>
      <c r="M1719" s="246">
        <v>75800</v>
      </c>
      <c r="N1719" s="246">
        <v>80700</v>
      </c>
    </row>
    <row r="1720" spans="3:14" ht="21.95" customHeight="1" x14ac:dyDescent="0.25">
      <c r="C1720" s="139" t="str">
        <f t="shared" si="42"/>
        <v>NC_LINCOLN COUNTY, NC HUD METRO FMR AREA</v>
      </c>
      <c r="D1720" s="136" t="s">
        <v>73</v>
      </c>
      <c r="E1720" s="262" t="s">
        <v>4294</v>
      </c>
      <c r="F1720" s="136" t="s">
        <v>183</v>
      </c>
      <c r="G1720" s="246">
        <v>54700</v>
      </c>
      <c r="H1720" s="246">
        <v>62500</v>
      </c>
      <c r="I1720" s="246">
        <v>70300</v>
      </c>
      <c r="J1720" s="246">
        <v>78100</v>
      </c>
      <c r="K1720" s="246">
        <v>84350</v>
      </c>
      <c r="L1720" s="246">
        <v>90600</v>
      </c>
      <c r="M1720" s="246">
        <v>96850</v>
      </c>
      <c r="N1720" s="246">
        <v>103100</v>
      </c>
    </row>
    <row r="1721" spans="3:14" ht="21.95" customHeight="1" x14ac:dyDescent="0.25">
      <c r="C1721" s="139" t="str">
        <f t="shared" si="42"/>
        <v>NC_MACON COUNTY, NC</v>
      </c>
      <c r="D1721" s="136" t="s">
        <v>73</v>
      </c>
      <c r="E1721" s="262" t="s">
        <v>4295</v>
      </c>
      <c r="F1721" s="136" t="s">
        <v>183</v>
      </c>
      <c r="G1721" s="246">
        <v>43150</v>
      </c>
      <c r="H1721" s="246">
        <v>49300</v>
      </c>
      <c r="I1721" s="246">
        <v>55450</v>
      </c>
      <c r="J1721" s="246">
        <v>61600</v>
      </c>
      <c r="K1721" s="246">
        <v>66550</v>
      </c>
      <c r="L1721" s="246">
        <v>71500</v>
      </c>
      <c r="M1721" s="246">
        <v>76400</v>
      </c>
      <c r="N1721" s="246">
        <v>81350</v>
      </c>
    </row>
    <row r="1722" spans="3:14" ht="21.95" customHeight="1" x14ac:dyDescent="0.25">
      <c r="C1722" s="139" t="str">
        <f t="shared" si="42"/>
        <v>NC_MARTIN COUNTY, NC</v>
      </c>
      <c r="D1722" s="136" t="s">
        <v>73</v>
      </c>
      <c r="E1722" s="262" t="s">
        <v>4296</v>
      </c>
      <c r="F1722" s="136" t="s">
        <v>183</v>
      </c>
      <c r="G1722" s="246">
        <v>42800</v>
      </c>
      <c r="H1722" s="246">
        <v>48900</v>
      </c>
      <c r="I1722" s="246">
        <v>55000</v>
      </c>
      <c r="J1722" s="246">
        <v>61100</v>
      </c>
      <c r="K1722" s="246">
        <v>66000</v>
      </c>
      <c r="L1722" s="246">
        <v>70900</v>
      </c>
      <c r="M1722" s="246">
        <v>75800</v>
      </c>
      <c r="N1722" s="246">
        <v>80700</v>
      </c>
    </row>
    <row r="1723" spans="3:14" ht="21.95" customHeight="1" x14ac:dyDescent="0.25">
      <c r="C1723" s="139" t="str">
        <f t="shared" si="42"/>
        <v>NC_MCDOWELL COUNTY, NC</v>
      </c>
      <c r="D1723" s="136" t="s">
        <v>73</v>
      </c>
      <c r="E1723" s="262" t="s">
        <v>4297</v>
      </c>
      <c r="F1723" s="136" t="s">
        <v>183</v>
      </c>
      <c r="G1723" s="246">
        <v>42800</v>
      </c>
      <c r="H1723" s="246">
        <v>48900</v>
      </c>
      <c r="I1723" s="246">
        <v>55000</v>
      </c>
      <c r="J1723" s="246">
        <v>61100</v>
      </c>
      <c r="K1723" s="246">
        <v>66000</v>
      </c>
      <c r="L1723" s="246">
        <v>70900</v>
      </c>
      <c r="M1723" s="246">
        <v>75800</v>
      </c>
      <c r="N1723" s="246">
        <v>80700</v>
      </c>
    </row>
    <row r="1724" spans="3:14" ht="21.95" customHeight="1" x14ac:dyDescent="0.25">
      <c r="C1724" s="139" t="str">
        <f t="shared" si="42"/>
        <v>NC_MITCHELL COUNTY, NC</v>
      </c>
      <c r="D1724" s="136" t="s">
        <v>73</v>
      </c>
      <c r="E1724" s="262" t="s">
        <v>4298</v>
      </c>
      <c r="F1724" s="136" t="s">
        <v>183</v>
      </c>
      <c r="G1724" s="246">
        <v>43750</v>
      </c>
      <c r="H1724" s="246">
        <v>50000</v>
      </c>
      <c r="I1724" s="246">
        <v>56250</v>
      </c>
      <c r="J1724" s="246">
        <v>62500</v>
      </c>
      <c r="K1724" s="246">
        <v>67500</v>
      </c>
      <c r="L1724" s="246">
        <v>72500</v>
      </c>
      <c r="M1724" s="246">
        <v>77500</v>
      </c>
      <c r="N1724" s="246">
        <v>82500</v>
      </c>
    </row>
    <row r="1725" spans="3:14" ht="21.95" customHeight="1" x14ac:dyDescent="0.25">
      <c r="C1725" s="139" t="str">
        <f t="shared" si="42"/>
        <v>NC_MONTGOMERY COUNTY, NC</v>
      </c>
      <c r="D1725" s="136" t="s">
        <v>73</v>
      </c>
      <c r="E1725" s="262" t="s">
        <v>4299</v>
      </c>
      <c r="F1725" s="136" t="s">
        <v>183</v>
      </c>
      <c r="G1725" s="246">
        <v>42800</v>
      </c>
      <c r="H1725" s="246">
        <v>48900</v>
      </c>
      <c r="I1725" s="246">
        <v>55000</v>
      </c>
      <c r="J1725" s="246">
        <v>61100</v>
      </c>
      <c r="K1725" s="246">
        <v>66000</v>
      </c>
      <c r="L1725" s="246">
        <v>70900</v>
      </c>
      <c r="M1725" s="246">
        <v>75800</v>
      </c>
      <c r="N1725" s="246">
        <v>80700</v>
      </c>
    </row>
    <row r="1726" spans="3:14" ht="21.95" customHeight="1" x14ac:dyDescent="0.25">
      <c r="C1726" s="139" t="str">
        <f t="shared" si="42"/>
        <v>NC_NORTHAMPTON COUNTY, NC</v>
      </c>
      <c r="D1726" s="136" t="s">
        <v>73</v>
      </c>
      <c r="E1726" s="262" t="s">
        <v>4300</v>
      </c>
      <c r="F1726" s="136" t="s">
        <v>183</v>
      </c>
      <c r="G1726" s="246">
        <v>42800</v>
      </c>
      <c r="H1726" s="246">
        <v>48900</v>
      </c>
      <c r="I1726" s="246">
        <v>55000</v>
      </c>
      <c r="J1726" s="246">
        <v>61100</v>
      </c>
      <c r="K1726" s="246">
        <v>66000</v>
      </c>
      <c r="L1726" s="246">
        <v>70900</v>
      </c>
      <c r="M1726" s="246">
        <v>75800</v>
      </c>
      <c r="N1726" s="246">
        <v>80700</v>
      </c>
    </row>
    <row r="1727" spans="3:14" ht="21.95" customHeight="1" x14ac:dyDescent="0.25">
      <c r="C1727" s="139" t="str">
        <f t="shared" si="42"/>
        <v>NC_PAMLICO COUNTY, NC</v>
      </c>
      <c r="D1727" s="136" t="s">
        <v>73</v>
      </c>
      <c r="E1727" s="262" t="s">
        <v>9229</v>
      </c>
      <c r="F1727" s="136" t="s">
        <v>183</v>
      </c>
      <c r="G1727" s="246">
        <v>48300</v>
      </c>
      <c r="H1727" s="246">
        <v>55200</v>
      </c>
      <c r="I1727" s="246">
        <v>62100</v>
      </c>
      <c r="J1727" s="246">
        <v>68950</v>
      </c>
      <c r="K1727" s="246">
        <v>74500</v>
      </c>
      <c r="L1727" s="246">
        <v>80000</v>
      </c>
      <c r="M1727" s="246">
        <v>85500</v>
      </c>
      <c r="N1727" s="246">
        <v>91050</v>
      </c>
    </row>
    <row r="1728" spans="3:14" ht="21.95" customHeight="1" x14ac:dyDescent="0.25">
      <c r="C1728" s="139" t="str">
        <f t="shared" ref="C1728:C1791" si="43">TRIM(UPPER(D1728))&amp;"_"&amp;TRIM(UPPER(E1728))</f>
        <v>NC_PASQUOTANK COUNTY, NC</v>
      </c>
      <c r="D1728" s="136" t="s">
        <v>73</v>
      </c>
      <c r="E1728" s="262" t="s">
        <v>4301</v>
      </c>
      <c r="F1728" s="136" t="s">
        <v>183</v>
      </c>
      <c r="G1728" s="246">
        <v>47600</v>
      </c>
      <c r="H1728" s="246">
        <v>54400</v>
      </c>
      <c r="I1728" s="246">
        <v>61200</v>
      </c>
      <c r="J1728" s="246">
        <v>68000</v>
      </c>
      <c r="K1728" s="246">
        <v>73450</v>
      </c>
      <c r="L1728" s="246">
        <v>78900</v>
      </c>
      <c r="M1728" s="246">
        <v>84350</v>
      </c>
      <c r="N1728" s="246">
        <v>89800</v>
      </c>
    </row>
    <row r="1729" spans="3:14" ht="21.95" customHeight="1" x14ac:dyDescent="0.25">
      <c r="C1729" s="139" t="str">
        <f t="shared" si="43"/>
        <v>NC_PENDER COUNTY, NC HUD METRO FMR AREA</v>
      </c>
      <c r="D1729" s="136" t="s">
        <v>73</v>
      </c>
      <c r="E1729" s="262" t="s">
        <v>4302</v>
      </c>
      <c r="F1729" s="136" t="s">
        <v>183</v>
      </c>
      <c r="G1729" s="246">
        <v>55800</v>
      </c>
      <c r="H1729" s="246">
        <v>63800</v>
      </c>
      <c r="I1729" s="246">
        <v>71750</v>
      </c>
      <c r="J1729" s="246">
        <v>79700</v>
      </c>
      <c r="K1729" s="246">
        <v>86100</v>
      </c>
      <c r="L1729" s="246">
        <v>92500</v>
      </c>
      <c r="M1729" s="246">
        <v>98850</v>
      </c>
      <c r="N1729" s="246">
        <v>105250</v>
      </c>
    </row>
    <row r="1730" spans="3:14" ht="21.95" customHeight="1" x14ac:dyDescent="0.25">
      <c r="C1730" s="139" t="str">
        <f t="shared" si="43"/>
        <v>NC_PERQUIMANS COUNTY, NC</v>
      </c>
      <c r="D1730" s="136" t="s">
        <v>73</v>
      </c>
      <c r="E1730" s="262" t="s">
        <v>4303</v>
      </c>
      <c r="F1730" s="136" t="s">
        <v>183</v>
      </c>
      <c r="G1730" s="246">
        <v>46550</v>
      </c>
      <c r="H1730" s="246">
        <v>53200</v>
      </c>
      <c r="I1730" s="246">
        <v>59850</v>
      </c>
      <c r="J1730" s="246">
        <v>66450</v>
      </c>
      <c r="K1730" s="246">
        <v>71800</v>
      </c>
      <c r="L1730" s="246">
        <v>77100</v>
      </c>
      <c r="M1730" s="246">
        <v>82400</v>
      </c>
      <c r="N1730" s="246">
        <v>87750</v>
      </c>
    </row>
    <row r="1731" spans="3:14" ht="21.95" customHeight="1" x14ac:dyDescent="0.25">
      <c r="C1731" s="139" t="str">
        <f t="shared" si="43"/>
        <v>NC_PERSON COUNTY, NC HUD METRO FMR AREA</v>
      </c>
      <c r="D1731" s="136" t="s">
        <v>73</v>
      </c>
      <c r="E1731" s="262" t="s">
        <v>4304</v>
      </c>
      <c r="F1731" s="136" t="s">
        <v>183</v>
      </c>
      <c r="G1731" s="246">
        <v>47800</v>
      </c>
      <c r="H1731" s="246">
        <v>54600</v>
      </c>
      <c r="I1731" s="246">
        <v>61450</v>
      </c>
      <c r="J1731" s="246">
        <v>68250</v>
      </c>
      <c r="K1731" s="246">
        <v>73750</v>
      </c>
      <c r="L1731" s="246">
        <v>79200</v>
      </c>
      <c r="M1731" s="246">
        <v>84650</v>
      </c>
      <c r="N1731" s="246">
        <v>90100</v>
      </c>
    </row>
    <row r="1732" spans="3:14" ht="21.95" customHeight="1" x14ac:dyDescent="0.25">
      <c r="C1732" s="139" t="str">
        <f t="shared" si="43"/>
        <v>NC_PINEHURST-SOUTHERN PINES, NC MSA</v>
      </c>
      <c r="D1732" s="136" t="s">
        <v>73</v>
      </c>
      <c r="E1732" s="262" t="s">
        <v>9228</v>
      </c>
      <c r="F1732" s="136" t="s">
        <v>183</v>
      </c>
      <c r="G1732" s="246">
        <v>60850</v>
      </c>
      <c r="H1732" s="246">
        <v>69550</v>
      </c>
      <c r="I1732" s="246">
        <v>78250</v>
      </c>
      <c r="J1732" s="246">
        <v>86900</v>
      </c>
      <c r="K1732" s="246">
        <v>93900</v>
      </c>
      <c r="L1732" s="246">
        <v>100850</v>
      </c>
      <c r="M1732" s="246">
        <v>107800</v>
      </c>
      <c r="N1732" s="246">
        <v>114750</v>
      </c>
    </row>
    <row r="1733" spans="3:14" ht="21.95" customHeight="1" x14ac:dyDescent="0.25">
      <c r="C1733" s="139" t="str">
        <f t="shared" si="43"/>
        <v>NC_POLK COUNTY, NC</v>
      </c>
      <c r="D1733" s="136" t="s">
        <v>73</v>
      </c>
      <c r="E1733" s="262" t="s">
        <v>4305</v>
      </c>
      <c r="F1733" s="136" t="s">
        <v>183</v>
      </c>
      <c r="G1733" s="246">
        <v>47550</v>
      </c>
      <c r="H1733" s="246">
        <v>54350</v>
      </c>
      <c r="I1733" s="246">
        <v>61150</v>
      </c>
      <c r="J1733" s="246">
        <v>67900</v>
      </c>
      <c r="K1733" s="246">
        <v>73350</v>
      </c>
      <c r="L1733" s="246">
        <v>78800</v>
      </c>
      <c r="M1733" s="246">
        <v>84200</v>
      </c>
      <c r="N1733" s="246">
        <v>89650</v>
      </c>
    </row>
    <row r="1734" spans="3:14" ht="21.95" customHeight="1" x14ac:dyDescent="0.25">
      <c r="C1734" s="139" t="str">
        <f t="shared" si="43"/>
        <v>NC_RALEIGH-CARY, NC MSA</v>
      </c>
      <c r="D1734" s="136" t="s">
        <v>73</v>
      </c>
      <c r="E1734" s="262" t="s">
        <v>9223</v>
      </c>
      <c r="F1734" s="136" t="s">
        <v>183</v>
      </c>
      <c r="G1734" s="246">
        <v>72950</v>
      </c>
      <c r="H1734" s="246">
        <v>83400</v>
      </c>
      <c r="I1734" s="246">
        <v>93800</v>
      </c>
      <c r="J1734" s="246">
        <v>104200</v>
      </c>
      <c r="K1734" s="246">
        <v>112550</v>
      </c>
      <c r="L1734" s="246">
        <v>120900</v>
      </c>
      <c r="M1734" s="246">
        <v>129250</v>
      </c>
      <c r="N1734" s="246">
        <v>137550</v>
      </c>
    </row>
    <row r="1735" spans="3:14" ht="21.95" customHeight="1" x14ac:dyDescent="0.25">
      <c r="C1735" s="139" t="str">
        <f t="shared" si="43"/>
        <v>NC_RICHMOND COUNTY, NC</v>
      </c>
      <c r="D1735" s="136" t="s">
        <v>73</v>
      </c>
      <c r="E1735" s="262" t="s">
        <v>4306</v>
      </c>
      <c r="F1735" s="136" t="s">
        <v>183</v>
      </c>
      <c r="G1735" s="246">
        <v>42800</v>
      </c>
      <c r="H1735" s="246">
        <v>48900</v>
      </c>
      <c r="I1735" s="246">
        <v>55000</v>
      </c>
      <c r="J1735" s="246">
        <v>61100</v>
      </c>
      <c r="K1735" s="246">
        <v>66000</v>
      </c>
      <c r="L1735" s="246">
        <v>70900</v>
      </c>
      <c r="M1735" s="246">
        <v>75800</v>
      </c>
      <c r="N1735" s="246">
        <v>80700</v>
      </c>
    </row>
    <row r="1736" spans="3:14" ht="21.95" customHeight="1" x14ac:dyDescent="0.25">
      <c r="C1736" s="139" t="str">
        <f t="shared" si="43"/>
        <v>NC_ROBESON COUNTY, NC</v>
      </c>
      <c r="D1736" s="136" t="s">
        <v>73</v>
      </c>
      <c r="E1736" s="262" t="s">
        <v>4307</v>
      </c>
      <c r="F1736" s="136" t="s">
        <v>183</v>
      </c>
      <c r="G1736" s="246">
        <v>42800</v>
      </c>
      <c r="H1736" s="246">
        <v>48900</v>
      </c>
      <c r="I1736" s="246">
        <v>55000</v>
      </c>
      <c r="J1736" s="246">
        <v>61100</v>
      </c>
      <c r="K1736" s="246">
        <v>66000</v>
      </c>
      <c r="L1736" s="246">
        <v>70900</v>
      </c>
      <c r="M1736" s="246">
        <v>75800</v>
      </c>
      <c r="N1736" s="246">
        <v>80700</v>
      </c>
    </row>
    <row r="1737" spans="3:14" ht="21.95" customHeight="1" x14ac:dyDescent="0.25">
      <c r="C1737" s="139" t="str">
        <f t="shared" si="43"/>
        <v>NC_ROCKINGHAM COUNTY, NC HUD METRO FMR AREA</v>
      </c>
      <c r="D1737" s="136" t="s">
        <v>73</v>
      </c>
      <c r="E1737" s="262" t="s">
        <v>4308</v>
      </c>
      <c r="F1737" s="136" t="s">
        <v>183</v>
      </c>
      <c r="G1737" s="246">
        <v>44800</v>
      </c>
      <c r="H1737" s="246">
        <v>51200</v>
      </c>
      <c r="I1737" s="246">
        <v>57600</v>
      </c>
      <c r="J1737" s="246">
        <v>64000</v>
      </c>
      <c r="K1737" s="246">
        <v>69150</v>
      </c>
      <c r="L1737" s="246">
        <v>74250</v>
      </c>
      <c r="M1737" s="246">
        <v>79400</v>
      </c>
      <c r="N1737" s="246">
        <v>84500</v>
      </c>
    </row>
    <row r="1738" spans="3:14" ht="21.95" customHeight="1" x14ac:dyDescent="0.25">
      <c r="C1738" s="139" t="str">
        <f t="shared" si="43"/>
        <v>NC_ROCKY MOUNT, NC MSA</v>
      </c>
      <c r="D1738" s="136" t="s">
        <v>73</v>
      </c>
      <c r="E1738" s="262" t="s">
        <v>4309</v>
      </c>
      <c r="F1738" s="136" t="s">
        <v>183</v>
      </c>
      <c r="G1738" s="246">
        <v>44350</v>
      </c>
      <c r="H1738" s="246">
        <v>50650</v>
      </c>
      <c r="I1738" s="246">
        <v>57000</v>
      </c>
      <c r="J1738" s="246">
        <v>63300</v>
      </c>
      <c r="K1738" s="246">
        <v>68400</v>
      </c>
      <c r="L1738" s="246">
        <v>73450</v>
      </c>
      <c r="M1738" s="246">
        <v>78500</v>
      </c>
      <c r="N1738" s="246">
        <v>83600</v>
      </c>
    </row>
    <row r="1739" spans="3:14" ht="21.95" customHeight="1" x14ac:dyDescent="0.25">
      <c r="C1739" s="139" t="str">
        <f t="shared" si="43"/>
        <v>NC_ROWAN COUNTY, NC HUD METRO FMR AREA</v>
      </c>
      <c r="D1739" s="136" t="s">
        <v>73</v>
      </c>
      <c r="E1739" s="262" t="s">
        <v>4310</v>
      </c>
      <c r="F1739" s="136" t="s">
        <v>183</v>
      </c>
      <c r="G1739" s="246">
        <v>49150</v>
      </c>
      <c r="H1739" s="246">
        <v>56150</v>
      </c>
      <c r="I1739" s="246">
        <v>63150</v>
      </c>
      <c r="J1739" s="246">
        <v>70150</v>
      </c>
      <c r="K1739" s="246">
        <v>75800</v>
      </c>
      <c r="L1739" s="246">
        <v>81400</v>
      </c>
      <c r="M1739" s="246">
        <v>87000</v>
      </c>
      <c r="N1739" s="246">
        <v>92600</v>
      </c>
    </row>
    <row r="1740" spans="3:14" ht="21.95" customHeight="1" x14ac:dyDescent="0.25">
      <c r="C1740" s="139" t="str">
        <f t="shared" si="43"/>
        <v>NC_RUTHERFORD COUNTY, NC</v>
      </c>
      <c r="D1740" s="136" t="s">
        <v>73</v>
      </c>
      <c r="E1740" s="262" t="s">
        <v>4311</v>
      </c>
      <c r="F1740" s="136" t="s">
        <v>183</v>
      </c>
      <c r="G1740" s="246">
        <v>42800</v>
      </c>
      <c r="H1740" s="246">
        <v>48900</v>
      </c>
      <c r="I1740" s="246">
        <v>55000</v>
      </c>
      <c r="J1740" s="246">
        <v>61100</v>
      </c>
      <c r="K1740" s="246">
        <v>66000</v>
      </c>
      <c r="L1740" s="246">
        <v>70900</v>
      </c>
      <c r="M1740" s="246">
        <v>75800</v>
      </c>
      <c r="N1740" s="246">
        <v>80700</v>
      </c>
    </row>
    <row r="1741" spans="3:14" ht="21.95" customHeight="1" x14ac:dyDescent="0.25">
      <c r="C1741" s="139" t="str">
        <f t="shared" si="43"/>
        <v>NC_SAMPSON COUNTY, NC</v>
      </c>
      <c r="D1741" s="136" t="s">
        <v>73</v>
      </c>
      <c r="E1741" s="262" t="s">
        <v>4312</v>
      </c>
      <c r="F1741" s="136" t="s">
        <v>183</v>
      </c>
      <c r="G1741" s="246">
        <v>42800</v>
      </c>
      <c r="H1741" s="246">
        <v>48900</v>
      </c>
      <c r="I1741" s="246">
        <v>55000</v>
      </c>
      <c r="J1741" s="246">
        <v>61100</v>
      </c>
      <c r="K1741" s="246">
        <v>66000</v>
      </c>
      <c r="L1741" s="246">
        <v>70900</v>
      </c>
      <c r="M1741" s="246">
        <v>75800</v>
      </c>
      <c r="N1741" s="246">
        <v>80700</v>
      </c>
    </row>
    <row r="1742" spans="3:14" ht="21.95" customHeight="1" x14ac:dyDescent="0.25">
      <c r="C1742" s="139" t="str">
        <f t="shared" si="43"/>
        <v>NC_SCOTLAND COUNTY, NC</v>
      </c>
      <c r="D1742" s="136" t="s">
        <v>73</v>
      </c>
      <c r="E1742" s="262" t="s">
        <v>4313</v>
      </c>
      <c r="F1742" s="136" t="s">
        <v>183</v>
      </c>
      <c r="G1742" s="246">
        <v>42800</v>
      </c>
      <c r="H1742" s="246">
        <v>48900</v>
      </c>
      <c r="I1742" s="246">
        <v>55000</v>
      </c>
      <c r="J1742" s="246">
        <v>61100</v>
      </c>
      <c r="K1742" s="246">
        <v>66000</v>
      </c>
      <c r="L1742" s="246">
        <v>70900</v>
      </c>
      <c r="M1742" s="246">
        <v>75800</v>
      </c>
      <c r="N1742" s="246">
        <v>80700</v>
      </c>
    </row>
    <row r="1743" spans="3:14" ht="21.95" customHeight="1" x14ac:dyDescent="0.25">
      <c r="C1743" s="139" t="str">
        <f t="shared" si="43"/>
        <v>NC_STANLY COUNTY, NC</v>
      </c>
      <c r="D1743" s="136" t="s">
        <v>73</v>
      </c>
      <c r="E1743" s="262" t="s">
        <v>4314</v>
      </c>
      <c r="F1743" s="136" t="s">
        <v>183</v>
      </c>
      <c r="G1743" s="246">
        <v>49500</v>
      </c>
      <c r="H1743" s="246">
        <v>56550</v>
      </c>
      <c r="I1743" s="246">
        <v>63600</v>
      </c>
      <c r="J1743" s="246">
        <v>70650</v>
      </c>
      <c r="K1743" s="246">
        <v>76350</v>
      </c>
      <c r="L1743" s="246">
        <v>82000</v>
      </c>
      <c r="M1743" s="246">
        <v>87650</v>
      </c>
      <c r="N1743" s="246">
        <v>93300</v>
      </c>
    </row>
    <row r="1744" spans="3:14" ht="21.95" customHeight="1" x14ac:dyDescent="0.25">
      <c r="C1744" s="139" t="str">
        <f t="shared" si="43"/>
        <v>NC_SURRY COUNTY, NC</v>
      </c>
      <c r="D1744" s="136" t="s">
        <v>73</v>
      </c>
      <c r="E1744" s="262" t="s">
        <v>4315</v>
      </c>
      <c r="F1744" s="136" t="s">
        <v>183</v>
      </c>
      <c r="G1744" s="246">
        <v>42800</v>
      </c>
      <c r="H1744" s="246">
        <v>48900</v>
      </c>
      <c r="I1744" s="246">
        <v>55000</v>
      </c>
      <c r="J1744" s="246">
        <v>61100</v>
      </c>
      <c r="K1744" s="246">
        <v>66000</v>
      </c>
      <c r="L1744" s="246">
        <v>70900</v>
      </c>
      <c r="M1744" s="246">
        <v>75800</v>
      </c>
      <c r="N1744" s="246">
        <v>80700</v>
      </c>
    </row>
    <row r="1745" spans="3:14" ht="21.95" customHeight="1" x14ac:dyDescent="0.25">
      <c r="C1745" s="139" t="str">
        <f t="shared" si="43"/>
        <v>NC_SWAIN COUNTY, NC</v>
      </c>
      <c r="D1745" s="136" t="s">
        <v>73</v>
      </c>
      <c r="E1745" s="262" t="s">
        <v>4316</v>
      </c>
      <c r="F1745" s="136" t="s">
        <v>183</v>
      </c>
      <c r="G1745" s="246">
        <v>46050</v>
      </c>
      <c r="H1745" s="246">
        <v>52600</v>
      </c>
      <c r="I1745" s="246">
        <v>59200</v>
      </c>
      <c r="J1745" s="246">
        <v>65750</v>
      </c>
      <c r="K1745" s="246">
        <v>71050</v>
      </c>
      <c r="L1745" s="246">
        <v>76300</v>
      </c>
      <c r="M1745" s="246">
        <v>81550</v>
      </c>
      <c r="N1745" s="246">
        <v>86800</v>
      </c>
    </row>
    <row r="1746" spans="3:14" ht="21.95" customHeight="1" x14ac:dyDescent="0.25">
      <c r="C1746" s="139" t="str">
        <f t="shared" si="43"/>
        <v>NC_TRANSYLVANIA COUNTY, NC</v>
      </c>
      <c r="D1746" s="136" t="s">
        <v>73</v>
      </c>
      <c r="E1746" s="262" t="s">
        <v>4317</v>
      </c>
      <c r="F1746" s="136" t="s">
        <v>183</v>
      </c>
      <c r="G1746" s="246">
        <v>47100</v>
      </c>
      <c r="H1746" s="246">
        <v>53800</v>
      </c>
      <c r="I1746" s="246">
        <v>60550</v>
      </c>
      <c r="J1746" s="246">
        <v>67250</v>
      </c>
      <c r="K1746" s="246">
        <v>72650</v>
      </c>
      <c r="L1746" s="246">
        <v>78050</v>
      </c>
      <c r="M1746" s="246">
        <v>83400</v>
      </c>
      <c r="N1746" s="246">
        <v>88800</v>
      </c>
    </row>
    <row r="1747" spans="3:14" ht="21.95" customHeight="1" x14ac:dyDescent="0.25">
      <c r="C1747" s="139" t="str">
        <f t="shared" si="43"/>
        <v>NC_TYRRELL COUNTY, NC</v>
      </c>
      <c r="D1747" s="136" t="s">
        <v>73</v>
      </c>
      <c r="E1747" s="262" t="s">
        <v>4318</v>
      </c>
      <c r="F1747" s="136" t="s">
        <v>183</v>
      </c>
      <c r="G1747" s="246">
        <v>42800</v>
      </c>
      <c r="H1747" s="246">
        <v>48900</v>
      </c>
      <c r="I1747" s="246">
        <v>55000</v>
      </c>
      <c r="J1747" s="246">
        <v>61100</v>
      </c>
      <c r="K1747" s="246">
        <v>66000</v>
      </c>
      <c r="L1747" s="246">
        <v>70900</v>
      </c>
      <c r="M1747" s="246">
        <v>75800</v>
      </c>
      <c r="N1747" s="246">
        <v>80700</v>
      </c>
    </row>
    <row r="1748" spans="3:14" ht="21.95" customHeight="1" x14ac:dyDescent="0.25">
      <c r="C1748" s="139" t="str">
        <f t="shared" si="43"/>
        <v>NC_VANCE COUNTY, NC</v>
      </c>
      <c r="D1748" s="136" t="s">
        <v>73</v>
      </c>
      <c r="E1748" s="262" t="s">
        <v>4319</v>
      </c>
      <c r="F1748" s="136" t="s">
        <v>183</v>
      </c>
      <c r="G1748" s="246">
        <v>42800</v>
      </c>
      <c r="H1748" s="246">
        <v>48900</v>
      </c>
      <c r="I1748" s="246">
        <v>55000</v>
      </c>
      <c r="J1748" s="246">
        <v>61100</v>
      </c>
      <c r="K1748" s="246">
        <v>66000</v>
      </c>
      <c r="L1748" s="246">
        <v>70900</v>
      </c>
      <c r="M1748" s="246">
        <v>75800</v>
      </c>
      <c r="N1748" s="246">
        <v>80700</v>
      </c>
    </row>
    <row r="1749" spans="3:14" ht="21.95" customHeight="1" x14ac:dyDescent="0.25">
      <c r="C1749" s="139" t="str">
        <f t="shared" si="43"/>
        <v>NC_VIRGINIA BEACH-NORFOLK-NEWPORT NEWS, VA-NC HUD METRO FMR AREA</v>
      </c>
      <c r="D1749" s="136" t="s">
        <v>73</v>
      </c>
      <c r="E1749" s="262" t="s">
        <v>4320</v>
      </c>
      <c r="F1749" s="136" t="s">
        <v>183</v>
      </c>
      <c r="G1749" s="246">
        <v>59650</v>
      </c>
      <c r="H1749" s="246">
        <v>68200</v>
      </c>
      <c r="I1749" s="246">
        <v>76700</v>
      </c>
      <c r="J1749" s="246">
        <v>85200</v>
      </c>
      <c r="K1749" s="246">
        <v>92050</v>
      </c>
      <c r="L1749" s="246">
        <v>98850</v>
      </c>
      <c r="M1749" s="246">
        <v>105650</v>
      </c>
      <c r="N1749" s="246">
        <v>112500</v>
      </c>
    </row>
    <row r="1750" spans="3:14" ht="21.95" customHeight="1" x14ac:dyDescent="0.25">
      <c r="C1750" s="139" t="str">
        <f t="shared" si="43"/>
        <v>NC_WARREN COUNTY, NC</v>
      </c>
      <c r="D1750" s="136" t="s">
        <v>73</v>
      </c>
      <c r="E1750" s="262" t="s">
        <v>4321</v>
      </c>
      <c r="F1750" s="136" t="s">
        <v>183</v>
      </c>
      <c r="G1750" s="246">
        <v>42800</v>
      </c>
      <c r="H1750" s="246">
        <v>48900</v>
      </c>
      <c r="I1750" s="246">
        <v>55000</v>
      </c>
      <c r="J1750" s="246">
        <v>61100</v>
      </c>
      <c r="K1750" s="246">
        <v>66000</v>
      </c>
      <c r="L1750" s="246">
        <v>70900</v>
      </c>
      <c r="M1750" s="246">
        <v>75800</v>
      </c>
      <c r="N1750" s="246">
        <v>80700</v>
      </c>
    </row>
    <row r="1751" spans="3:14" ht="21.95" customHeight="1" x14ac:dyDescent="0.25">
      <c r="C1751" s="139" t="str">
        <f t="shared" si="43"/>
        <v>NC_WASHINGTON COUNTY, NC</v>
      </c>
      <c r="D1751" s="136" t="s">
        <v>73</v>
      </c>
      <c r="E1751" s="262" t="s">
        <v>4322</v>
      </c>
      <c r="F1751" s="136" t="s">
        <v>183</v>
      </c>
      <c r="G1751" s="246">
        <v>42800</v>
      </c>
      <c r="H1751" s="246">
        <v>48900</v>
      </c>
      <c r="I1751" s="246">
        <v>55000</v>
      </c>
      <c r="J1751" s="246">
        <v>61100</v>
      </c>
      <c r="K1751" s="246">
        <v>66000</v>
      </c>
      <c r="L1751" s="246">
        <v>70900</v>
      </c>
      <c r="M1751" s="246">
        <v>75800</v>
      </c>
      <c r="N1751" s="246">
        <v>80700</v>
      </c>
    </row>
    <row r="1752" spans="3:14" ht="21.95" customHeight="1" x14ac:dyDescent="0.25">
      <c r="C1752" s="139" t="str">
        <f t="shared" si="43"/>
        <v>NC_WATAUGA COUNTY, NC</v>
      </c>
      <c r="D1752" s="136" t="s">
        <v>73</v>
      </c>
      <c r="E1752" s="262" t="s">
        <v>4323</v>
      </c>
      <c r="F1752" s="136" t="s">
        <v>183</v>
      </c>
      <c r="G1752" s="246">
        <v>52850</v>
      </c>
      <c r="H1752" s="246">
        <v>60400</v>
      </c>
      <c r="I1752" s="246">
        <v>67950</v>
      </c>
      <c r="J1752" s="246">
        <v>75450</v>
      </c>
      <c r="K1752" s="246">
        <v>81500</v>
      </c>
      <c r="L1752" s="246">
        <v>87550</v>
      </c>
      <c r="M1752" s="246">
        <v>93600</v>
      </c>
      <c r="N1752" s="246">
        <v>99600</v>
      </c>
    </row>
    <row r="1753" spans="3:14" ht="21.95" customHeight="1" x14ac:dyDescent="0.25">
      <c r="C1753" s="139" t="str">
        <f t="shared" si="43"/>
        <v>NC_WILKES COUNTY, NC</v>
      </c>
      <c r="D1753" s="136" t="s">
        <v>73</v>
      </c>
      <c r="E1753" s="262" t="s">
        <v>4324</v>
      </c>
      <c r="F1753" s="136" t="s">
        <v>183</v>
      </c>
      <c r="G1753" s="246">
        <v>42800</v>
      </c>
      <c r="H1753" s="246">
        <v>48900</v>
      </c>
      <c r="I1753" s="246">
        <v>55000</v>
      </c>
      <c r="J1753" s="246">
        <v>61100</v>
      </c>
      <c r="K1753" s="246">
        <v>66000</v>
      </c>
      <c r="L1753" s="246">
        <v>70900</v>
      </c>
      <c r="M1753" s="246">
        <v>75800</v>
      </c>
      <c r="N1753" s="246">
        <v>80700</v>
      </c>
    </row>
    <row r="1754" spans="3:14" ht="21.95" customHeight="1" x14ac:dyDescent="0.25">
      <c r="C1754" s="139" t="str">
        <f t="shared" si="43"/>
        <v>NC_WILMINGTON, NC HUD METRO FMR AREA</v>
      </c>
      <c r="D1754" s="136" t="s">
        <v>73</v>
      </c>
      <c r="E1754" s="262" t="s">
        <v>4325</v>
      </c>
      <c r="F1754" s="136" t="s">
        <v>183</v>
      </c>
      <c r="G1754" s="246">
        <v>60700</v>
      </c>
      <c r="H1754" s="246">
        <v>69350</v>
      </c>
      <c r="I1754" s="246">
        <v>78000</v>
      </c>
      <c r="J1754" s="246">
        <v>86650</v>
      </c>
      <c r="K1754" s="246">
        <v>93600</v>
      </c>
      <c r="L1754" s="246">
        <v>100550</v>
      </c>
      <c r="M1754" s="246">
        <v>107450</v>
      </c>
      <c r="N1754" s="246">
        <v>114400</v>
      </c>
    </row>
    <row r="1755" spans="3:14" ht="21.95" customHeight="1" x14ac:dyDescent="0.25">
      <c r="C1755" s="139" t="str">
        <f t="shared" si="43"/>
        <v>NC_WILSON COUNTY, NC</v>
      </c>
      <c r="D1755" s="136" t="s">
        <v>73</v>
      </c>
      <c r="E1755" s="262" t="s">
        <v>4326</v>
      </c>
      <c r="F1755" s="136" t="s">
        <v>183</v>
      </c>
      <c r="G1755" s="246">
        <v>44450</v>
      </c>
      <c r="H1755" s="246">
        <v>50800</v>
      </c>
      <c r="I1755" s="246">
        <v>57150</v>
      </c>
      <c r="J1755" s="246">
        <v>63450</v>
      </c>
      <c r="K1755" s="246">
        <v>68550</v>
      </c>
      <c r="L1755" s="246">
        <v>73650</v>
      </c>
      <c r="M1755" s="246">
        <v>78700</v>
      </c>
      <c r="N1755" s="246">
        <v>83800</v>
      </c>
    </row>
    <row r="1756" spans="3:14" ht="21.95" customHeight="1" x14ac:dyDescent="0.25">
      <c r="C1756" s="139" t="str">
        <f t="shared" si="43"/>
        <v>NC_WINSTON-SALEM, NC HUD METRO FMR AREA</v>
      </c>
      <c r="D1756" s="136" t="s">
        <v>73</v>
      </c>
      <c r="E1756" s="262" t="s">
        <v>4327</v>
      </c>
      <c r="F1756" s="136" t="s">
        <v>183</v>
      </c>
      <c r="G1756" s="246">
        <v>48550</v>
      </c>
      <c r="H1756" s="246">
        <v>55500</v>
      </c>
      <c r="I1756" s="246">
        <v>62450</v>
      </c>
      <c r="J1756" s="246">
        <v>69350</v>
      </c>
      <c r="K1756" s="246">
        <v>74900</v>
      </c>
      <c r="L1756" s="246">
        <v>80450</v>
      </c>
      <c r="M1756" s="246">
        <v>86000</v>
      </c>
      <c r="N1756" s="246">
        <v>91550</v>
      </c>
    </row>
    <row r="1757" spans="3:14" ht="21.95" customHeight="1" x14ac:dyDescent="0.25">
      <c r="C1757" s="139" t="str">
        <f t="shared" si="43"/>
        <v>NC_YANCEY COUNTY, NC</v>
      </c>
      <c r="D1757" s="136" t="s">
        <v>73</v>
      </c>
      <c r="E1757" s="262" t="s">
        <v>4328</v>
      </c>
      <c r="F1757" s="136" t="s">
        <v>183</v>
      </c>
      <c r="G1757" s="246">
        <v>45000</v>
      </c>
      <c r="H1757" s="246">
        <v>51400</v>
      </c>
      <c r="I1757" s="246">
        <v>57850</v>
      </c>
      <c r="J1757" s="246">
        <v>64250</v>
      </c>
      <c r="K1757" s="246">
        <v>69400</v>
      </c>
      <c r="L1757" s="246">
        <v>74550</v>
      </c>
      <c r="M1757" s="246">
        <v>79700</v>
      </c>
      <c r="N1757" s="246">
        <v>84850</v>
      </c>
    </row>
    <row r="1758" spans="3:14" ht="21.95" customHeight="1" x14ac:dyDescent="0.25">
      <c r="C1758" s="139" t="str">
        <f t="shared" si="43"/>
        <v>ND_ADAMS COUNTY, ND</v>
      </c>
      <c r="D1758" s="136" t="s">
        <v>72</v>
      </c>
      <c r="E1758" s="262" t="s">
        <v>4329</v>
      </c>
      <c r="F1758" s="136" t="s">
        <v>183</v>
      </c>
      <c r="G1758" s="246">
        <v>62550</v>
      </c>
      <c r="H1758" s="246">
        <v>71500</v>
      </c>
      <c r="I1758" s="246">
        <v>80450</v>
      </c>
      <c r="J1758" s="246">
        <v>89350</v>
      </c>
      <c r="K1758" s="246">
        <v>96500</v>
      </c>
      <c r="L1758" s="246">
        <v>103650</v>
      </c>
      <c r="M1758" s="246">
        <v>110800</v>
      </c>
      <c r="N1758" s="246">
        <v>117950</v>
      </c>
    </row>
    <row r="1759" spans="3:14" ht="21.95" customHeight="1" x14ac:dyDescent="0.25">
      <c r="C1759" s="139" t="str">
        <f t="shared" si="43"/>
        <v>ND_BARNES COUNTY, ND</v>
      </c>
      <c r="D1759" s="136" t="s">
        <v>72</v>
      </c>
      <c r="E1759" s="262" t="s">
        <v>4330</v>
      </c>
      <c r="F1759" s="136" t="s">
        <v>183</v>
      </c>
      <c r="G1759" s="246">
        <v>58450</v>
      </c>
      <c r="H1759" s="246">
        <v>66800</v>
      </c>
      <c r="I1759" s="246">
        <v>75150</v>
      </c>
      <c r="J1759" s="246">
        <v>83500</v>
      </c>
      <c r="K1759" s="246">
        <v>90200</v>
      </c>
      <c r="L1759" s="246">
        <v>96900</v>
      </c>
      <c r="M1759" s="246">
        <v>103550</v>
      </c>
      <c r="N1759" s="246">
        <v>110250</v>
      </c>
    </row>
    <row r="1760" spans="3:14" ht="21.95" customHeight="1" x14ac:dyDescent="0.25">
      <c r="C1760" s="139" t="str">
        <f t="shared" si="43"/>
        <v>ND_BENSON COUNTY, ND</v>
      </c>
      <c r="D1760" s="136" t="s">
        <v>72</v>
      </c>
      <c r="E1760" s="262" t="s">
        <v>4331</v>
      </c>
      <c r="F1760" s="136" t="s">
        <v>183</v>
      </c>
      <c r="G1760" s="246">
        <v>58450</v>
      </c>
      <c r="H1760" s="246">
        <v>66800</v>
      </c>
      <c r="I1760" s="246">
        <v>75150</v>
      </c>
      <c r="J1760" s="246">
        <v>83500</v>
      </c>
      <c r="K1760" s="246">
        <v>90200</v>
      </c>
      <c r="L1760" s="246">
        <v>96900</v>
      </c>
      <c r="M1760" s="246">
        <v>103550</v>
      </c>
      <c r="N1760" s="246">
        <v>110250</v>
      </c>
    </row>
    <row r="1761" spans="3:14" ht="21.95" customHeight="1" x14ac:dyDescent="0.25">
      <c r="C1761" s="139" t="str">
        <f t="shared" si="43"/>
        <v>ND_BILLINGS COUNTY, ND</v>
      </c>
      <c r="D1761" s="136" t="s">
        <v>72</v>
      </c>
      <c r="E1761" s="262" t="s">
        <v>4332</v>
      </c>
      <c r="F1761" s="136" t="s">
        <v>183</v>
      </c>
      <c r="G1761" s="246">
        <v>64900</v>
      </c>
      <c r="H1761" s="246">
        <v>74150</v>
      </c>
      <c r="I1761" s="246">
        <v>83400</v>
      </c>
      <c r="J1761" s="246">
        <v>92650</v>
      </c>
      <c r="K1761" s="246">
        <v>100100</v>
      </c>
      <c r="L1761" s="246">
        <v>107500</v>
      </c>
      <c r="M1761" s="246">
        <v>114900</v>
      </c>
      <c r="N1761" s="246">
        <v>122300</v>
      </c>
    </row>
    <row r="1762" spans="3:14" ht="21.95" customHeight="1" x14ac:dyDescent="0.25">
      <c r="C1762" s="139" t="str">
        <f t="shared" si="43"/>
        <v>ND_BISMARCK, ND MSA</v>
      </c>
      <c r="D1762" s="136" t="s">
        <v>72</v>
      </c>
      <c r="E1762" s="262" t="s">
        <v>4333</v>
      </c>
      <c r="F1762" s="136" t="s">
        <v>183</v>
      </c>
      <c r="G1762" s="246">
        <v>66400</v>
      </c>
      <c r="H1762" s="246">
        <v>75850</v>
      </c>
      <c r="I1762" s="246">
        <v>85350</v>
      </c>
      <c r="J1762" s="246">
        <v>94800</v>
      </c>
      <c r="K1762" s="246">
        <v>102400</v>
      </c>
      <c r="L1762" s="246">
        <v>110000</v>
      </c>
      <c r="M1762" s="246">
        <v>117600</v>
      </c>
      <c r="N1762" s="246">
        <v>125150</v>
      </c>
    </row>
    <row r="1763" spans="3:14" ht="21.95" customHeight="1" x14ac:dyDescent="0.25">
      <c r="C1763" s="139" t="str">
        <f t="shared" si="43"/>
        <v>ND_BOTTINEAU COUNTY, ND</v>
      </c>
      <c r="D1763" s="136" t="s">
        <v>72</v>
      </c>
      <c r="E1763" s="262" t="s">
        <v>4334</v>
      </c>
      <c r="F1763" s="136" t="s">
        <v>183</v>
      </c>
      <c r="G1763" s="246">
        <v>62450</v>
      </c>
      <c r="H1763" s="246">
        <v>71400</v>
      </c>
      <c r="I1763" s="246">
        <v>80300</v>
      </c>
      <c r="J1763" s="246">
        <v>89200</v>
      </c>
      <c r="K1763" s="246">
        <v>96350</v>
      </c>
      <c r="L1763" s="246">
        <v>103500</v>
      </c>
      <c r="M1763" s="246">
        <v>110650</v>
      </c>
      <c r="N1763" s="246">
        <v>117750</v>
      </c>
    </row>
    <row r="1764" spans="3:14" ht="21.95" customHeight="1" x14ac:dyDescent="0.25">
      <c r="C1764" s="139" t="str">
        <f t="shared" si="43"/>
        <v>ND_BOWMAN COUNTY, ND</v>
      </c>
      <c r="D1764" s="136" t="s">
        <v>72</v>
      </c>
      <c r="E1764" s="262" t="s">
        <v>4335</v>
      </c>
      <c r="F1764" s="136" t="s">
        <v>183</v>
      </c>
      <c r="G1764" s="246">
        <v>59750</v>
      </c>
      <c r="H1764" s="246">
        <v>68300</v>
      </c>
      <c r="I1764" s="246">
        <v>76850</v>
      </c>
      <c r="J1764" s="246">
        <v>85350</v>
      </c>
      <c r="K1764" s="246">
        <v>92200</v>
      </c>
      <c r="L1764" s="246">
        <v>99050</v>
      </c>
      <c r="M1764" s="246">
        <v>105850</v>
      </c>
      <c r="N1764" s="246">
        <v>112700</v>
      </c>
    </row>
    <row r="1765" spans="3:14" ht="21.95" customHeight="1" x14ac:dyDescent="0.25">
      <c r="C1765" s="139" t="str">
        <f t="shared" si="43"/>
        <v>ND_BURKE COUNTY, ND</v>
      </c>
      <c r="D1765" s="136" t="s">
        <v>72</v>
      </c>
      <c r="E1765" s="262" t="s">
        <v>4336</v>
      </c>
      <c r="F1765" s="136" t="s">
        <v>183</v>
      </c>
      <c r="G1765" s="246">
        <v>70950</v>
      </c>
      <c r="H1765" s="246">
        <v>81050</v>
      </c>
      <c r="I1765" s="246">
        <v>91200</v>
      </c>
      <c r="J1765" s="246">
        <v>101300</v>
      </c>
      <c r="K1765" s="246">
        <v>109450</v>
      </c>
      <c r="L1765" s="246">
        <v>117550</v>
      </c>
      <c r="M1765" s="246">
        <v>125650</v>
      </c>
      <c r="N1765" s="246">
        <v>133750</v>
      </c>
    </row>
    <row r="1766" spans="3:14" ht="21.95" customHeight="1" x14ac:dyDescent="0.25">
      <c r="C1766" s="139" t="str">
        <f t="shared" si="43"/>
        <v>ND_CAVALIER COUNTY, ND</v>
      </c>
      <c r="D1766" s="136" t="s">
        <v>72</v>
      </c>
      <c r="E1766" s="262" t="s">
        <v>4337</v>
      </c>
      <c r="F1766" s="136" t="s">
        <v>183</v>
      </c>
      <c r="G1766" s="246">
        <v>59000</v>
      </c>
      <c r="H1766" s="246">
        <v>67400</v>
      </c>
      <c r="I1766" s="246">
        <v>75850</v>
      </c>
      <c r="J1766" s="246">
        <v>84250</v>
      </c>
      <c r="K1766" s="246">
        <v>91000</v>
      </c>
      <c r="L1766" s="246">
        <v>97750</v>
      </c>
      <c r="M1766" s="246">
        <v>104500</v>
      </c>
      <c r="N1766" s="246">
        <v>111250</v>
      </c>
    </row>
    <row r="1767" spans="3:14" ht="21.95" customHeight="1" x14ac:dyDescent="0.25">
      <c r="C1767" s="139" t="str">
        <f t="shared" si="43"/>
        <v>ND_DICKEY COUNTY, ND</v>
      </c>
      <c r="D1767" s="136" t="s">
        <v>72</v>
      </c>
      <c r="E1767" s="262" t="s">
        <v>4338</v>
      </c>
      <c r="F1767" s="136" t="s">
        <v>183</v>
      </c>
      <c r="G1767" s="246">
        <v>58450</v>
      </c>
      <c r="H1767" s="246">
        <v>66800</v>
      </c>
      <c r="I1767" s="246">
        <v>75150</v>
      </c>
      <c r="J1767" s="246">
        <v>83500</v>
      </c>
      <c r="K1767" s="246">
        <v>90200</v>
      </c>
      <c r="L1767" s="246">
        <v>96900</v>
      </c>
      <c r="M1767" s="246">
        <v>103550</v>
      </c>
      <c r="N1767" s="246">
        <v>110250</v>
      </c>
    </row>
    <row r="1768" spans="3:14" ht="21.95" customHeight="1" x14ac:dyDescent="0.25">
      <c r="C1768" s="139" t="str">
        <f t="shared" si="43"/>
        <v>ND_DIVIDE COUNTY, ND</v>
      </c>
      <c r="D1768" s="136" t="s">
        <v>72</v>
      </c>
      <c r="E1768" s="262" t="s">
        <v>4339</v>
      </c>
      <c r="F1768" s="136" t="s">
        <v>183</v>
      </c>
      <c r="G1768" s="246">
        <v>66450</v>
      </c>
      <c r="H1768" s="246">
        <v>75950</v>
      </c>
      <c r="I1768" s="246">
        <v>85450</v>
      </c>
      <c r="J1768" s="246">
        <v>94900</v>
      </c>
      <c r="K1768" s="246">
        <v>102500</v>
      </c>
      <c r="L1768" s="246">
        <v>110100</v>
      </c>
      <c r="M1768" s="246">
        <v>117700</v>
      </c>
      <c r="N1768" s="246">
        <v>125300</v>
      </c>
    </row>
    <row r="1769" spans="3:14" ht="21.95" customHeight="1" x14ac:dyDescent="0.25">
      <c r="C1769" s="139" t="str">
        <f t="shared" si="43"/>
        <v>ND_DUNN COUNTY, ND</v>
      </c>
      <c r="D1769" s="136" t="s">
        <v>72</v>
      </c>
      <c r="E1769" s="262" t="s">
        <v>4340</v>
      </c>
      <c r="F1769" s="136" t="s">
        <v>183</v>
      </c>
      <c r="G1769" s="246">
        <v>72950</v>
      </c>
      <c r="H1769" s="246">
        <v>83400</v>
      </c>
      <c r="I1769" s="246">
        <v>93800</v>
      </c>
      <c r="J1769" s="246">
        <v>104200</v>
      </c>
      <c r="K1769" s="246">
        <v>112550</v>
      </c>
      <c r="L1769" s="246">
        <v>120900</v>
      </c>
      <c r="M1769" s="246">
        <v>129250</v>
      </c>
      <c r="N1769" s="246">
        <v>137550</v>
      </c>
    </row>
    <row r="1770" spans="3:14" ht="21.95" customHeight="1" x14ac:dyDescent="0.25">
      <c r="C1770" s="139" t="str">
        <f t="shared" si="43"/>
        <v>ND_EDDY COUNTY, ND</v>
      </c>
      <c r="D1770" s="136" t="s">
        <v>72</v>
      </c>
      <c r="E1770" s="262" t="s">
        <v>4341</v>
      </c>
      <c r="F1770" s="136" t="s">
        <v>183</v>
      </c>
      <c r="G1770" s="246">
        <v>58450</v>
      </c>
      <c r="H1770" s="246">
        <v>66800</v>
      </c>
      <c r="I1770" s="246">
        <v>75150</v>
      </c>
      <c r="J1770" s="246">
        <v>83500</v>
      </c>
      <c r="K1770" s="246">
        <v>90200</v>
      </c>
      <c r="L1770" s="246">
        <v>96900</v>
      </c>
      <c r="M1770" s="246">
        <v>103550</v>
      </c>
      <c r="N1770" s="246">
        <v>110250</v>
      </c>
    </row>
    <row r="1771" spans="3:14" ht="21.95" customHeight="1" x14ac:dyDescent="0.25">
      <c r="C1771" s="139" t="str">
        <f t="shared" si="43"/>
        <v>ND_EMMONS COUNTY, ND</v>
      </c>
      <c r="D1771" s="136" t="s">
        <v>72</v>
      </c>
      <c r="E1771" s="262" t="s">
        <v>4342</v>
      </c>
      <c r="F1771" s="136" t="s">
        <v>183</v>
      </c>
      <c r="G1771" s="246">
        <v>58450</v>
      </c>
      <c r="H1771" s="246">
        <v>66800</v>
      </c>
      <c r="I1771" s="246">
        <v>75150</v>
      </c>
      <c r="J1771" s="246">
        <v>83500</v>
      </c>
      <c r="K1771" s="246">
        <v>90200</v>
      </c>
      <c r="L1771" s="246">
        <v>96900</v>
      </c>
      <c r="M1771" s="246">
        <v>103550</v>
      </c>
      <c r="N1771" s="246">
        <v>110250</v>
      </c>
    </row>
    <row r="1772" spans="3:14" ht="21.95" customHeight="1" x14ac:dyDescent="0.25">
      <c r="C1772" s="139" t="str">
        <f t="shared" si="43"/>
        <v>ND_FARGO, ND-MN MSA</v>
      </c>
      <c r="D1772" s="136" t="s">
        <v>72</v>
      </c>
      <c r="E1772" s="262" t="s">
        <v>3988</v>
      </c>
      <c r="F1772" s="136" t="s">
        <v>183</v>
      </c>
      <c r="G1772" s="246">
        <v>64750</v>
      </c>
      <c r="H1772" s="246">
        <v>74000</v>
      </c>
      <c r="I1772" s="246">
        <v>83250</v>
      </c>
      <c r="J1772" s="246">
        <v>92500</v>
      </c>
      <c r="K1772" s="246">
        <v>99900</v>
      </c>
      <c r="L1772" s="246">
        <v>107300</v>
      </c>
      <c r="M1772" s="246">
        <v>114700</v>
      </c>
      <c r="N1772" s="246">
        <v>122100</v>
      </c>
    </row>
    <row r="1773" spans="3:14" ht="21.95" customHeight="1" x14ac:dyDescent="0.25">
      <c r="C1773" s="139" t="str">
        <f t="shared" si="43"/>
        <v>ND_FOSTER COUNTY, ND</v>
      </c>
      <c r="D1773" s="136" t="s">
        <v>72</v>
      </c>
      <c r="E1773" s="262" t="s">
        <v>4343</v>
      </c>
      <c r="F1773" s="136" t="s">
        <v>183</v>
      </c>
      <c r="G1773" s="246">
        <v>68150</v>
      </c>
      <c r="H1773" s="246">
        <v>77900</v>
      </c>
      <c r="I1773" s="246">
        <v>87650</v>
      </c>
      <c r="J1773" s="246">
        <v>97350</v>
      </c>
      <c r="K1773" s="246">
        <v>105150</v>
      </c>
      <c r="L1773" s="246">
        <v>112950</v>
      </c>
      <c r="M1773" s="246">
        <v>120750</v>
      </c>
      <c r="N1773" s="246">
        <v>128550</v>
      </c>
    </row>
    <row r="1774" spans="3:14" ht="21.95" customHeight="1" x14ac:dyDescent="0.25">
      <c r="C1774" s="139" t="str">
        <f t="shared" si="43"/>
        <v>ND_GOLDEN VALLEY COUNTY, ND</v>
      </c>
      <c r="D1774" s="136" t="s">
        <v>72</v>
      </c>
      <c r="E1774" s="262" t="s">
        <v>4344</v>
      </c>
      <c r="F1774" s="136" t="s">
        <v>183</v>
      </c>
      <c r="G1774" s="246">
        <v>60700</v>
      </c>
      <c r="H1774" s="246">
        <v>69350</v>
      </c>
      <c r="I1774" s="246">
        <v>78000</v>
      </c>
      <c r="J1774" s="246">
        <v>86650</v>
      </c>
      <c r="K1774" s="246">
        <v>93600</v>
      </c>
      <c r="L1774" s="246">
        <v>100550</v>
      </c>
      <c r="M1774" s="246">
        <v>107450</v>
      </c>
      <c r="N1774" s="246">
        <v>114400</v>
      </c>
    </row>
    <row r="1775" spans="3:14" ht="21.95" customHeight="1" x14ac:dyDescent="0.25">
      <c r="C1775" s="139" t="str">
        <f t="shared" si="43"/>
        <v>ND_GRAND FORKS, ND-MN MSA</v>
      </c>
      <c r="D1775" s="136" t="s">
        <v>72</v>
      </c>
      <c r="E1775" s="262" t="s">
        <v>3993</v>
      </c>
      <c r="F1775" s="136" t="s">
        <v>183</v>
      </c>
      <c r="G1775" s="246">
        <v>58450</v>
      </c>
      <c r="H1775" s="246">
        <v>66800</v>
      </c>
      <c r="I1775" s="246">
        <v>75150</v>
      </c>
      <c r="J1775" s="246">
        <v>83500</v>
      </c>
      <c r="K1775" s="246">
        <v>90200</v>
      </c>
      <c r="L1775" s="246">
        <v>96900</v>
      </c>
      <c r="M1775" s="246">
        <v>103550</v>
      </c>
      <c r="N1775" s="246">
        <v>110250</v>
      </c>
    </row>
    <row r="1776" spans="3:14" ht="21.95" customHeight="1" x14ac:dyDescent="0.25">
      <c r="C1776" s="139" t="str">
        <f t="shared" si="43"/>
        <v>ND_GRANT COUNTY, ND</v>
      </c>
      <c r="D1776" s="136" t="s">
        <v>72</v>
      </c>
      <c r="E1776" s="262" t="s">
        <v>4345</v>
      </c>
      <c r="F1776" s="136" t="s">
        <v>183</v>
      </c>
      <c r="G1776" s="246">
        <v>58450</v>
      </c>
      <c r="H1776" s="246">
        <v>66800</v>
      </c>
      <c r="I1776" s="246">
        <v>75150</v>
      </c>
      <c r="J1776" s="246">
        <v>83500</v>
      </c>
      <c r="K1776" s="246">
        <v>90200</v>
      </c>
      <c r="L1776" s="246">
        <v>96900</v>
      </c>
      <c r="M1776" s="246">
        <v>103550</v>
      </c>
      <c r="N1776" s="246">
        <v>110250</v>
      </c>
    </row>
    <row r="1777" spans="3:14" ht="21.95" customHeight="1" x14ac:dyDescent="0.25">
      <c r="C1777" s="139" t="str">
        <f t="shared" si="43"/>
        <v>ND_GRIGGS COUNTY, ND</v>
      </c>
      <c r="D1777" s="136" t="s">
        <v>72</v>
      </c>
      <c r="E1777" s="262" t="s">
        <v>4346</v>
      </c>
      <c r="F1777" s="136" t="s">
        <v>183</v>
      </c>
      <c r="G1777" s="246">
        <v>58450</v>
      </c>
      <c r="H1777" s="246">
        <v>66800</v>
      </c>
      <c r="I1777" s="246">
        <v>75150</v>
      </c>
      <c r="J1777" s="246">
        <v>83500</v>
      </c>
      <c r="K1777" s="246">
        <v>90200</v>
      </c>
      <c r="L1777" s="246">
        <v>96900</v>
      </c>
      <c r="M1777" s="246">
        <v>103550</v>
      </c>
      <c r="N1777" s="246">
        <v>110250</v>
      </c>
    </row>
    <row r="1778" spans="3:14" ht="21.95" customHeight="1" x14ac:dyDescent="0.25">
      <c r="C1778" s="139" t="str">
        <f t="shared" si="43"/>
        <v>ND_HETTINGER COUNTY, ND</v>
      </c>
      <c r="D1778" s="136" t="s">
        <v>72</v>
      </c>
      <c r="E1778" s="262" t="s">
        <v>4347</v>
      </c>
      <c r="F1778" s="136" t="s">
        <v>183</v>
      </c>
      <c r="G1778" s="246">
        <v>58750</v>
      </c>
      <c r="H1778" s="246">
        <v>67150</v>
      </c>
      <c r="I1778" s="246">
        <v>75550</v>
      </c>
      <c r="J1778" s="246">
        <v>83900</v>
      </c>
      <c r="K1778" s="246">
        <v>90650</v>
      </c>
      <c r="L1778" s="246">
        <v>97350</v>
      </c>
      <c r="M1778" s="246">
        <v>104050</v>
      </c>
      <c r="N1778" s="246">
        <v>110750</v>
      </c>
    </row>
    <row r="1779" spans="3:14" ht="21.95" customHeight="1" x14ac:dyDescent="0.25">
      <c r="C1779" s="139" t="str">
        <f t="shared" si="43"/>
        <v>ND_KIDDER COUNTY, ND</v>
      </c>
      <c r="D1779" s="136" t="s">
        <v>72</v>
      </c>
      <c r="E1779" s="262" t="s">
        <v>4348</v>
      </c>
      <c r="F1779" s="136" t="s">
        <v>183</v>
      </c>
      <c r="G1779" s="246">
        <v>58450</v>
      </c>
      <c r="H1779" s="246">
        <v>66800</v>
      </c>
      <c r="I1779" s="246">
        <v>75150</v>
      </c>
      <c r="J1779" s="246">
        <v>83500</v>
      </c>
      <c r="K1779" s="246">
        <v>90200</v>
      </c>
      <c r="L1779" s="246">
        <v>96900</v>
      </c>
      <c r="M1779" s="246">
        <v>103550</v>
      </c>
      <c r="N1779" s="246">
        <v>110250</v>
      </c>
    </row>
    <row r="1780" spans="3:14" ht="21.95" customHeight="1" x14ac:dyDescent="0.25">
      <c r="C1780" s="139" t="str">
        <f t="shared" si="43"/>
        <v>ND_LAMOURE COUNTY, ND</v>
      </c>
      <c r="D1780" s="136" t="s">
        <v>72</v>
      </c>
      <c r="E1780" s="262" t="s">
        <v>4349</v>
      </c>
      <c r="F1780" s="136" t="s">
        <v>183</v>
      </c>
      <c r="G1780" s="246">
        <v>58900</v>
      </c>
      <c r="H1780" s="246">
        <v>67300</v>
      </c>
      <c r="I1780" s="246">
        <v>75700</v>
      </c>
      <c r="J1780" s="246">
        <v>84100</v>
      </c>
      <c r="K1780" s="246">
        <v>90850</v>
      </c>
      <c r="L1780" s="246">
        <v>97600</v>
      </c>
      <c r="M1780" s="246">
        <v>104300</v>
      </c>
      <c r="N1780" s="246">
        <v>111050</v>
      </c>
    </row>
    <row r="1781" spans="3:14" ht="21.95" customHeight="1" x14ac:dyDescent="0.25">
      <c r="C1781" s="139" t="str">
        <f t="shared" si="43"/>
        <v>ND_LOGAN COUNTY, ND</v>
      </c>
      <c r="D1781" s="136" t="s">
        <v>72</v>
      </c>
      <c r="E1781" s="262" t="s">
        <v>4350</v>
      </c>
      <c r="F1781" s="136" t="s">
        <v>183</v>
      </c>
      <c r="G1781" s="246">
        <v>58450</v>
      </c>
      <c r="H1781" s="246">
        <v>66800</v>
      </c>
      <c r="I1781" s="246">
        <v>75150</v>
      </c>
      <c r="J1781" s="246">
        <v>83500</v>
      </c>
      <c r="K1781" s="246">
        <v>90200</v>
      </c>
      <c r="L1781" s="246">
        <v>96900</v>
      </c>
      <c r="M1781" s="246">
        <v>103550</v>
      </c>
      <c r="N1781" s="246">
        <v>110250</v>
      </c>
    </row>
    <row r="1782" spans="3:14" ht="21.95" customHeight="1" x14ac:dyDescent="0.25">
      <c r="C1782" s="139" t="str">
        <f t="shared" si="43"/>
        <v>ND_MCHENRY COUNTY, ND HUD METRO FMR AREA</v>
      </c>
      <c r="D1782" s="136" t="s">
        <v>72</v>
      </c>
      <c r="E1782" s="262" t="s">
        <v>9230</v>
      </c>
      <c r="F1782" s="136" t="s">
        <v>183</v>
      </c>
      <c r="G1782" s="246">
        <v>58800</v>
      </c>
      <c r="H1782" s="246">
        <v>67200</v>
      </c>
      <c r="I1782" s="246">
        <v>75600</v>
      </c>
      <c r="J1782" s="246">
        <v>84000</v>
      </c>
      <c r="K1782" s="246">
        <v>90750</v>
      </c>
      <c r="L1782" s="246">
        <v>97450</v>
      </c>
      <c r="M1782" s="246">
        <v>104200</v>
      </c>
      <c r="N1782" s="246">
        <v>110900</v>
      </c>
    </row>
    <row r="1783" spans="3:14" ht="21.95" customHeight="1" x14ac:dyDescent="0.25">
      <c r="C1783" s="139" t="str">
        <f t="shared" si="43"/>
        <v>ND_MCINTOSH COUNTY, ND</v>
      </c>
      <c r="D1783" s="136" t="s">
        <v>72</v>
      </c>
      <c r="E1783" s="262" t="s">
        <v>4351</v>
      </c>
      <c r="F1783" s="136" t="s">
        <v>183</v>
      </c>
      <c r="G1783" s="246">
        <v>58450</v>
      </c>
      <c r="H1783" s="246">
        <v>66800</v>
      </c>
      <c r="I1783" s="246">
        <v>75150</v>
      </c>
      <c r="J1783" s="246">
        <v>83500</v>
      </c>
      <c r="K1783" s="246">
        <v>90200</v>
      </c>
      <c r="L1783" s="246">
        <v>96900</v>
      </c>
      <c r="M1783" s="246">
        <v>103550</v>
      </c>
      <c r="N1783" s="246">
        <v>110250</v>
      </c>
    </row>
    <row r="1784" spans="3:14" ht="21.95" customHeight="1" x14ac:dyDescent="0.25">
      <c r="C1784" s="139" t="str">
        <f t="shared" si="43"/>
        <v>ND_MCKENZIE COUNTY, ND</v>
      </c>
      <c r="D1784" s="136" t="s">
        <v>72</v>
      </c>
      <c r="E1784" s="262" t="s">
        <v>4352</v>
      </c>
      <c r="F1784" s="136" t="s">
        <v>183</v>
      </c>
      <c r="G1784" s="246">
        <v>66200</v>
      </c>
      <c r="H1784" s="246">
        <v>75650</v>
      </c>
      <c r="I1784" s="246">
        <v>85100</v>
      </c>
      <c r="J1784" s="246">
        <v>94550</v>
      </c>
      <c r="K1784" s="246">
        <v>102150</v>
      </c>
      <c r="L1784" s="246">
        <v>109700</v>
      </c>
      <c r="M1784" s="246">
        <v>117250</v>
      </c>
      <c r="N1784" s="246">
        <v>124850</v>
      </c>
    </row>
    <row r="1785" spans="3:14" ht="21.95" customHeight="1" x14ac:dyDescent="0.25">
      <c r="C1785" s="139" t="str">
        <f t="shared" si="43"/>
        <v>ND_MCLEAN COUNTY, ND</v>
      </c>
      <c r="D1785" s="136" t="s">
        <v>72</v>
      </c>
      <c r="E1785" s="262" t="s">
        <v>4353</v>
      </c>
      <c r="F1785" s="136" t="s">
        <v>183</v>
      </c>
      <c r="G1785" s="246">
        <v>62100</v>
      </c>
      <c r="H1785" s="246">
        <v>70950</v>
      </c>
      <c r="I1785" s="246">
        <v>79800</v>
      </c>
      <c r="J1785" s="246">
        <v>88650</v>
      </c>
      <c r="K1785" s="246">
        <v>95750</v>
      </c>
      <c r="L1785" s="246">
        <v>102850</v>
      </c>
      <c r="M1785" s="246">
        <v>109950</v>
      </c>
      <c r="N1785" s="246">
        <v>117050</v>
      </c>
    </row>
    <row r="1786" spans="3:14" ht="21.95" customHeight="1" x14ac:dyDescent="0.25">
      <c r="C1786" s="139" t="str">
        <f t="shared" si="43"/>
        <v>ND_MERCER COUNTY, ND</v>
      </c>
      <c r="D1786" s="136" t="s">
        <v>72</v>
      </c>
      <c r="E1786" s="262" t="s">
        <v>4354</v>
      </c>
      <c r="F1786" s="136" t="s">
        <v>183</v>
      </c>
      <c r="G1786" s="246">
        <v>62250</v>
      </c>
      <c r="H1786" s="246">
        <v>71150</v>
      </c>
      <c r="I1786" s="246">
        <v>80050</v>
      </c>
      <c r="J1786" s="246">
        <v>88900</v>
      </c>
      <c r="K1786" s="246">
        <v>96050</v>
      </c>
      <c r="L1786" s="246">
        <v>103150</v>
      </c>
      <c r="M1786" s="246">
        <v>110250</v>
      </c>
      <c r="N1786" s="246">
        <v>117350</v>
      </c>
    </row>
    <row r="1787" spans="3:14" ht="21.95" customHeight="1" x14ac:dyDescent="0.25">
      <c r="C1787" s="139" t="str">
        <f t="shared" si="43"/>
        <v>ND_MOUNTRAIL COUNTY, ND</v>
      </c>
      <c r="D1787" s="136" t="s">
        <v>72</v>
      </c>
      <c r="E1787" s="262" t="s">
        <v>4355</v>
      </c>
      <c r="F1787" s="136" t="s">
        <v>183</v>
      </c>
      <c r="G1787" s="246">
        <v>59200</v>
      </c>
      <c r="H1787" s="246">
        <v>67650</v>
      </c>
      <c r="I1787" s="246">
        <v>76100</v>
      </c>
      <c r="J1787" s="246">
        <v>84550</v>
      </c>
      <c r="K1787" s="246">
        <v>91350</v>
      </c>
      <c r="L1787" s="246">
        <v>98100</v>
      </c>
      <c r="M1787" s="246">
        <v>104850</v>
      </c>
      <c r="N1787" s="246">
        <v>111650</v>
      </c>
    </row>
    <row r="1788" spans="3:14" ht="21.95" customHeight="1" x14ac:dyDescent="0.25">
      <c r="C1788" s="139" t="str">
        <f t="shared" si="43"/>
        <v>ND_NELSON COUNTY, ND</v>
      </c>
      <c r="D1788" s="136" t="s">
        <v>72</v>
      </c>
      <c r="E1788" s="262" t="s">
        <v>4356</v>
      </c>
      <c r="F1788" s="136" t="s">
        <v>183</v>
      </c>
      <c r="G1788" s="246">
        <v>59150</v>
      </c>
      <c r="H1788" s="246">
        <v>67600</v>
      </c>
      <c r="I1788" s="246">
        <v>76050</v>
      </c>
      <c r="J1788" s="246">
        <v>84500</v>
      </c>
      <c r="K1788" s="246">
        <v>91300</v>
      </c>
      <c r="L1788" s="246">
        <v>98050</v>
      </c>
      <c r="M1788" s="246">
        <v>104800</v>
      </c>
      <c r="N1788" s="246">
        <v>111550</v>
      </c>
    </row>
    <row r="1789" spans="3:14" ht="21.95" customHeight="1" x14ac:dyDescent="0.25">
      <c r="C1789" s="139" t="str">
        <f t="shared" si="43"/>
        <v>ND_PEMBINA COUNTY, ND</v>
      </c>
      <c r="D1789" s="136" t="s">
        <v>72</v>
      </c>
      <c r="E1789" s="262" t="s">
        <v>4357</v>
      </c>
      <c r="F1789" s="136" t="s">
        <v>183</v>
      </c>
      <c r="G1789" s="246">
        <v>58450</v>
      </c>
      <c r="H1789" s="246">
        <v>66800</v>
      </c>
      <c r="I1789" s="246">
        <v>75150</v>
      </c>
      <c r="J1789" s="246">
        <v>83500</v>
      </c>
      <c r="K1789" s="246">
        <v>90200</v>
      </c>
      <c r="L1789" s="246">
        <v>96900</v>
      </c>
      <c r="M1789" s="246">
        <v>103550</v>
      </c>
      <c r="N1789" s="246">
        <v>110250</v>
      </c>
    </row>
    <row r="1790" spans="3:14" ht="21.95" customHeight="1" x14ac:dyDescent="0.25">
      <c r="C1790" s="139" t="str">
        <f t="shared" si="43"/>
        <v>ND_PIERCE COUNTY, ND</v>
      </c>
      <c r="D1790" s="136" t="s">
        <v>72</v>
      </c>
      <c r="E1790" s="262" t="s">
        <v>4358</v>
      </c>
      <c r="F1790" s="136" t="s">
        <v>183</v>
      </c>
      <c r="G1790" s="246">
        <v>58450</v>
      </c>
      <c r="H1790" s="246">
        <v>66800</v>
      </c>
      <c r="I1790" s="246">
        <v>75150</v>
      </c>
      <c r="J1790" s="246">
        <v>83500</v>
      </c>
      <c r="K1790" s="246">
        <v>90200</v>
      </c>
      <c r="L1790" s="246">
        <v>96900</v>
      </c>
      <c r="M1790" s="246">
        <v>103550</v>
      </c>
      <c r="N1790" s="246">
        <v>110250</v>
      </c>
    </row>
    <row r="1791" spans="3:14" ht="21.95" customHeight="1" x14ac:dyDescent="0.25">
      <c r="C1791" s="139" t="str">
        <f t="shared" si="43"/>
        <v>ND_RAMSEY COUNTY, ND</v>
      </c>
      <c r="D1791" s="136" t="s">
        <v>72</v>
      </c>
      <c r="E1791" s="262" t="s">
        <v>4359</v>
      </c>
      <c r="F1791" s="136" t="s">
        <v>183</v>
      </c>
      <c r="G1791" s="246">
        <v>58450</v>
      </c>
      <c r="H1791" s="246">
        <v>66800</v>
      </c>
      <c r="I1791" s="246">
        <v>75150</v>
      </c>
      <c r="J1791" s="246">
        <v>83500</v>
      </c>
      <c r="K1791" s="246">
        <v>90200</v>
      </c>
      <c r="L1791" s="246">
        <v>96900</v>
      </c>
      <c r="M1791" s="246">
        <v>103550</v>
      </c>
      <c r="N1791" s="246">
        <v>110250</v>
      </c>
    </row>
    <row r="1792" spans="3:14" ht="21.95" customHeight="1" x14ac:dyDescent="0.25">
      <c r="C1792" s="139" t="str">
        <f t="shared" ref="C1792:C1855" si="44">TRIM(UPPER(D1792))&amp;"_"&amp;TRIM(UPPER(E1792))</f>
        <v>ND_RANSOM COUNTY, ND</v>
      </c>
      <c r="D1792" s="136" t="s">
        <v>72</v>
      </c>
      <c r="E1792" s="262" t="s">
        <v>4360</v>
      </c>
      <c r="F1792" s="136" t="s">
        <v>183</v>
      </c>
      <c r="G1792" s="246">
        <v>58450</v>
      </c>
      <c r="H1792" s="246">
        <v>66800</v>
      </c>
      <c r="I1792" s="246">
        <v>75150</v>
      </c>
      <c r="J1792" s="246">
        <v>83500</v>
      </c>
      <c r="K1792" s="246">
        <v>90200</v>
      </c>
      <c r="L1792" s="246">
        <v>96900</v>
      </c>
      <c r="M1792" s="246">
        <v>103550</v>
      </c>
      <c r="N1792" s="246">
        <v>110250</v>
      </c>
    </row>
    <row r="1793" spans="3:14" ht="21.95" customHeight="1" x14ac:dyDescent="0.25">
      <c r="C1793" s="139" t="str">
        <f t="shared" si="44"/>
        <v>ND_RENVILLE COUNTY, ND HUD METRO FMR AREA</v>
      </c>
      <c r="D1793" s="136" t="s">
        <v>72</v>
      </c>
      <c r="E1793" s="262" t="s">
        <v>9231</v>
      </c>
      <c r="F1793" s="136" t="s">
        <v>183</v>
      </c>
      <c r="G1793" s="246">
        <v>58450</v>
      </c>
      <c r="H1793" s="246">
        <v>66800</v>
      </c>
      <c r="I1793" s="246">
        <v>75150</v>
      </c>
      <c r="J1793" s="246">
        <v>83500</v>
      </c>
      <c r="K1793" s="246">
        <v>90200</v>
      </c>
      <c r="L1793" s="246">
        <v>96900</v>
      </c>
      <c r="M1793" s="246">
        <v>103550</v>
      </c>
      <c r="N1793" s="246">
        <v>110250</v>
      </c>
    </row>
    <row r="1794" spans="3:14" ht="21.95" customHeight="1" x14ac:dyDescent="0.25">
      <c r="C1794" s="139" t="str">
        <f t="shared" si="44"/>
        <v>ND_RICHLAND COUNTY, ND</v>
      </c>
      <c r="D1794" s="136" t="s">
        <v>72</v>
      </c>
      <c r="E1794" s="262" t="s">
        <v>4361</v>
      </c>
      <c r="F1794" s="136" t="s">
        <v>183</v>
      </c>
      <c r="G1794" s="246">
        <v>61700</v>
      </c>
      <c r="H1794" s="246">
        <v>70500</v>
      </c>
      <c r="I1794" s="246">
        <v>79300</v>
      </c>
      <c r="J1794" s="246">
        <v>88100</v>
      </c>
      <c r="K1794" s="246">
        <v>95150</v>
      </c>
      <c r="L1794" s="246">
        <v>102200</v>
      </c>
      <c r="M1794" s="246">
        <v>109250</v>
      </c>
      <c r="N1794" s="246">
        <v>116300</v>
      </c>
    </row>
    <row r="1795" spans="3:14" ht="21.95" customHeight="1" x14ac:dyDescent="0.25">
      <c r="C1795" s="139" t="str">
        <f t="shared" si="44"/>
        <v>ND_ROLETTE COUNTY, ND</v>
      </c>
      <c r="D1795" s="136" t="s">
        <v>72</v>
      </c>
      <c r="E1795" s="262" t="s">
        <v>4362</v>
      </c>
      <c r="F1795" s="136" t="s">
        <v>183</v>
      </c>
      <c r="G1795" s="246">
        <v>58450</v>
      </c>
      <c r="H1795" s="246">
        <v>66800</v>
      </c>
      <c r="I1795" s="246">
        <v>75150</v>
      </c>
      <c r="J1795" s="246">
        <v>83500</v>
      </c>
      <c r="K1795" s="246">
        <v>90200</v>
      </c>
      <c r="L1795" s="246">
        <v>96900</v>
      </c>
      <c r="M1795" s="246">
        <v>103550</v>
      </c>
      <c r="N1795" s="246">
        <v>110250</v>
      </c>
    </row>
    <row r="1796" spans="3:14" ht="21.95" customHeight="1" x14ac:dyDescent="0.25">
      <c r="C1796" s="139" t="str">
        <f t="shared" si="44"/>
        <v>ND_SARGENT COUNTY, ND</v>
      </c>
      <c r="D1796" s="136" t="s">
        <v>72</v>
      </c>
      <c r="E1796" s="262" t="s">
        <v>4363</v>
      </c>
      <c r="F1796" s="136" t="s">
        <v>183</v>
      </c>
      <c r="G1796" s="246">
        <v>58700</v>
      </c>
      <c r="H1796" s="246">
        <v>67100</v>
      </c>
      <c r="I1796" s="246">
        <v>75500</v>
      </c>
      <c r="J1796" s="246">
        <v>83850</v>
      </c>
      <c r="K1796" s="246">
        <v>90600</v>
      </c>
      <c r="L1796" s="246">
        <v>97300</v>
      </c>
      <c r="M1796" s="246">
        <v>104000</v>
      </c>
      <c r="N1796" s="246">
        <v>110700</v>
      </c>
    </row>
    <row r="1797" spans="3:14" ht="21.95" customHeight="1" x14ac:dyDescent="0.25">
      <c r="C1797" s="139" t="str">
        <f t="shared" si="44"/>
        <v>ND_SHERIDAN COUNTY, ND</v>
      </c>
      <c r="D1797" s="136" t="s">
        <v>72</v>
      </c>
      <c r="E1797" s="262" t="s">
        <v>4364</v>
      </c>
      <c r="F1797" s="136" t="s">
        <v>183</v>
      </c>
      <c r="G1797" s="246">
        <v>58450</v>
      </c>
      <c r="H1797" s="246">
        <v>66800</v>
      </c>
      <c r="I1797" s="246">
        <v>75150</v>
      </c>
      <c r="J1797" s="246">
        <v>83500</v>
      </c>
      <c r="K1797" s="246">
        <v>90200</v>
      </c>
      <c r="L1797" s="246">
        <v>96900</v>
      </c>
      <c r="M1797" s="246">
        <v>103550</v>
      </c>
      <c r="N1797" s="246">
        <v>110250</v>
      </c>
    </row>
    <row r="1798" spans="3:14" ht="21.95" customHeight="1" x14ac:dyDescent="0.25">
      <c r="C1798" s="139" t="str">
        <f t="shared" si="44"/>
        <v>ND_SIOUX COUNTY, ND</v>
      </c>
      <c r="D1798" s="136" t="s">
        <v>72</v>
      </c>
      <c r="E1798" s="262" t="s">
        <v>4365</v>
      </c>
      <c r="F1798" s="136" t="s">
        <v>183</v>
      </c>
      <c r="G1798" s="246">
        <v>58450</v>
      </c>
      <c r="H1798" s="246">
        <v>66800</v>
      </c>
      <c r="I1798" s="246">
        <v>75150</v>
      </c>
      <c r="J1798" s="246">
        <v>83500</v>
      </c>
      <c r="K1798" s="246">
        <v>90200</v>
      </c>
      <c r="L1798" s="246">
        <v>96900</v>
      </c>
      <c r="M1798" s="246">
        <v>103550</v>
      </c>
      <c r="N1798" s="246">
        <v>110250</v>
      </c>
    </row>
    <row r="1799" spans="3:14" ht="21.95" customHeight="1" x14ac:dyDescent="0.25">
      <c r="C1799" s="139" t="str">
        <f t="shared" si="44"/>
        <v>ND_SLOPE COUNTY, ND</v>
      </c>
      <c r="D1799" s="136" t="s">
        <v>72</v>
      </c>
      <c r="E1799" s="262" t="s">
        <v>4366</v>
      </c>
      <c r="F1799" s="136" t="s">
        <v>183</v>
      </c>
      <c r="G1799" s="246">
        <v>58450</v>
      </c>
      <c r="H1799" s="246">
        <v>66800</v>
      </c>
      <c r="I1799" s="246">
        <v>75150</v>
      </c>
      <c r="J1799" s="246">
        <v>83500</v>
      </c>
      <c r="K1799" s="246">
        <v>90200</v>
      </c>
      <c r="L1799" s="246">
        <v>96900</v>
      </c>
      <c r="M1799" s="246">
        <v>103550</v>
      </c>
      <c r="N1799" s="246">
        <v>110250</v>
      </c>
    </row>
    <row r="1800" spans="3:14" ht="21.95" customHeight="1" x14ac:dyDescent="0.25">
      <c r="C1800" s="139" t="str">
        <f t="shared" si="44"/>
        <v>ND_STARK COUNTY, ND</v>
      </c>
      <c r="D1800" s="136" t="s">
        <v>72</v>
      </c>
      <c r="E1800" s="262" t="s">
        <v>4367</v>
      </c>
      <c r="F1800" s="136" t="s">
        <v>183</v>
      </c>
      <c r="G1800" s="246">
        <v>61250</v>
      </c>
      <c r="H1800" s="246">
        <v>70000</v>
      </c>
      <c r="I1800" s="246">
        <v>78750</v>
      </c>
      <c r="J1800" s="246">
        <v>87450</v>
      </c>
      <c r="K1800" s="246">
        <v>94450</v>
      </c>
      <c r="L1800" s="246">
        <v>101450</v>
      </c>
      <c r="M1800" s="246">
        <v>108450</v>
      </c>
      <c r="N1800" s="246">
        <v>115450</v>
      </c>
    </row>
    <row r="1801" spans="3:14" ht="21.95" customHeight="1" x14ac:dyDescent="0.25">
      <c r="C1801" s="139" t="str">
        <f t="shared" si="44"/>
        <v>ND_STEELE COUNTY, ND</v>
      </c>
      <c r="D1801" s="136" t="s">
        <v>72</v>
      </c>
      <c r="E1801" s="262" t="s">
        <v>4368</v>
      </c>
      <c r="F1801" s="136" t="s">
        <v>183</v>
      </c>
      <c r="G1801" s="246">
        <v>62200</v>
      </c>
      <c r="H1801" s="246">
        <v>71050</v>
      </c>
      <c r="I1801" s="246">
        <v>79950</v>
      </c>
      <c r="J1801" s="246">
        <v>88800</v>
      </c>
      <c r="K1801" s="246">
        <v>95950</v>
      </c>
      <c r="L1801" s="246">
        <v>103050</v>
      </c>
      <c r="M1801" s="246">
        <v>110150</v>
      </c>
      <c r="N1801" s="246">
        <v>117250</v>
      </c>
    </row>
    <row r="1802" spans="3:14" ht="21.95" customHeight="1" x14ac:dyDescent="0.25">
      <c r="C1802" s="139" t="str">
        <f t="shared" si="44"/>
        <v>ND_STUTSMAN COUNTY, ND</v>
      </c>
      <c r="D1802" s="136" t="s">
        <v>72</v>
      </c>
      <c r="E1802" s="262" t="s">
        <v>4369</v>
      </c>
      <c r="F1802" s="136" t="s">
        <v>183</v>
      </c>
      <c r="G1802" s="246">
        <v>62100</v>
      </c>
      <c r="H1802" s="246">
        <v>70950</v>
      </c>
      <c r="I1802" s="246">
        <v>79800</v>
      </c>
      <c r="J1802" s="246">
        <v>88650</v>
      </c>
      <c r="K1802" s="246">
        <v>95750</v>
      </c>
      <c r="L1802" s="246">
        <v>102850</v>
      </c>
      <c r="M1802" s="246">
        <v>109950</v>
      </c>
      <c r="N1802" s="246">
        <v>117050</v>
      </c>
    </row>
    <row r="1803" spans="3:14" ht="21.95" customHeight="1" x14ac:dyDescent="0.25">
      <c r="C1803" s="139" t="str">
        <f t="shared" si="44"/>
        <v>ND_TOWNER COUNTY, ND</v>
      </c>
      <c r="D1803" s="136" t="s">
        <v>72</v>
      </c>
      <c r="E1803" s="262" t="s">
        <v>4370</v>
      </c>
      <c r="F1803" s="136" t="s">
        <v>183</v>
      </c>
      <c r="G1803" s="246">
        <v>58450</v>
      </c>
      <c r="H1803" s="246">
        <v>66800</v>
      </c>
      <c r="I1803" s="246">
        <v>75150</v>
      </c>
      <c r="J1803" s="246">
        <v>83500</v>
      </c>
      <c r="K1803" s="246">
        <v>90200</v>
      </c>
      <c r="L1803" s="246">
        <v>96900</v>
      </c>
      <c r="M1803" s="246">
        <v>103550</v>
      </c>
      <c r="N1803" s="246">
        <v>110250</v>
      </c>
    </row>
    <row r="1804" spans="3:14" ht="21.95" customHeight="1" x14ac:dyDescent="0.25">
      <c r="C1804" s="139" t="str">
        <f t="shared" si="44"/>
        <v>ND_TRAILL COUNTY, ND</v>
      </c>
      <c r="D1804" s="136" t="s">
        <v>72</v>
      </c>
      <c r="E1804" s="262" t="s">
        <v>4371</v>
      </c>
      <c r="F1804" s="136" t="s">
        <v>183</v>
      </c>
      <c r="G1804" s="246">
        <v>68250</v>
      </c>
      <c r="H1804" s="246">
        <v>78000</v>
      </c>
      <c r="I1804" s="246">
        <v>87750</v>
      </c>
      <c r="J1804" s="246">
        <v>97500</v>
      </c>
      <c r="K1804" s="246">
        <v>105300</v>
      </c>
      <c r="L1804" s="246">
        <v>113100</v>
      </c>
      <c r="M1804" s="246">
        <v>120900</v>
      </c>
      <c r="N1804" s="246">
        <v>128700</v>
      </c>
    </row>
    <row r="1805" spans="3:14" ht="21.95" customHeight="1" x14ac:dyDescent="0.25">
      <c r="C1805" s="139" t="str">
        <f t="shared" si="44"/>
        <v>ND_WALSH COUNTY, ND</v>
      </c>
      <c r="D1805" s="136" t="s">
        <v>72</v>
      </c>
      <c r="E1805" s="262" t="s">
        <v>4372</v>
      </c>
      <c r="F1805" s="136" t="s">
        <v>183</v>
      </c>
      <c r="G1805" s="246">
        <v>58450</v>
      </c>
      <c r="H1805" s="246">
        <v>66800</v>
      </c>
      <c r="I1805" s="246">
        <v>75150</v>
      </c>
      <c r="J1805" s="246">
        <v>83500</v>
      </c>
      <c r="K1805" s="246">
        <v>90200</v>
      </c>
      <c r="L1805" s="246">
        <v>96900</v>
      </c>
      <c r="M1805" s="246">
        <v>103550</v>
      </c>
      <c r="N1805" s="246">
        <v>110250</v>
      </c>
    </row>
    <row r="1806" spans="3:14" ht="21.95" customHeight="1" x14ac:dyDescent="0.25">
      <c r="C1806" s="139" t="str">
        <f t="shared" si="44"/>
        <v>ND_WARD COUNTY, ND HUD METRO FMR AREA</v>
      </c>
      <c r="D1806" s="136" t="s">
        <v>72</v>
      </c>
      <c r="E1806" s="262" t="s">
        <v>9232</v>
      </c>
      <c r="F1806" s="136" t="s">
        <v>183</v>
      </c>
      <c r="G1806" s="246">
        <v>62900</v>
      </c>
      <c r="H1806" s="246">
        <v>71900</v>
      </c>
      <c r="I1806" s="246">
        <v>80900</v>
      </c>
      <c r="J1806" s="246">
        <v>89850</v>
      </c>
      <c r="K1806" s="246">
        <v>97050</v>
      </c>
      <c r="L1806" s="246">
        <v>104250</v>
      </c>
      <c r="M1806" s="246">
        <v>111450</v>
      </c>
      <c r="N1806" s="246">
        <v>118650</v>
      </c>
    </row>
    <row r="1807" spans="3:14" ht="21.95" customHeight="1" x14ac:dyDescent="0.25">
      <c r="C1807" s="139" t="str">
        <f t="shared" si="44"/>
        <v>ND_WELLS COUNTY, ND</v>
      </c>
      <c r="D1807" s="136" t="s">
        <v>72</v>
      </c>
      <c r="E1807" s="262" t="s">
        <v>4373</v>
      </c>
      <c r="F1807" s="136" t="s">
        <v>183</v>
      </c>
      <c r="G1807" s="246">
        <v>58450</v>
      </c>
      <c r="H1807" s="246">
        <v>66800</v>
      </c>
      <c r="I1807" s="246">
        <v>75150</v>
      </c>
      <c r="J1807" s="246">
        <v>83500</v>
      </c>
      <c r="K1807" s="246">
        <v>90200</v>
      </c>
      <c r="L1807" s="246">
        <v>96900</v>
      </c>
      <c r="M1807" s="246">
        <v>103550</v>
      </c>
      <c r="N1807" s="246">
        <v>110250</v>
      </c>
    </row>
    <row r="1808" spans="3:14" ht="21.95" customHeight="1" x14ac:dyDescent="0.25">
      <c r="C1808" s="139" t="str">
        <f t="shared" si="44"/>
        <v>ND_WILLIAMS COUNTY, ND</v>
      </c>
      <c r="D1808" s="136" t="s">
        <v>72</v>
      </c>
      <c r="E1808" s="262" t="s">
        <v>4374</v>
      </c>
      <c r="F1808" s="136" t="s">
        <v>183</v>
      </c>
      <c r="G1808" s="246">
        <v>63300</v>
      </c>
      <c r="H1808" s="246">
        <v>72350</v>
      </c>
      <c r="I1808" s="246">
        <v>81400</v>
      </c>
      <c r="J1808" s="246">
        <v>90400</v>
      </c>
      <c r="K1808" s="246">
        <v>97650</v>
      </c>
      <c r="L1808" s="246">
        <v>104900</v>
      </c>
      <c r="M1808" s="246">
        <v>112100</v>
      </c>
      <c r="N1808" s="246">
        <v>119350</v>
      </c>
    </row>
    <row r="1809" spans="3:14" ht="21.95" customHeight="1" x14ac:dyDescent="0.25">
      <c r="C1809" s="139" t="str">
        <f t="shared" si="44"/>
        <v>NE_ADAMS COUNTY, NE</v>
      </c>
      <c r="D1809" s="136" t="s">
        <v>78</v>
      </c>
      <c r="E1809" s="262" t="s">
        <v>4375</v>
      </c>
      <c r="F1809" s="136" t="s">
        <v>183</v>
      </c>
      <c r="G1809" s="246">
        <v>51750</v>
      </c>
      <c r="H1809" s="246">
        <v>59150</v>
      </c>
      <c r="I1809" s="246">
        <v>66550</v>
      </c>
      <c r="J1809" s="246">
        <v>73900</v>
      </c>
      <c r="K1809" s="246">
        <v>79850</v>
      </c>
      <c r="L1809" s="246">
        <v>85750</v>
      </c>
      <c r="M1809" s="246">
        <v>91650</v>
      </c>
      <c r="N1809" s="246">
        <v>97550</v>
      </c>
    </row>
    <row r="1810" spans="3:14" ht="21.95" customHeight="1" x14ac:dyDescent="0.25">
      <c r="C1810" s="139" t="str">
        <f t="shared" si="44"/>
        <v>NE_ANTELOPE COUNTY, NE</v>
      </c>
      <c r="D1810" s="136" t="s">
        <v>78</v>
      </c>
      <c r="E1810" s="262" t="s">
        <v>4376</v>
      </c>
      <c r="F1810" s="136" t="s">
        <v>183</v>
      </c>
      <c r="G1810" s="246">
        <v>50600</v>
      </c>
      <c r="H1810" s="246">
        <v>57800</v>
      </c>
      <c r="I1810" s="246">
        <v>65050</v>
      </c>
      <c r="J1810" s="246">
        <v>72250</v>
      </c>
      <c r="K1810" s="246">
        <v>78050</v>
      </c>
      <c r="L1810" s="246">
        <v>83850</v>
      </c>
      <c r="M1810" s="246">
        <v>89600</v>
      </c>
      <c r="N1810" s="246">
        <v>95400</v>
      </c>
    </row>
    <row r="1811" spans="3:14" ht="21.95" customHeight="1" x14ac:dyDescent="0.25">
      <c r="C1811" s="139" t="str">
        <f t="shared" si="44"/>
        <v>NE_ARTHUR COUNTY, NE</v>
      </c>
      <c r="D1811" s="136" t="s">
        <v>78</v>
      </c>
      <c r="E1811" s="262" t="s">
        <v>4377</v>
      </c>
      <c r="F1811" s="136" t="s">
        <v>183</v>
      </c>
      <c r="G1811" s="246">
        <v>55950</v>
      </c>
      <c r="H1811" s="246">
        <v>63950</v>
      </c>
      <c r="I1811" s="246">
        <v>71950</v>
      </c>
      <c r="J1811" s="246">
        <v>79900</v>
      </c>
      <c r="K1811" s="246">
        <v>86300</v>
      </c>
      <c r="L1811" s="246">
        <v>92700</v>
      </c>
      <c r="M1811" s="246">
        <v>99100</v>
      </c>
      <c r="N1811" s="246">
        <v>105500</v>
      </c>
    </row>
    <row r="1812" spans="3:14" ht="21.95" customHeight="1" x14ac:dyDescent="0.25">
      <c r="C1812" s="139" t="str">
        <f t="shared" si="44"/>
        <v>NE_BANNER COUNTY, NE</v>
      </c>
      <c r="D1812" s="136" t="s">
        <v>78</v>
      </c>
      <c r="E1812" s="262" t="s">
        <v>4378</v>
      </c>
      <c r="F1812" s="136" t="s">
        <v>183</v>
      </c>
      <c r="G1812" s="246">
        <v>50600</v>
      </c>
      <c r="H1812" s="246">
        <v>57800</v>
      </c>
      <c r="I1812" s="246">
        <v>65050</v>
      </c>
      <c r="J1812" s="246">
        <v>72250</v>
      </c>
      <c r="K1812" s="246">
        <v>78050</v>
      </c>
      <c r="L1812" s="246">
        <v>83850</v>
      </c>
      <c r="M1812" s="246">
        <v>89600</v>
      </c>
      <c r="N1812" s="246">
        <v>95400</v>
      </c>
    </row>
    <row r="1813" spans="3:14" ht="21.95" customHeight="1" x14ac:dyDescent="0.25">
      <c r="C1813" s="139" t="str">
        <f t="shared" si="44"/>
        <v>NE_BLAINE COUNTY, NE</v>
      </c>
      <c r="D1813" s="136" t="s">
        <v>78</v>
      </c>
      <c r="E1813" s="262" t="s">
        <v>4379</v>
      </c>
      <c r="F1813" s="136" t="s">
        <v>183</v>
      </c>
      <c r="G1813" s="246">
        <v>50600</v>
      </c>
      <c r="H1813" s="246">
        <v>57800</v>
      </c>
      <c r="I1813" s="246">
        <v>65050</v>
      </c>
      <c r="J1813" s="246">
        <v>72250</v>
      </c>
      <c r="K1813" s="246">
        <v>78050</v>
      </c>
      <c r="L1813" s="246">
        <v>83850</v>
      </c>
      <c r="M1813" s="246">
        <v>89600</v>
      </c>
      <c r="N1813" s="246">
        <v>95400</v>
      </c>
    </row>
    <row r="1814" spans="3:14" ht="21.95" customHeight="1" x14ac:dyDescent="0.25">
      <c r="C1814" s="139" t="str">
        <f t="shared" si="44"/>
        <v>NE_BOONE COUNTY, NE</v>
      </c>
      <c r="D1814" s="136" t="s">
        <v>78</v>
      </c>
      <c r="E1814" s="262" t="s">
        <v>4380</v>
      </c>
      <c r="F1814" s="136" t="s">
        <v>183</v>
      </c>
      <c r="G1814" s="246">
        <v>52850</v>
      </c>
      <c r="H1814" s="246">
        <v>60400</v>
      </c>
      <c r="I1814" s="246">
        <v>67950</v>
      </c>
      <c r="J1814" s="246">
        <v>75450</v>
      </c>
      <c r="K1814" s="246">
        <v>81500</v>
      </c>
      <c r="L1814" s="246">
        <v>87550</v>
      </c>
      <c r="M1814" s="246">
        <v>93600</v>
      </c>
      <c r="N1814" s="246">
        <v>99600</v>
      </c>
    </row>
    <row r="1815" spans="3:14" ht="21.95" customHeight="1" x14ac:dyDescent="0.25">
      <c r="C1815" s="139" t="str">
        <f t="shared" si="44"/>
        <v>NE_BOX BUTTE COUNTY, NE</v>
      </c>
      <c r="D1815" s="136" t="s">
        <v>78</v>
      </c>
      <c r="E1815" s="262" t="s">
        <v>4381</v>
      </c>
      <c r="F1815" s="136" t="s">
        <v>183</v>
      </c>
      <c r="G1815" s="246">
        <v>50600</v>
      </c>
      <c r="H1815" s="246">
        <v>57800</v>
      </c>
      <c r="I1815" s="246">
        <v>65050</v>
      </c>
      <c r="J1815" s="246">
        <v>72250</v>
      </c>
      <c r="K1815" s="246">
        <v>78050</v>
      </c>
      <c r="L1815" s="246">
        <v>83850</v>
      </c>
      <c r="M1815" s="246">
        <v>89600</v>
      </c>
      <c r="N1815" s="246">
        <v>95400</v>
      </c>
    </row>
    <row r="1816" spans="3:14" ht="21.95" customHeight="1" x14ac:dyDescent="0.25">
      <c r="C1816" s="139" t="str">
        <f t="shared" si="44"/>
        <v>NE_BOYD COUNTY, NE</v>
      </c>
      <c r="D1816" s="136" t="s">
        <v>78</v>
      </c>
      <c r="E1816" s="262" t="s">
        <v>4382</v>
      </c>
      <c r="F1816" s="136" t="s">
        <v>183</v>
      </c>
      <c r="G1816" s="246">
        <v>52950</v>
      </c>
      <c r="H1816" s="246">
        <v>60500</v>
      </c>
      <c r="I1816" s="246">
        <v>68050</v>
      </c>
      <c r="J1816" s="246">
        <v>75600</v>
      </c>
      <c r="K1816" s="246">
        <v>81650</v>
      </c>
      <c r="L1816" s="246">
        <v>87700</v>
      </c>
      <c r="M1816" s="246">
        <v>93750</v>
      </c>
      <c r="N1816" s="246">
        <v>99800</v>
      </c>
    </row>
    <row r="1817" spans="3:14" ht="21.95" customHeight="1" x14ac:dyDescent="0.25">
      <c r="C1817" s="139" t="str">
        <f t="shared" si="44"/>
        <v>NE_BROWN COUNTY, NE</v>
      </c>
      <c r="D1817" s="136" t="s">
        <v>78</v>
      </c>
      <c r="E1817" s="262" t="s">
        <v>4383</v>
      </c>
      <c r="F1817" s="136" t="s">
        <v>183</v>
      </c>
      <c r="G1817" s="246">
        <v>50600</v>
      </c>
      <c r="H1817" s="246">
        <v>57800</v>
      </c>
      <c r="I1817" s="246">
        <v>65050</v>
      </c>
      <c r="J1817" s="246">
        <v>72250</v>
      </c>
      <c r="K1817" s="246">
        <v>78050</v>
      </c>
      <c r="L1817" s="246">
        <v>83850</v>
      </c>
      <c r="M1817" s="246">
        <v>89600</v>
      </c>
      <c r="N1817" s="246">
        <v>95400</v>
      </c>
    </row>
    <row r="1818" spans="3:14" ht="21.95" customHeight="1" x14ac:dyDescent="0.25">
      <c r="C1818" s="139" t="str">
        <f t="shared" si="44"/>
        <v>NE_BUFFALO COUNTY, NE</v>
      </c>
      <c r="D1818" s="136" t="s">
        <v>78</v>
      </c>
      <c r="E1818" s="262" t="s">
        <v>4384</v>
      </c>
      <c r="F1818" s="136" t="s">
        <v>183</v>
      </c>
      <c r="G1818" s="246">
        <v>58700</v>
      </c>
      <c r="H1818" s="246">
        <v>67100</v>
      </c>
      <c r="I1818" s="246">
        <v>75500</v>
      </c>
      <c r="J1818" s="246">
        <v>83850</v>
      </c>
      <c r="K1818" s="246">
        <v>90600</v>
      </c>
      <c r="L1818" s="246">
        <v>97300</v>
      </c>
      <c r="M1818" s="246">
        <v>104000</v>
      </c>
      <c r="N1818" s="246">
        <v>110700</v>
      </c>
    </row>
    <row r="1819" spans="3:14" ht="21.95" customHeight="1" x14ac:dyDescent="0.25">
      <c r="C1819" s="139" t="str">
        <f t="shared" si="44"/>
        <v>NE_BURT COUNTY, NE</v>
      </c>
      <c r="D1819" s="136" t="s">
        <v>78</v>
      </c>
      <c r="E1819" s="262" t="s">
        <v>4385</v>
      </c>
      <c r="F1819" s="136" t="s">
        <v>183</v>
      </c>
      <c r="G1819" s="246">
        <v>51450</v>
      </c>
      <c r="H1819" s="246">
        <v>58800</v>
      </c>
      <c r="I1819" s="246">
        <v>66150</v>
      </c>
      <c r="J1819" s="246">
        <v>73500</v>
      </c>
      <c r="K1819" s="246">
        <v>79400</v>
      </c>
      <c r="L1819" s="246">
        <v>85300</v>
      </c>
      <c r="M1819" s="246">
        <v>91150</v>
      </c>
      <c r="N1819" s="246">
        <v>97050</v>
      </c>
    </row>
    <row r="1820" spans="3:14" ht="21.95" customHeight="1" x14ac:dyDescent="0.25">
      <c r="C1820" s="139" t="str">
        <f t="shared" si="44"/>
        <v>NE_BUTLER COUNTY, NE</v>
      </c>
      <c r="D1820" s="136" t="s">
        <v>78</v>
      </c>
      <c r="E1820" s="262" t="s">
        <v>4386</v>
      </c>
      <c r="F1820" s="136" t="s">
        <v>183</v>
      </c>
      <c r="G1820" s="246">
        <v>56600</v>
      </c>
      <c r="H1820" s="246">
        <v>64700</v>
      </c>
      <c r="I1820" s="246">
        <v>72800</v>
      </c>
      <c r="J1820" s="246">
        <v>80850</v>
      </c>
      <c r="K1820" s="246">
        <v>87350</v>
      </c>
      <c r="L1820" s="246">
        <v>93800</v>
      </c>
      <c r="M1820" s="246">
        <v>100300</v>
      </c>
      <c r="N1820" s="246">
        <v>106750</v>
      </c>
    </row>
    <row r="1821" spans="3:14" ht="21.95" customHeight="1" x14ac:dyDescent="0.25">
      <c r="C1821" s="139" t="str">
        <f t="shared" si="44"/>
        <v>NE_CEDAR COUNTY, NE</v>
      </c>
      <c r="D1821" s="136" t="s">
        <v>78</v>
      </c>
      <c r="E1821" s="262" t="s">
        <v>4387</v>
      </c>
      <c r="F1821" s="136" t="s">
        <v>183</v>
      </c>
      <c r="G1821" s="246">
        <v>57800</v>
      </c>
      <c r="H1821" s="246">
        <v>66050</v>
      </c>
      <c r="I1821" s="246">
        <v>74300</v>
      </c>
      <c r="J1821" s="246">
        <v>82550</v>
      </c>
      <c r="K1821" s="246">
        <v>89200</v>
      </c>
      <c r="L1821" s="246">
        <v>95800</v>
      </c>
      <c r="M1821" s="246">
        <v>102400</v>
      </c>
      <c r="N1821" s="246">
        <v>109000</v>
      </c>
    </row>
    <row r="1822" spans="3:14" ht="21.95" customHeight="1" x14ac:dyDescent="0.25">
      <c r="C1822" s="139" t="str">
        <f t="shared" si="44"/>
        <v>NE_CHASE COUNTY, NE</v>
      </c>
      <c r="D1822" s="136" t="s">
        <v>78</v>
      </c>
      <c r="E1822" s="262" t="s">
        <v>4388</v>
      </c>
      <c r="F1822" s="136" t="s">
        <v>183</v>
      </c>
      <c r="G1822" s="246">
        <v>50600</v>
      </c>
      <c r="H1822" s="246">
        <v>57800</v>
      </c>
      <c r="I1822" s="246">
        <v>65050</v>
      </c>
      <c r="J1822" s="246">
        <v>72250</v>
      </c>
      <c r="K1822" s="246">
        <v>78050</v>
      </c>
      <c r="L1822" s="246">
        <v>83850</v>
      </c>
      <c r="M1822" s="246">
        <v>89600</v>
      </c>
      <c r="N1822" s="246">
        <v>95400</v>
      </c>
    </row>
    <row r="1823" spans="3:14" ht="21.95" customHeight="1" x14ac:dyDescent="0.25">
      <c r="C1823" s="139" t="str">
        <f t="shared" si="44"/>
        <v>NE_CHERRY COUNTY, NE</v>
      </c>
      <c r="D1823" s="136" t="s">
        <v>78</v>
      </c>
      <c r="E1823" s="262" t="s">
        <v>4389</v>
      </c>
      <c r="F1823" s="136" t="s">
        <v>183</v>
      </c>
      <c r="G1823" s="246">
        <v>50600</v>
      </c>
      <c r="H1823" s="246">
        <v>57800</v>
      </c>
      <c r="I1823" s="246">
        <v>65050</v>
      </c>
      <c r="J1823" s="246">
        <v>72250</v>
      </c>
      <c r="K1823" s="246">
        <v>78050</v>
      </c>
      <c r="L1823" s="246">
        <v>83850</v>
      </c>
      <c r="M1823" s="246">
        <v>89600</v>
      </c>
      <c r="N1823" s="246">
        <v>95400</v>
      </c>
    </row>
    <row r="1824" spans="3:14" ht="21.95" customHeight="1" x14ac:dyDescent="0.25">
      <c r="C1824" s="139" t="str">
        <f t="shared" si="44"/>
        <v>NE_CHEYENNE COUNTY, NE</v>
      </c>
      <c r="D1824" s="136" t="s">
        <v>78</v>
      </c>
      <c r="E1824" s="262" t="s">
        <v>4390</v>
      </c>
      <c r="F1824" s="136" t="s">
        <v>183</v>
      </c>
      <c r="G1824" s="246">
        <v>50700</v>
      </c>
      <c r="H1824" s="246">
        <v>57950</v>
      </c>
      <c r="I1824" s="246">
        <v>65200</v>
      </c>
      <c r="J1824" s="246">
        <v>72400</v>
      </c>
      <c r="K1824" s="246">
        <v>78200</v>
      </c>
      <c r="L1824" s="246">
        <v>84000</v>
      </c>
      <c r="M1824" s="246">
        <v>89800</v>
      </c>
      <c r="N1824" s="246">
        <v>95600</v>
      </c>
    </row>
    <row r="1825" spans="3:14" ht="21.95" customHeight="1" x14ac:dyDescent="0.25">
      <c r="C1825" s="139" t="str">
        <f t="shared" si="44"/>
        <v>NE_CLAY COUNTY, NE</v>
      </c>
      <c r="D1825" s="136" t="s">
        <v>78</v>
      </c>
      <c r="E1825" s="262" t="s">
        <v>4391</v>
      </c>
      <c r="F1825" s="136" t="s">
        <v>183</v>
      </c>
      <c r="G1825" s="246">
        <v>53950</v>
      </c>
      <c r="H1825" s="246">
        <v>61650</v>
      </c>
      <c r="I1825" s="246">
        <v>69350</v>
      </c>
      <c r="J1825" s="246">
        <v>77050</v>
      </c>
      <c r="K1825" s="246">
        <v>83250</v>
      </c>
      <c r="L1825" s="246">
        <v>89400</v>
      </c>
      <c r="M1825" s="246">
        <v>95550</v>
      </c>
      <c r="N1825" s="246">
        <v>101750</v>
      </c>
    </row>
    <row r="1826" spans="3:14" ht="21.95" customHeight="1" x14ac:dyDescent="0.25">
      <c r="C1826" s="139" t="str">
        <f t="shared" si="44"/>
        <v>NE_COLFAX COUNTY, NE</v>
      </c>
      <c r="D1826" s="136" t="s">
        <v>78</v>
      </c>
      <c r="E1826" s="262" t="s">
        <v>4392</v>
      </c>
      <c r="F1826" s="136" t="s">
        <v>183</v>
      </c>
      <c r="G1826" s="246">
        <v>50600</v>
      </c>
      <c r="H1826" s="246">
        <v>57800</v>
      </c>
      <c r="I1826" s="246">
        <v>65050</v>
      </c>
      <c r="J1826" s="246">
        <v>72250</v>
      </c>
      <c r="K1826" s="246">
        <v>78050</v>
      </c>
      <c r="L1826" s="246">
        <v>83850</v>
      </c>
      <c r="M1826" s="246">
        <v>89600</v>
      </c>
      <c r="N1826" s="246">
        <v>95400</v>
      </c>
    </row>
    <row r="1827" spans="3:14" ht="21.95" customHeight="1" x14ac:dyDescent="0.25">
      <c r="C1827" s="139" t="str">
        <f t="shared" si="44"/>
        <v>NE_CUMING COUNTY, NE</v>
      </c>
      <c r="D1827" s="136" t="s">
        <v>78</v>
      </c>
      <c r="E1827" s="262" t="s">
        <v>4393</v>
      </c>
      <c r="F1827" s="136" t="s">
        <v>183</v>
      </c>
      <c r="G1827" s="246">
        <v>53500</v>
      </c>
      <c r="H1827" s="246">
        <v>61150</v>
      </c>
      <c r="I1827" s="246">
        <v>68800</v>
      </c>
      <c r="J1827" s="246">
        <v>76400</v>
      </c>
      <c r="K1827" s="246">
        <v>82550</v>
      </c>
      <c r="L1827" s="246">
        <v>88650</v>
      </c>
      <c r="M1827" s="246">
        <v>94750</v>
      </c>
      <c r="N1827" s="246">
        <v>100850</v>
      </c>
    </row>
    <row r="1828" spans="3:14" ht="21.95" customHeight="1" x14ac:dyDescent="0.25">
      <c r="C1828" s="139" t="str">
        <f t="shared" si="44"/>
        <v>NE_CUSTER COUNTY, NE</v>
      </c>
      <c r="D1828" s="136" t="s">
        <v>78</v>
      </c>
      <c r="E1828" s="262" t="s">
        <v>4394</v>
      </c>
      <c r="F1828" s="136" t="s">
        <v>183</v>
      </c>
      <c r="G1828" s="246">
        <v>50600</v>
      </c>
      <c r="H1828" s="246">
        <v>57800</v>
      </c>
      <c r="I1828" s="246">
        <v>65050</v>
      </c>
      <c r="J1828" s="246">
        <v>72250</v>
      </c>
      <c r="K1828" s="246">
        <v>78050</v>
      </c>
      <c r="L1828" s="246">
        <v>83850</v>
      </c>
      <c r="M1828" s="246">
        <v>89600</v>
      </c>
      <c r="N1828" s="246">
        <v>95400</v>
      </c>
    </row>
    <row r="1829" spans="3:14" ht="21.95" customHeight="1" x14ac:dyDescent="0.25">
      <c r="C1829" s="139" t="str">
        <f t="shared" si="44"/>
        <v>NE_DAWES COUNTY, NE</v>
      </c>
      <c r="D1829" s="136" t="s">
        <v>78</v>
      </c>
      <c r="E1829" s="262" t="s">
        <v>4395</v>
      </c>
      <c r="F1829" s="136" t="s">
        <v>183</v>
      </c>
      <c r="G1829" s="246">
        <v>50600</v>
      </c>
      <c r="H1829" s="246">
        <v>57800</v>
      </c>
      <c r="I1829" s="246">
        <v>65050</v>
      </c>
      <c r="J1829" s="246">
        <v>72250</v>
      </c>
      <c r="K1829" s="246">
        <v>78050</v>
      </c>
      <c r="L1829" s="246">
        <v>83850</v>
      </c>
      <c r="M1829" s="246">
        <v>89600</v>
      </c>
      <c r="N1829" s="246">
        <v>95400</v>
      </c>
    </row>
    <row r="1830" spans="3:14" ht="21.95" customHeight="1" x14ac:dyDescent="0.25">
      <c r="C1830" s="139" t="str">
        <f t="shared" si="44"/>
        <v>NE_DAWSON COUNTY, NE</v>
      </c>
      <c r="D1830" s="136" t="s">
        <v>78</v>
      </c>
      <c r="E1830" s="262" t="s">
        <v>4396</v>
      </c>
      <c r="F1830" s="136" t="s">
        <v>183</v>
      </c>
      <c r="G1830" s="246">
        <v>50600</v>
      </c>
      <c r="H1830" s="246">
        <v>57800</v>
      </c>
      <c r="I1830" s="246">
        <v>65050</v>
      </c>
      <c r="J1830" s="246">
        <v>72250</v>
      </c>
      <c r="K1830" s="246">
        <v>78050</v>
      </c>
      <c r="L1830" s="246">
        <v>83850</v>
      </c>
      <c r="M1830" s="246">
        <v>89600</v>
      </c>
      <c r="N1830" s="246">
        <v>95400</v>
      </c>
    </row>
    <row r="1831" spans="3:14" ht="21.95" customHeight="1" x14ac:dyDescent="0.25">
      <c r="C1831" s="139" t="str">
        <f t="shared" si="44"/>
        <v>NE_DEUEL COUNTY, NE</v>
      </c>
      <c r="D1831" s="136" t="s">
        <v>78</v>
      </c>
      <c r="E1831" s="262" t="s">
        <v>4397</v>
      </c>
      <c r="F1831" s="136" t="s">
        <v>183</v>
      </c>
      <c r="G1831" s="246">
        <v>50600</v>
      </c>
      <c r="H1831" s="246">
        <v>57800</v>
      </c>
      <c r="I1831" s="246">
        <v>65050</v>
      </c>
      <c r="J1831" s="246">
        <v>72250</v>
      </c>
      <c r="K1831" s="246">
        <v>78050</v>
      </c>
      <c r="L1831" s="246">
        <v>83850</v>
      </c>
      <c r="M1831" s="246">
        <v>89600</v>
      </c>
      <c r="N1831" s="246">
        <v>95400</v>
      </c>
    </row>
    <row r="1832" spans="3:14" ht="21.95" customHeight="1" x14ac:dyDescent="0.25">
      <c r="C1832" s="139" t="str">
        <f t="shared" si="44"/>
        <v>NE_DIXON COUNTY, NE</v>
      </c>
      <c r="D1832" s="136" t="s">
        <v>78</v>
      </c>
      <c r="E1832" s="262" t="s">
        <v>9233</v>
      </c>
      <c r="F1832" s="136" t="s">
        <v>183</v>
      </c>
      <c r="G1832" s="246">
        <v>55550</v>
      </c>
      <c r="H1832" s="246">
        <v>63500</v>
      </c>
      <c r="I1832" s="246">
        <v>71450</v>
      </c>
      <c r="J1832" s="246">
        <v>79350</v>
      </c>
      <c r="K1832" s="246">
        <v>85700</v>
      </c>
      <c r="L1832" s="246">
        <v>92050</v>
      </c>
      <c r="M1832" s="246">
        <v>98400</v>
      </c>
      <c r="N1832" s="246">
        <v>104750</v>
      </c>
    </row>
    <row r="1833" spans="3:14" ht="21.95" customHeight="1" x14ac:dyDescent="0.25">
      <c r="C1833" s="139" t="str">
        <f t="shared" si="44"/>
        <v>NE_DODGE COUNTY, NE</v>
      </c>
      <c r="D1833" s="136" t="s">
        <v>78</v>
      </c>
      <c r="E1833" s="262" t="s">
        <v>4398</v>
      </c>
      <c r="F1833" s="136" t="s">
        <v>183</v>
      </c>
      <c r="G1833" s="246">
        <v>54600</v>
      </c>
      <c r="H1833" s="246">
        <v>62400</v>
      </c>
      <c r="I1833" s="246">
        <v>70200</v>
      </c>
      <c r="J1833" s="246">
        <v>78000</v>
      </c>
      <c r="K1833" s="246">
        <v>84250</v>
      </c>
      <c r="L1833" s="246">
        <v>90500</v>
      </c>
      <c r="M1833" s="246">
        <v>96750</v>
      </c>
      <c r="N1833" s="246">
        <v>103000</v>
      </c>
    </row>
    <row r="1834" spans="3:14" ht="21.95" customHeight="1" x14ac:dyDescent="0.25">
      <c r="C1834" s="139" t="str">
        <f t="shared" si="44"/>
        <v>NE_DUNDY COUNTY, NE</v>
      </c>
      <c r="D1834" s="136" t="s">
        <v>78</v>
      </c>
      <c r="E1834" s="262" t="s">
        <v>4399</v>
      </c>
      <c r="F1834" s="136" t="s">
        <v>183</v>
      </c>
      <c r="G1834" s="246">
        <v>54500</v>
      </c>
      <c r="H1834" s="246">
        <v>62300</v>
      </c>
      <c r="I1834" s="246">
        <v>70100</v>
      </c>
      <c r="J1834" s="246">
        <v>77850</v>
      </c>
      <c r="K1834" s="246">
        <v>84100</v>
      </c>
      <c r="L1834" s="246">
        <v>90350</v>
      </c>
      <c r="M1834" s="246">
        <v>96550</v>
      </c>
      <c r="N1834" s="246">
        <v>102800</v>
      </c>
    </row>
    <row r="1835" spans="3:14" ht="21.95" customHeight="1" x14ac:dyDescent="0.25">
      <c r="C1835" s="139" t="str">
        <f t="shared" si="44"/>
        <v>NE_FILLMORE COUNTY, NE</v>
      </c>
      <c r="D1835" s="136" t="s">
        <v>78</v>
      </c>
      <c r="E1835" s="262" t="s">
        <v>4400</v>
      </c>
      <c r="F1835" s="136" t="s">
        <v>183</v>
      </c>
      <c r="G1835" s="246">
        <v>60450</v>
      </c>
      <c r="H1835" s="246">
        <v>69050</v>
      </c>
      <c r="I1835" s="246">
        <v>77700</v>
      </c>
      <c r="J1835" s="246">
        <v>86300</v>
      </c>
      <c r="K1835" s="246">
        <v>93250</v>
      </c>
      <c r="L1835" s="246">
        <v>100150</v>
      </c>
      <c r="M1835" s="246">
        <v>107050</v>
      </c>
      <c r="N1835" s="246">
        <v>113950</v>
      </c>
    </row>
    <row r="1836" spans="3:14" ht="21.95" customHeight="1" x14ac:dyDescent="0.25">
      <c r="C1836" s="139" t="str">
        <f t="shared" si="44"/>
        <v>NE_FRANKLIN COUNTY, NE</v>
      </c>
      <c r="D1836" s="136" t="s">
        <v>78</v>
      </c>
      <c r="E1836" s="262" t="s">
        <v>4401</v>
      </c>
      <c r="F1836" s="136" t="s">
        <v>183</v>
      </c>
      <c r="G1836" s="246">
        <v>50600</v>
      </c>
      <c r="H1836" s="246">
        <v>57800</v>
      </c>
      <c r="I1836" s="246">
        <v>65050</v>
      </c>
      <c r="J1836" s="246">
        <v>72250</v>
      </c>
      <c r="K1836" s="246">
        <v>78050</v>
      </c>
      <c r="L1836" s="246">
        <v>83850</v>
      </c>
      <c r="M1836" s="246">
        <v>89600</v>
      </c>
      <c r="N1836" s="246">
        <v>95400</v>
      </c>
    </row>
    <row r="1837" spans="3:14" ht="21.95" customHeight="1" x14ac:dyDescent="0.25">
      <c r="C1837" s="139" t="str">
        <f t="shared" si="44"/>
        <v>NE_FRONTIER COUNTY, NE</v>
      </c>
      <c r="D1837" s="136" t="s">
        <v>78</v>
      </c>
      <c r="E1837" s="262" t="s">
        <v>4402</v>
      </c>
      <c r="F1837" s="136" t="s">
        <v>183</v>
      </c>
      <c r="G1837" s="246">
        <v>50600</v>
      </c>
      <c r="H1837" s="246">
        <v>57800</v>
      </c>
      <c r="I1837" s="246">
        <v>65050</v>
      </c>
      <c r="J1837" s="246">
        <v>72250</v>
      </c>
      <c r="K1837" s="246">
        <v>78050</v>
      </c>
      <c r="L1837" s="246">
        <v>83850</v>
      </c>
      <c r="M1837" s="246">
        <v>89600</v>
      </c>
      <c r="N1837" s="246">
        <v>95400</v>
      </c>
    </row>
    <row r="1838" spans="3:14" ht="21.95" customHeight="1" x14ac:dyDescent="0.25">
      <c r="C1838" s="139" t="str">
        <f t="shared" si="44"/>
        <v>NE_FURNAS COUNTY, NE</v>
      </c>
      <c r="D1838" s="136" t="s">
        <v>78</v>
      </c>
      <c r="E1838" s="262" t="s">
        <v>4403</v>
      </c>
      <c r="F1838" s="136" t="s">
        <v>183</v>
      </c>
      <c r="G1838" s="246">
        <v>50600</v>
      </c>
      <c r="H1838" s="246">
        <v>57800</v>
      </c>
      <c r="I1838" s="246">
        <v>65050</v>
      </c>
      <c r="J1838" s="246">
        <v>72250</v>
      </c>
      <c r="K1838" s="246">
        <v>78050</v>
      </c>
      <c r="L1838" s="246">
        <v>83850</v>
      </c>
      <c r="M1838" s="246">
        <v>89600</v>
      </c>
      <c r="N1838" s="246">
        <v>95400</v>
      </c>
    </row>
    <row r="1839" spans="3:14" ht="21.95" customHeight="1" x14ac:dyDescent="0.25">
      <c r="C1839" s="139" t="str">
        <f t="shared" si="44"/>
        <v>NE_GAGE COUNTY, NE</v>
      </c>
      <c r="D1839" s="136" t="s">
        <v>78</v>
      </c>
      <c r="E1839" s="262" t="s">
        <v>4404</v>
      </c>
      <c r="F1839" s="136" t="s">
        <v>183</v>
      </c>
      <c r="G1839" s="246">
        <v>53400</v>
      </c>
      <c r="H1839" s="246">
        <v>61000</v>
      </c>
      <c r="I1839" s="246">
        <v>68650</v>
      </c>
      <c r="J1839" s="246">
        <v>76250</v>
      </c>
      <c r="K1839" s="246">
        <v>82350</v>
      </c>
      <c r="L1839" s="246">
        <v>88450</v>
      </c>
      <c r="M1839" s="246">
        <v>94550</v>
      </c>
      <c r="N1839" s="246">
        <v>100650</v>
      </c>
    </row>
    <row r="1840" spans="3:14" ht="21.95" customHeight="1" x14ac:dyDescent="0.25">
      <c r="C1840" s="139" t="str">
        <f t="shared" si="44"/>
        <v>NE_GARDEN COUNTY, NE</v>
      </c>
      <c r="D1840" s="136" t="s">
        <v>78</v>
      </c>
      <c r="E1840" s="262" t="s">
        <v>4405</v>
      </c>
      <c r="F1840" s="136" t="s">
        <v>183</v>
      </c>
      <c r="G1840" s="246">
        <v>50600</v>
      </c>
      <c r="H1840" s="246">
        <v>57800</v>
      </c>
      <c r="I1840" s="246">
        <v>65050</v>
      </c>
      <c r="J1840" s="246">
        <v>72250</v>
      </c>
      <c r="K1840" s="246">
        <v>78050</v>
      </c>
      <c r="L1840" s="246">
        <v>83850</v>
      </c>
      <c r="M1840" s="246">
        <v>89600</v>
      </c>
      <c r="N1840" s="246">
        <v>95400</v>
      </c>
    </row>
    <row r="1841" spans="3:14" ht="21.95" customHeight="1" x14ac:dyDescent="0.25">
      <c r="C1841" s="139" t="str">
        <f t="shared" si="44"/>
        <v>NE_GARFIELD COUNTY, NE</v>
      </c>
      <c r="D1841" s="136" t="s">
        <v>78</v>
      </c>
      <c r="E1841" s="262" t="s">
        <v>4406</v>
      </c>
      <c r="F1841" s="136" t="s">
        <v>183</v>
      </c>
      <c r="G1841" s="246">
        <v>50600</v>
      </c>
      <c r="H1841" s="246">
        <v>57800</v>
      </c>
      <c r="I1841" s="246">
        <v>65050</v>
      </c>
      <c r="J1841" s="246">
        <v>72250</v>
      </c>
      <c r="K1841" s="246">
        <v>78050</v>
      </c>
      <c r="L1841" s="246">
        <v>83850</v>
      </c>
      <c r="M1841" s="246">
        <v>89600</v>
      </c>
      <c r="N1841" s="246">
        <v>95400</v>
      </c>
    </row>
    <row r="1842" spans="3:14" ht="21.95" customHeight="1" x14ac:dyDescent="0.25">
      <c r="C1842" s="139" t="str">
        <f t="shared" si="44"/>
        <v>NE_GOSPER COUNTY, NE</v>
      </c>
      <c r="D1842" s="136" t="s">
        <v>78</v>
      </c>
      <c r="E1842" s="262" t="s">
        <v>4407</v>
      </c>
      <c r="F1842" s="136" t="s">
        <v>183</v>
      </c>
      <c r="G1842" s="246">
        <v>52850</v>
      </c>
      <c r="H1842" s="246">
        <v>60400</v>
      </c>
      <c r="I1842" s="246">
        <v>67950</v>
      </c>
      <c r="J1842" s="246">
        <v>75450</v>
      </c>
      <c r="K1842" s="246">
        <v>81500</v>
      </c>
      <c r="L1842" s="246">
        <v>87550</v>
      </c>
      <c r="M1842" s="246">
        <v>93600</v>
      </c>
      <c r="N1842" s="246">
        <v>99600</v>
      </c>
    </row>
    <row r="1843" spans="3:14" ht="21.95" customHeight="1" x14ac:dyDescent="0.25">
      <c r="C1843" s="139" t="str">
        <f t="shared" si="44"/>
        <v>NE_GRANT COUNTY, NE</v>
      </c>
      <c r="D1843" s="136" t="s">
        <v>78</v>
      </c>
      <c r="E1843" s="262" t="s">
        <v>4408</v>
      </c>
      <c r="F1843" s="136" t="s">
        <v>183</v>
      </c>
      <c r="G1843" s="246">
        <v>50600</v>
      </c>
      <c r="H1843" s="246">
        <v>57800</v>
      </c>
      <c r="I1843" s="246">
        <v>65050</v>
      </c>
      <c r="J1843" s="246">
        <v>72250</v>
      </c>
      <c r="K1843" s="246">
        <v>78050</v>
      </c>
      <c r="L1843" s="246">
        <v>83850</v>
      </c>
      <c r="M1843" s="246">
        <v>89600</v>
      </c>
      <c r="N1843" s="246">
        <v>95400</v>
      </c>
    </row>
    <row r="1844" spans="3:14" ht="21.95" customHeight="1" x14ac:dyDescent="0.25">
      <c r="C1844" s="139" t="str">
        <f t="shared" si="44"/>
        <v>NE_GREELEY COUNTY, NE</v>
      </c>
      <c r="D1844" s="136" t="s">
        <v>78</v>
      </c>
      <c r="E1844" s="262" t="s">
        <v>4409</v>
      </c>
      <c r="F1844" s="136" t="s">
        <v>183</v>
      </c>
      <c r="G1844" s="246">
        <v>50600</v>
      </c>
      <c r="H1844" s="246">
        <v>57800</v>
      </c>
      <c r="I1844" s="246">
        <v>65050</v>
      </c>
      <c r="J1844" s="246">
        <v>72250</v>
      </c>
      <c r="K1844" s="246">
        <v>78050</v>
      </c>
      <c r="L1844" s="246">
        <v>83850</v>
      </c>
      <c r="M1844" s="246">
        <v>89600</v>
      </c>
      <c r="N1844" s="246">
        <v>95400</v>
      </c>
    </row>
    <row r="1845" spans="3:14" ht="21.95" customHeight="1" x14ac:dyDescent="0.25">
      <c r="C1845" s="139" t="str">
        <f t="shared" si="44"/>
        <v>NE_HALL COUNTY, NE HUD METRO FMR AREA</v>
      </c>
      <c r="D1845" s="136" t="s">
        <v>78</v>
      </c>
      <c r="E1845" s="262" t="s">
        <v>4410</v>
      </c>
      <c r="F1845" s="136" t="s">
        <v>183</v>
      </c>
      <c r="G1845" s="246">
        <v>50600</v>
      </c>
      <c r="H1845" s="246">
        <v>57800</v>
      </c>
      <c r="I1845" s="246">
        <v>65050</v>
      </c>
      <c r="J1845" s="246">
        <v>72250</v>
      </c>
      <c r="K1845" s="246">
        <v>78050</v>
      </c>
      <c r="L1845" s="246">
        <v>83850</v>
      </c>
      <c r="M1845" s="246">
        <v>89600</v>
      </c>
      <c r="N1845" s="246">
        <v>95400</v>
      </c>
    </row>
    <row r="1846" spans="3:14" ht="21.95" customHeight="1" x14ac:dyDescent="0.25">
      <c r="C1846" s="139" t="str">
        <f t="shared" si="44"/>
        <v>NE_HAMILTON COUNTY, NE</v>
      </c>
      <c r="D1846" s="136" t="s">
        <v>78</v>
      </c>
      <c r="E1846" s="262" t="s">
        <v>4411</v>
      </c>
      <c r="F1846" s="136" t="s">
        <v>183</v>
      </c>
      <c r="G1846" s="246">
        <v>59050</v>
      </c>
      <c r="H1846" s="246">
        <v>67450</v>
      </c>
      <c r="I1846" s="246">
        <v>75900</v>
      </c>
      <c r="J1846" s="246">
        <v>84300</v>
      </c>
      <c r="K1846" s="246">
        <v>91050</v>
      </c>
      <c r="L1846" s="246">
        <v>97800</v>
      </c>
      <c r="M1846" s="246">
        <v>104550</v>
      </c>
      <c r="N1846" s="246">
        <v>111300</v>
      </c>
    </row>
    <row r="1847" spans="3:14" ht="21.95" customHeight="1" x14ac:dyDescent="0.25">
      <c r="C1847" s="139" t="str">
        <f t="shared" si="44"/>
        <v>NE_HARLAN COUNTY, NE</v>
      </c>
      <c r="D1847" s="136" t="s">
        <v>78</v>
      </c>
      <c r="E1847" s="262" t="s">
        <v>4412</v>
      </c>
      <c r="F1847" s="136" t="s">
        <v>183</v>
      </c>
      <c r="G1847" s="246">
        <v>55950</v>
      </c>
      <c r="H1847" s="246">
        <v>63950</v>
      </c>
      <c r="I1847" s="246">
        <v>71950</v>
      </c>
      <c r="J1847" s="246">
        <v>79900</v>
      </c>
      <c r="K1847" s="246">
        <v>86300</v>
      </c>
      <c r="L1847" s="246">
        <v>92700</v>
      </c>
      <c r="M1847" s="246">
        <v>99100</v>
      </c>
      <c r="N1847" s="246">
        <v>105500</v>
      </c>
    </row>
    <row r="1848" spans="3:14" ht="21.95" customHeight="1" x14ac:dyDescent="0.25">
      <c r="C1848" s="139" t="str">
        <f t="shared" si="44"/>
        <v>NE_HAYES COUNTY, NE</v>
      </c>
      <c r="D1848" s="136" t="s">
        <v>78</v>
      </c>
      <c r="E1848" s="262" t="s">
        <v>4413</v>
      </c>
      <c r="F1848" s="136" t="s">
        <v>183</v>
      </c>
      <c r="G1848" s="246">
        <v>51350</v>
      </c>
      <c r="H1848" s="246">
        <v>58700</v>
      </c>
      <c r="I1848" s="246">
        <v>66050</v>
      </c>
      <c r="J1848" s="246">
        <v>73350</v>
      </c>
      <c r="K1848" s="246">
        <v>79250</v>
      </c>
      <c r="L1848" s="246">
        <v>85100</v>
      </c>
      <c r="M1848" s="246">
        <v>91000</v>
      </c>
      <c r="N1848" s="246">
        <v>96850</v>
      </c>
    </row>
    <row r="1849" spans="3:14" ht="21.95" customHeight="1" x14ac:dyDescent="0.25">
      <c r="C1849" s="139" t="str">
        <f t="shared" si="44"/>
        <v>NE_HITCHCOCK COUNTY, NE</v>
      </c>
      <c r="D1849" s="136" t="s">
        <v>78</v>
      </c>
      <c r="E1849" s="262" t="s">
        <v>4414</v>
      </c>
      <c r="F1849" s="136" t="s">
        <v>183</v>
      </c>
      <c r="G1849" s="246">
        <v>50600</v>
      </c>
      <c r="H1849" s="246">
        <v>57800</v>
      </c>
      <c r="I1849" s="246">
        <v>65050</v>
      </c>
      <c r="J1849" s="246">
        <v>72250</v>
      </c>
      <c r="K1849" s="246">
        <v>78050</v>
      </c>
      <c r="L1849" s="246">
        <v>83850</v>
      </c>
      <c r="M1849" s="246">
        <v>89600</v>
      </c>
      <c r="N1849" s="246">
        <v>95400</v>
      </c>
    </row>
    <row r="1850" spans="3:14" ht="21.95" customHeight="1" x14ac:dyDescent="0.25">
      <c r="C1850" s="139" t="str">
        <f t="shared" si="44"/>
        <v>NE_HOLT COUNTY, NE</v>
      </c>
      <c r="D1850" s="136" t="s">
        <v>78</v>
      </c>
      <c r="E1850" s="262" t="s">
        <v>4415</v>
      </c>
      <c r="F1850" s="136" t="s">
        <v>183</v>
      </c>
      <c r="G1850" s="246">
        <v>52050</v>
      </c>
      <c r="H1850" s="246">
        <v>59450</v>
      </c>
      <c r="I1850" s="246">
        <v>66900</v>
      </c>
      <c r="J1850" s="246">
        <v>74300</v>
      </c>
      <c r="K1850" s="246">
        <v>80250</v>
      </c>
      <c r="L1850" s="246">
        <v>86200</v>
      </c>
      <c r="M1850" s="246">
        <v>92150</v>
      </c>
      <c r="N1850" s="246">
        <v>98100</v>
      </c>
    </row>
    <row r="1851" spans="3:14" ht="21.95" customHeight="1" x14ac:dyDescent="0.25">
      <c r="C1851" s="139" t="str">
        <f t="shared" si="44"/>
        <v>NE_HOOKER COUNTY, NE</v>
      </c>
      <c r="D1851" s="136" t="s">
        <v>78</v>
      </c>
      <c r="E1851" s="262" t="s">
        <v>4416</v>
      </c>
      <c r="F1851" s="136" t="s">
        <v>183</v>
      </c>
      <c r="G1851" s="246">
        <v>55950</v>
      </c>
      <c r="H1851" s="246">
        <v>63950</v>
      </c>
      <c r="I1851" s="246">
        <v>71950</v>
      </c>
      <c r="J1851" s="246">
        <v>79900</v>
      </c>
      <c r="K1851" s="246">
        <v>86300</v>
      </c>
      <c r="L1851" s="246">
        <v>92700</v>
      </c>
      <c r="M1851" s="246">
        <v>99100</v>
      </c>
      <c r="N1851" s="246">
        <v>105500</v>
      </c>
    </row>
    <row r="1852" spans="3:14" ht="21.95" customHeight="1" x14ac:dyDescent="0.25">
      <c r="C1852" s="139" t="str">
        <f t="shared" si="44"/>
        <v>NE_HOWARD COUNTY, NE HUD METRO FMR AREA</v>
      </c>
      <c r="D1852" s="136" t="s">
        <v>78</v>
      </c>
      <c r="E1852" s="262" t="s">
        <v>4417</v>
      </c>
      <c r="F1852" s="136" t="s">
        <v>183</v>
      </c>
      <c r="G1852" s="246">
        <v>54750</v>
      </c>
      <c r="H1852" s="246">
        <v>62550</v>
      </c>
      <c r="I1852" s="246">
        <v>70350</v>
      </c>
      <c r="J1852" s="246">
        <v>78150</v>
      </c>
      <c r="K1852" s="246">
        <v>84450</v>
      </c>
      <c r="L1852" s="246">
        <v>90700</v>
      </c>
      <c r="M1852" s="246">
        <v>96950</v>
      </c>
      <c r="N1852" s="246">
        <v>103200</v>
      </c>
    </row>
    <row r="1853" spans="3:14" ht="21.95" customHeight="1" x14ac:dyDescent="0.25">
      <c r="C1853" s="139" t="str">
        <f t="shared" si="44"/>
        <v>NE_JEFFERSON COUNTY, NE</v>
      </c>
      <c r="D1853" s="136" t="s">
        <v>78</v>
      </c>
      <c r="E1853" s="262" t="s">
        <v>4418</v>
      </c>
      <c r="F1853" s="136" t="s">
        <v>183</v>
      </c>
      <c r="G1853" s="246">
        <v>50600</v>
      </c>
      <c r="H1853" s="246">
        <v>57800</v>
      </c>
      <c r="I1853" s="246">
        <v>65050</v>
      </c>
      <c r="J1853" s="246">
        <v>72250</v>
      </c>
      <c r="K1853" s="246">
        <v>78050</v>
      </c>
      <c r="L1853" s="246">
        <v>83850</v>
      </c>
      <c r="M1853" s="246">
        <v>89600</v>
      </c>
      <c r="N1853" s="246">
        <v>95400</v>
      </c>
    </row>
    <row r="1854" spans="3:14" ht="21.95" customHeight="1" x14ac:dyDescent="0.25">
      <c r="C1854" s="139" t="str">
        <f t="shared" si="44"/>
        <v>NE_JOHNSON COUNTY, NE</v>
      </c>
      <c r="D1854" s="136" t="s">
        <v>78</v>
      </c>
      <c r="E1854" s="262" t="s">
        <v>4419</v>
      </c>
      <c r="F1854" s="136" t="s">
        <v>183</v>
      </c>
      <c r="G1854" s="246">
        <v>50600</v>
      </c>
      <c r="H1854" s="246">
        <v>57800</v>
      </c>
      <c r="I1854" s="246">
        <v>65050</v>
      </c>
      <c r="J1854" s="246">
        <v>72250</v>
      </c>
      <c r="K1854" s="246">
        <v>78050</v>
      </c>
      <c r="L1854" s="246">
        <v>83850</v>
      </c>
      <c r="M1854" s="246">
        <v>89600</v>
      </c>
      <c r="N1854" s="246">
        <v>95400</v>
      </c>
    </row>
    <row r="1855" spans="3:14" ht="21.95" customHeight="1" x14ac:dyDescent="0.25">
      <c r="C1855" s="139" t="str">
        <f t="shared" si="44"/>
        <v>NE_KEARNEY COUNTY, NE</v>
      </c>
      <c r="D1855" s="136" t="s">
        <v>78</v>
      </c>
      <c r="E1855" s="262" t="s">
        <v>4420</v>
      </c>
      <c r="F1855" s="136" t="s">
        <v>183</v>
      </c>
      <c r="G1855" s="246">
        <v>56800</v>
      </c>
      <c r="H1855" s="246">
        <v>64900</v>
      </c>
      <c r="I1855" s="246">
        <v>73000</v>
      </c>
      <c r="J1855" s="246">
        <v>81100</v>
      </c>
      <c r="K1855" s="246">
        <v>87600</v>
      </c>
      <c r="L1855" s="246">
        <v>94100</v>
      </c>
      <c r="M1855" s="246">
        <v>100600</v>
      </c>
      <c r="N1855" s="246">
        <v>107100</v>
      </c>
    </row>
    <row r="1856" spans="3:14" ht="21.95" customHeight="1" x14ac:dyDescent="0.25">
      <c r="C1856" s="139" t="str">
        <f t="shared" ref="C1856:C1919" si="45">TRIM(UPPER(D1856))&amp;"_"&amp;TRIM(UPPER(E1856))</f>
        <v>NE_KEITH COUNTY, NE</v>
      </c>
      <c r="D1856" s="136" t="s">
        <v>78</v>
      </c>
      <c r="E1856" s="262" t="s">
        <v>4421</v>
      </c>
      <c r="F1856" s="136" t="s">
        <v>183</v>
      </c>
      <c r="G1856" s="246">
        <v>50600</v>
      </c>
      <c r="H1856" s="246">
        <v>57800</v>
      </c>
      <c r="I1856" s="246">
        <v>65050</v>
      </c>
      <c r="J1856" s="246">
        <v>72250</v>
      </c>
      <c r="K1856" s="246">
        <v>78050</v>
      </c>
      <c r="L1856" s="246">
        <v>83850</v>
      </c>
      <c r="M1856" s="246">
        <v>89600</v>
      </c>
      <c r="N1856" s="246">
        <v>95400</v>
      </c>
    </row>
    <row r="1857" spans="3:14" ht="21.95" customHeight="1" x14ac:dyDescent="0.25">
      <c r="C1857" s="139" t="str">
        <f t="shared" si="45"/>
        <v>NE_KEYA PAHA COUNTY, NE</v>
      </c>
      <c r="D1857" s="136" t="s">
        <v>78</v>
      </c>
      <c r="E1857" s="262" t="s">
        <v>4422</v>
      </c>
      <c r="F1857" s="136" t="s">
        <v>183</v>
      </c>
      <c r="G1857" s="246">
        <v>50600</v>
      </c>
      <c r="H1857" s="246">
        <v>57800</v>
      </c>
      <c r="I1857" s="246">
        <v>65050</v>
      </c>
      <c r="J1857" s="246">
        <v>72250</v>
      </c>
      <c r="K1857" s="246">
        <v>78050</v>
      </c>
      <c r="L1857" s="246">
        <v>83850</v>
      </c>
      <c r="M1857" s="246">
        <v>89600</v>
      </c>
      <c r="N1857" s="246">
        <v>95400</v>
      </c>
    </row>
    <row r="1858" spans="3:14" ht="21.95" customHeight="1" x14ac:dyDescent="0.25">
      <c r="C1858" s="139" t="str">
        <f t="shared" si="45"/>
        <v>NE_KIMBALL COUNTY, NE</v>
      </c>
      <c r="D1858" s="136" t="s">
        <v>78</v>
      </c>
      <c r="E1858" s="262" t="s">
        <v>4423</v>
      </c>
      <c r="F1858" s="136" t="s">
        <v>183</v>
      </c>
      <c r="G1858" s="246">
        <v>50600</v>
      </c>
      <c r="H1858" s="246">
        <v>57800</v>
      </c>
      <c r="I1858" s="246">
        <v>65050</v>
      </c>
      <c r="J1858" s="246">
        <v>72250</v>
      </c>
      <c r="K1858" s="246">
        <v>78050</v>
      </c>
      <c r="L1858" s="246">
        <v>83850</v>
      </c>
      <c r="M1858" s="246">
        <v>89600</v>
      </c>
      <c r="N1858" s="246">
        <v>95400</v>
      </c>
    </row>
    <row r="1859" spans="3:14" ht="21.95" customHeight="1" x14ac:dyDescent="0.25">
      <c r="C1859" s="139" t="str">
        <f t="shared" si="45"/>
        <v>NE_KNOX COUNTY, NE</v>
      </c>
      <c r="D1859" s="136" t="s">
        <v>78</v>
      </c>
      <c r="E1859" s="262" t="s">
        <v>4424</v>
      </c>
      <c r="F1859" s="136" t="s">
        <v>183</v>
      </c>
      <c r="G1859" s="246">
        <v>50600</v>
      </c>
      <c r="H1859" s="246">
        <v>57800</v>
      </c>
      <c r="I1859" s="246">
        <v>65050</v>
      </c>
      <c r="J1859" s="246">
        <v>72250</v>
      </c>
      <c r="K1859" s="246">
        <v>78050</v>
      </c>
      <c r="L1859" s="246">
        <v>83850</v>
      </c>
      <c r="M1859" s="246">
        <v>89600</v>
      </c>
      <c r="N1859" s="246">
        <v>95400</v>
      </c>
    </row>
    <row r="1860" spans="3:14" ht="21.95" customHeight="1" x14ac:dyDescent="0.25">
      <c r="C1860" s="139" t="str">
        <f t="shared" si="45"/>
        <v>NE_LINCOLN COUNTY, NE</v>
      </c>
      <c r="D1860" s="136" t="s">
        <v>78</v>
      </c>
      <c r="E1860" s="262" t="s">
        <v>4425</v>
      </c>
      <c r="F1860" s="136" t="s">
        <v>183</v>
      </c>
      <c r="G1860" s="246">
        <v>52100</v>
      </c>
      <c r="H1860" s="246">
        <v>59550</v>
      </c>
      <c r="I1860" s="246">
        <v>67000</v>
      </c>
      <c r="J1860" s="246">
        <v>74400</v>
      </c>
      <c r="K1860" s="246">
        <v>80400</v>
      </c>
      <c r="L1860" s="246">
        <v>86350</v>
      </c>
      <c r="M1860" s="246">
        <v>92300</v>
      </c>
      <c r="N1860" s="246">
        <v>98250</v>
      </c>
    </row>
    <row r="1861" spans="3:14" ht="21.95" customHeight="1" x14ac:dyDescent="0.25">
      <c r="C1861" s="139" t="str">
        <f t="shared" si="45"/>
        <v>NE_LINCOLN, NE HUD METRO FMR AREA</v>
      </c>
      <c r="D1861" s="136" t="s">
        <v>78</v>
      </c>
      <c r="E1861" s="262" t="s">
        <v>4426</v>
      </c>
      <c r="F1861" s="136" t="s">
        <v>183</v>
      </c>
      <c r="G1861" s="246">
        <v>60200</v>
      </c>
      <c r="H1861" s="246">
        <v>68800</v>
      </c>
      <c r="I1861" s="246">
        <v>77400</v>
      </c>
      <c r="J1861" s="246">
        <v>86000</v>
      </c>
      <c r="K1861" s="246">
        <v>92900</v>
      </c>
      <c r="L1861" s="246">
        <v>99800</v>
      </c>
      <c r="M1861" s="246">
        <v>106650</v>
      </c>
      <c r="N1861" s="246">
        <v>113550</v>
      </c>
    </row>
    <row r="1862" spans="3:14" ht="21.95" customHeight="1" x14ac:dyDescent="0.25">
      <c r="C1862" s="139" t="str">
        <f t="shared" si="45"/>
        <v>NE_LOGAN COUNTY, NE</v>
      </c>
      <c r="D1862" s="136" t="s">
        <v>78</v>
      </c>
      <c r="E1862" s="262" t="s">
        <v>4427</v>
      </c>
      <c r="F1862" s="136" t="s">
        <v>183</v>
      </c>
      <c r="G1862" s="246">
        <v>50600</v>
      </c>
      <c r="H1862" s="246">
        <v>57800</v>
      </c>
      <c r="I1862" s="246">
        <v>65050</v>
      </c>
      <c r="J1862" s="246">
        <v>72250</v>
      </c>
      <c r="K1862" s="246">
        <v>78050</v>
      </c>
      <c r="L1862" s="246">
        <v>83850</v>
      </c>
      <c r="M1862" s="246">
        <v>89600</v>
      </c>
      <c r="N1862" s="246">
        <v>95400</v>
      </c>
    </row>
    <row r="1863" spans="3:14" ht="21.95" customHeight="1" x14ac:dyDescent="0.25">
      <c r="C1863" s="139" t="str">
        <f t="shared" si="45"/>
        <v>NE_LOUP COUNTY, NE</v>
      </c>
      <c r="D1863" s="136" t="s">
        <v>78</v>
      </c>
      <c r="E1863" s="262" t="s">
        <v>4428</v>
      </c>
      <c r="F1863" s="136" t="s">
        <v>183</v>
      </c>
      <c r="G1863" s="246">
        <v>50600</v>
      </c>
      <c r="H1863" s="246">
        <v>57800</v>
      </c>
      <c r="I1863" s="246">
        <v>65050</v>
      </c>
      <c r="J1863" s="246">
        <v>72250</v>
      </c>
      <c r="K1863" s="246">
        <v>78050</v>
      </c>
      <c r="L1863" s="246">
        <v>83850</v>
      </c>
      <c r="M1863" s="246">
        <v>89600</v>
      </c>
      <c r="N1863" s="246">
        <v>95400</v>
      </c>
    </row>
    <row r="1864" spans="3:14" ht="21.95" customHeight="1" x14ac:dyDescent="0.25">
      <c r="C1864" s="139" t="str">
        <f t="shared" si="45"/>
        <v>NE_MADISON COUNTY, NE</v>
      </c>
      <c r="D1864" s="136" t="s">
        <v>78</v>
      </c>
      <c r="E1864" s="262" t="s">
        <v>4429</v>
      </c>
      <c r="F1864" s="136" t="s">
        <v>183</v>
      </c>
      <c r="G1864" s="246">
        <v>52100</v>
      </c>
      <c r="H1864" s="246">
        <v>59550</v>
      </c>
      <c r="I1864" s="246">
        <v>67000</v>
      </c>
      <c r="J1864" s="246">
        <v>74400</v>
      </c>
      <c r="K1864" s="246">
        <v>80400</v>
      </c>
      <c r="L1864" s="246">
        <v>86350</v>
      </c>
      <c r="M1864" s="246">
        <v>92300</v>
      </c>
      <c r="N1864" s="246">
        <v>98250</v>
      </c>
    </row>
    <row r="1865" spans="3:14" ht="21.95" customHeight="1" x14ac:dyDescent="0.25">
      <c r="C1865" s="139" t="str">
        <f t="shared" si="45"/>
        <v>NE_MCPHERSON COUNTY, NE</v>
      </c>
      <c r="D1865" s="136" t="s">
        <v>78</v>
      </c>
      <c r="E1865" s="262" t="s">
        <v>4430</v>
      </c>
      <c r="F1865" s="136" t="s">
        <v>183</v>
      </c>
      <c r="G1865" s="246">
        <v>50600</v>
      </c>
      <c r="H1865" s="246">
        <v>57800</v>
      </c>
      <c r="I1865" s="246">
        <v>65050</v>
      </c>
      <c r="J1865" s="246">
        <v>72250</v>
      </c>
      <c r="K1865" s="246">
        <v>78050</v>
      </c>
      <c r="L1865" s="246">
        <v>83850</v>
      </c>
      <c r="M1865" s="246">
        <v>89600</v>
      </c>
      <c r="N1865" s="246">
        <v>95400</v>
      </c>
    </row>
    <row r="1866" spans="3:14" ht="21.95" customHeight="1" x14ac:dyDescent="0.25">
      <c r="C1866" s="139" t="str">
        <f t="shared" si="45"/>
        <v>NE_MERRICK COUNTY, NE HUD METRO FMR AREA</v>
      </c>
      <c r="D1866" s="136" t="s">
        <v>78</v>
      </c>
      <c r="E1866" s="262" t="s">
        <v>4431</v>
      </c>
      <c r="F1866" s="136" t="s">
        <v>183</v>
      </c>
      <c r="G1866" s="246">
        <v>52100</v>
      </c>
      <c r="H1866" s="246">
        <v>59550</v>
      </c>
      <c r="I1866" s="246">
        <v>67000</v>
      </c>
      <c r="J1866" s="246">
        <v>74400</v>
      </c>
      <c r="K1866" s="246">
        <v>80400</v>
      </c>
      <c r="L1866" s="246">
        <v>86350</v>
      </c>
      <c r="M1866" s="246">
        <v>92300</v>
      </c>
      <c r="N1866" s="246">
        <v>98250</v>
      </c>
    </row>
    <row r="1867" spans="3:14" ht="21.95" customHeight="1" x14ac:dyDescent="0.25">
      <c r="C1867" s="139" t="str">
        <f t="shared" si="45"/>
        <v>NE_MORRILL COUNTY, NE</v>
      </c>
      <c r="D1867" s="136" t="s">
        <v>78</v>
      </c>
      <c r="E1867" s="262" t="s">
        <v>4432</v>
      </c>
      <c r="F1867" s="136" t="s">
        <v>183</v>
      </c>
      <c r="G1867" s="246">
        <v>51100</v>
      </c>
      <c r="H1867" s="246">
        <v>58400</v>
      </c>
      <c r="I1867" s="246">
        <v>65700</v>
      </c>
      <c r="J1867" s="246">
        <v>72950</v>
      </c>
      <c r="K1867" s="246">
        <v>78800</v>
      </c>
      <c r="L1867" s="246">
        <v>84650</v>
      </c>
      <c r="M1867" s="246">
        <v>90500</v>
      </c>
      <c r="N1867" s="246">
        <v>96300</v>
      </c>
    </row>
    <row r="1868" spans="3:14" ht="21.95" customHeight="1" x14ac:dyDescent="0.25">
      <c r="C1868" s="139" t="str">
        <f t="shared" si="45"/>
        <v>NE_NANCE COUNTY, NE</v>
      </c>
      <c r="D1868" s="136" t="s">
        <v>78</v>
      </c>
      <c r="E1868" s="262" t="s">
        <v>4433</v>
      </c>
      <c r="F1868" s="136" t="s">
        <v>183</v>
      </c>
      <c r="G1868" s="246">
        <v>52100</v>
      </c>
      <c r="H1868" s="246">
        <v>59550</v>
      </c>
      <c r="I1868" s="246">
        <v>67000</v>
      </c>
      <c r="J1868" s="246">
        <v>74400</v>
      </c>
      <c r="K1868" s="246">
        <v>80400</v>
      </c>
      <c r="L1868" s="246">
        <v>86350</v>
      </c>
      <c r="M1868" s="246">
        <v>92300</v>
      </c>
      <c r="N1868" s="246">
        <v>98250</v>
      </c>
    </row>
    <row r="1869" spans="3:14" ht="21.95" customHeight="1" x14ac:dyDescent="0.25">
      <c r="C1869" s="139" t="str">
        <f t="shared" si="45"/>
        <v>NE_NEMAHA COUNTY, NE</v>
      </c>
      <c r="D1869" s="136" t="s">
        <v>78</v>
      </c>
      <c r="E1869" s="262" t="s">
        <v>4434</v>
      </c>
      <c r="F1869" s="136" t="s">
        <v>183</v>
      </c>
      <c r="G1869" s="246">
        <v>52100</v>
      </c>
      <c r="H1869" s="246">
        <v>59550</v>
      </c>
      <c r="I1869" s="246">
        <v>67000</v>
      </c>
      <c r="J1869" s="246">
        <v>74400</v>
      </c>
      <c r="K1869" s="246">
        <v>80400</v>
      </c>
      <c r="L1869" s="246">
        <v>86350</v>
      </c>
      <c r="M1869" s="246">
        <v>92300</v>
      </c>
      <c r="N1869" s="246">
        <v>98250</v>
      </c>
    </row>
    <row r="1870" spans="3:14" ht="21.95" customHeight="1" x14ac:dyDescent="0.25">
      <c r="C1870" s="139" t="str">
        <f t="shared" si="45"/>
        <v>NE_NUCKOLLS COUNTY, NE</v>
      </c>
      <c r="D1870" s="136" t="s">
        <v>78</v>
      </c>
      <c r="E1870" s="262" t="s">
        <v>4435</v>
      </c>
      <c r="F1870" s="136" t="s">
        <v>183</v>
      </c>
      <c r="G1870" s="246">
        <v>50600</v>
      </c>
      <c r="H1870" s="246">
        <v>57800</v>
      </c>
      <c r="I1870" s="246">
        <v>65050</v>
      </c>
      <c r="J1870" s="246">
        <v>72250</v>
      </c>
      <c r="K1870" s="246">
        <v>78050</v>
      </c>
      <c r="L1870" s="246">
        <v>83850</v>
      </c>
      <c r="M1870" s="246">
        <v>89600</v>
      </c>
      <c r="N1870" s="246">
        <v>95400</v>
      </c>
    </row>
    <row r="1871" spans="3:14" ht="21.95" customHeight="1" x14ac:dyDescent="0.25">
      <c r="C1871" s="139" t="str">
        <f t="shared" si="45"/>
        <v>NE_OMAHA-COUNCIL BLUFFS, NE-IA HUD METRO FMR AREA</v>
      </c>
      <c r="D1871" s="136" t="s">
        <v>78</v>
      </c>
      <c r="E1871" s="262" t="s">
        <v>3438</v>
      </c>
      <c r="F1871" s="136" t="s">
        <v>183</v>
      </c>
      <c r="G1871" s="246">
        <v>63700</v>
      </c>
      <c r="H1871" s="246">
        <v>72800</v>
      </c>
      <c r="I1871" s="246">
        <v>81900</v>
      </c>
      <c r="J1871" s="246">
        <v>90950</v>
      </c>
      <c r="K1871" s="246">
        <v>98250</v>
      </c>
      <c r="L1871" s="246">
        <v>105550</v>
      </c>
      <c r="M1871" s="246">
        <v>112800</v>
      </c>
      <c r="N1871" s="246">
        <v>120100</v>
      </c>
    </row>
    <row r="1872" spans="3:14" ht="21.95" customHeight="1" x14ac:dyDescent="0.25">
      <c r="C1872" s="139" t="str">
        <f t="shared" si="45"/>
        <v>NE_OTOE COUNTY, NE</v>
      </c>
      <c r="D1872" s="136" t="s">
        <v>78</v>
      </c>
      <c r="E1872" s="262" t="s">
        <v>4436</v>
      </c>
      <c r="F1872" s="136" t="s">
        <v>183</v>
      </c>
      <c r="G1872" s="246">
        <v>59850</v>
      </c>
      <c r="H1872" s="246">
        <v>68400</v>
      </c>
      <c r="I1872" s="246">
        <v>76950</v>
      </c>
      <c r="J1872" s="246">
        <v>85500</v>
      </c>
      <c r="K1872" s="246">
        <v>92350</v>
      </c>
      <c r="L1872" s="246">
        <v>99200</v>
      </c>
      <c r="M1872" s="246">
        <v>106050</v>
      </c>
      <c r="N1872" s="246">
        <v>112900</v>
      </c>
    </row>
    <row r="1873" spans="3:14" ht="21.95" customHeight="1" x14ac:dyDescent="0.25">
      <c r="C1873" s="139" t="str">
        <f t="shared" si="45"/>
        <v>NE_PAWNEE COUNTY, NE</v>
      </c>
      <c r="D1873" s="136" t="s">
        <v>78</v>
      </c>
      <c r="E1873" s="262" t="s">
        <v>4437</v>
      </c>
      <c r="F1873" s="136" t="s">
        <v>183</v>
      </c>
      <c r="G1873" s="246">
        <v>50600</v>
      </c>
      <c r="H1873" s="246">
        <v>57800</v>
      </c>
      <c r="I1873" s="246">
        <v>65050</v>
      </c>
      <c r="J1873" s="246">
        <v>72250</v>
      </c>
      <c r="K1873" s="246">
        <v>78050</v>
      </c>
      <c r="L1873" s="246">
        <v>83850</v>
      </c>
      <c r="M1873" s="246">
        <v>89600</v>
      </c>
      <c r="N1873" s="246">
        <v>95400</v>
      </c>
    </row>
    <row r="1874" spans="3:14" ht="21.95" customHeight="1" x14ac:dyDescent="0.25">
      <c r="C1874" s="139" t="str">
        <f t="shared" si="45"/>
        <v>NE_PERKINS COUNTY, NE</v>
      </c>
      <c r="D1874" s="136" t="s">
        <v>78</v>
      </c>
      <c r="E1874" s="262" t="s">
        <v>4438</v>
      </c>
      <c r="F1874" s="136" t="s">
        <v>183</v>
      </c>
      <c r="G1874" s="246">
        <v>52100</v>
      </c>
      <c r="H1874" s="246">
        <v>59550</v>
      </c>
      <c r="I1874" s="246">
        <v>67000</v>
      </c>
      <c r="J1874" s="246">
        <v>74400</v>
      </c>
      <c r="K1874" s="246">
        <v>80400</v>
      </c>
      <c r="L1874" s="246">
        <v>86350</v>
      </c>
      <c r="M1874" s="246">
        <v>92300</v>
      </c>
      <c r="N1874" s="246">
        <v>98250</v>
      </c>
    </row>
    <row r="1875" spans="3:14" ht="21.95" customHeight="1" x14ac:dyDescent="0.25">
      <c r="C1875" s="139" t="str">
        <f t="shared" si="45"/>
        <v>NE_PHELPS COUNTY, NE</v>
      </c>
      <c r="D1875" s="136" t="s">
        <v>78</v>
      </c>
      <c r="E1875" s="262" t="s">
        <v>4439</v>
      </c>
      <c r="F1875" s="136" t="s">
        <v>183</v>
      </c>
      <c r="G1875" s="246">
        <v>55200</v>
      </c>
      <c r="H1875" s="246">
        <v>63050</v>
      </c>
      <c r="I1875" s="246">
        <v>70950</v>
      </c>
      <c r="J1875" s="246">
        <v>78800</v>
      </c>
      <c r="K1875" s="246">
        <v>85150</v>
      </c>
      <c r="L1875" s="246">
        <v>91450</v>
      </c>
      <c r="M1875" s="246">
        <v>97750</v>
      </c>
      <c r="N1875" s="246">
        <v>104050</v>
      </c>
    </row>
    <row r="1876" spans="3:14" ht="21.95" customHeight="1" x14ac:dyDescent="0.25">
      <c r="C1876" s="139" t="str">
        <f t="shared" si="45"/>
        <v>NE_PIERCE COUNTY, NE</v>
      </c>
      <c r="D1876" s="136" t="s">
        <v>78</v>
      </c>
      <c r="E1876" s="262" t="s">
        <v>4440</v>
      </c>
      <c r="F1876" s="136" t="s">
        <v>183</v>
      </c>
      <c r="G1876" s="246">
        <v>51250</v>
      </c>
      <c r="H1876" s="246">
        <v>58600</v>
      </c>
      <c r="I1876" s="246">
        <v>65900</v>
      </c>
      <c r="J1876" s="246">
        <v>73200</v>
      </c>
      <c r="K1876" s="246">
        <v>79100</v>
      </c>
      <c r="L1876" s="246">
        <v>84950</v>
      </c>
      <c r="M1876" s="246">
        <v>90800</v>
      </c>
      <c r="N1876" s="246">
        <v>96650</v>
      </c>
    </row>
    <row r="1877" spans="3:14" ht="21.95" customHeight="1" x14ac:dyDescent="0.25">
      <c r="C1877" s="139" t="str">
        <f t="shared" si="45"/>
        <v>NE_PLATTE COUNTY, NE</v>
      </c>
      <c r="D1877" s="136" t="s">
        <v>78</v>
      </c>
      <c r="E1877" s="262" t="s">
        <v>4441</v>
      </c>
      <c r="F1877" s="136" t="s">
        <v>183</v>
      </c>
      <c r="G1877" s="246">
        <v>56100</v>
      </c>
      <c r="H1877" s="246">
        <v>64100</v>
      </c>
      <c r="I1877" s="246">
        <v>72100</v>
      </c>
      <c r="J1877" s="246">
        <v>80100</v>
      </c>
      <c r="K1877" s="246">
        <v>86550</v>
      </c>
      <c r="L1877" s="246">
        <v>92950</v>
      </c>
      <c r="M1877" s="246">
        <v>99350</v>
      </c>
      <c r="N1877" s="246">
        <v>105750</v>
      </c>
    </row>
    <row r="1878" spans="3:14" ht="21.95" customHeight="1" x14ac:dyDescent="0.25">
      <c r="C1878" s="139" t="str">
        <f t="shared" si="45"/>
        <v>NE_POLK COUNTY, NE</v>
      </c>
      <c r="D1878" s="136" t="s">
        <v>78</v>
      </c>
      <c r="E1878" s="262" t="s">
        <v>4442</v>
      </c>
      <c r="F1878" s="136" t="s">
        <v>183</v>
      </c>
      <c r="G1878" s="246">
        <v>55250</v>
      </c>
      <c r="H1878" s="246">
        <v>63150</v>
      </c>
      <c r="I1878" s="246">
        <v>71050</v>
      </c>
      <c r="J1878" s="246">
        <v>78900</v>
      </c>
      <c r="K1878" s="246">
        <v>85250</v>
      </c>
      <c r="L1878" s="246">
        <v>91550</v>
      </c>
      <c r="M1878" s="246">
        <v>97850</v>
      </c>
      <c r="N1878" s="246">
        <v>104150</v>
      </c>
    </row>
    <row r="1879" spans="3:14" ht="21.95" customHeight="1" x14ac:dyDescent="0.25">
      <c r="C1879" s="139" t="str">
        <f t="shared" si="45"/>
        <v>NE_RED WILLOW COUNTY, NE</v>
      </c>
      <c r="D1879" s="136" t="s">
        <v>78</v>
      </c>
      <c r="E1879" s="262" t="s">
        <v>4443</v>
      </c>
      <c r="F1879" s="136" t="s">
        <v>183</v>
      </c>
      <c r="G1879" s="246">
        <v>53750</v>
      </c>
      <c r="H1879" s="246">
        <v>61400</v>
      </c>
      <c r="I1879" s="246">
        <v>69100</v>
      </c>
      <c r="J1879" s="246">
        <v>76750</v>
      </c>
      <c r="K1879" s="246">
        <v>82900</v>
      </c>
      <c r="L1879" s="246">
        <v>89050</v>
      </c>
      <c r="M1879" s="246">
        <v>95200</v>
      </c>
      <c r="N1879" s="246">
        <v>101350</v>
      </c>
    </row>
    <row r="1880" spans="3:14" ht="21.95" customHeight="1" x14ac:dyDescent="0.25">
      <c r="C1880" s="139" t="str">
        <f t="shared" si="45"/>
        <v>NE_RICHARDSON COUNTY, NE</v>
      </c>
      <c r="D1880" s="136" t="s">
        <v>78</v>
      </c>
      <c r="E1880" s="262" t="s">
        <v>4444</v>
      </c>
      <c r="F1880" s="136" t="s">
        <v>183</v>
      </c>
      <c r="G1880" s="246">
        <v>50600</v>
      </c>
      <c r="H1880" s="246">
        <v>57800</v>
      </c>
      <c r="I1880" s="246">
        <v>65050</v>
      </c>
      <c r="J1880" s="246">
        <v>72250</v>
      </c>
      <c r="K1880" s="246">
        <v>78050</v>
      </c>
      <c r="L1880" s="246">
        <v>83850</v>
      </c>
      <c r="M1880" s="246">
        <v>89600</v>
      </c>
      <c r="N1880" s="246">
        <v>95400</v>
      </c>
    </row>
    <row r="1881" spans="3:14" ht="21.95" customHeight="1" x14ac:dyDescent="0.25">
      <c r="C1881" s="139" t="str">
        <f t="shared" si="45"/>
        <v>NE_ROCK COUNTY, NE</v>
      </c>
      <c r="D1881" s="136" t="s">
        <v>78</v>
      </c>
      <c r="E1881" s="262" t="s">
        <v>4445</v>
      </c>
      <c r="F1881" s="136" t="s">
        <v>183</v>
      </c>
      <c r="G1881" s="246">
        <v>50600</v>
      </c>
      <c r="H1881" s="246">
        <v>57800</v>
      </c>
      <c r="I1881" s="246">
        <v>65050</v>
      </c>
      <c r="J1881" s="246">
        <v>72250</v>
      </c>
      <c r="K1881" s="246">
        <v>78050</v>
      </c>
      <c r="L1881" s="246">
        <v>83850</v>
      </c>
      <c r="M1881" s="246">
        <v>89600</v>
      </c>
      <c r="N1881" s="246">
        <v>95400</v>
      </c>
    </row>
    <row r="1882" spans="3:14" ht="21.95" customHeight="1" x14ac:dyDescent="0.25">
      <c r="C1882" s="139" t="str">
        <f t="shared" si="45"/>
        <v>NE_SALINE COUNTY, NE</v>
      </c>
      <c r="D1882" s="136" t="s">
        <v>78</v>
      </c>
      <c r="E1882" s="262" t="s">
        <v>4446</v>
      </c>
      <c r="F1882" s="136" t="s">
        <v>183</v>
      </c>
      <c r="G1882" s="246">
        <v>53850</v>
      </c>
      <c r="H1882" s="246">
        <v>61550</v>
      </c>
      <c r="I1882" s="246">
        <v>69250</v>
      </c>
      <c r="J1882" s="246">
        <v>76900</v>
      </c>
      <c r="K1882" s="246">
        <v>83100</v>
      </c>
      <c r="L1882" s="246">
        <v>89250</v>
      </c>
      <c r="M1882" s="246">
        <v>95400</v>
      </c>
      <c r="N1882" s="246">
        <v>101550</v>
      </c>
    </row>
    <row r="1883" spans="3:14" ht="21.95" customHeight="1" x14ac:dyDescent="0.25">
      <c r="C1883" s="139" t="str">
        <f t="shared" si="45"/>
        <v>NE_SAUNDERS COUNTY, NE HUD METRO FMR AREA</v>
      </c>
      <c r="D1883" s="136" t="s">
        <v>78</v>
      </c>
      <c r="E1883" s="262" t="s">
        <v>4447</v>
      </c>
      <c r="F1883" s="136" t="s">
        <v>183</v>
      </c>
      <c r="G1883" s="246">
        <v>66200</v>
      </c>
      <c r="H1883" s="246">
        <v>75650</v>
      </c>
      <c r="I1883" s="246">
        <v>85100</v>
      </c>
      <c r="J1883" s="246">
        <v>94550</v>
      </c>
      <c r="K1883" s="246">
        <v>102150</v>
      </c>
      <c r="L1883" s="246">
        <v>109700</v>
      </c>
      <c r="M1883" s="246">
        <v>117250</v>
      </c>
      <c r="N1883" s="246">
        <v>124850</v>
      </c>
    </row>
    <row r="1884" spans="3:14" ht="21.95" customHeight="1" x14ac:dyDescent="0.25">
      <c r="C1884" s="139" t="str">
        <f t="shared" si="45"/>
        <v>NE_SCOTTS BLUFF COUNTY, NE</v>
      </c>
      <c r="D1884" s="136" t="s">
        <v>78</v>
      </c>
      <c r="E1884" s="262" t="s">
        <v>4448</v>
      </c>
      <c r="F1884" s="136" t="s">
        <v>183</v>
      </c>
      <c r="G1884" s="246">
        <v>50900</v>
      </c>
      <c r="H1884" s="246">
        <v>58200</v>
      </c>
      <c r="I1884" s="246">
        <v>65450</v>
      </c>
      <c r="J1884" s="246">
        <v>72700</v>
      </c>
      <c r="K1884" s="246">
        <v>78550</v>
      </c>
      <c r="L1884" s="246">
        <v>84350</v>
      </c>
      <c r="M1884" s="246">
        <v>90150</v>
      </c>
      <c r="N1884" s="246">
        <v>96000</v>
      </c>
    </row>
    <row r="1885" spans="3:14" ht="21.95" customHeight="1" x14ac:dyDescent="0.25">
      <c r="C1885" s="139" t="str">
        <f t="shared" si="45"/>
        <v>NE_SEWARD COUNTY, NE HUD METRO FMR AREA</v>
      </c>
      <c r="D1885" s="136" t="s">
        <v>78</v>
      </c>
      <c r="E1885" s="262" t="s">
        <v>4449</v>
      </c>
      <c r="F1885" s="136" t="s">
        <v>183</v>
      </c>
      <c r="G1885" s="246">
        <v>63950</v>
      </c>
      <c r="H1885" s="246">
        <v>73100</v>
      </c>
      <c r="I1885" s="246">
        <v>82250</v>
      </c>
      <c r="J1885" s="246">
        <v>91350</v>
      </c>
      <c r="K1885" s="246">
        <v>98700</v>
      </c>
      <c r="L1885" s="246">
        <v>106000</v>
      </c>
      <c r="M1885" s="246">
        <v>113300</v>
      </c>
      <c r="N1885" s="246">
        <v>120600</v>
      </c>
    </row>
    <row r="1886" spans="3:14" ht="21.95" customHeight="1" x14ac:dyDescent="0.25">
      <c r="C1886" s="139" t="str">
        <f t="shared" si="45"/>
        <v>NE_SHERIDAN COUNTY, NE</v>
      </c>
      <c r="D1886" s="136" t="s">
        <v>78</v>
      </c>
      <c r="E1886" s="262" t="s">
        <v>4450</v>
      </c>
      <c r="F1886" s="136" t="s">
        <v>183</v>
      </c>
      <c r="G1886" s="246">
        <v>50600</v>
      </c>
      <c r="H1886" s="246">
        <v>57800</v>
      </c>
      <c r="I1886" s="246">
        <v>65050</v>
      </c>
      <c r="J1886" s="246">
        <v>72250</v>
      </c>
      <c r="K1886" s="246">
        <v>78050</v>
      </c>
      <c r="L1886" s="246">
        <v>83850</v>
      </c>
      <c r="M1886" s="246">
        <v>89600</v>
      </c>
      <c r="N1886" s="246">
        <v>95400</v>
      </c>
    </row>
    <row r="1887" spans="3:14" ht="21.95" customHeight="1" x14ac:dyDescent="0.25">
      <c r="C1887" s="139" t="str">
        <f t="shared" si="45"/>
        <v>NE_SHERMAN COUNTY, NE</v>
      </c>
      <c r="D1887" s="136" t="s">
        <v>78</v>
      </c>
      <c r="E1887" s="262" t="s">
        <v>4451</v>
      </c>
      <c r="F1887" s="136" t="s">
        <v>183</v>
      </c>
      <c r="G1887" s="246">
        <v>50600</v>
      </c>
      <c r="H1887" s="246">
        <v>57800</v>
      </c>
      <c r="I1887" s="246">
        <v>65050</v>
      </c>
      <c r="J1887" s="246">
        <v>72250</v>
      </c>
      <c r="K1887" s="246">
        <v>78050</v>
      </c>
      <c r="L1887" s="246">
        <v>83850</v>
      </c>
      <c r="M1887" s="246">
        <v>89600</v>
      </c>
      <c r="N1887" s="246">
        <v>95400</v>
      </c>
    </row>
    <row r="1888" spans="3:14" ht="21.95" customHeight="1" x14ac:dyDescent="0.25">
      <c r="C1888" s="139" t="str">
        <f t="shared" si="45"/>
        <v>NE_SIOUX CITY, IA-NE-SD MSA</v>
      </c>
      <c r="D1888" s="136" t="s">
        <v>78</v>
      </c>
      <c r="E1888" s="262" t="s">
        <v>3448</v>
      </c>
      <c r="F1888" s="136" t="s">
        <v>183</v>
      </c>
      <c r="G1888" s="246">
        <v>51550</v>
      </c>
      <c r="H1888" s="246">
        <v>58900</v>
      </c>
      <c r="I1888" s="246">
        <v>66250</v>
      </c>
      <c r="J1888" s="246">
        <v>73600</v>
      </c>
      <c r="K1888" s="246">
        <v>79500</v>
      </c>
      <c r="L1888" s="246">
        <v>85400</v>
      </c>
      <c r="M1888" s="246">
        <v>91300</v>
      </c>
      <c r="N1888" s="246">
        <v>97200</v>
      </c>
    </row>
    <row r="1889" spans="3:14" ht="21.95" customHeight="1" x14ac:dyDescent="0.25">
      <c r="C1889" s="139" t="str">
        <f t="shared" si="45"/>
        <v>NE_SIOUX COUNTY, NE</v>
      </c>
      <c r="D1889" s="136" t="s">
        <v>78</v>
      </c>
      <c r="E1889" s="262" t="s">
        <v>4452</v>
      </c>
      <c r="F1889" s="136" t="s">
        <v>183</v>
      </c>
      <c r="G1889" s="246">
        <v>50600</v>
      </c>
      <c r="H1889" s="246">
        <v>57800</v>
      </c>
      <c r="I1889" s="246">
        <v>65050</v>
      </c>
      <c r="J1889" s="246">
        <v>72250</v>
      </c>
      <c r="K1889" s="246">
        <v>78050</v>
      </c>
      <c r="L1889" s="246">
        <v>83850</v>
      </c>
      <c r="M1889" s="246">
        <v>89600</v>
      </c>
      <c r="N1889" s="246">
        <v>95400</v>
      </c>
    </row>
    <row r="1890" spans="3:14" ht="21.95" customHeight="1" x14ac:dyDescent="0.25">
      <c r="C1890" s="139" t="str">
        <f t="shared" si="45"/>
        <v>NE_STANTON COUNTY, NE</v>
      </c>
      <c r="D1890" s="136" t="s">
        <v>78</v>
      </c>
      <c r="E1890" s="262" t="s">
        <v>4453</v>
      </c>
      <c r="F1890" s="136" t="s">
        <v>183</v>
      </c>
      <c r="G1890" s="246">
        <v>56350</v>
      </c>
      <c r="H1890" s="246">
        <v>64400</v>
      </c>
      <c r="I1890" s="246">
        <v>72450</v>
      </c>
      <c r="J1890" s="246">
        <v>80500</v>
      </c>
      <c r="K1890" s="246">
        <v>86950</v>
      </c>
      <c r="L1890" s="246">
        <v>93400</v>
      </c>
      <c r="M1890" s="246">
        <v>99850</v>
      </c>
      <c r="N1890" s="246">
        <v>106300</v>
      </c>
    </row>
    <row r="1891" spans="3:14" ht="21.95" customHeight="1" x14ac:dyDescent="0.25">
      <c r="C1891" s="139" t="str">
        <f t="shared" si="45"/>
        <v>NE_THAYER COUNTY, NE</v>
      </c>
      <c r="D1891" s="136" t="s">
        <v>78</v>
      </c>
      <c r="E1891" s="262" t="s">
        <v>4454</v>
      </c>
      <c r="F1891" s="136" t="s">
        <v>183</v>
      </c>
      <c r="G1891" s="246">
        <v>50600</v>
      </c>
      <c r="H1891" s="246">
        <v>57800</v>
      </c>
      <c r="I1891" s="246">
        <v>65050</v>
      </c>
      <c r="J1891" s="246">
        <v>72250</v>
      </c>
      <c r="K1891" s="246">
        <v>78050</v>
      </c>
      <c r="L1891" s="246">
        <v>83850</v>
      </c>
      <c r="M1891" s="246">
        <v>89600</v>
      </c>
      <c r="N1891" s="246">
        <v>95400</v>
      </c>
    </row>
    <row r="1892" spans="3:14" ht="21.95" customHeight="1" x14ac:dyDescent="0.25">
      <c r="C1892" s="139" t="str">
        <f t="shared" si="45"/>
        <v>NE_THOMAS COUNTY, NE</v>
      </c>
      <c r="D1892" s="136" t="s">
        <v>78</v>
      </c>
      <c r="E1892" s="262" t="s">
        <v>4455</v>
      </c>
      <c r="F1892" s="136" t="s">
        <v>183</v>
      </c>
      <c r="G1892" s="246">
        <v>51350</v>
      </c>
      <c r="H1892" s="246">
        <v>58700</v>
      </c>
      <c r="I1892" s="246">
        <v>66050</v>
      </c>
      <c r="J1892" s="246">
        <v>73350</v>
      </c>
      <c r="K1892" s="246">
        <v>79250</v>
      </c>
      <c r="L1892" s="246">
        <v>85100</v>
      </c>
      <c r="M1892" s="246">
        <v>91000</v>
      </c>
      <c r="N1892" s="246">
        <v>96850</v>
      </c>
    </row>
    <row r="1893" spans="3:14" ht="21.95" customHeight="1" x14ac:dyDescent="0.25">
      <c r="C1893" s="139" t="str">
        <f t="shared" si="45"/>
        <v>NE_THURSTON COUNTY, NE</v>
      </c>
      <c r="D1893" s="136" t="s">
        <v>78</v>
      </c>
      <c r="E1893" s="262" t="s">
        <v>4456</v>
      </c>
      <c r="F1893" s="136" t="s">
        <v>183</v>
      </c>
      <c r="G1893" s="246">
        <v>50600</v>
      </c>
      <c r="H1893" s="246">
        <v>57800</v>
      </c>
      <c r="I1893" s="246">
        <v>65050</v>
      </c>
      <c r="J1893" s="246">
        <v>72250</v>
      </c>
      <c r="K1893" s="246">
        <v>78050</v>
      </c>
      <c r="L1893" s="246">
        <v>83850</v>
      </c>
      <c r="M1893" s="246">
        <v>89600</v>
      </c>
      <c r="N1893" s="246">
        <v>95400</v>
      </c>
    </row>
    <row r="1894" spans="3:14" ht="21.95" customHeight="1" x14ac:dyDescent="0.25">
      <c r="C1894" s="139" t="str">
        <f t="shared" si="45"/>
        <v>NE_VALLEY COUNTY, NE</v>
      </c>
      <c r="D1894" s="136" t="s">
        <v>78</v>
      </c>
      <c r="E1894" s="262" t="s">
        <v>4457</v>
      </c>
      <c r="F1894" s="136" t="s">
        <v>183</v>
      </c>
      <c r="G1894" s="246">
        <v>52100</v>
      </c>
      <c r="H1894" s="246">
        <v>59550</v>
      </c>
      <c r="I1894" s="246">
        <v>67000</v>
      </c>
      <c r="J1894" s="246">
        <v>74400</v>
      </c>
      <c r="K1894" s="246">
        <v>80400</v>
      </c>
      <c r="L1894" s="246">
        <v>86350</v>
      </c>
      <c r="M1894" s="246">
        <v>92300</v>
      </c>
      <c r="N1894" s="246">
        <v>98250</v>
      </c>
    </row>
    <row r="1895" spans="3:14" ht="21.95" customHeight="1" x14ac:dyDescent="0.25">
      <c r="C1895" s="139" t="str">
        <f t="shared" si="45"/>
        <v>NE_WAYNE COUNTY, NE</v>
      </c>
      <c r="D1895" s="136" t="s">
        <v>78</v>
      </c>
      <c r="E1895" s="262" t="s">
        <v>4458</v>
      </c>
      <c r="F1895" s="136" t="s">
        <v>183</v>
      </c>
      <c r="G1895" s="246">
        <v>52100</v>
      </c>
      <c r="H1895" s="246">
        <v>59550</v>
      </c>
      <c r="I1895" s="246">
        <v>67000</v>
      </c>
      <c r="J1895" s="246">
        <v>74400</v>
      </c>
      <c r="K1895" s="246">
        <v>80400</v>
      </c>
      <c r="L1895" s="246">
        <v>86350</v>
      </c>
      <c r="M1895" s="246">
        <v>92300</v>
      </c>
      <c r="N1895" s="246">
        <v>98250</v>
      </c>
    </row>
    <row r="1896" spans="3:14" ht="21.95" customHeight="1" x14ac:dyDescent="0.25">
      <c r="C1896" s="139" t="str">
        <f t="shared" si="45"/>
        <v>NE_WEBSTER COUNTY, NE</v>
      </c>
      <c r="D1896" s="136" t="s">
        <v>78</v>
      </c>
      <c r="E1896" s="262" t="s">
        <v>4459</v>
      </c>
      <c r="F1896" s="136" t="s">
        <v>183</v>
      </c>
      <c r="G1896" s="246">
        <v>50600</v>
      </c>
      <c r="H1896" s="246">
        <v>57800</v>
      </c>
      <c r="I1896" s="246">
        <v>65050</v>
      </c>
      <c r="J1896" s="246">
        <v>72250</v>
      </c>
      <c r="K1896" s="246">
        <v>78050</v>
      </c>
      <c r="L1896" s="246">
        <v>83850</v>
      </c>
      <c r="M1896" s="246">
        <v>89600</v>
      </c>
      <c r="N1896" s="246">
        <v>95400</v>
      </c>
    </row>
    <row r="1897" spans="3:14" ht="21.95" customHeight="1" x14ac:dyDescent="0.25">
      <c r="C1897" s="139" t="str">
        <f t="shared" si="45"/>
        <v>NE_WHEELER COUNTY, NE</v>
      </c>
      <c r="D1897" s="136" t="s">
        <v>78</v>
      </c>
      <c r="E1897" s="262" t="s">
        <v>4460</v>
      </c>
      <c r="F1897" s="136" t="s">
        <v>183</v>
      </c>
      <c r="G1897" s="246">
        <v>52050</v>
      </c>
      <c r="H1897" s="246">
        <v>59450</v>
      </c>
      <c r="I1897" s="246">
        <v>66900</v>
      </c>
      <c r="J1897" s="246">
        <v>74300</v>
      </c>
      <c r="K1897" s="246">
        <v>80250</v>
      </c>
      <c r="L1897" s="246">
        <v>86200</v>
      </c>
      <c r="M1897" s="246">
        <v>92150</v>
      </c>
      <c r="N1897" s="246">
        <v>98100</v>
      </c>
    </row>
    <row r="1898" spans="3:14" ht="21.95" customHeight="1" x14ac:dyDescent="0.25">
      <c r="C1898" s="139" t="str">
        <f t="shared" si="45"/>
        <v>NE_YORK COUNTY, NE</v>
      </c>
      <c r="D1898" s="136" t="s">
        <v>78</v>
      </c>
      <c r="E1898" s="262" t="s">
        <v>4461</v>
      </c>
      <c r="F1898" s="136" t="s">
        <v>183</v>
      </c>
      <c r="G1898" s="246">
        <v>53550</v>
      </c>
      <c r="H1898" s="246">
        <v>61200</v>
      </c>
      <c r="I1898" s="246">
        <v>68850</v>
      </c>
      <c r="J1898" s="246">
        <v>76500</v>
      </c>
      <c r="K1898" s="246">
        <v>82650</v>
      </c>
      <c r="L1898" s="246">
        <v>88750</v>
      </c>
      <c r="M1898" s="246">
        <v>94900</v>
      </c>
      <c r="N1898" s="246">
        <v>101000</v>
      </c>
    </row>
    <row r="1899" spans="3:14" ht="21.95" customHeight="1" x14ac:dyDescent="0.25">
      <c r="C1899" s="139" t="str">
        <f t="shared" si="45"/>
        <v>NH_BELKNAP COUNTY, NH</v>
      </c>
      <c r="D1899" s="136" t="s">
        <v>76</v>
      </c>
      <c r="E1899" s="262" t="s">
        <v>4462</v>
      </c>
      <c r="F1899" s="136" t="s">
        <v>183</v>
      </c>
      <c r="G1899" s="246">
        <v>65700</v>
      </c>
      <c r="H1899" s="246">
        <v>75050</v>
      </c>
      <c r="I1899" s="246">
        <v>84450</v>
      </c>
      <c r="J1899" s="246">
        <v>93800</v>
      </c>
      <c r="K1899" s="246">
        <v>101350</v>
      </c>
      <c r="L1899" s="246">
        <v>108850</v>
      </c>
      <c r="M1899" s="246">
        <v>116350</v>
      </c>
      <c r="N1899" s="246">
        <v>123850</v>
      </c>
    </row>
    <row r="1900" spans="3:14" ht="21.95" customHeight="1" x14ac:dyDescent="0.25">
      <c r="C1900" s="139" t="str">
        <f t="shared" si="45"/>
        <v>NH_BOSTON-CAMBRIDGE-QUINCY, MA-NH HUD METRO FMR AREA</v>
      </c>
      <c r="D1900" s="136" t="s">
        <v>76</v>
      </c>
      <c r="E1900" s="262" t="s">
        <v>3865</v>
      </c>
      <c r="F1900" s="136" t="s">
        <v>183</v>
      </c>
      <c r="G1900" s="246">
        <v>92650</v>
      </c>
      <c r="H1900" s="246">
        <v>105850</v>
      </c>
      <c r="I1900" s="246">
        <v>119100</v>
      </c>
      <c r="J1900" s="246">
        <v>132300</v>
      </c>
      <c r="K1900" s="246">
        <v>142900</v>
      </c>
      <c r="L1900" s="246">
        <v>153500</v>
      </c>
      <c r="M1900" s="246">
        <v>164100</v>
      </c>
      <c r="N1900" s="246">
        <v>174650</v>
      </c>
    </row>
    <row r="1901" spans="3:14" ht="21.95" customHeight="1" x14ac:dyDescent="0.25">
      <c r="C1901" s="139" t="str">
        <f t="shared" si="45"/>
        <v>NH_CARROLL COUNTY, NH</v>
      </c>
      <c r="D1901" s="136" t="s">
        <v>76</v>
      </c>
      <c r="E1901" s="262" t="s">
        <v>4463</v>
      </c>
      <c r="F1901" s="136" t="s">
        <v>183</v>
      </c>
      <c r="G1901" s="246">
        <v>61900</v>
      </c>
      <c r="H1901" s="246">
        <v>70750</v>
      </c>
      <c r="I1901" s="246">
        <v>79600</v>
      </c>
      <c r="J1901" s="246">
        <v>88400</v>
      </c>
      <c r="K1901" s="246">
        <v>95500</v>
      </c>
      <c r="L1901" s="246">
        <v>102550</v>
      </c>
      <c r="M1901" s="246">
        <v>109650</v>
      </c>
      <c r="N1901" s="246">
        <v>116700</v>
      </c>
    </row>
    <row r="1902" spans="3:14" ht="21.95" customHeight="1" x14ac:dyDescent="0.25">
      <c r="C1902" s="139" t="str">
        <f t="shared" si="45"/>
        <v>NH_CHESHIRE COUNTY, NH</v>
      </c>
      <c r="D1902" s="136" t="s">
        <v>76</v>
      </c>
      <c r="E1902" s="262" t="s">
        <v>4464</v>
      </c>
      <c r="F1902" s="136" t="s">
        <v>183</v>
      </c>
      <c r="G1902" s="246">
        <v>61900</v>
      </c>
      <c r="H1902" s="246">
        <v>70750</v>
      </c>
      <c r="I1902" s="246">
        <v>79600</v>
      </c>
      <c r="J1902" s="246">
        <v>88400</v>
      </c>
      <c r="K1902" s="246">
        <v>95500</v>
      </c>
      <c r="L1902" s="246">
        <v>102550</v>
      </c>
      <c r="M1902" s="246">
        <v>109650</v>
      </c>
      <c r="N1902" s="246">
        <v>116700</v>
      </c>
    </row>
    <row r="1903" spans="3:14" ht="21.95" customHeight="1" x14ac:dyDescent="0.25">
      <c r="C1903" s="139" t="str">
        <f t="shared" si="45"/>
        <v>NH_COOS COUNTY, NH</v>
      </c>
      <c r="D1903" s="136" t="s">
        <v>76</v>
      </c>
      <c r="E1903" s="262" t="s">
        <v>4465</v>
      </c>
      <c r="F1903" s="136" t="s">
        <v>183</v>
      </c>
      <c r="G1903" s="246">
        <v>61900</v>
      </c>
      <c r="H1903" s="246">
        <v>70750</v>
      </c>
      <c r="I1903" s="246">
        <v>79600</v>
      </c>
      <c r="J1903" s="246">
        <v>88400</v>
      </c>
      <c r="K1903" s="246">
        <v>95500</v>
      </c>
      <c r="L1903" s="246">
        <v>102550</v>
      </c>
      <c r="M1903" s="246">
        <v>109650</v>
      </c>
      <c r="N1903" s="246">
        <v>116700</v>
      </c>
    </row>
    <row r="1904" spans="3:14" ht="21.95" customHeight="1" x14ac:dyDescent="0.25">
      <c r="C1904" s="139" t="str">
        <f t="shared" si="45"/>
        <v>NH_GRAFTON COUNTY, NH</v>
      </c>
      <c r="D1904" s="136" t="s">
        <v>76</v>
      </c>
      <c r="E1904" s="262" t="s">
        <v>4466</v>
      </c>
      <c r="F1904" s="136" t="s">
        <v>183</v>
      </c>
      <c r="G1904" s="246">
        <v>61900</v>
      </c>
      <c r="H1904" s="246">
        <v>70750</v>
      </c>
      <c r="I1904" s="246">
        <v>79600</v>
      </c>
      <c r="J1904" s="246">
        <v>88400</v>
      </c>
      <c r="K1904" s="246">
        <v>95500</v>
      </c>
      <c r="L1904" s="246">
        <v>102550</v>
      </c>
      <c r="M1904" s="246">
        <v>109650</v>
      </c>
      <c r="N1904" s="246">
        <v>116700</v>
      </c>
    </row>
    <row r="1905" spans="3:14" ht="21.95" customHeight="1" x14ac:dyDescent="0.25">
      <c r="C1905" s="139" t="str">
        <f t="shared" si="45"/>
        <v>NH_HILLSBOROUGH COUNTY, NH (PART) HUD METRO FMR AREA</v>
      </c>
      <c r="D1905" s="136" t="s">
        <v>76</v>
      </c>
      <c r="E1905" s="262" t="s">
        <v>4467</v>
      </c>
      <c r="F1905" s="136" t="s">
        <v>183</v>
      </c>
      <c r="G1905" s="246">
        <v>67950</v>
      </c>
      <c r="H1905" s="246">
        <v>77650</v>
      </c>
      <c r="I1905" s="246">
        <v>87350</v>
      </c>
      <c r="J1905" s="246">
        <v>97050</v>
      </c>
      <c r="K1905" s="246">
        <v>104850</v>
      </c>
      <c r="L1905" s="246">
        <v>112600</v>
      </c>
      <c r="M1905" s="246">
        <v>120350</v>
      </c>
      <c r="N1905" s="246">
        <v>128150</v>
      </c>
    </row>
    <row r="1906" spans="3:14" ht="21.95" customHeight="1" x14ac:dyDescent="0.25">
      <c r="C1906" s="139" t="str">
        <f t="shared" si="45"/>
        <v>NH_LAWRENCE, MA-NH HUD METRO FMR AREA</v>
      </c>
      <c r="D1906" s="136" t="s">
        <v>76</v>
      </c>
      <c r="E1906" s="262" t="s">
        <v>3871</v>
      </c>
      <c r="F1906" s="136" t="s">
        <v>183</v>
      </c>
      <c r="G1906" s="246">
        <v>72950</v>
      </c>
      <c r="H1906" s="246">
        <v>83400</v>
      </c>
      <c r="I1906" s="246">
        <v>93800</v>
      </c>
      <c r="J1906" s="246">
        <v>104200</v>
      </c>
      <c r="K1906" s="246">
        <v>112550</v>
      </c>
      <c r="L1906" s="246">
        <v>120900</v>
      </c>
      <c r="M1906" s="246">
        <v>129250</v>
      </c>
      <c r="N1906" s="246">
        <v>137550</v>
      </c>
    </row>
    <row r="1907" spans="3:14" ht="21.95" customHeight="1" x14ac:dyDescent="0.25">
      <c r="C1907" s="139" t="str">
        <f t="shared" si="45"/>
        <v>NH_MANCHESTER, NH HUD METRO FMR AREA</v>
      </c>
      <c r="D1907" s="136" t="s">
        <v>76</v>
      </c>
      <c r="E1907" s="262" t="s">
        <v>4468</v>
      </c>
      <c r="F1907" s="136" t="s">
        <v>183</v>
      </c>
      <c r="G1907" s="246">
        <v>68800</v>
      </c>
      <c r="H1907" s="246">
        <v>78600</v>
      </c>
      <c r="I1907" s="246">
        <v>88450</v>
      </c>
      <c r="J1907" s="246">
        <v>98250</v>
      </c>
      <c r="K1907" s="246">
        <v>106150</v>
      </c>
      <c r="L1907" s="246">
        <v>114000</v>
      </c>
      <c r="M1907" s="246">
        <v>121850</v>
      </c>
      <c r="N1907" s="246">
        <v>129700</v>
      </c>
    </row>
    <row r="1908" spans="3:14" ht="21.95" customHeight="1" x14ac:dyDescent="0.25">
      <c r="C1908" s="139" t="str">
        <f t="shared" si="45"/>
        <v>NH_MERRIMACK COUNTY, NH</v>
      </c>
      <c r="D1908" s="136" t="s">
        <v>76</v>
      </c>
      <c r="E1908" s="262" t="s">
        <v>4469</v>
      </c>
      <c r="F1908" s="136" t="s">
        <v>183</v>
      </c>
      <c r="G1908" s="246">
        <v>69400</v>
      </c>
      <c r="H1908" s="246">
        <v>79300</v>
      </c>
      <c r="I1908" s="246">
        <v>89200</v>
      </c>
      <c r="J1908" s="246">
        <v>99100</v>
      </c>
      <c r="K1908" s="246">
        <v>107050</v>
      </c>
      <c r="L1908" s="246">
        <v>115000</v>
      </c>
      <c r="M1908" s="246">
        <v>122900</v>
      </c>
      <c r="N1908" s="246">
        <v>130850</v>
      </c>
    </row>
    <row r="1909" spans="3:14" ht="21.95" customHeight="1" x14ac:dyDescent="0.25">
      <c r="C1909" s="139" t="str">
        <f t="shared" si="45"/>
        <v>NH_NASHUA, NH HUD METRO FMR AREA</v>
      </c>
      <c r="D1909" s="136" t="s">
        <v>76</v>
      </c>
      <c r="E1909" s="262" t="s">
        <v>4470</v>
      </c>
      <c r="F1909" s="136" t="s">
        <v>183</v>
      </c>
      <c r="G1909" s="246">
        <v>72950</v>
      </c>
      <c r="H1909" s="246">
        <v>83400</v>
      </c>
      <c r="I1909" s="246">
        <v>93800</v>
      </c>
      <c r="J1909" s="246">
        <v>104200</v>
      </c>
      <c r="K1909" s="246">
        <v>112550</v>
      </c>
      <c r="L1909" s="246">
        <v>120900</v>
      </c>
      <c r="M1909" s="246">
        <v>129250</v>
      </c>
      <c r="N1909" s="246">
        <v>137550</v>
      </c>
    </row>
    <row r="1910" spans="3:14" ht="21.95" customHeight="1" x14ac:dyDescent="0.25">
      <c r="C1910" s="139" t="str">
        <f t="shared" si="45"/>
        <v>NH_PORTSMOUTH-ROCHESTER, NH HUD METRO FMR AREA</v>
      </c>
      <c r="D1910" s="136" t="s">
        <v>76</v>
      </c>
      <c r="E1910" s="262" t="s">
        <v>4471</v>
      </c>
      <c r="F1910" s="136" t="s">
        <v>183</v>
      </c>
      <c r="G1910" s="246">
        <v>72950</v>
      </c>
      <c r="H1910" s="246">
        <v>83400</v>
      </c>
      <c r="I1910" s="246">
        <v>93800</v>
      </c>
      <c r="J1910" s="246">
        <v>104200</v>
      </c>
      <c r="K1910" s="246">
        <v>112550</v>
      </c>
      <c r="L1910" s="246">
        <v>120900</v>
      </c>
      <c r="M1910" s="246">
        <v>129250</v>
      </c>
      <c r="N1910" s="246">
        <v>137550</v>
      </c>
    </row>
    <row r="1911" spans="3:14" ht="21.95" customHeight="1" x14ac:dyDescent="0.25">
      <c r="C1911" s="139" t="str">
        <f t="shared" si="45"/>
        <v>NH_SULLIVAN COUNTY, NH</v>
      </c>
      <c r="D1911" s="136" t="s">
        <v>76</v>
      </c>
      <c r="E1911" s="262" t="s">
        <v>4472</v>
      </c>
      <c r="F1911" s="136" t="s">
        <v>183</v>
      </c>
      <c r="G1911" s="246">
        <v>61900</v>
      </c>
      <c r="H1911" s="246">
        <v>70750</v>
      </c>
      <c r="I1911" s="246">
        <v>79600</v>
      </c>
      <c r="J1911" s="246">
        <v>88400</v>
      </c>
      <c r="K1911" s="246">
        <v>95500</v>
      </c>
      <c r="L1911" s="246">
        <v>102550</v>
      </c>
      <c r="M1911" s="246">
        <v>109650</v>
      </c>
      <c r="N1911" s="246">
        <v>116700</v>
      </c>
    </row>
    <row r="1912" spans="3:14" ht="21.95" customHeight="1" x14ac:dyDescent="0.25">
      <c r="C1912" s="139" t="str">
        <f t="shared" si="45"/>
        <v>NH_WESTERN ROCKINGHAM COUNTY, NH HUD METRO FMR AREA</v>
      </c>
      <c r="D1912" s="136" t="s">
        <v>76</v>
      </c>
      <c r="E1912" s="262" t="s">
        <v>4473</v>
      </c>
      <c r="F1912" s="136" t="s">
        <v>183</v>
      </c>
      <c r="G1912" s="246">
        <v>72950</v>
      </c>
      <c r="H1912" s="246">
        <v>83400</v>
      </c>
      <c r="I1912" s="246">
        <v>93800</v>
      </c>
      <c r="J1912" s="246">
        <v>104200</v>
      </c>
      <c r="K1912" s="246">
        <v>112550</v>
      </c>
      <c r="L1912" s="246">
        <v>120900</v>
      </c>
      <c r="M1912" s="246">
        <v>129250</v>
      </c>
      <c r="N1912" s="246">
        <v>137550</v>
      </c>
    </row>
    <row r="1913" spans="3:14" ht="21.95" customHeight="1" x14ac:dyDescent="0.25">
      <c r="C1913" s="139" t="str">
        <f t="shared" si="45"/>
        <v>NM_ALBUQUERQUE, NM MSA</v>
      </c>
      <c r="D1913" s="136" t="s">
        <v>74</v>
      </c>
      <c r="E1913" s="262" t="s">
        <v>4474</v>
      </c>
      <c r="F1913" s="136" t="s">
        <v>183</v>
      </c>
      <c r="G1913" s="246">
        <v>51200</v>
      </c>
      <c r="H1913" s="246">
        <v>58500</v>
      </c>
      <c r="I1913" s="246">
        <v>65800</v>
      </c>
      <c r="J1913" s="246">
        <v>73100</v>
      </c>
      <c r="K1913" s="246">
        <v>78950</v>
      </c>
      <c r="L1913" s="246">
        <v>84800</v>
      </c>
      <c r="M1913" s="246">
        <v>90650</v>
      </c>
      <c r="N1913" s="246">
        <v>96500</v>
      </c>
    </row>
    <row r="1914" spans="3:14" ht="21.95" customHeight="1" x14ac:dyDescent="0.25">
      <c r="C1914" s="139" t="str">
        <f t="shared" si="45"/>
        <v>NM_CATRON COUNTY, NM</v>
      </c>
      <c r="D1914" s="136" t="s">
        <v>74</v>
      </c>
      <c r="E1914" s="262" t="s">
        <v>4475</v>
      </c>
      <c r="F1914" s="136" t="s">
        <v>183</v>
      </c>
      <c r="G1914" s="246">
        <v>38550</v>
      </c>
      <c r="H1914" s="246">
        <v>44050</v>
      </c>
      <c r="I1914" s="246">
        <v>49550</v>
      </c>
      <c r="J1914" s="246">
        <v>55050</v>
      </c>
      <c r="K1914" s="246">
        <v>59500</v>
      </c>
      <c r="L1914" s="246">
        <v>63900</v>
      </c>
      <c r="M1914" s="246">
        <v>68300</v>
      </c>
      <c r="N1914" s="246">
        <v>72700</v>
      </c>
    </row>
    <row r="1915" spans="3:14" ht="21.95" customHeight="1" x14ac:dyDescent="0.25">
      <c r="C1915" s="139" t="str">
        <f t="shared" si="45"/>
        <v>NM_CHAVES COUNTY, NM</v>
      </c>
      <c r="D1915" s="136" t="s">
        <v>74</v>
      </c>
      <c r="E1915" s="262" t="s">
        <v>4476</v>
      </c>
      <c r="F1915" s="136" t="s">
        <v>183</v>
      </c>
      <c r="G1915" s="246">
        <v>38550</v>
      </c>
      <c r="H1915" s="246">
        <v>44050</v>
      </c>
      <c r="I1915" s="246">
        <v>49550</v>
      </c>
      <c r="J1915" s="246">
        <v>55050</v>
      </c>
      <c r="K1915" s="246">
        <v>59500</v>
      </c>
      <c r="L1915" s="246">
        <v>63900</v>
      </c>
      <c r="M1915" s="246">
        <v>68300</v>
      </c>
      <c r="N1915" s="246">
        <v>72700</v>
      </c>
    </row>
    <row r="1916" spans="3:14" ht="21.95" customHeight="1" x14ac:dyDescent="0.25">
      <c r="C1916" s="139" t="str">
        <f t="shared" si="45"/>
        <v>NM_CIBOLA COUNTY, NM</v>
      </c>
      <c r="D1916" s="136" t="s">
        <v>74</v>
      </c>
      <c r="E1916" s="262" t="s">
        <v>4477</v>
      </c>
      <c r="F1916" s="136" t="s">
        <v>183</v>
      </c>
      <c r="G1916" s="246">
        <v>38850</v>
      </c>
      <c r="H1916" s="246">
        <v>44400</v>
      </c>
      <c r="I1916" s="246">
        <v>49950</v>
      </c>
      <c r="J1916" s="246">
        <v>55450</v>
      </c>
      <c r="K1916" s="246">
        <v>59900</v>
      </c>
      <c r="L1916" s="246">
        <v>64350</v>
      </c>
      <c r="M1916" s="246">
        <v>68800</v>
      </c>
      <c r="N1916" s="246">
        <v>73200</v>
      </c>
    </row>
    <row r="1917" spans="3:14" ht="21.95" customHeight="1" x14ac:dyDescent="0.25">
      <c r="C1917" s="139" t="str">
        <f t="shared" si="45"/>
        <v>NM_COLFAX COUNTY, NM</v>
      </c>
      <c r="D1917" s="136" t="s">
        <v>74</v>
      </c>
      <c r="E1917" s="262" t="s">
        <v>4478</v>
      </c>
      <c r="F1917" s="136" t="s">
        <v>183</v>
      </c>
      <c r="G1917" s="246">
        <v>39400</v>
      </c>
      <c r="H1917" s="246">
        <v>45000</v>
      </c>
      <c r="I1917" s="246">
        <v>50650</v>
      </c>
      <c r="J1917" s="246">
        <v>56250</v>
      </c>
      <c r="K1917" s="246">
        <v>60750</v>
      </c>
      <c r="L1917" s="246">
        <v>65250</v>
      </c>
      <c r="M1917" s="246">
        <v>69750</v>
      </c>
      <c r="N1917" s="246">
        <v>74250</v>
      </c>
    </row>
    <row r="1918" spans="3:14" ht="21.95" customHeight="1" x14ac:dyDescent="0.25">
      <c r="C1918" s="139" t="str">
        <f t="shared" si="45"/>
        <v>NM_CURRY COUNTY, NM</v>
      </c>
      <c r="D1918" s="136" t="s">
        <v>74</v>
      </c>
      <c r="E1918" s="262" t="s">
        <v>4479</v>
      </c>
      <c r="F1918" s="136" t="s">
        <v>183</v>
      </c>
      <c r="G1918" s="246">
        <v>41200</v>
      </c>
      <c r="H1918" s="246">
        <v>47050</v>
      </c>
      <c r="I1918" s="246">
        <v>52950</v>
      </c>
      <c r="J1918" s="246">
        <v>58800</v>
      </c>
      <c r="K1918" s="246">
        <v>63550</v>
      </c>
      <c r="L1918" s="246">
        <v>68250</v>
      </c>
      <c r="M1918" s="246">
        <v>72950</v>
      </c>
      <c r="N1918" s="246">
        <v>77650</v>
      </c>
    </row>
    <row r="1919" spans="3:14" ht="21.95" customHeight="1" x14ac:dyDescent="0.25">
      <c r="C1919" s="139" t="str">
        <f t="shared" si="45"/>
        <v>NM_DE BACA COUNTY, NM</v>
      </c>
      <c r="D1919" s="136" t="s">
        <v>74</v>
      </c>
      <c r="E1919" s="262" t="s">
        <v>4480</v>
      </c>
      <c r="F1919" s="136" t="s">
        <v>183</v>
      </c>
      <c r="G1919" s="246">
        <v>45850</v>
      </c>
      <c r="H1919" s="246">
        <v>52400</v>
      </c>
      <c r="I1919" s="246">
        <v>58950</v>
      </c>
      <c r="J1919" s="246">
        <v>65450</v>
      </c>
      <c r="K1919" s="246">
        <v>70700</v>
      </c>
      <c r="L1919" s="246">
        <v>75950</v>
      </c>
      <c r="M1919" s="246">
        <v>81200</v>
      </c>
      <c r="N1919" s="246">
        <v>86400</v>
      </c>
    </row>
    <row r="1920" spans="3:14" ht="21.95" customHeight="1" x14ac:dyDescent="0.25">
      <c r="C1920" s="139" t="str">
        <f t="shared" ref="C1920:C1983" si="46">TRIM(UPPER(D1920))&amp;"_"&amp;TRIM(UPPER(E1920))</f>
        <v>NM_EDDY COUNTY, NM</v>
      </c>
      <c r="D1920" s="136" t="s">
        <v>74</v>
      </c>
      <c r="E1920" s="262" t="s">
        <v>4481</v>
      </c>
      <c r="F1920" s="136" t="s">
        <v>183</v>
      </c>
      <c r="G1920" s="246">
        <v>58050</v>
      </c>
      <c r="H1920" s="246">
        <v>66350</v>
      </c>
      <c r="I1920" s="246">
        <v>74650</v>
      </c>
      <c r="J1920" s="246">
        <v>82900</v>
      </c>
      <c r="K1920" s="246">
        <v>89550</v>
      </c>
      <c r="L1920" s="246">
        <v>96200</v>
      </c>
      <c r="M1920" s="246">
        <v>102800</v>
      </c>
      <c r="N1920" s="246">
        <v>109450</v>
      </c>
    </row>
    <row r="1921" spans="3:14" ht="21.95" customHeight="1" x14ac:dyDescent="0.25">
      <c r="C1921" s="139" t="str">
        <f t="shared" si="46"/>
        <v>NM_FARMINGTON, NM MSA</v>
      </c>
      <c r="D1921" s="136" t="s">
        <v>74</v>
      </c>
      <c r="E1921" s="262" t="s">
        <v>4482</v>
      </c>
      <c r="F1921" s="136" t="s">
        <v>183</v>
      </c>
      <c r="G1921" s="246">
        <v>42350</v>
      </c>
      <c r="H1921" s="246">
        <v>48400</v>
      </c>
      <c r="I1921" s="246">
        <v>54450</v>
      </c>
      <c r="J1921" s="246">
        <v>60500</v>
      </c>
      <c r="K1921" s="246">
        <v>65350</v>
      </c>
      <c r="L1921" s="246">
        <v>70200</v>
      </c>
      <c r="M1921" s="246">
        <v>75050</v>
      </c>
      <c r="N1921" s="246">
        <v>79900</v>
      </c>
    </row>
    <row r="1922" spans="3:14" ht="21.95" customHeight="1" x14ac:dyDescent="0.25">
      <c r="C1922" s="139" t="str">
        <f t="shared" si="46"/>
        <v>NM_GRANT COUNTY, NM</v>
      </c>
      <c r="D1922" s="136" t="s">
        <v>74</v>
      </c>
      <c r="E1922" s="262" t="s">
        <v>4483</v>
      </c>
      <c r="F1922" s="136" t="s">
        <v>183</v>
      </c>
      <c r="G1922" s="246">
        <v>43850</v>
      </c>
      <c r="H1922" s="246">
        <v>50100</v>
      </c>
      <c r="I1922" s="246">
        <v>56350</v>
      </c>
      <c r="J1922" s="246">
        <v>62600</v>
      </c>
      <c r="K1922" s="246">
        <v>67650</v>
      </c>
      <c r="L1922" s="246">
        <v>72650</v>
      </c>
      <c r="M1922" s="246">
        <v>77650</v>
      </c>
      <c r="N1922" s="246">
        <v>82650</v>
      </c>
    </row>
    <row r="1923" spans="3:14" ht="21.95" customHeight="1" x14ac:dyDescent="0.25">
      <c r="C1923" s="139" t="str">
        <f t="shared" si="46"/>
        <v>NM_GUADALUPE COUNTY, NM</v>
      </c>
      <c r="D1923" s="136" t="s">
        <v>74</v>
      </c>
      <c r="E1923" s="262" t="s">
        <v>4484</v>
      </c>
      <c r="F1923" s="136" t="s">
        <v>183</v>
      </c>
      <c r="G1923" s="246">
        <v>38550</v>
      </c>
      <c r="H1923" s="246">
        <v>44050</v>
      </c>
      <c r="I1923" s="246">
        <v>49550</v>
      </c>
      <c r="J1923" s="246">
        <v>55050</v>
      </c>
      <c r="K1923" s="246">
        <v>59500</v>
      </c>
      <c r="L1923" s="246">
        <v>63900</v>
      </c>
      <c r="M1923" s="246">
        <v>68300</v>
      </c>
      <c r="N1923" s="246">
        <v>72700</v>
      </c>
    </row>
    <row r="1924" spans="3:14" ht="21.95" customHeight="1" x14ac:dyDescent="0.25">
      <c r="C1924" s="139" t="str">
        <f t="shared" si="46"/>
        <v>NM_HARDING COUNTY, NM</v>
      </c>
      <c r="D1924" s="136" t="s">
        <v>74</v>
      </c>
      <c r="E1924" s="262" t="s">
        <v>4485</v>
      </c>
      <c r="F1924" s="136" t="s">
        <v>183</v>
      </c>
      <c r="G1924" s="246">
        <v>43400</v>
      </c>
      <c r="H1924" s="246">
        <v>49600</v>
      </c>
      <c r="I1924" s="246">
        <v>55800</v>
      </c>
      <c r="J1924" s="246">
        <v>62000</v>
      </c>
      <c r="K1924" s="246">
        <v>67000</v>
      </c>
      <c r="L1924" s="246">
        <v>71950</v>
      </c>
      <c r="M1924" s="246">
        <v>76900</v>
      </c>
      <c r="N1924" s="246">
        <v>81850</v>
      </c>
    </row>
    <row r="1925" spans="3:14" ht="21.95" customHeight="1" x14ac:dyDescent="0.25">
      <c r="C1925" s="139" t="str">
        <f t="shared" si="46"/>
        <v>NM_HIDALGO COUNTY, NM</v>
      </c>
      <c r="D1925" s="136" t="s">
        <v>74</v>
      </c>
      <c r="E1925" s="262" t="s">
        <v>4486</v>
      </c>
      <c r="F1925" s="136" t="s">
        <v>183</v>
      </c>
      <c r="G1925" s="246">
        <v>39700</v>
      </c>
      <c r="H1925" s="246">
        <v>45400</v>
      </c>
      <c r="I1925" s="246">
        <v>51050</v>
      </c>
      <c r="J1925" s="246">
        <v>56700</v>
      </c>
      <c r="K1925" s="246">
        <v>61250</v>
      </c>
      <c r="L1925" s="246">
        <v>65800</v>
      </c>
      <c r="M1925" s="246">
        <v>70350</v>
      </c>
      <c r="N1925" s="246">
        <v>74850</v>
      </c>
    </row>
    <row r="1926" spans="3:14" ht="21.95" customHeight="1" x14ac:dyDescent="0.25">
      <c r="C1926" s="139" t="str">
        <f t="shared" si="46"/>
        <v>NM_LAS CRUCES, NM MSA</v>
      </c>
      <c r="D1926" s="136" t="s">
        <v>74</v>
      </c>
      <c r="E1926" s="262" t="s">
        <v>4487</v>
      </c>
      <c r="F1926" s="136" t="s">
        <v>183</v>
      </c>
      <c r="G1926" s="246">
        <v>39600</v>
      </c>
      <c r="H1926" s="246">
        <v>45250</v>
      </c>
      <c r="I1926" s="246">
        <v>50900</v>
      </c>
      <c r="J1926" s="246">
        <v>56550</v>
      </c>
      <c r="K1926" s="246">
        <v>61100</v>
      </c>
      <c r="L1926" s="246">
        <v>65600</v>
      </c>
      <c r="M1926" s="246">
        <v>70150</v>
      </c>
      <c r="N1926" s="246">
        <v>74650</v>
      </c>
    </row>
    <row r="1927" spans="3:14" ht="21.95" customHeight="1" x14ac:dyDescent="0.25">
      <c r="C1927" s="139" t="str">
        <f t="shared" si="46"/>
        <v>NM_LEA COUNTY, NM</v>
      </c>
      <c r="D1927" s="136" t="s">
        <v>74</v>
      </c>
      <c r="E1927" s="262" t="s">
        <v>4488</v>
      </c>
      <c r="F1927" s="136" t="s">
        <v>183</v>
      </c>
      <c r="G1927" s="246">
        <v>44750</v>
      </c>
      <c r="H1927" s="246">
        <v>51150</v>
      </c>
      <c r="I1927" s="246">
        <v>57550</v>
      </c>
      <c r="J1927" s="246">
        <v>63900</v>
      </c>
      <c r="K1927" s="246">
        <v>69050</v>
      </c>
      <c r="L1927" s="246">
        <v>74150</v>
      </c>
      <c r="M1927" s="246">
        <v>79250</v>
      </c>
      <c r="N1927" s="246">
        <v>84350</v>
      </c>
    </row>
    <row r="1928" spans="3:14" ht="21.95" customHeight="1" x14ac:dyDescent="0.25">
      <c r="C1928" s="139" t="str">
        <f t="shared" si="46"/>
        <v>NM_LINCOLN COUNTY, NM</v>
      </c>
      <c r="D1928" s="136" t="s">
        <v>74</v>
      </c>
      <c r="E1928" s="262" t="s">
        <v>4489</v>
      </c>
      <c r="F1928" s="136" t="s">
        <v>183</v>
      </c>
      <c r="G1928" s="246">
        <v>42250</v>
      </c>
      <c r="H1928" s="246">
        <v>48250</v>
      </c>
      <c r="I1928" s="246">
        <v>54300</v>
      </c>
      <c r="J1928" s="246">
        <v>60300</v>
      </c>
      <c r="K1928" s="246">
        <v>65150</v>
      </c>
      <c r="L1928" s="246">
        <v>69950</v>
      </c>
      <c r="M1928" s="246">
        <v>74800</v>
      </c>
      <c r="N1928" s="246">
        <v>79600</v>
      </c>
    </row>
    <row r="1929" spans="3:14" ht="21.95" customHeight="1" x14ac:dyDescent="0.25">
      <c r="C1929" s="139" t="str">
        <f t="shared" si="46"/>
        <v>NM_LOS ALAMOS COUNTY, NM</v>
      </c>
      <c r="D1929" s="136" t="s">
        <v>74</v>
      </c>
      <c r="E1929" s="262" t="s">
        <v>4490</v>
      </c>
      <c r="F1929" s="136" t="s">
        <v>183</v>
      </c>
      <c r="G1929" s="246">
        <v>72950</v>
      </c>
      <c r="H1929" s="246">
        <v>83400</v>
      </c>
      <c r="I1929" s="246">
        <v>93800</v>
      </c>
      <c r="J1929" s="246">
        <v>104200</v>
      </c>
      <c r="K1929" s="246">
        <v>112550</v>
      </c>
      <c r="L1929" s="246">
        <v>120900</v>
      </c>
      <c r="M1929" s="246">
        <v>129250</v>
      </c>
      <c r="N1929" s="246">
        <v>137550</v>
      </c>
    </row>
    <row r="1930" spans="3:14" ht="21.95" customHeight="1" x14ac:dyDescent="0.25">
      <c r="C1930" s="139" t="str">
        <f t="shared" si="46"/>
        <v>NM_LUNA COUNTY, NM</v>
      </c>
      <c r="D1930" s="136" t="s">
        <v>74</v>
      </c>
      <c r="E1930" s="262" t="s">
        <v>4491</v>
      </c>
      <c r="F1930" s="136" t="s">
        <v>183</v>
      </c>
      <c r="G1930" s="246">
        <v>38550</v>
      </c>
      <c r="H1930" s="246">
        <v>44050</v>
      </c>
      <c r="I1930" s="246">
        <v>49550</v>
      </c>
      <c r="J1930" s="246">
        <v>55050</v>
      </c>
      <c r="K1930" s="246">
        <v>59500</v>
      </c>
      <c r="L1930" s="246">
        <v>63900</v>
      </c>
      <c r="M1930" s="246">
        <v>68300</v>
      </c>
      <c r="N1930" s="246">
        <v>72700</v>
      </c>
    </row>
    <row r="1931" spans="3:14" ht="21.95" customHeight="1" x14ac:dyDescent="0.25">
      <c r="C1931" s="139" t="str">
        <f t="shared" si="46"/>
        <v>NM_MCKINLEY COUNTY, NM</v>
      </c>
      <c r="D1931" s="136" t="s">
        <v>74</v>
      </c>
      <c r="E1931" s="262" t="s">
        <v>4492</v>
      </c>
      <c r="F1931" s="136" t="s">
        <v>183</v>
      </c>
      <c r="G1931" s="246">
        <v>38550</v>
      </c>
      <c r="H1931" s="246">
        <v>44050</v>
      </c>
      <c r="I1931" s="246">
        <v>49550</v>
      </c>
      <c r="J1931" s="246">
        <v>55050</v>
      </c>
      <c r="K1931" s="246">
        <v>59500</v>
      </c>
      <c r="L1931" s="246">
        <v>63900</v>
      </c>
      <c r="M1931" s="246">
        <v>68300</v>
      </c>
      <c r="N1931" s="246">
        <v>72700</v>
      </c>
    </row>
    <row r="1932" spans="3:14" ht="21.95" customHeight="1" x14ac:dyDescent="0.25">
      <c r="C1932" s="139" t="str">
        <f t="shared" si="46"/>
        <v>NM_MORA COUNTY, NM</v>
      </c>
      <c r="D1932" s="136" t="s">
        <v>74</v>
      </c>
      <c r="E1932" s="262" t="s">
        <v>4493</v>
      </c>
      <c r="F1932" s="136" t="s">
        <v>183</v>
      </c>
      <c r="G1932" s="246">
        <v>38550</v>
      </c>
      <c r="H1932" s="246">
        <v>44050</v>
      </c>
      <c r="I1932" s="246">
        <v>49550</v>
      </c>
      <c r="J1932" s="246">
        <v>55050</v>
      </c>
      <c r="K1932" s="246">
        <v>59500</v>
      </c>
      <c r="L1932" s="246">
        <v>63900</v>
      </c>
      <c r="M1932" s="246">
        <v>68300</v>
      </c>
      <c r="N1932" s="246">
        <v>72700</v>
      </c>
    </row>
    <row r="1933" spans="3:14" ht="21.95" customHeight="1" x14ac:dyDescent="0.25">
      <c r="C1933" s="139" t="str">
        <f t="shared" si="46"/>
        <v>NM_OTERO COUNTY, NM</v>
      </c>
      <c r="D1933" s="136" t="s">
        <v>74</v>
      </c>
      <c r="E1933" s="262" t="s">
        <v>4494</v>
      </c>
      <c r="F1933" s="136" t="s">
        <v>183</v>
      </c>
      <c r="G1933" s="246">
        <v>38550</v>
      </c>
      <c r="H1933" s="246">
        <v>44050</v>
      </c>
      <c r="I1933" s="246">
        <v>49550</v>
      </c>
      <c r="J1933" s="246">
        <v>55050</v>
      </c>
      <c r="K1933" s="246">
        <v>59500</v>
      </c>
      <c r="L1933" s="246">
        <v>63900</v>
      </c>
      <c r="M1933" s="246">
        <v>68300</v>
      </c>
      <c r="N1933" s="246">
        <v>72700</v>
      </c>
    </row>
    <row r="1934" spans="3:14" ht="21.95" customHeight="1" x14ac:dyDescent="0.25">
      <c r="C1934" s="139" t="str">
        <f t="shared" si="46"/>
        <v>NM_QUAY COUNTY, NM</v>
      </c>
      <c r="D1934" s="136" t="s">
        <v>74</v>
      </c>
      <c r="E1934" s="262" t="s">
        <v>4495</v>
      </c>
      <c r="F1934" s="136" t="s">
        <v>183</v>
      </c>
      <c r="G1934" s="246">
        <v>38550</v>
      </c>
      <c r="H1934" s="246">
        <v>44050</v>
      </c>
      <c r="I1934" s="246">
        <v>49550</v>
      </c>
      <c r="J1934" s="246">
        <v>55050</v>
      </c>
      <c r="K1934" s="246">
        <v>59500</v>
      </c>
      <c r="L1934" s="246">
        <v>63900</v>
      </c>
      <c r="M1934" s="246">
        <v>68300</v>
      </c>
      <c r="N1934" s="246">
        <v>72700</v>
      </c>
    </row>
    <row r="1935" spans="3:14" ht="21.95" customHeight="1" x14ac:dyDescent="0.25">
      <c r="C1935" s="139" t="str">
        <f t="shared" si="46"/>
        <v>NM_RIO ARRIBA COUNTY, NM</v>
      </c>
      <c r="D1935" s="136" t="s">
        <v>74</v>
      </c>
      <c r="E1935" s="262" t="s">
        <v>4496</v>
      </c>
      <c r="F1935" s="136" t="s">
        <v>183</v>
      </c>
      <c r="G1935" s="246">
        <v>41950</v>
      </c>
      <c r="H1935" s="246">
        <v>47950</v>
      </c>
      <c r="I1935" s="246">
        <v>53950</v>
      </c>
      <c r="J1935" s="246">
        <v>59900</v>
      </c>
      <c r="K1935" s="246">
        <v>64700</v>
      </c>
      <c r="L1935" s="246">
        <v>69500</v>
      </c>
      <c r="M1935" s="246">
        <v>74300</v>
      </c>
      <c r="N1935" s="246">
        <v>79100</v>
      </c>
    </row>
    <row r="1936" spans="3:14" ht="21.95" customHeight="1" x14ac:dyDescent="0.25">
      <c r="C1936" s="139" t="str">
        <f t="shared" si="46"/>
        <v>NM_ROOSEVELT COUNTY, NM</v>
      </c>
      <c r="D1936" s="136" t="s">
        <v>74</v>
      </c>
      <c r="E1936" s="262" t="s">
        <v>4497</v>
      </c>
      <c r="F1936" s="136" t="s">
        <v>183</v>
      </c>
      <c r="G1936" s="246">
        <v>40400</v>
      </c>
      <c r="H1936" s="246">
        <v>46200</v>
      </c>
      <c r="I1936" s="246">
        <v>51950</v>
      </c>
      <c r="J1936" s="246">
        <v>57700</v>
      </c>
      <c r="K1936" s="246">
        <v>62350</v>
      </c>
      <c r="L1936" s="246">
        <v>66950</v>
      </c>
      <c r="M1936" s="246">
        <v>71550</v>
      </c>
      <c r="N1936" s="246">
        <v>76200</v>
      </c>
    </row>
    <row r="1937" spans="3:14" ht="21.95" customHeight="1" x14ac:dyDescent="0.25">
      <c r="C1937" s="139" t="str">
        <f t="shared" si="46"/>
        <v>NM_SAN MIGUEL COUNTY, NM</v>
      </c>
      <c r="D1937" s="136" t="s">
        <v>74</v>
      </c>
      <c r="E1937" s="262" t="s">
        <v>4498</v>
      </c>
      <c r="F1937" s="136" t="s">
        <v>183</v>
      </c>
      <c r="G1937" s="246">
        <v>38550</v>
      </c>
      <c r="H1937" s="246">
        <v>44050</v>
      </c>
      <c r="I1937" s="246">
        <v>49550</v>
      </c>
      <c r="J1937" s="246">
        <v>55050</v>
      </c>
      <c r="K1937" s="246">
        <v>59500</v>
      </c>
      <c r="L1937" s="246">
        <v>63900</v>
      </c>
      <c r="M1937" s="246">
        <v>68300</v>
      </c>
      <c r="N1937" s="246">
        <v>72700</v>
      </c>
    </row>
    <row r="1938" spans="3:14" ht="21.95" customHeight="1" x14ac:dyDescent="0.25">
      <c r="C1938" s="139" t="str">
        <f t="shared" si="46"/>
        <v>NM_SANTA FE, NM MSA</v>
      </c>
      <c r="D1938" s="136" t="s">
        <v>74</v>
      </c>
      <c r="E1938" s="262" t="s">
        <v>4499</v>
      </c>
      <c r="F1938" s="136" t="s">
        <v>183</v>
      </c>
      <c r="G1938" s="246">
        <v>55750</v>
      </c>
      <c r="H1938" s="246">
        <v>63700</v>
      </c>
      <c r="I1938" s="246">
        <v>71650</v>
      </c>
      <c r="J1938" s="246">
        <v>79600</v>
      </c>
      <c r="K1938" s="246">
        <v>86000</v>
      </c>
      <c r="L1938" s="246">
        <v>92350</v>
      </c>
      <c r="M1938" s="246">
        <v>98750</v>
      </c>
      <c r="N1938" s="246">
        <v>105100</v>
      </c>
    </row>
    <row r="1939" spans="3:14" ht="21.95" customHeight="1" x14ac:dyDescent="0.25">
      <c r="C1939" s="139" t="str">
        <f t="shared" si="46"/>
        <v>NM_SIERRA COUNTY, NM</v>
      </c>
      <c r="D1939" s="136" t="s">
        <v>74</v>
      </c>
      <c r="E1939" s="262" t="s">
        <v>4500</v>
      </c>
      <c r="F1939" s="136" t="s">
        <v>183</v>
      </c>
      <c r="G1939" s="246">
        <v>38550</v>
      </c>
      <c r="H1939" s="246">
        <v>44050</v>
      </c>
      <c r="I1939" s="246">
        <v>49550</v>
      </c>
      <c r="J1939" s="246">
        <v>55050</v>
      </c>
      <c r="K1939" s="246">
        <v>59500</v>
      </c>
      <c r="L1939" s="246">
        <v>63900</v>
      </c>
      <c r="M1939" s="246">
        <v>68300</v>
      </c>
      <c r="N1939" s="246">
        <v>72700</v>
      </c>
    </row>
    <row r="1940" spans="3:14" ht="21.95" customHeight="1" x14ac:dyDescent="0.25">
      <c r="C1940" s="139" t="str">
        <f t="shared" si="46"/>
        <v>NM_SOCORRO COUNTY, NM</v>
      </c>
      <c r="D1940" s="136" t="s">
        <v>74</v>
      </c>
      <c r="E1940" s="262" t="s">
        <v>4501</v>
      </c>
      <c r="F1940" s="136" t="s">
        <v>183</v>
      </c>
      <c r="G1940" s="246">
        <v>38550</v>
      </c>
      <c r="H1940" s="246">
        <v>44050</v>
      </c>
      <c r="I1940" s="246">
        <v>49550</v>
      </c>
      <c r="J1940" s="246">
        <v>55050</v>
      </c>
      <c r="K1940" s="246">
        <v>59500</v>
      </c>
      <c r="L1940" s="246">
        <v>63900</v>
      </c>
      <c r="M1940" s="246">
        <v>68300</v>
      </c>
      <c r="N1940" s="246">
        <v>72700</v>
      </c>
    </row>
    <row r="1941" spans="3:14" ht="21.95" customHeight="1" x14ac:dyDescent="0.25">
      <c r="C1941" s="139" t="str">
        <f t="shared" si="46"/>
        <v>NM_TAOS COUNTY, NM</v>
      </c>
      <c r="D1941" s="136" t="s">
        <v>74</v>
      </c>
      <c r="E1941" s="262" t="s">
        <v>4502</v>
      </c>
      <c r="F1941" s="136" t="s">
        <v>183</v>
      </c>
      <c r="G1941" s="246">
        <v>43400</v>
      </c>
      <c r="H1941" s="246">
        <v>49600</v>
      </c>
      <c r="I1941" s="246">
        <v>55800</v>
      </c>
      <c r="J1941" s="246">
        <v>62000</v>
      </c>
      <c r="K1941" s="246">
        <v>67000</v>
      </c>
      <c r="L1941" s="246">
        <v>71950</v>
      </c>
      <c r="M1941" s="246">
        <v>76900</v>
      </c>
      <c r="N1941" s="246">
        <v>81850</v>
      </c>
    </row>
    <row r="1942" spans="3:14" ht="21.95" customHeight="1" x14ac:dyDescent="0.25">
      <c r="C1942" s="139" t="str">
        <f t="shared" si="46"/>
        <v>NM_UNION COUNTY, NM</v>
      </c>
      <c r="D1942" s="136" t="s">
        <v>74</v>
      </c>
      <c r="E1942" s="262" t="s">
        <v>4503</v>
      </c>
      <c r="F1942" s="136" t="s">
        <v>183</v>
      </c>
      <c r="G1942" s="246">
        <v>38550</v>
      </c>
      <c r="H1942" s="246">
        <v>44050</v>
      </c>
      <c r="I1942" s="246">
        <v>49550</v>
      </c>
      <c r="J1942" s="246">
        <v>55050</v>
      </c>
      <c r="K1942" s="246">
        <v>59500</v>
      </c>
      <c r="L1942" s="246">
        <v>63900</v>
      </c>
      <c r="M1942" s="246">
        <v>68300</v>
      </c>
      <c r="N1942" s="246">
        <v>72700</v>
      </c>
    </row>
    <row r="1943" spans="3:14" ht="21.95" customHeight="1" x14ac:dyDescent="0.25">
      <c r="C1943" s="139" t="str">
        <f t="shared" si="46"/>
        <v>NV_CARSON CITY, NV MSA</v>
      </c>
      <c r="D1943" s="136" t="s">
        <v>77</v>
      </c>
      <c r="E1943" s="262" t="s">
        <v>4504</v>
      </c>
      <c r="F1943" s="136" t="s">
        <v>183</v>
      </c>
      <c r="G1943" s="246">
        <v>52400</v>
      </c>
      <c r="H1943" s="246">
        <v>59850</v>
      </c>
      <c r="I1943" s="246">
        <v>67350</v>
      </c>
      <c r="J1943" s="246">
        <v>74800</v>
      </c>
      <c r="K1943" s="246">
        <v>80800</v>
      </c>
      <c r="L1943" s="246">
        <v>86800</v>
      </c>
      <c r="M1943" s="246">
        <v>92800</v>
      </c>
      <c r="N1943" s="246">
        <v>98750</v>
      </c>
    </row>
    <row r="1944" spans="3:14" ht="21.95" customHeight="1" x14ac:dyDescent="0.25">
      <c r="C1944" s="139" t="str">
        <f t="shared" si="46"/>
        <v>NV_CHURCHILL COUNTY, NV</v>
      </c>
      <c r="D1944" s="136" t="s">
        <v>77</v>
      </c>
      <c r="E1944" s="262" t="s">
        <v>4505</v>
      </c>
      <c r="F1944" s="136" t="s">
        <v>183</v>
      </c>
      <c r="G1944" s="246">
        <v>57050</v>
      </c>
      <c r="H1944" s="246">
        <v>65200</v>
      </c>
      <c r="I1944" s="246">
        <v>73350</v>
      </c>
      <c r="J1944" s="246">
        <v>81500</v>
      </c>
      <c r="K1944" s="246">
        <v>88050</v>
      </c>
      <c r="L1944" s="246">
        <v>94550</v>
      </c>
      <c r="M1944" s="246">
        <v>101100</v>
      </c>
      <c r="N1944" s="246">
        <v>107600</v>
      </c>
    </row>
    <row r="1945" spans="3:14" ht="21.95" customHeight="1" x14ac:dyDescent="0.25">
      <c r="C1945" s="139" t="str">
        <f t="shared" si="46"/>
        <v>NV_DOUGLAS COUNTY, NV</v>
      </c>
      <c r="D1945" s="136" t="s">
        <v>77</v>
      </c>
      <c r="E1945" s="262" t="s">
        <v>4506</v>
      </c>
      <c r="F1945" s="136" t="s">
        <v>183</v>
      </c>
      <c r="G1945" s="246">
        <v>60950</v>
      </c>
      <c r="H1945" s="246">
        <v>69650</v>
      </c>
      <c r="I1945" s="246">
        <v>78350</v>
      </c>
      <c r="J1945" s="246">
        <v>87050</v>
      </c>
      <c r="K1945" s="246">
        <v>94050</v>
      </c>
      <c r="L1945" s="246">
        <v>101000</v>
      </c>
      <c r="M1945" s="246">
        <v>107950</v>
      </c>
      <c r="N1945" s="246">
        <v>114950</v>
      </c>
    </row>
    <row r="1946" spans="3:14" ht="21.95" customHeight="1" x14ac:dyDescent="0.25">
      <c r="C1946" s="139" t="str">
        <f t="shared" si="46"/>
        <v>NV_ELKO COUNTY, NV</v>
      </c>
      <c r="D1946" s="136" t="s">
        <v>77</v>
      </c>
      <c r="E1946" s="262" t="s">
        <v>4507</v>
      </c>
      <c r="F1946" s="136" t="s">
        <v>183</v>
      </c>
      <c r="G1946" s="246">
        <v>61800</v>
      </c>
      <c r="H1946" s="246">
        <v>70600</v>
      </c>
      <c r="I1946" s="246">
        <v>79450</v>
      </c>
      <c r="J1946" s="246">
        <v>88250</v>
      </c>
      <c r="K1946" s="246">
        <v>95350</v>
      </c>
      <c r="L1946" s="246">
        <v>102400</v>
      </c>
      <c r="M1946" s="246">
        <v>109450</v>
      </c>
      <c r="N1946" s="246">
        <v>116500</v>
      </c>
    </row>
    <row r="1947" spans="3:14" ht="21.95" customHeight="1" x14ac:dyDescent="0.25">
      <c r="C1947" s="139" t="str">
        <f t="shared" si="46"/>
        <v>NV_ESMERALDA COUNTY, NV</v>
      </c>
      <c r="D1947" s="136" t="s">
        <v>77</v>
      </c>
      <c r="E1947" s="262" t="s">
        <v>4508</v>
      </c>
      <c r="F1947" s="136" t="s">
        <v>183</v>
      </c>
      <c r="G1947" s="246">
        <v>58000</v>
      </c>
      <c r="H1947" s="246">
        <v>66250</v>
      </c>
      <c r="I1947" s="246">
        <v>74550</v>
      </c>
      <c r="J1947" s="246">
        <v>82800</v>
      </c>
      <c r="K1947" s="246">
        <v>89450</v>
      </c>
      <c r="L1947" s="246">
        <v>96050</v>
      </c>
      <c r="M1947" s="246">
        <v>102700</v>
      </c>
      <c r="N1947" s="246">
        <v>109300</v>
      </c>
    </row>
    <row r="1948" spans="3:14" ht="21.95" customHeight="1" x14ac:dyDescent="0.25">
      <c r="C1948" s="139" t="str">
        <f t="shared" si="46"/>
        <v>NV_EUREKA COUNTY, NV</v>
      </c>
      <c r="D1948" s="136" t="s">
        <v>77</v>
      </c>
      <c r="E1948" s="262" t="s">
        <v>4509</v>
      </c>
      <c r="F1948" s="136" t="s">
        <v>183</v>
      </c>
      <c r="G1948" s="246">
        <v>52400</v>
      </c>
      <c r="H1948" s="246">
        <v>59850</v>
      </c>
      <c r="I1948" s="246">
        <v>67350</v>
      </c>
      <c r="J1948" s="246">
        <v>74800</v>
      </c>
      <c r="K1948" s="246">
        <v>80800</v>
      </c>
      <c r="L1948" s="246">
        <v>86800</v>
      </c>
      <c r="M1948" s="246">
        <v>92800</v>
      </c>
      <c r="N1948" s="246">
        <v>98750</v>
      </c>
    </row>
    <row r="1949" spans="3:14" ht="21.95" customHeight="1" x14ac:dyDescent="0.25">
      <c r="C1949" s="139" t="str">
        <f t="shared" si="46"/>
        <v>NV_HUMBOLDT COUNTY, NV</v>
      </c>
      <c r="D1949" s="136" t="s">
        <v>77</v>
      </c>
      <c r="E1949" s="262" t="s">
        <v>4510</v>
      </c>
      <c r="F1949" s="136" t="s">
        <v>183</v>
      </c>
      <c r="G1949" s="246">
        <v>54600</v>
      </c>
      <c r="H1949" s="246">
        <v>62400</v>
      </c>
      <c r="I1949" s="246">
        <v>70200</v>
      </c>
      <c r="J1949" s="246">
        <v>78000</v>
      </c>
      <c r="K1949" s="246">
        <v>84250</v>
      </c>
      <c r="L1949" s="246">
        <v>90500</v>
      </c>
      <c r="M1949" s="246">
        <v>96750</v>
      </c>
      <c r="N1949" s="246">
        <v>103000</v>
      </c>
    </row>
    <row r="1950" spans="3:14" ht="21.95" customHeight="1" x14ac:dyDescent="0.25">
      <c r="C1950" s="139" t="str">
        <f t="shared" si="46"/>
        <v>NV_LANDER COUNTY, NV</v>
      </c>
      <c r="D1950" s="136" t="s">
        <v>77</v>
      </c>
      <c r="E1950" s="262" t="s">
        <v>4511</v>
      </c>
      <c r="F1950" s="136" t="s">
        <v>183</v>
      </c>
      <c r="G1950" s="246">
        <v>60300</v>
      </c>
      <c r="H1950" s="246">
        <v>68900</v>
      </c>
      <c r="I1950" s="246">
        <v>77500</v>
      </c>
      <c r="J1950" s="246">
        <v>86100</v>
      </c>
      <c r="K1950" s="246">
        <v>93000</v>
      </c>
      <c r="L1950" s="246">
        <v>99900</v>
      </c>
      <c r="M1950" s="246">
        <v>106800</v>
      </c>
      <c r="N1950" s="246">
        <v>113700</v>
      </c>
    </row>
    <row r="1951" spans="3:14" ht="21.95" customHeight="1" x14ac:dyDescent="0.25">
      <c r="C1951" s="139" t="str">
        <f t="shared" si="46"/>
        <v>NV_LAS VEGAS-HENDERSON-NORTH LAS VEGAS, NV MSA</v>
      </c>
      <c r="D1951" s="136" t="s">
        <v>77</v>
      </c>
      <c r="E1951" s="262" t="s">
        <v>9234</v>
      </c>
      <c r="F1951" s="136" t="s">
        <v>183</v>
      </c>
      <c r="G1951" s="246">
        <v>57150</v>
      </c>
      <c r="H1951" s="246">
        <v>65300</v>
      </c>
      <c r="I1951" s="246">
        <v>73450</v>
      </c>
      <c r="J1951" s="246">
        <v>81600</v>
      </c>
      <c r="K1951" s="246">
        <v>88150</v>
      </c>
      <c r="L1951" s="246">
        <v>94700</v>
      </c>
      <c r="M1951" s="246">
        <v>101200</v>
      </c>
      <c r="N1951" s="246">
        <v>107750</v>
      </c>
    </row>
    <row r="1952" spans="3:14" ht="21.95" customHeight="1" x14ac:dyDescent="0.25">
      <c r="C1952" s="139" t="str">
        <f t="shared" si="46"/>
        <v>NV_LINCOLN COUNTY, NV</v>
      </c>
      <c r="D1952" s="136" t="s">
        <v>77</v>
      </c>
      <c r="E1952" s="262" t="s">
        <v>4512</v>
      </c>
      <c r="F1952" s="136" t="s">
        <v>183</v>
      </c>
      <c r="G1952" s="246">
        <v>53400</v>
      </c>
      <c r="H1952" s="246">
        <v>61000</v>
      </c>
      <c r="I1952" s="246">
        <v>68650</v>
      </c>
      <c r="J1952" s="246">
        <v>76250</v>
      </c>
      <c r="K1952" s="246">
        <v>82350</v>
      </c>
      <c r="L1952" s="246">
        <v>88450</v>
      </c>
      <c r="M1952" s="246">
        <v>94550</v>
      </c>
      <c r="N1952" s="246">
        <v>100650</v>
      </c>
    </row>
    <row r="1953" spans="3:14" ht="21.95" customHeight="1" x14ac:dyDescent="0.25">
      <c r="C1953" s="139" t="str">
        <f t="shared" si="46"/>
        <v>NV_LYON COUNTY, NV HUD METRO FMR AREA</v>
      </c>
      <c r="D1953" s="136" t="s">
        <v>77</v>
      </c>
      <c r="E1953" s="262" t="s">
        <v>9235</v>
      </c>
      <c r="F1953" s="136" t="s">
        <v>183</v>
      </c>
      <c r="G1953" s="246">
        <v>53000</v>
      </c>
      <c r="H1953" s="246">
        <v>60600</v>
      </c>
      <c r="I1953" s="246">
        <v>68150</v>
      </c>
      <c r="J1953" s="246">
        <v>75700</v>
      </c>
      <c r="K1953" s="246">
        <v>81800</v>
      </c>
      <c r="L1953" s="246">
        <v>87850</v>
      </c>
      <c r="M1953" s="246">
        <v>93900</v>
      </c>
      <c r="N1953" s="246">
        <v>99950</v>
      </c>
    </row>
    <row r="1954" spans="3:14" ht="21.95" customHeight="1" x14ac:dyDescent="0.25">
      <c r="C1954" s="139" t="str">
        <f t="shared" si="46"/>
        <v>NV_MINERAL COUNTY, NV</v>
      </c>
      <c r="D1954" s="136" t="s">
        <v>77</v>
      </c>
      <c r="E1954" s="262" t="s">
        <v>4513</v>
      </c>
      <c r="F1954" s="136" t="s">
        <v>183</v>
      </c>
      <c r="G1954" s="246">
        <v>52400</v>
      </c>
      <c r="H1954" s="246">
        <v>59850</v>
      </c>
      <c r="I1954" s="246">
        <v>67350</v>
      </c>
      <c r="J1954" s="246">
        <v>74800</v>
      </c>
      <c r="K1954" s="246">
        <v>80800</v>
      </c>
      <c r="L1954" s="246">
        <v>86800</v>
      </c>
      <c r="M1954" s="246">
        <v>92800</v>
      </c>
      <c r="N1954" s="246">
        <v>98750</v>
      </c>
    </row>
    <row r="1955" spans="3:14" ht="21.95" customHeight="1" x14ac:dyDescent="0.25">
      <c r="C1955" s="139" t="str">
        <f t="shared" si="46"/>
        <v>NV_NYE COUNTY, NV</v>
      </c>
      <c r="D1955" s="136" t="s">
        <v>77</v>
      </c>
      <c r="E1955" s="262" t="s">
        <v>4514</v>
      </c>
      <c r="F1955" s="136" t="s">
        <v>183</v>
      </c>
      <c r="G1955" s="246">
        <v>52400</v>
      </c>
      <c r="H1955" s="246">
        <v>59850</v>
      </c>
      <c r="I1955" s="246">
        <v>67350</v>
      </c>
      <c r="J1955" s="246">
        <v>74800</v>
      </c>
      <c r="K1955" s="246">
        <v>80800</v>
      </c>
      <c r="L1955" s="246">
        <v>86800</v>
      </c>
      <c r="M1955" s="246">
        <v>92800</v>
      </c>
      <c r="N1955" s="246">
        <v>98750</v>
      </c>
    </row>
    <row r="1956" spans="3:14" ht="21.95" customHeight="1" x14ac:dyDescent="0.25">
      <c r="C1956" s="139" t="str">
        <f t="shared" si="46"/>
        <v>NV_PERSHING COUNTY, NV</v>
      </c>
      <c r="D1956" s="136" t="s">
        <v>77</v>
      </c>
      <c r="E1956" s="262" t="s">
        <v>4515</v>
      </c>
      <c r="F1956" s="136" t="s">
        <v>183</v>
      </c>
      <c r="G1956" s="246">
        <v>56500</v>
      </c>
      <c r="H1956" s="246">
        <v>64550</v>
      </c>
      <c r="I1956" s="246">
        <v>72600</v>
      </c>
      <c r="J1956" s="246">
        <v>80650</v>
      </c>
      <c r="K1956" s="246">
        <v>87150</v>
      </c>
      <c r="L1956" s="246">
        <v>93600</v>
      </c>
      <c r="M1956" s="246">
        <v>100050</v>
      </c>
      <c r="N1956" s="246">
        <v>106500</v>
      </c>
    </row>
    <row r="1957" spans="3:14" ht="21.95" customHeight="1" x14ac:dyDescent="0.25">
      <c r="C1957" s="139" t="str">
        <f t="shared" si="46"/>
        <v>NV_RENO, NV HUD METRO FMR AREA</v>
      </c>
      <c r="D1957" s="136" t="s">
        <v>77</v>
      </c>
      <c r="E1957" s="262" t="s">
        <v>9236</v>
      </c>
      <c r="F1957" s="136" t="s">
        <v>183</v>
      </c>
      <c r="G1957" s="246">
        <v>61900</v>
      </c>
      <c r="H1957" s="246">
        <v>70750</v>
      </c>
      <c r="I1957" s="246">
        <v>79600</v>
      </c>
      <c r="J1957" s="246">
        <v>88400</v>
      </c>
      <c r="K1957" s="246">
        <v>95500</v>
      </c>
      <c r="L1957" s="246">
        <v>102550</v>
      </c>
      <c r="M1957" s="246">
        <v>109650</v>
      </c>
      <c r="N1957" s="246">
        <v>116700</v>
      </c>
    </row>
    <row r="1958" spans="3:14" ht="21.95" customHeight="1" x14ac:dyDescent="0.25">
      <c r="C1958" s="139" t="str">
        <f t="shared" si="46"/>
        <v>NV_WHITE PINE COUNTY, NV</v>
      </c>
      <c r="D1958" s="136" t="s">
        <v>77</v>
      </c>
      <c r="E1958" s="262" t="s">
        <v>4516</v>
      </c>
      <c r="F1958" s="136" t="s">
        <v>183</v>
      </c>
      <c r="G1958" s="246">
        <v>58200</v>
      </c>
      <c r="H1958" s="246">
        <v>66500</v>
      </c>
      <c r="I1958" s="246">
        <v>74800</v>
      </c>
      <c r="J1958" s="246">
        <v>83100</v>
      </c>
      <c r="K1958" s="246">
        <v>89750</v>
      </c>
      <c r="L1958" s="246">
        <v>96400</v>
      </c>
      <c r="M1958" s="246">
        <v>103050</v>
      </c>
      <c r="N1958" s="246">
        <v>109700</v>
      </c>
    </row>
    <row r="1959" spans="3:14" ht="21.95" customHeight="1" x14ac:dyDescent="0.25">
      <c r="C1959" s="139" t="str">
        <f t="shared" si="46"/>
        <v>OH_ADAMS COUNTY, OH</v>
      </c>
      <c r="D1959" s="136" t="s">
        <v>71</v>
      </c>
      <c r="E1959" s="262" t="s">
        <v>4517</v>
      </c>
      <c r="F1959" s="136" t="s">
        <v>183</v>
      </c>
      <c r="G1959" s="246">
        <v>47750</v>
      </c>
      <c r="H1959" s="246">
        <v>54550</v>
      </c>
      <c r="I1959" s="246">
        <v>61350</v>
      </c>
      <c r="J1959" s="246">
        <v>68150</v>
      </c>
      <c r="K1959" s="246">
        <v>73650</v>
      </c>
      <c r="L1959" s="246">
        <v>79100</v>
      </c>
      <c r="M1959" s="246">
        <v>84550</v>
      </c>
      <c r="N1959" s="246">
        <v>90000</v>
      </c>
    </row>
    <row r="1960" spans="3:14" ht="21.95" customHeight="1" x14ac:dyDescent="0.25">
      <c r="C1960" s="139" t="str">
        <f t="shared" si="46"/>
        <v>OH_AKRON, OH MSA</v>
      </c>
      <c r="D1960" s="136" t="s">
        <v>71</v>
      </c>
      <c r="E1960" s="262" t="s">
        <v>4518</v>
      </c>
      <c r="F1960" s="136" t="s">
        <v>183</v>
      </c>
      <c r="G1960" s="246">
        <v>56200</v>
      </c>
      <c r="H1960" s="246">
        <v>64200</v>
      </c>
      <c r="I1960" s="246">
        <v>72250</v>
      </c>
      <c r="J1960" s="246">
        <v>80250</v>
      </c>
      <c r="K1960" s="246">
        <v>86700</v>
      </c>
      <c r="L1960" s="246">
        <v>93100</v>
      </c>
      <c r="M1960" s="246">
        <v>99550</v>
      </c>
      <c r="N1960" s="246">
        <v>105950</v>
      </c>
    </row>
    <row r="1961" spans="3:14" ht="21.95" customHeight="1" x14ac:dyDescent="0.25">
      <c r="C1961" s="139" t="str">
        <f t="shared" si="46"/>
        <v>OH_ASHLAND COUNTY, OH</v>
      </c>
      <c r="D1961" s="136" t="s">
        <v>71</v>
      </c>
      <c r="E1961" s="262" t="s">
        <v>4519</v>
      </c>
      <c r="F1961" s="136" t="s">
        <v>183</v>
      </c>
      <c r="G1961" s="246">
        <v>49600</v>
      </c>
      <c r="H1961" s="246">
        <v>56650</v>
      </c>
      <c r="I1961" s="246">
        <v>63750</v>
      </c>
      <c r="J1961" s="246">
        <v>70800</v>
      </c>
      <c r="K1961" s="246">
        <v>76500</v>
      </c>
      <c r="L1961" s="246">
        <v>82150</v>
      </c>
      <c r="M1961" s="246">
        <v>87800</v>
      </c>
      <c r="N1961" s="246">
        <v>93500</v>
      </c>
    </row>
    <row r="1962" spans="3:14" ht="21.95" customHeight="1" x14ac:dyDescent="0.25">
      <c r="C1962" s="139" t="str">
        <f t="shared" si="46"/>
        <v>OH_ASHTABULA COUNTY, OH HUD METRO FMR AREA</v>
      </c>
      <c r="D1962" s="136" t="s">
        <v>71</v>
      </c>
      <c r="E1962" s="262" t="s">
        <v>9237</v>
      </c>
      <c r="F1962" s="136" t="s">
        <v>183</v>
      </c>
      <c r="G1962" s="246">
        <v>47750</v>
      </c>
      <c r="H1962" s="246">
        <v>54550</v>
      </c>
      <c r="I1962" s="246">
        <v>61350</v>
      </c>
      <c r="J1962" s="246">
        <v>68150</v>
      </c>
      <c r="K1962" s="246">
        <v>73650</v>
      </c>
      <c r="L1962" s="246">
        <v>79100</v>
      </c>
      <c r="M1962" s="246">
        <v>84550</v>
      </c>
      <c r="N1962" s="246">
        <v>90000</v>
      </c>
    </row>
    <row r="1963" spans="3:14" ht="21.95" customHeight="1" x14ac:dyDescent="0.25">
      <c r="C1963" s="139" t="str">
        <f t="shared" si="46"/>
        <v>OH_ATHENS COUNTY, OH</v>
      </c>
      <c r="D1963" s="136" t="s">
        <v>71</v>
      </c>
      <c r="E1963" s="262" t="s">
        <v>4520</v>
      </c>
      <c r="F1963" s="136" t="s">
        <v>183</v>
      </c>
      <c r="G1963" s="246">
        <v>50050</v>
      </c>
      <c r="H1963" s="246">
        <v>57200</v>
      </c>
      <c r="I1963" s="246">
        <v>64350</v>
      </c>
      <c r="J1963" s="246">
        <v>71500</v>
      </c>
      <c r="K1963" s="246">
        <v>77250</v>
      </c>
      <c r="L1963" s="246">
        <v>82950</v>
      </c>
      <c r="M1963" s="246">
        <v>88700</v>
      </c>
      <c r="N1963" s="246">
        <v>94400</v>
      </c>
    </row>
    <row r="1964" spans="3:14" ht="21.95" customHeight="1" x14ac:dyDescent="0.25">
      <c r="C1964" s="139" t="str">
        <f t="shared" si="46"/>
        <v>OH_AUGLAIZE COUNTY, OH</v>
      </c>
      <c r="D1964" s="136" t="s">
        <v>71</v>
      </c>
      <c r="E1964" s="262" t="s">
        <v>4521</v>
      </c>
      <c r="F1964" s="136" t="s">
        <v>183</v>
      </c>
      <c r="G1964" s="246">
        <v>57300</v>
      </c>
      <c r="H1964" s="246">
        <v>65500</v>
      </c>
      <c r="I1964" s="246">
        <v>73700</v>
      </c>
      <c r="J1964" s="246">
        <v>81850</v>
      </c>
      <c r="K1964" s="246">
        <v>88400</v>
      </c>
      <c r="L1964" s="246">
        <v>94950</v>
      </c>
      <c r="M1964" s="246">
        <v>101500</v>
      </c>
      <c r="N1964" s="246">
        <v>108050</v>
      </c>
    </row>
    <row r="1965" spans="3:14" ht="21.95" customHeight="1" x14ac:dyDescent="0.25">
      <c r="C1965" s="139" t="str">
        <f t="shared" si="46"/>
        <v>OH_BROWN COUNTY, OH HUD METRO FMR AREA</v>
      </c>
      <c r="D1965" s="136" t="s">
        <v>71</v>
      </c>
      <c r="E1965" s="262" t="s">
        <v>4522</v>
      </c>
      <c r="F1965" s="136" t="s">
        <v>183</v>
      </c>
      <c r="G1965" s="246">
        <v>49600</v>
      </c>
      <c r="H1965" s="246">
        <v>56650</v>
      </c>
      <c r="I1965" s="246">
        <v>63750</v>
      </c>
      <c r="J1965" s="246">
        <v>70800</v>
      </c>
      <c r="K1965" s="246">
        <v>76500</v>
      </c>
      <c r="L1965" s="246">
        <v>82150</v>
      </c>
      <c r="M1965" s="246">
        <v>87800</v>
      </c>
      <c r="N1965" s="246">
        <v>93500</v>
      </c>
    </row>
    <row r="1966" spans="3:14" ht="21.95" customHeight="1" x14ac:dyDescent="0.25">
      <c r="C1966" s="139" t="str">
        <f t="shared" si="46"/>
        <v>OH_CANTON-MASSILLON, OH MSA</v>
      </c>
      <c r="D1966" s="136" t="s">
        <v>71</v>
      </c>
      <c r="E1966" s="262" t="s">
        <v>4523</v>
      </c>
      <c r="F1966" s="136" t="s">
        <v>183</v>
      </c>
      <c r="G1966" s="246">
        <v>48450</v>
      </c>
      <c r="H1966" s="246">
        <v>55400</v>
      </c>
      <c r="I1966" s="246">
        <v>62300</v>
      </c>
      <c r="J1966" s="246">
        <v>69200</v>
      </c>
      <c r="K1966" s="246">
        <v>74750</v>
      </c>
      <c r="L1966" s="246">
        <v>80300</v>
      </c>
      <c r="M1966" s="246">
        <v>85850</v>
      </c>
      <c r="N1966" s="246">
        <v>91350</v>
      </c>
    </row>
    <row r="1967" spans="3:14" ht="21.95" customHeight="1" x14ac:dyDescent="0.25">
      <c r="C1967" s="139" t="str">
        <f t="shared" si="46"/>
        <v>OH_CHAMPAIGN COUNTY, OH</v>
      </c>
      <c r="D1967" s="136" t="s">
        <v>71</v>
      </c>
      <c r="E1967" s="262" t="s">
        <v>4524</v>
      </c>
      <c r="F1967" s="136" t="s">
        <v>183</v>
      </c>
      <c r="G1967" s="246">
        <v>52450</v>
      </c>
      <c r="H1967" s="246">
        <v>59950</v>
      </c>
      <c r="I1967" s="246">
        <v>67450</v>
      </c>
      <c r="J1967" s="246">
        <v>74900</v>
      </c>
      <c r="K1967" s="246">
        <v>80900</v>
      </c>
      <c r="L1967" s="246">
        <v>86900</v>
      </c>
      <c r="M1967" s="246">
        <v>92900</v>
      </c>
      <c r="N1967" s="246">
        <v>98900</v>
      </c>
    </row>
    <row r="1968" spans="3:14" ht="21.95" customHeight="1" x14ac:dyDescent="0.25">
      <c r="C1968" s="139" t="str">
        <f t="shared" si="46"/>
        <v>OH_CINCINNATI, OH-KY-IN HUD METRO FMR AREA</v>
      </c>
      <c r="D1968" s="136" t="s">
        <v>71</v>
      </c>
      <c r="E1968" s="262" t="s">
        <v>3580</v>
      </c>
      <c r="F1968" s="136" t="s">
        <v>183</v>
      </c>
      <c r="G1968" s="246">
        <v>62650</v>
      </c>
      <c r="H1968" s="246">
        <v>71600</v>
      </c>
      <c r="I1968" s="246">
        <v>80550</v>
      </c>
      <c r="J1968" s="246">
        <v>89450</v>
      </c>
      <c r="K1968" s="246">
        <v>96650</v>
      </c>
      <c r="L1968" s="246">
        <v>103800</v>
      </c>
      <c r="M1968" s="246">
        <v>110950</v>
      </c>
      <c r="N1968" s="246">
        <v>118100</v>
      </c>
    </row>
    <row r="1969" spans="3:14" ht="21.95" customHeight="1" x14ac:dyDescent="0.25">
      <c r="C1969" s="139" t="str">
        <f t="shared" si="46"/>
        <v>OH_CLEVELAND, OH HUD METRO FMR AREA</v>
      </c>
      <c r="D1969" s="136" t="s">
        <v>71</v>
      </c>
      <c r="E1969" s="262" t="s">
        <v>9238</v>
      </c>
      <c r="F1969" s="136" t="s">
        <v>183</v>
      </c>
      <c r="G1969" s="246">
        <v>55650</v>
      </c>
      <c r="H1969" s="246">
        <v>63600</v>
      </c>
      <c r="I1969" s="246">
        <v>71550</v>
      </c>
      <c r="J1969" s="246">
        <v>79500</v>
      </c>
      <c r="K1969" s="246">
        <v>85900</v>
      </c>
      <c r="L1969" s="246">
        <v>92250</v>
      </c>
      <c r="M1969" s="246">
        <v>98600</v>
      </c>
      <c r="N1969" s="246">
        <v>104950</v>
      </c>
    </row>
    <row r="1970" spans="3:14" ht="21.95" customHeight="1" x14ac:dyDescent="0.25">
      <c r="C1970" s="139" t="str">
        <f t="shared" si="46"/>
        <v>OH_CLINTON COUNTY, OH</v>
      </c>
      <c r="D1970" s="136" t="s">
        <v>71</v>
      </c>
      <c r="E1970" s="262" t="s">
        <v>4525</v>
      </c>
      <c r="F1970" s="136" t="s">
        <v>183</v>
      </c>
      <c r="G1970" s="246">
        <v>50300</v>
      </c>
      <c r="H1970" s="246">
        <v>57500</v>
      </c>
      <c r="I1970" s="246">
        <v>64700</v>
      </c>
      <c r="J1970" s="246">
        <v>71850</v>
      </c>
      <c r="K1970" s="246">
        <v>77600</v>
      </c>
      <c r="L1970" s="246">
        <v>83350</v>
      </c>
      <c r="M1970" s="246">
        <v>89100</v>
      </c>
      <c r="N1970" s="246">
        <v>94850</v>
      </c>
    </row>
    <row r="1971" spans="3:14" ht="21.95" customHeight="1" x14ac:dyDescent="0.25">
      <c r="C1971" s="139" t="str">
        <f t="shared" si="46"/>
        <v>OH_COLUMBIANA COUNTY, OH</v>
      </c>
      <c r="D1971" s="136" t="s">
        <v>71</v>
      </c>
      <c r="E1971" s="262" t="s">
        <v>4526</v>
      </c>
      <c r="F1971" s="136" t="s">
        <v>183</v>
      </c>
      <c r="G1971" s="246">
        <v>47750</v>
      </c>
      <c r="H1971" s="246">
        <v>54550</v>
      </c>
      <c r="I1971" s="246">
        <v>61350</v>
      </c>
      <c r="J1971" s="246">
        <v>68150</v>
      </c>
      <c r="K1971" s="246">
        <v>73650</v>
      </c>
      <c r="L1971" s="246">
        <v>79100</v>
      </c>
      <c r="M1971" s="246">
        <v>84550</v>
      </c>
      <c r="N1971" s="246">
        <v>90000</v>
      </c>
    </row>
    <row r="1972" spans="3:14" ht="21.95" customHeight="1" x14ac:dyDescent="0.25">
      <c r="C1972" s="139" t="str">
        <f t="shared" si="46"/>
        <v>OH_COLUMBUS, OH HUD METRO FMR AREA</v>
      </c>
      <c r="D1972" s="136" t="s">
        <v>71</v>
      </c>
      <c r="E1972" s="262" t="s">
        <v>4527</v>
      </c>
      <c r="F1972" s="136" t="s">
        <v>183</v>
      </c>
      <c r="G1972" s="246">
        <v>61050</v>
      </c>
      <c r="H1972" s="246">
        <v>69800</v>
      </c>
      <c r="I1972" s="246">
        <v>78500</v>
      </c>
      <c r="J1972" s="246">
        <v>87200</v>
      </c>
      <c r="K1972" s="246">
        <v>94200</v>
      </c>
      <c r="L1972" s="246">
        <v>101200</v>
      </c>
      <c r="M1972" s="246">
        <v>108150</v>
      </c>
      <c r="N1972" s="246">
        <v>115150</v>
      </c>
    </row>
    <row r="1973" spans="3:14" ht="21.95" customHeight="1" x14ac:dyDescent="0.25">
      <c r="C1973" s="139" t="str">
        <f t="shared" si="46"/>
        <v>OH_COSHOCTON COUNTY, OH</v>
      </c>
      <c r="D1973" s="136" t="s">
        <v>71</v>
      </c>
      <c r="E1973" s="262" t="s">
        <v>4528</v>
      </c>
      <c r="F1973" s="136" t="s">
        <v>183</v>
      </c>
      <c r="G1973" s="246">
        <v>47750</v>
      </c>
      <c r="H1973" s="246">
        <v>54550</v>
      </c>
      <c r="I1973" s="246">
        <v>61350</v>
      </c>
      <c r="J1973" s="246">
        <v>68150</v>
      </c>
      <c r="K1973" s="246">
        <v>73650</v>
      </c>
      <c r="L1973" s="246">
        <v>79100</v>
      </c>
      <c r="M1973" s="246">
        <v>84550</v>
      </c>
      <c r="N1973" s="246">
        <v>90000</v>
      </c>
    </row>
    <row r="1974" spans="3:14" ht="21.95" customHeight="1" x14ac:dyDescent="0.25">
      <c r="C1974" s="139" t="str">
        <f t="shared" si="46"/>
        <v>OH_CRAWFORD COUNTY, OH</v>
      </c>
      <c r="D1974" s="136" t="s">
        <v>71</v>
      </c>
      <c r="E1974" s="262" t="s">
        <v>4529</v>
      </c>
      <c r="F1974" s="136" t="s">
        <v>183</v>
      </c>
      <c r="G1974" s="246">
        <v>47750</v>
      </c>
      <c r="H1974" s="246">
        <v>54550</v>
      </c>
      <c r="I1974" s="246">
        <v>61350</v>
      </c>
      <c r="J1974" s="246">
        <v>68150</v>
      </c>
      <c r="K1974" s="246">
        <v>73650</v>
      </c>
      <c r="L1974" s="246">
        <v>79100</v>
      </c>
      <c r="M1974" s="246">
        <v>84550</v>
      </c>
      <c r="N1974" s="246">
        <v>90000</v>
      </c>
    </row>
    <row r="1975" spans="3:14" ht="21.95" customHeight="1" x14ac:dyDescent="0.25">
      <c r="C1975" s="139" t="str">
        <f t="shared" si="46"/>
        <v>OH_DARKE COUNTY, OH</v>
      </c>
      <c r="D1975" s="136" t="s">
        <v>71</v>
      </c>
      <c r="E1975" s="262" t="s">
        <v>4530</v>
      </c>
      <c r="F1975" s="136" t="s">
        <v>183</v>
      </c>
      <c r="G1975" s="246">
        <v>49250</v>
      </c>
      <c r="H1975" s="246">
        <v>56250</v>
      </c>
      <c r="I1975" s="246">
        <v>63300</v>
      </c>
      <c r="J1975" s="246">
        <v>70300</v>
      </c>
      <c r="K1975" s="246">
        <v>75950</v>
      </c>
      <c r="L1975" s="246">
        <v>81550</v>
      </c>
      <c r="M1975" s="246">
        <v>87200</v>
      </c>
      <c r="N1975" s="246">
        <v>92800</v>
      </c>
    </row>
    <row r="1976" spans="3:14" ht="21.95" customHeight="1" x14ac:dyDescent="0.25">
      <c r="C1976" s="139" t="str">
        <f t="shared" si="46"/>
        <v>OH_DAYTON-KETTERING-BEAVERCREEK, OH MSA</v>
      </c>
      <c r="D1976" s="136" t="s">
        <v>71</v>
      </c>
      <c r="E1976" s="262" t="s">
        <v>9240</v>
      </c>
      <c r="F1976" s="136" t="s">
        <v>183</v>
      </c>
      <c r="G1976" s="246">
        <v>52550</v>
      </c>
      <c r="H1976" s="246">
        <v>60050</v>
      </c>
      <c r="I1976" s="246">
        <v>67550</v>
      </c>
      <c r="J1976" s="246">
        <v>75050</v>
      </c>
      <c r="K1976" s="246">
        <v>81100</v>
      </c>
      <c r="L1976" s="246">
        <v>87100</v>
      </c>
      <c r="M1976" s="246">
        <v>93100</v>
      </c>
      <c r="N1976" s="246">
        <v>99100</v>
      </c>
    </row>
    <row r="1977" spans="3:14" ht="21.95" customHeight="1" x14ac:dyDescent="0.25">
      <c r="C1977" s="139" t="str">
        <f t="shared" si="46"/>
        <v>OH_DEFIANCE COUNTY, OH</v>
      </c>
      <c r="D1977" s="136" t="s">
        <v>71</v>
      </c>
      <c r="E1977" s="262" t="s">
        <v>4531</v>
      </c>
      <c r="F1977" s="136" t="s">
        <v>183</v>
      </c>
      <c r="G1977" s="246">
        <v>52850</v>
      </c>
      <c r="H1977" s="246">
        <v>60400</v>
      </c>
      <c r="I1977" s="246">
        <v>67950</v>
      </c>
      <c r="J1977" s="246">
        <v>75450</v>
      </c>
      <c r="K1977" s="246">
        <v>81500</v>
      </c>
      <c r="L1977" s="246">
        <v>87550</v>
      </c>
      <c r="M1977" s="246">
        <v>93600</v>
      </c>
      <c r="N1977" s="246">
        <v>99600</v>
      </c>
    </row>
    <row r="1978" spans="3:14" ht="21.95" customHeight="1" x14ac:dyDescent="0.25">
      <c r="C1978" s="139" t="str">
        <f t="shared" si="46"/>
        <v>OH_ERIE COUNTY, OH HUD METRO FMR AREA</v>
      </c>
      <c r="D1978" s="136" t="s">
        <v>71</v>
      </c>
      <c r="E1978" s="262" t="s">
        <v>9239</v>
      </c>
      <c r="F1978" s="136" t="s">
        <v>183</v>
      </c>
      <c r="G1978" s="246">
        <v>53500</v>
      </c>
      <c r="H1978" s="246">
        <v>61150</v>
      </c>
      <c r="I1978" s="246">
        <v>68800</v>
      </c>
      <c r="J1978" s="246">
        <v>76400</v>
      </c>
      <c r="K1978" s="246">
        <v>82550</v>
      </c>
      <c r="L1978" s="246">
        <v>88650</v>
      </c>
      <c r="M1978" s="246">
        <v>94750</v>
      </c>
      <c r="N1978" s="246">
        <v>100850</v>
      </c>
    </row>
    <row r="1979" spans="3:14" ht="21.95" customHeight="1" x14ac:dyDescent="0.25">
      <c r="C1979" s="139" t="str">
        <f t="shared" si="46"/>
        <v>OH_FAYETTE COUNTY, OH</v>
      </c>
      <c r="D1979" s="136" t="s">
        <v>71</v>
      </c>
      <c r="E1979" s="262" t="s">
        <v>4532</v>
      </c>
      <c r="F1979" s="136" t="s">
        <v>183</v>
      </c>
      <c r="G1979" s="246">
        <v>47750</v>
      </c>
      <c r="H1979" s="246">
        <v>54550</v>
      </c>
      <c r="I1979" s="246">
        <v>61350</v>
      </c>
      <c r="J1979" s="246">
        <v>68150</v>
      </c>
      <c r="K1979" s="246">
        <v>73650</v>
      </c>
      <c r="L1979" s="246">
        <v>79100</v>
      </c>
      <c r="M1979" s="246">
        <v>84550</v>
      </c>
      <c r="N1979" s="246">
        <v>90000</v>
      </c>
    </row>
    <row r="1980" spans="3:14" ht="21.95" customHeight="1" x14ac:dyDescent="0.25">
      <c r="C1980" s="139" t="str">
        <f t="shared" si="46"/>
        <v>OH_GALLIA COUNTY, OH</v>
      </c>
      <c r="D1980" s="136" t="s">
        <v>71</v>
      </c>
      <c r="E1980" s="262" t="s">
        <v>4533</v>
      </c>
      <c r="F1980" s="136" t="s">
        <v>183</v>
      </c>
      <c r="G1980" s="246">
        <v>47750</v>
      </c>
      <c r="H1980" s="246">
        <v>54550</v>
      </c>
      <c r="I1980" s="246">
        <v>61350</v>
      </c>
      <c r="J1980" s="246">
        <v>68150</v>
      </c>
      <c r="K1980" s="246">
        <v>73650</v>
      </c>
      <c r="L1980" s="246">
        <v>79100</v>
      </c>
      <c r="M1980" s="246">
        <v>84550</v>
      </c>
      <c r="N1980" s="246">
        <v>90000</v>
      </c>
    </row>
    <row r="1981" spans="3:14" ht="21.95" customHeight="1" x14ac:dyDescent="0.25">
      <c r="C1981" s="139" t="str">
        <f t="shared" si="46"/>
        <v>OH_GUERNSEY COUNTY, OH</v>
      </c>
      <c r="D1981" s="136" t="s">
        <v>71</v>
      </c>
      <c r="E1981" s="262" t="s">
        <v>4534</v>
      </c>
      <c r="F1981" s="136" t="s">
        <v>183</v>
      </c>
      <c r="G1981" s="246">
        <v>47750</v>
      </c>
      <c r="H1981" s="246">
        <v>54550</v>
      </c>
      <c r="I1981" s="246">
        <v>61350</v>
      </c>
      <c r="J1981" s="246">
        <v>68150</v>
      </c>
      <c r="K1981" s="246">
        <v>73650</v>
      </c>
      <c r="L1981" s="246">
        <v>79100</v>
      </c>
      <c r="M1981" s="246">
        <v>84550</v>
      </c>
      <c r="N1981" s="246">
        <v>90000</v>
      </c>
    </row>
    <row r="1982" spans="3:14" ht="21.95" customHeight="1" x14ac:dyDescent="0.25">
      <c r="C1982" s="139" t="str">
        <f t="shared" si="46"/>
        <v>OH_HANCOCK COUNTY, OH</v>
      </c>
      <c r="D1982" s="136" t="s">
        <v>71</v>
      </c>
      <c r="E1982" s="262" t="s">
        <v>4535</v>
      </c>
      <c r="F1982" s="136" t="s">
        <v>183</v>
      </c>
      <c r="G1982" s="246">
        <v>52650</v>
      </c>
      <c r="H1982" s="246">
        <v>60200</v>
      </c>
      <c r="I1982" s="246">
        <v>67700</v>
      </c>
      <c r="J1982" s="246">
        <v>75200</v>
      </c>
      <c r="K1982" s="246">
        <v>81250</v>
      </c>
      <c r="L1982" s="246">
        <v>87250</v>
      </c>
      <c r="M1982" s="246">
        <v>93250</v>
      </c>
      <c r="N1982" s="246">
        <v>99300</v>
      </c>
    </row>
    <row r="1983" spans="3:14" ht="21.95" customHeight="1" x14ac:dyDescent="0.25">
      <c r="C1983" s="139" t="str">
        <f t="shared" si="46"/>
        <v>OH_HARDIN COUNTY, OH</v>
      </c>
      <c r="D1983" s="136" t="s">
        <v>71</v>
      </c>
      <c r="E1983" s="262" t="s">
        <v>4536</v>
      </c>
      <c r="F1983" s="136" t="s">
        <v>183</v>
      </c>
      <c r="G1983" s="246">
        <v>47750</v>
      </c>
      <c r="H1983" s="246">
        <v>54550</v>
      </c>
      <c r="I1983" s="246">
        <v>61350</v>
      </c>
      <c r="J1983" s="246">
        <v>68150</v>
      </c>
      <c r="K1983" s="246">
        <v>73650</v>
      </c>
      <c r="L1983" s="246">
        <v>79100</v>
      </c>
      <c r="M1983" s="246">
        <v>84550</v>
      </c>
      <c r="N1983" s="246">
        <v>90000</v>
      </c>
    </row>
    <row r="1984" spans="3:14" ht="21.95" customHeight="1" x14ac:dyDescent="0.25">
      <c r="C1984" s="139" t="str">
        <f t="shared" ref="C1984:C2047" si="47">TRIM(UPPER(D1984))&amp;"_"&amp;TRIM(UPPER(E1984))</f>
        <v>OH_HARRISON COUNTY, OH</v>
      </c>
      <c r="D1984" s="136" t="s">
        <v>71</v>
      </c>
      <c r="E1984" s="262" t="s">
        <v>4537</v>
      </c>
      <c r="F1984" s="136" t="s">
        <v>183</v>
      </c>
      <c r="G1984" s="246">
        <v>47750</v>
      </c>
      <c r="H1984" s="246">
        <v>54550</v>
      </c>
      <c r="I1984" s="246">
        <v>61350</v>
      </c>
      <c r="J1984" s="246">
        <v>68150</v>
      </c>
      <c r="K1984" s="246">
        <v>73650</v>
      </c>
      <c r="L1984" s="246">
        <v>79100</v>
      </c>
      <c r="M1984" s="246">
        <v>84550</v>
      </c>
      <c r="N1984" s="246">
        <v>90000</v>
      </c>
    </row>
    <row r="1985" spans="3:14" ht="21.95" customHeight="1" x14ac:dyDescent="0.25">
      <c r="C1985" s="139" t="str">
        <f t="shared" si="47"/>
        <v>OH_HENRY COUNTY, OH</v>
      </c>
      <c r="D1985" s="136" t="s">
        <v>71</v>
      </c>
      <c r="E1985" s="262" t="s">
        <v>4538</v>
      </c>
      <c r="F1985" s="136" t="s">
        <v>183</v>
      </c>
      <c r="G1985" s="246">
        <v>54350</v>
      </c>
      <c r="H1985" s="246">
        <v>62100</v>
      </c>
      <c r="I1985" s="246">
        <v>69850</v>
      </c>
      <c r="J1985" s="246">
        <v>77600</v>
      </c>
      <c r="K1985" s="246">
        <v>83850</v>
      </c>
      <c r="L1985" s="246">
        <v>90050</v>
      </c>
      <c r="M1985" s="246">
        <v>96250</v>
      </c>
      <c r="N1985" s="246">
        <v>102450</v>
      </c>
    </row>
    <row r="1986" spans="3:14" ht="21.95" customHeight="1" x14ac:dyDescent="0.25">
      <c r="C1986" s="139" t="str">
        <f t="shared" si="47"/>
        <v>OH_HIGHLAND COUNTY, OH</v>
      </c>
      <c r="D1986" s="136" t="s">
        <v>71</v>
      </c>
      <c r="E1986" s="262" t="s">
        <v>4539</v>
      </c>
      <c r="F1986" s="136" t="s">
        <v>183</v>
      </c>
      <c r="G1986" s="246">
        <v>47750</v>
      </c>
      <c r="H1986" s="246">
        <v>54550</v>
      </c>
      <c r="I1986" s="246">
        <v>61350</v>
      </c>
      <c r="J1986" s="246">
        <v>68150</v>
      </c>
      <c r="K1986" s="246">
        <v>73650</v>
      </c>
      <c r="L1986" s="246">
        <v>79100</v>
      </c>
      <c r="M1986" s="246">
        <v>84550</v>
      </c>
      <c r="N1986" s="246">
        <v>90000</v>
      </c>
    </row>
    <row r="1987" spans="3:14" ht="21.95" customHeight="1" x14ac:dyDescent="0.25">
      <c r="C1987" s="139" t="str">
        <f t="shared" si="47"/>
        <v>OH_HOCKING COUNTY, OH HUD METRO FMR AREA</v>
      </c>
      <c r="D1987" s="136" t="s">
        <v>71</v>
      </c>
      <c r="E1987" s="262" t="s">
        <v>4540</v>
      </c>
      <c r="F1987" s="136" t="s">
        <v>183</v>
      </c>
      <c r="G1987" s="246">
        <v>47750</v>
      </c>
      <c r="H1987" s="246">
        <v>54550</v>
      </c>
      <c r="I1987" s="246">
        <v>61350</v>
      </c>
      <c r="J1987" s="246">
        <v>68150</v>
      </c>
      <c r="K1987" s="246">
        <v>73650</v>
      </c>
      <c r="L1987" s="246">
        <v>79100</v>
      </c>
      <c r="M1987" s="246">
        <v>84550</v>
      </c>
      <c r="N1987" s="246">
        <v>90000</v>
      </c>
    </row>
    <row r="1988" spans="3:14" ht="21.95" customHeight="1" x14ac:dyDescent="0.25">
      <c r="C1988" s="139" t="str">
        <f t="shared" si="47"/>
        <v>OH_HOLMES COUNTY, OH</v>
      </c>
      <c r="D1988" s="136" t="s">
        <v>71</v>
      </c>
      <c r="E1988" s="262" t="s">
        <v>4541</v>
      </c>
      <c r="F1988" s="136" t="s">
        <v>183</v>
      </c>
      <c r="G1988" s="246">
        <v>54050</v>
      </c>
      <c r="H1988" s="246">
        <v>61800</v>
      </c>
      <c r="I1988" s="246">
        <v>69500</v>
      </c>
      <c r="J1988" s="246">
        <v>77200</v>
      </c>
      <c r="K1988" s="246">
        <v>83400</v>
      </c>
      <c r="L1988" s="246">
        <v>89600</v>
      </c>
      <c r="M1988" s="246">
        <v>95750</v>
      </c>
      <c r="N1988" s="246">
        <v>101950</v>
      </c>
    </row>
    <row r="1989" spans="3:14" ht="21.95" customHeight="1" x14ac:dyDescent="0.25">
      <c r="C1989" s="139" t="str">
        <f t="shared" si="47"/>
        <v>OH_HUNTINGTON-ASHLAND, WV-KY-OH HUD METRO FMR AREA</v>
      </c>
      <c r="D1989" s="136" t="s">
        <v>71</v>
      </c>
      <c r="E1989" s="262" t="s">
        <v>3771</v>
      </c>
      <c r="F1989" s="136" t="s">
        <v>183</v>
      </c>
      <c r="G1989" s="246">
        <v>43600</v>
      </c>
      <c r="H1989" s="246">
        <v>49800</v>
      </c>
      <c r="I1989" s="246">
        <v>56050</v>
      </c>
      <c r="J1989" s="246">
        <v>62250</v>
      </c>
      <c r="K1989" s="246">
        <v>67250</v>
      </c>
      <c r="L1989" s="246">
        <v>72250</v>
      </c>
      <c r="M1989" s="246">
        <v>77200</v>
      </c>
      <c r="N1989" s="246">
        <v>82200</v>
      </c>
    </row>
    <row r="1990" spans="3:14" ht="21.95" customHeight="1" x14ac:dyDescent="0.25">
      <c r="C1990" s="139" t="str">
        <f t="shared" si="47"/>
        <v>OH_HURON COUNTY, OH</v>
      </c>
      <c r="D1990" s="136" t="s">
        <v>71</v>
      </c>
      <c r="E1990" s="262" t="s">
        <v>4542</v>
      </c>
      <c r="F1990" s="136" t="s">
        <v>183</v>
      </c>
      <c r="G1990" s="246">
        <v>48800</v>
      </c>
      <c r="H1990" s="246">
        <v>55800</v>
      </c>
      <c r="I1990" s="246">
        <v>62750</v>
      </c>
      <c r="J1990" s="246">
        <v>69700</v>
      </c>
      <c r="K1990" s="246">
        <v>75300</v>
      </c>
      <c r="L1990" s="246">
        <v>80900</v>
      </c>
      <c r="M1990" s="246">
        <v>86450</v>
      </c>
      <c r="N1990" s="246">
        <v>92050</v>
      </c>
    </row>
    <row r="1991" spans="3:14" ht="21.95" customHeight="1" x14ac:dyDescent="0.25">
      <c r="C1991" s="139" t="str">
        <f t="shared" si="47"/>
        <v>OH_JACKSON COUNTY, OH</v>
      </c>
      <c r="D1991" s="136" t="s">
        <v>71</v>
      </c>
      <c r="E1991" s="262" t="s">
        <v>4543</v>
      </c>
      <c r="F1991" s="136" t="s">
        <v>183</v>
      </c>
      <c r="G1991" s="246">
        <v>47750</v>
      </c>
      <c r="H1991" s="246">
        <v>54550</v>
      </c>
      <c r="I1991" s="246">
        <v>61350</v>
      </c>
      <c r="J1991" s="246">
        <v>68150</v>
      </c>
      <c r="K1991" s="246">
        <v>73650</v>
      </c>
      <c r="L1991" s="246">
        <v>79100</v>
      </c>
      <c r="M1991" s="246">
        <v>84550</v>
      </c>
      <c r="N1991" s="246">
        <v>90000</v>
      </c>
    </row>
    <row r="1992" spans="3:14" ht="21.95" customHeight="1" x14ac:dyDescent="0.25">
      <c r="C1992" s="139" t="str">
        <f t="shared" si="47"/>
        <v>OH_KNOX COUNTY, OH</v>
      </c>
      <c r="D1992" s="136" t="s">
        <v>71</v>
      </c>
      <c r="E1992" s="262" t="s">
        <v>4544</v>
      </c>
      <c r="F1992" s="136" t="s">
        <v>183</v>
      </c>
      <c r="G1992" s="246">
        <v>53000</v>
      </c>
      <c r="H1992" s="246">
        <v>60600</v>
      </c>
      <c r="I1992" s="246">
        <v>68150</v>
      </c>
      <c r="J1992" s="246">
        <v>75700</v>
      </c>
      <c r="K1992" s="246">
        <v>81800</v>
      </c>
      <c r="L1992" s="246">
        <v>87850</v>
      </c>
      <c r="M1992" s="246">
        <v>93900</v>
      </c>
      <c r="N1992" s="246">
        <v>99950</v>
      </c>
    </row>
    <row r="1993" spans="3:14" ht="21.95" customHeight="1" x14ac:dyDescent="0.25">
      <c r="C1993" s="139" t="str">
        <f t="shared" si="47"/>
        <v>OH_LIMA, OH MSA</v>
      </c>
      <c r="D1993" s="136" t="s">
        <v>71</v>
      </c>
      <c r="E1993" s="262" t="s">
        <v>4545</v>
      </c>
      <c r="F1993" s="136" t="s">
        <v>183</v>
      </c>
      <c r="G1993" s="246">
        <v>51800</v>
      </c>
      <c r="H1993" s="246">
        <v>59200</v>
      </c>
      <c r="I1993" s="246">
        <v>66600</v>
      </c>
      <c r="J1993" s="246">
        <v>74000</v>
      </c>
      <c r="K1993" s="246">
        <v>79950</v>
      </c>
      <c r="L1993" s="246">
        <v>85850</v>
      </c>
      <c r="M1993" s="246">
        <v>91800</v>
      </c>
      <c r="N1993" s="246">
        <v>97700</v>
      </c>
    </row>
    <row r="1994" spans="3:14" ht="21.95" customHeight="1" x14ac:dyDescent="0.25">
      <c r="C1994" s="139" t="str">
        <f t="shared" si="47"/>
        <v>OH_LOGAN COUNTY, OH</v>
      </c>
      <c r="D1994" s="136" t="s">
        <v>71</v>
      </c>
      <c r="E1994" s="262" t="s">
        <v>4546</v>
      </c>
      <c r="F1994" s="136" t="s">
        <v>183</v>
      </c>
      <c r="G1994" s="246">
        <v>51450</v>
      </c>
      <c r="H1994" s="246">
        <v>58800</v>
      </c>
      <c r="I1994" s="246">
        <v>66150</v>
      </c>
      <c r="J1994" s="246">
        <v>73500</v>
      </c>
      <c r="K1994" s="246">
        <v>79400</v>
      </c>
      <c r="L1994" s="246">
        <v>85300</v>
      </c>
      <c r="M1994" s="246">
        <v>91150</v>
      </c>
      <c r="N1994" s="246">
        <v>97050</v>
      </c>
    </row>
    <row r="1995" spans="3:14" ht="21.95" customHeight="1" x14ac:dyDescent="0.25">
      <c r="C1995" s="139" t="str">
        <f t="shared" si="47"/>
        <v>OH_MANSFIELD, OH MSA</v>
      </c>
      <c r="D1995" s="136" t="s">
        <v>71</v>
      </c>
      <c r="E1995" s="262" t="s">
        <v>4547</v>
      </c>
      <c r="F1995" s="136" t="s">
        <v>183</v>
      </c>
      <c r="G1995" s="246">
        <v>47750</v>
      </c>
      <c r="H1995" s="246">
        <v>54550</v>
      </c>
      <c r="I1995" s="246">
        <v>61350</v>
      </c>
      <c r="J1995" s="246">
        <v>68150</v>
      </c>
      <c r="K1995" s="246">
        <v>73650</v>
      </c>
      <c r="L1995" s="246">
        <v>79100</v>
      </c>
      <c r="M1995" s="246">
        <v>84550</v>
      </c>
      <c r="N1995" s="246">
        <v>90000</v>
      </c>
    </row>
    <row r="1996" spans="3:14" ht="21.95" customHeight="1" x14ac:dyDescent="0.25">
      <c r="C1996" s="139" t="str">
        <f t="shared" si="47"/>
        <v>OH_MARION COUNTY, OH</v>
      </c>
      <c r="D1996" s="136" t="s">
        <v>71</v>
      </c>
      <c r="E1996" s="262" t="s">
        <v>4548</v>
      </c>
      <c r="F1996" s="136" t="s">
        <v>183</v>
      </c>
      <c r="G1996" s="246">
        <v>47750</v>
      </c>
      <c r="H1996" s="246">
        <v>54550</v>
      </c>
      <c r="I1996" s="246">
        <v>61350</v>
      </c>
      <c r="J1996" s="246">
        <v>68150</v>
      </c>
      <c r="K1996" s="246">
        <v>73650</v>
      </c>
      <c r="L1996" s="246">
        <v>79100</v>
      </c>
      <c r="M1996" s="246">
        <v>84550</v>
      </c>
      <c r="N1996" s="246">
        <v>90000</v>
      </c>
    </row>
    <row r="1997" spans="3:14" ht="21.95" customHeight="1" x14ac:dyDescent="0.25">
      <c r="C1997" s="139" t="str">
        <f t="shared" si="47"/>
        <v>OH_MEIGS COUNTY, OH</v>
      </c>
      <c r="D1997" s="136" t="s">
        <v>71</v>
      </c>
      <c r="E1997" s="262" t="s">
        <v>4549</v>
      </c>
      <c r="F1997" s="136" t="s">
        <v>183</v>
      </c>
      <c r="G1997" s="246">
        <v>47750</v>
      </c>
      <c r="H1997" s="246">
        <v>54550</v>
      </c>
      <c r="I1997" s="246">
        <v>61350</v>
      </c>
      <c r="J1997" s="246">
        <v>68150</v>
      </c>
      <c r="K1997" s="246">
        <v>73650</v>
      </c>
      <c r="L1997" s="246">
        <v>79100</v>
      </c>
      <c r="M1997" s="246">
        <v>84550</v>
      </c>
      <c r="N1997" s="246">
        <v>90000</v>
      </c>
    </row>
    <row r="1998" spans="3:14" ht="21.95" customHeight="1" x14ac:dyDescent="0.25">
      <c r="C1998" s="139" t="str">
        <f t="shared" si="47"/>
        <v>OH_MERCER COUNTY, OH</v>
      </c>
      <c r="D1998" s="136" t="s">
        <v>71</v>
      </c>
      <c r="E1998" s="262" t="s">
        <v>4550</v>
      </c>
      <c r="F1998" s="136" t="s">
        <v>183</v>
      </c>
      <c r="G1998" s="246">
        <v>57300</v>
      </c>
      <c r="H1998" s="246">
        <v>65500</v>
      </c>
      <c r="I1998" s="246">
        <v>73700</v>
      </c>
      <c r="J1998" s="246">
        <v>81850</v>
      </c>
      <c r="K1998" s="246">
        <v>88400</v>
      </c>
      <c r="L1998" s="246">
        <v>94950</v>
      </c>
      <c r="M1998" s="246">
        <v>101500</v>
      </c>
      <c r="N1998" s="246">
        <v>108050</v>
      </c>
    </row>
    <row r="1999" spans="3:14" ht="21.95" customHeight="1" x14ac:dyDescent="0.25">
      <c r="C1999" s="139" t="str">
        <f t="shared" si="47"/>
        <v>OH_MONROE COUNTY, OH</v>
      </c>
      <c r="D1999" s="136" t="s">
        <v>71</v>
      </c>
      <c r="E1999" s="262" t="s">
        <v>4551</v>
      </c>
      <c r="F1999" s="136" t="s">
        <v>183</v>
      </c>
      <c r="G1999" s="246">
        <v>47750</v>
      </c>
      <c r="H1999" s="246">
        <v>54550</v>
      </c>
      <c r="I1999" s="246">
        <v>61350</v>
      </c>
      <c r="J1999" s="246">
        <v>68150</v>
      </c>
      <c r="K1999" s="246">
        <v>73650</v>
      </c>
      <c r="L1999" s="246">
        <v>79100</v>
      </c>
      <c r="M1999" s="246">
        <v>84550</v>
      </c>
      <c r="N1999" s="246">
        <v>90000</v>
      </c>
    </row>
    <row r="2000" spans="3:14" ht="21.95" customHeight="1" x14ac:dyDescent="0.25">
      <c r="C2000" s="139" t="str">
        <f t="shared" si="47"/>
        <v>OH_MORGAN COUNTY, OH</v>
      </c>
      <c r="D2000" s="136" t="s">
        <v>71</v>
      </c>
      <c r="E2000" s="262" t="s">
        <v>4552</v>
      </c>
      <c r="F2000" s="136" t="s">
        <v>183</v>
      </c>
      <c r="G2000" s="246">
        <v>47750</v>
      </c>
      <c r="H2000" s="246">
        <v>54550</v>
      </c>
      <c r="I2000" s="246">
        <v>61350</v>
      </c>
      <c r="J2000" s="246">
        <v>68150</v>
      </c>
      <c r="K2000" s="246">
        <v>73650</v>
      </c>
      <c r="L2000" s="246">
        <v>79100</v>
      </c>
      <c r="M2000" s="246">
        <v>84550</v>
      </c>
      <c r="N2000" s="246">
        <v>90000</v>
      </c>
    </row>
    <row r="2001" spans="3:14" ht="21.95" customHeight="1" x14ac:dyDescent="0.25">
      <c r="C2001" s="139" t="str">
        <f t="shared" si="47"/>
        <v>OH_MUSKINGUM COUNTY, OH</v>
      </c>
      <c r="D2001" s="136" t="s">
        <v>71</v>
      </c>
      <c r="E2001" s="262" t="s">
        <v>4553</v>
      </c>
      <c r="F2001" s="136" t="s">
        <v>183</v>
      </c>
      <c r="G2001" s="246">
        <v>47750</v>
      </c>
      <c r="H2001" s="246">
        <v>54550</v>
      </c>
      <c r="I2001" s="246">
        <v>61350</v>
      </c>
      <c r="J2001" s="246">
        <v>68150</v>
      </c>
      <c r="K2001" s="246">
        <v>73650</v>
      </c>
      <c r="L2001" s="246">
        <v>79100</v>
      </c>
      <c r="M2001" s="246">
        <v>84550</v>
      </c>
      <c r="N2001" s="246">
        <v>90000</v>
      </c>
    </row>
    <row r="2002" spans="3:14" ht="21.95" customHeight="1" x14ac:dyDescent="0.25">
      <c r="C2002" s="139" t="str">
        <f t="shared" si="47"/>
        <v>OH_NOBLE COUNTY, OH</v>
      </c>
      <c r="D2002" s="136" t="s">
        <v>71</v>
      </c>
      <c r="E2002" s="262" t="s">
        <v>4554</v>
      </c>
      <c r="F2002" s="136" t="s">
        <v>183</v>
      </c>
      <c r="G2002" s="246">
        <v>47750</v>
      </c>
      <c r="H2002" s="246">
        <v>54550</v>
      </c>
      <c r="I2002" s="246">
        <v>61350</v>
      </c>
      <c r="J2002" s="246">
        <v>68150</v>
      </c>
      <c r="K2002" s="246">
        <v>73650</v>
      </c>
      <c r="L2002" s="246">
        <v>79100</v>
      </c>
      <c r="M2002" s="246">
        <v>84550</v>
      </c>
      <c r="N2002" s="246">
        <v>90000</v>
      </c>
    </row>
    <row r="2003" spans="3:14" ht="21.95" customHeight="1" x14ac:dyDescent="0.25">
      <c r="C2003" s="139" t="str">
        <f t="shared" si="47"/>
        <v>OH_OTTAWA COUNTY, OH HUD METRO FMR AREA</v>
      </c>
      <c r="D2003" s="136" t="s">
        <v>71</v>
      </c>
      <c r="E2003" s="262" t="s">
        <v>4555</v>
      </c>
      <c r="F2003" s="136" t="s">
        <v>183</v>
      </c>
      <c r="G2003" s="246">
        <v>58750</v>
      </c>
      <c r="H2003" s="246">
        <v>67150</v>
      </c>
      <c r="I2003" s="246">
        <v>75550</v>
      </c>
      <c r="J2003" s="246">
        <v>83900</v>
      </c>
      <c r="K2003" s="246">
        <v>90650</v>
      </c>
      <c r="L2003" s="246">
        <v>97350</v>
      </c>
      <c r="M2003" s="246">
        <v>104050</v>
      </c>
      <c r="N2003" s="246">
        <v>110750</v>
      </c>
    </row>
    <row r="2004" spans="3:14" ht="21.95" customHeight="1" x14ac:dyDescent="0.25">
      <c r="C2004" s="139" t="str">
        <f t="shared" si="47"/>
        <v>OH_PAULDING COUNTY, OH</v>
      </c>
      <c r="D2004" s="136" t="s">
        <v>71</v>
      </c>
      <c r="E2004" s="262" t="s">
        <v>4556</v>
      </c>
      <c r="F2004" s="136" t="s">
        <v>183</v>
      </c>
      <c r="G2004" s="246">
        <v>50700</v>
      </c>
      <c r="H2004" s="246">
        <v>57950</v>
      </c>
      <c r="I2004" s="246">
        <v>65200</v>
      </c>
      <c r="J2004" s="246">
        <v>72400</v>
      </c>
      <c r="K2004" s="246">
        <v>78200</v>
      </c>
      <c r="L2004" s="246">
        <v>84000</v>
      </c>
      <c r="M2004" s="246">
        <v>89800</v>
      </c>
      <c r="N2004" s="246">
        <v>95600</v>
      </c>
    </row>
    <row r="2005" spans="3:14" ht="21.95" customHeight="1" x14ac:dyDescent="0.25">
      <c r="C2005" s="139" t="str">
        <f t="shared" si="47"/>
        <v>OH_PERRY COUNTY, OH HUD METRO FMR AREA</v>
      </c>
      <c r="D2005" s="136" t="s">
        <v>71</v>
      </c>
      <c r="E2005" s="262" t="s">
        <v>4557</v>
      </c>
      <c r="F2005" s="136" t="s">
        <v>183</v>
      </c>
      <c r="G2005" s="246">
        <v>47750</v>
      </c>
      <c r="H2005" s="246">
        <v>54550</v>
      </c>
      <c r="I2005" s="246">
        <v>61350</v>
      </c>
      <c r="J2005" s="246">
        <v>68150</v>
      </c>
      <c r="K2005" s="246">
        <v>73650</v>
      </c>
      <c r="L2005" s="246">
        <v>79100</v>
      </c>
      <c r="M2005" s="246">
        <v>84550</v>
      </c>
      <c r="N2005" s="246">
        <v>90000</v>
      </c>
    </row>
    <row r="2006" spans="3:14" ht="21.95" customHeight="1" x14ac:dyDescent="0.25">
      <c r="C2006" s="139" t="str">
        <f t="shared" si="47"/>
        <v>OH_PIKE COUNTY, OH</v>
      </c>
      <c r="D2006" s="136" t="s">
        <v>71</v>
      </c>
      <c r="E2006" s="262" t="s">
        <v>4558</v>
      </c>
      <c r="F2006" s="136" t="s">
        <v>183</v>
      </c>
      <c r="G2006" s="246">
        <v>47750</v>
      </c>
      <c r="H2006" s="246">
        <v>54550</v>
      </c>
      <c r="I2006" s="246">
        <v>61350</v>
      </c>
      <c r="J2006" s="246">
        <v>68150</v>
      </c>
      <c r="K2006" s="246">
        <v>73650</v>
      </c>
      <c r="L2006" s="246">
        <v>79100</v>
      </c>
      <c r="M2006" s="246">
        <v>84550</v>
      </c>
      <c r="N2006" s="246">
        <v>90000</v>
      </c>
    </row>
    <row r="2007" spans="3:14" ht="21.95" customHeight="1" x14ac:dyDescent="0.25">
      <c r="C2007" s="139" t="str">
        <f t="shared" si="47"/>
        <v>OH_PREBLE COUNTY, OH</v>
      </c>
      <c r="D2007" s="136" t="s">
        <v>71</v>
      </c>
      <c r="E2007" s="262" t="s">
        <v>4559</v>
      </c>
      <c r="F2007" s="136" t="s">
        <v>183</v>
      </c>
      <c r="G2007" s="246">
        <v>51100</v>
      </c>
      <c r="H2007" s="246">
        <v>58400</v>
      </c>
      <c r="I2007" s="246">
        <v>65700</v>
      </c>
      <c r="J2007" s="246">
        <v>72950</v>
      </c>
      <c r="K2007" s="246">
        <v>78800</v>
      </c>
      <c r="L2007" s="246">
        <v>84650</v>
      </c>
      <c r="M2007" s="246">
        <v>90500</v>
      </c>
      <c r="N2007" s="246">
        <v>96300</v>
      </c>
    </row>
    <row r="2008" spans="3:14" ht="21.95" customHeight="1" x14ac:dyDescent="0.25">
      <c r="C2008" s="139" t="str">
        <f t="shared" si="47"/>
        <v>OH_PUTNAM COUNTY, OH</v>
      </c>
      <c r="D2008" s="136" t="s">
        <v>71</v>
      </c>
      <c r="E2008" s="262" t="s">
        <v>4560</v>
      </c>
      <c r="F2008" s="136" t="s">
        <v>183</v>
      </c>
      <c r="G2008" s="246">
        <v>60450</v>
      </c>
      <c r="H2008" s="246">
        <v>69050</v>
      </c>
      <c r="I2008" s="246">
        <v>77700</v>
      </c>
      <c r="J2008" s="246">
        <v>86300</v>
      </c>
      <c r="K2008" s="246">
        <v>93250</v>
      </c>
      <c r="L2008" s="246">
        <v>100150</v>
      </c>
      <c r="M2008" s="246">
        <v>107050</v>
      </c>
      <c r="N2008" s="246">
        <v>113950</v>
      </c>
    </row>
    <row r="2009" spans="3:14" ht="21.95" customHeight="1" x14ac:dyDescent="0.25">
      <c r="C2009" s="139" t="str">
        <f t="shared" si="47"/>
        <v>OH_ROSS COUNTY, OH</v>
      </c>
      <c r="D2009" s="136" t="s">
        <v>71</v>
      </c>
      <c r="E2009" s="262" t="s">
        <v>4561</v>
      </c>
      <c r="F2009" s="136" t="s">
        <v>183</v>
      </c>
      <c r="G2009" s="246">
        <v>47750</v>
      </c>
      <c r="H2009" s="246">
        <v>54550</v>
      </c>
      <c r="I2009" s="246">
        <v>61350</v>
      </c>
      <c r="J2009" s="246">
        <v>68150</v>
      </c>
      <c r="K2009" s="246">
        <v>73650</v>
      </c>
      <c r="L2009" s="246">
        <v>79100</v>
      </c>
      <c r="M2009" s="246">
        <v>84550</v>
      </c>
      <c r="N2009" s="246">
        <v>90000</v>
      </c>
    </row>
    <row r="2010" spans="3:14" ht="21.95" customHeight="1" x14ac:dyDescent="0.25">
      <c r="C2010" s="139" t="str">
        <f t="shared" si="47"/>
        <v>OH_SANDUSKY COUNTY, OH</v>
      </c>
      <c r="D2010" s="136" t="s">
        <v>71</v>
      </c>
      <c r="E2010" s="262" t="s">
        <v>4562</v>
      </c>
      <c r="F2010" s="136" t="s">
        <v>183</v>
      </c>
      <c r="G2010" s="246">
        <v>49000</v>
      </c>
      <c r="H2010" s="246">
        <v>56000</v>
      </c>
      <c r="I2010" s="246">
        <v>63000</v>
      </c>
      <c r="J2010" s="246">
        <v>70000</v>
      </c>
      <c r="K2010" s="246">
        <v>75600</v>
      </c>
      <c r="L2010" s="246">
        <v>81200</v>
      </c>
      <c r="M2010" s="246">
        <v>86800</v>
      </c>
      <c r="N2010" s="246">
        <v>92400</v>
      </c>
    </row>
    <row r="2011" spans="3:14" ht="21.95" customHeight="1" x14ac:dyDescent="0.25">
      <c r="C2011" s="139" t="str">
        <f t="shared" si="47"/>
        <v>OH_SCIOTO COUNTY, OH</v>
      </c>
      <c r="D2011" s="136" t="s">
        <v>71</v>
      </c>
      <c r="E2011" s="262" t="s">
        <v>4563</v>
      </c>
      <c r="F2011" s="136" t="s">
        <v>183</v>
      </c>
      <c r="G2011" s="246">
        <v>47750</v>
      </c>
      <c r="H2011" s="246">
        <v>54550</v>
      </c>
      <c r="I2011" s="246">
        <v>61350</v>
      </c>
      <c r="J2011" s="246">
        <v>68150</v>
      </c>
      <c r="K2011" s="246">
        <v>73650</v>
      </c>
      <c r="L2011" s="246">
        <v>79100</v>
      </c>
      <c r="M2011" s="246">
        <v>84550</v>
      </c>
      <c r="N2011" s="246">
        <v>90000</v>
      </c>
    </row>
    <row r="2012" spans="3:14" ht="21.95" customHeight="1" x14ac:dyDescent="0.25">
      <c r="C2012" s="139" t="str">
        <f t="shared" si="47"/>
        <v>OH_SENECA COUNTY, OH</v>
      </c>
      <c r="D2012" s="136" t="s">
        <v>71</v>
      </c>
      <c r="E2012" s="262" t="s">
        <v>4564</v>
      </c>
      <c r="F2012" s="136" t="s">
        <v>183</v>
      </c>
      <c r="G2012" s="246">
        <v>47750</v>
      </c>
      <c r="H2012" s="246">
        <v>54550</v>
      </c>
      <c r="I2012" s="246">
        <v>61350</v>
      </c>
      <c r="J2012" s="246">
        <v>68150</v>
      </c>
      <c r="K2012" s="246">
        <v>73650</v>
      </c>
      <c r="L2012" s="246">
        <v>79100</v>
      </c>
      <c r="M2012" s="246">
        <v>84550</v>
      </c>
      <c r="N2012" s="246">
        <v>90000</v>
      </c>
    </row>
    <row r="2013" spans="3:14" ht="21.95" customHeight="1" x14ac:dyDescent="0.25">
      <c r="C2013" s="139" t="str">
        <f t="shared" si="47"/>
        <v>OH_SHELBY COUNTY, OH</v>
      </c>
      <c r="D2013" s="136" t="s">
        <v>71</v>
      </c>
      <c r="E2013" s="262" t="s">
        <v>4565</v>
      </c>
      <c r="F2013" s="136" t="s">
        <v>183</v>
      </c>
      <c r="G2013" s="246">
        <v>54150</v>
      </c>
      <c r="H2013" s="246">
        <v>61850</v>
      </c>
      <c r="I2013" s="246">
        <v>69600</v>
      </c>
      <c r="J2013" s="246">
        <v>77300</v>
      </c>
      <c r="K2013" s="246">
        <v>83500</v>
      </c>
      <c r="L2013" s="246">
        <v>89700</v>
      </c>
      <c r="M2013" s="246">
        <v>95900</v>
      </c>
      <c r="N2013" s="246">
        <v>102050</v>
      </c>
    </row>
    <row r="2014" spans="3:14" ht="21.95" customHeight="1" x14ac:dyDescent="0.25">
      <c r="C2014" s="139" t="str">
        <f t="shared" si="47"/>
        <v>OH_SPRINGFIELD, OH MSA</v>
      </c>
      <c r="D2014" s="136" t="s">
        <v>71</v>
      </c>
      <c r="E2014" s="262" t="s">
        <v>4566</v>
      </c>
      <c r="F2014" s="136" t="s">
        <v>183</v>
      </c>
      <c r="G2014" s="246">
        <v>48450</v>
      </c>
      <c r="H2014" s="246">
        <v>55400</v>
      </c>
      <c r="I2014" s="246">
        <v>62300</v>
      </c>
      <c r="J2014" s="246">
        <v>69200</v>
      </c>
      <c r="K2014" s="246">
        <v>74750</v>
      </c>
      <c r="L2014" s="246">
        <v>80300</v>
      </c>
      <c r="M2014" s="246">
        <v>85850</v>
      </c>
      <c r="N2014" s="246">
        <v>91350</v>
      </c>
    </row>
    <row r="2015" spans="3:14" ht="21.95" customHeight="1" x14ac:dyDescent="0.25">
      <c r="C2015" s="139" t="str">
        <f t="shared" si="47"/>
        <v>OH_TOLEDO, OH HUD METRO FMR AREA</v>
      </c>
      <c r="D2015" s="136" t="s">
        <v>71</v>
      </c>
      <c r="E2015" s="262" t="s">
        <v>4567</v>
      </c>
      <c r="F2015" s="136" t="s">
        <v>183</v>
      </c>
      <c r="G2015" s="246">
        <v>53100</v>
      </c>
      <c r="H2015" s="246">
        <v>60700</v>
      </c>
      <c r="I2015" s="246">
        <v>68300</v>
      </c>
      <c r="J2015" s="246">
        <v>75850</v>
      </c>
      <c r="K2015" s="246">
        <v>81950</v>
      </c>
      <c r="L2015" s="246">
        <v>88000</v>
      </c>
      <c r="M2015" s="246">
        <v>94100</v>
      </c>
      <c r="N2015" s="246">
        <v>100150</v>
      </c>
    </row>
    <row r="2016" spans="3:14" ht="21.95" customHeight="1" x14ac:dyDescent="0.25">
      <c r="C2016" s="139" t="str">
        <f t="shared" si="47"/>
        <v>OH_TUSCARAWAS COUNTY, OH</v>
      </c>
      <c r="D2016" s="136" t="s">
        <v>71</v>
      </c>
      <c r="E2016" s="262" t="s">
        <v>4568</v>
      </c>
      <c r="F2016" s="136" t="s">
        <v>183</v>
      </c>
      <c r="G2016" s="246">
        <v>48900</v>
      </c>
      <c r="H2016" s="246">
        <v>55900</v>
      </c>
      <c r="I2016" s="246">
        <v>62900</v>
      </c>
      <c r="J2016" s="246">
        <v>69850</v>
      </c>
      <c r="K2016" s="246">
        <v>75450</v>
      </c>
      <c r="L2016" s="246">
        <v>81050</v>
      </c>
      <c r="M2016" s="246">
        <v>86650</v>
      </c>
      <c r="N2016" s="246">
        <v>92250</v>
      </c>
    </row>
    <row r="2017" spans="3:14" ht="21.95" customHeight="1" x14ac:dyDescent="0.25">
      <c r="C2017" s="139" t="str">
        <f t="shared" si="47"/>
        <v>OH_UNION COUNTY, OH HUD METRO FMR AREA</v>
      </c>
      <c r="D2017" s="136" t="s">
        <v>71</v>
      </c>
      <c r="E2017" s="262" t="s">
        <v>4569</v>
      </c>
      <c r="F2017" s="136" t="s">
        <v>183</v>
      </c>
      <c r="G2017" s="246">
        <v>71800</v>
      </c>
      <c r="H2017" s="246">
        <v>82050</v>
      </c>
      <c r="I2017" s="246">
        <v>92300</v>
      </c>
      <c r="J2017" s="246">
        <v>102550</v>
      </c>
      <c r="K2017" s="246">
        <v>110800</v>
      </c>
      <c r="L2017" s="246">
        <v>119000</v>
      </c>
      <c r="M2017" s="246">
        <v>127200</v>
      </c>
      <c r="N2017" s="246">
        <v>135400</v>
      </c>
    </row>
    <row r="2018" spans="3:14" ht="21.95" customHeight="1" x14ac:dyDescent="0.25">
      <c r="C2018" s="139" t="str">
        <f t="shared" si="47"/>
        <v>OH_VAN WERT COUNTY, OH</v>
      </c>
      <c r="D2018" s="136" t="s">
        <v>71</v>
      </c>
      <c r="E2018" s="262" t="s">
        <v>4570</v>
      </c>
      <c r="F2018" s="136" t="s">
        <v>183</v>
      </c>
      <c r="G2018" s="246">
        <v>48550</v>
      </c>
      <c r="H2018" s="246">
        <v>55500</v>
      </c>
      <c r="I2018" s="246">
        <v>62450</v>
      </c>
      <c r="J2018" s="246">
        <v>69350</v>
      </c>
      <c r="K2018" s="246">
        <v>74900</v>
      </c>
      <c r="L2018" s="246">
        <v>80450</v>
      </c>
      <c r="M2018" s="246">
        <v>86000</v>
      </c>
      <c r="N2018" s="246">
        <v>91550</v>
      </c>
    </row>
    <row r="2019" spans="3:14" ht="21.95" customHeight="1" x14ac:dyDescent="0.25">
      <c r="C2019" s="139" t="str">
        <f t="shared" si="47"/>
        <v>OH_VINTON COUNTY, OH</v>
      </c>
      <c r="D2019" s="136" t="s">
        <v>71</v>
      </c>
      <c r="E2019" s="262" t="s">
        <v>4571</v>
      </c>
      <c r="F2019" s="136" t="s">
        <v>183</v>
      </c>
      <c r="G2019" s="246">
        <v>47750</v>
      </c>
      <c r="H2019" s="246">
        <v>54550</v>
      </c>
      <c r="I2019" s="246">
        <v>61350</v>
      </c>
      <c r="J2019" s="246">
        <v>68150</v>
      </c>
      <c r="K2019" s="246">
        <v>73650</v>
      </c>
      <c r="L2019" s="246">
        <v>79100</v>
      </c>
      <c r="M2019" s="246">
        <v>84550</v>
      </c>
      <c r="N2019" s="246">
        <v>90000</v>
      </c>
    </row>
    <row r="2020" spans="3:14" ht="21.95" customHeight="1" x14ac:dyDescent="0.25">
      <c r="C2020" s="139" t="str">
        <f t="shared" si="47"/>
        <v>OH_WASHINGTON COUNTY, OH</v>
      </c>
      <c r="D2020" s="136" t="s">
        <v>71</v>
      </c>
      <c r="E2020" s="262" t="s">
        <v>4572</v>
      </c>
      <c r="F2020" s="136" t="s">
        <v>183</v>
      </c>
      <c r="G2020" s="246">
        <v>47750</v>
      </c>
      <c r="H2020" s="246">
        <v>54550</v>
      </c>
      <c r="I2020" s="246">
        <v>61350</v>
      </c>
      <c r="J2020" s="246">
        <v>68150</v>
      </c>
      <c r="K2020" s="246">
        <v>73650</v>
      </c>
      <c r="L2020" s="246">
        <v>79100</v>
      </c>
      <c r="M2020" s="246">
        <v>84550</v>
      </c>
      <c r="N2020" s="246">
        <v>90000</v>
      </c>
    </row>
    <row r="2021" spans="3:14" ht="21.95" customHeight="1" x14ac:dyDescent="0.25">
      <c r="C2021" s="139" t="str">
        <f t="shared" si="47"/>
        <v>OH_WAYNE COUNTY, OH</v>
      </c>
      <c r="D2021" s="136" t="s">
        <v>71</v>
      </c>
      <c r="E2021" s="262" t="s">
        <v>4573</v>
      </c>
      <c r="F2021" s="136" t="s">
        <v>183</v>
      </c>
      <c r="G2021" s="246">
        <v>50150</v>
      </c>
      <c r="H2021" s="246">
        <v>57300</v>
      </c>
      <c r="I2021" s="246">
        <v>64450</v>
      </c>
      <c r="J2021" s="246">
        <v>71600</v>
      </c>
      <c r="K2021" s="246">
        <v>77350</v>
      </c>
      <c r="L2021" s="246">
        <v>83100</v>
      </c>
      <c r="M2021" s="246">
        <v>88800</v>
      </c>
      <c r="N2021" s="246">
        <v>94550</v>
      </c>
    </row>
    <row r="2022" spans="3:14" ht="21.95" customHeight="1" x14ac:dyDescent="0.25">
      <c r="C2022" s="139" t="str">
        <f t="shared" si="47"/>
        <v>OH_WEIRTON-STEUBENVILLE, WV-OH MSA</v>
      </c>
      <c r="D2022" s="136" t="s">
        <v>71</v>
      </c>
      <c r="E2022" s="262" t="s">
        <v>4574</v>
      </c>
      <c r="F2022" s="136" t="s">
        <v>183</v>
      </c>
      <c r="G2022" s="246">
        <v>47750</v>
      </c>
      <c r="H2022" s="246">
        <v>54550</v>
      </c>
      <c r="I2022" s="246">
        <v>61350</v>
      </c>
      <c r="J2022" s="246">
        <v>68150</v>
      </c>
      <c r="K2022" s="246">
        <v>73650</v>
      </c>
      <c r="L2022" s="246">
        <v>79100</v>
      </c>
      <c r="M2022" s="246">
        <v>84550</v>
      </c>
      <c r="N2022" s="246">
        <v>90000</v>
      </c>
    </row>
    <row r="2023" spans="3:14" ht="21.95" customHeight="1" x14ac:dyDescent="0.25">
      <c r="C2023" s="139" t="str">
        <f t="shared" si="47"/>
        <v>OH_WHEELING, WV-OH MSA</v>
      </c>
      <c r="D2023" s="136" t="s">
        <v>71</v>
      </c>
      <c r="E2023" s="262" t="s">
        <v>4575</v>
      </c>
      <c r="F2023" s="136" t="s">
        <v>183</v>
      </c>
      <c r="G2023" s="246">
        <v>46000</v>
      </c>
      <c r="H2023" s="246">
        <v>52600</v>
      </c>
      <c r="I2023" s="246">
        <v>59150</v>
      </c>
      <c r="J2023" s="246">
        <v>65700</v>
      </c>
      <c r="K2023" s="246">
        <v>71000</v>
      </c>
      <c r="L2023" s="246">
        <v>76250</v>
      </c>
      <c r="M2023" s="246">
        <v>81500</v>
      </c>
      <c r="N2023" s="246">
        <v>86750</v>
      </c>
    </row>
    <row r="2024" spans="3:14" ht="21.95" customHeight="1" x14ac:dyDescent="0.25">
      <c r="C2024" s="139" t="str">
        <f t="shared" si="47"/>
        <v>OH_WILLIAMS COUNTY, OH</v>
      </c>
      <c r="D2024" s="136" t="s">
        <v>71</v>
      </c>
      <c r="E2024" s="262" t="s">
        <v>4576</v>
      </c>
      <c r="F2024" s="136" t="s">
        <v>183</v>
      </c>
      <c r="G2024" s="246">
        <v>47750</v>
      </c>
      <c r="H2024" s="246">
        <v>54550</v>
      </c>
      <c r="I2024" s="246">
        <v>61350</v>
      </c>
      <c r="J2024" s="246">
        <v>68150</v>
      </c>
      <c r="K2024" s="246">
        <v>73650</v>
      </c>
      <c r="L2024" s="246">
        <v>79100</v>
      </c>
      <c r="M2024" s="246">
        <v>84550</v>
      </c>
      <c r="N2024" s="246">
        <v>90000</v>
      </c>
    </row>
    <row r="2025" spans="3:14" ht="21.95" customHeight="1" x14ac:dyDescent="0.25">
      <c r="C2025" s="139" t="str">
        <f t="shared" si="47"/>
        <v>OH_WYANDOT COUNTY, OH</v>
      </c>
      <c r="D2025" s="136" t="s">
        <v>71</v>
      </c>
      <c r="E2025" s="262" t="s">
        <v>4577</v>
      </c>
      <c r="F2025" s="136" t="s">
        <v>183</v>
      </c>
      <c r="G2025" s="246">
        <v>50800</v>
      </c>
      <c r="H2025" s="246">
        <v>58050</v>
      </c>
      <c r="I2025" s="246">
        <v>65300</v>
      </c>
      <c r="J2025" s="246">
        <v>72550</v>
      </c>
      <c r="K2025" s="246">
        <v>78400</v>
      </c>
      <c r="L2025" s="246">
        <v>84200</v>
      </c>
      <c r="M2025" s="246">
        <v>90000</v>
      </c>
      <c r="N2025" s="246">
        <v>95800</v>
      </c>
    </row>
    <row r="2026" spans="3:14" ht="21.95" customHeight="1" x14ac:dyDescent="0.25">
      <c r="C2026" s="139" t="str">
        <f t="shared" si="47"/>
        <v>OH_YOUNGSTOWN-WARREN, OH MSA</v>
      </c>
      <c r="D2026" s="136" t="s">
        <v>71</v>
      </c>
      <c r="E2026" s="262" t="s">
        <v>9241</v>
      </c>
      <c r="F2026" s="136" t="s">
        <v>183</v>
      </c>
      <c r="G2026" s="246">
        <v>47750</v>
      </c>
      <c r="H2026" s="246">
        <v>54550</v>
      </c>
      <c r="I2026" s="246">
        <v>61350</v>
      </c>
      <c r="J2026" s="246">
        <v>68150</v>
      </c>
      <c r="K2026" s="246">
        <v>73650</v>
      </c>
      <c r="L2026" s="246">
        <v>79100</v>
      </c>
      <c r="M2026" s="246">
        <v>84550</v>
      </c>
      <c r="N2026" s="246">
        <v>90000</v>
      </c>
    </row>
    <row r="2027" spans="3:14" ht="21.95" customHeight="1" x14ac:dyDescent="0.25">
      <c r="C2027" s="139" t="str">
        <f t="shared" si="47"/>
        <v>OK_ADAIR COUNTY, OK</v>
      </c>
      <c r="D2027" s="136" t="s">
        <v>27</v>
      </c>
      <c r="E2027" s="262" t="s">
        <v>4578</v>
      </c>
      <c r="F2027" s="136" t="s">
        <v>183</v>
      </c>
      <c r="G2027" s="246">
        <v>41550</v>
      </c>
      <c r="H2027" s="246">
        <v>47500</v>
      </c>
      <c r="I2027" s="246">
        <v>53450</v>
      </c>
      <c r="J2027" s="246">
        <v>59350</v>
      </c>
      <c r="K2027" s="246">
        <v>64100</v>
      </c>
      <c r="L2027" s="246">
        <v>68850</v>
      </c>
      <c r="M2027" s="246">
        <v>73600</v>
      </c>
      <c r="N2027" s="246">
        <v>78350</v>
      </c>
    </row>
    <row r="2028" spans="3:14" ht="21.95" customHeight="1" x14ac:dyDescent="0.25">
      <c r="C2028" s="139" t="str">
        <f t="shared" si="47"/>
        <v>OK_ALFALFA COUNTY, OK</v>
      </c>
      <c r="D2028" s="136" t="s">
        <v>27</v>
      </c>
      <c r="E2028" s="262" t="s">
        <v>4579</v>
      </c>
      <c r="F2028" s="136" t="s">
        <v>183</v>
      </c>
      <c r="G2028" s="246">
        <v>55950</v>
      </c>
      <c r="H2028" s="246">
        <v>63950</v>
      </c>
      <c r="I2028" s="246">
        <v>71950</v>
      </c>
      <c r="J2028" s="246">
        <v>79900</v>
      </c>
      <c r="K2028" s="246">
        <v>86300</v>
      </c>
      <c r="L2028" s="246">
        <v>92700</v>
      </c>
      <c r="M2028" s="246">
        <v>99100</v>
      </c>
      <c r="N2028" s="246">
        <v>105500</v>
      </c>
    </row>
    <row r="2029" spans="3:14" ht="21.95" customHeight="1" x14ac:dyDescent="0.25">
      <c r="C2029" s="139" t="str">
        <f t="shared" si="47"/>
        <v>OK_ATOKA COUNTY, OK</v>
      </c>
      <c r="D2029" s="136" t="s">
        <v>27</v>
      </c>
      <c r="E2029" s="262" t="s">
        <v>4580</v>
      </c>
      <c r="F2029" s="136" t="s">
        <v>183</v>
      </c>
      <c r="G2029" s="246">
        <v>41550</v>
      </c>
      <c r="H2029" s="246">
        <v>47500</v>
      </c>
      <c r="I2029" s="246">
        <v>53450</v>
      </c>
      <c r="J2029" s="246">
        <v>59350</v>
      </c>
      <c r="K2029" s="246">
        <v>64100</v>
      </c>
      <c r="L2029" s="246">
        <v>68850</v>
      </c>
      <c r="M2029" s="246">
        <v>73600</v>
      </c>
      <c r="N2029" s="246">
        <v>78350</v>
      </c>
    </row>
    <row r="2030" spans="3:14" ht="21.95" customHeight="1" x14ac:dyDescent="0.25">
      <c r="C2030" s="139" t="str">
        <f t="shared" si="47"/>
        <v>OK_BEAVER COUNTY, OK</v>
      </c>
      <c r="D2030" s="136" t="s">
        <v>27</v>
      </c>
      <c r="E2030" s="262" t="s">
        <v>4581</v>
      </c>
      <c r="F2030" s="136" t="s">
        <v>183</v>
      </c>
      <c r="G2030" s="246">
        <v>44250</v>
      </c>
      <c r="H2030" s="246">
        <v>50600</v>
      </c>
      <c r="I2030" s="246">
        <v>56900</v>
      </c>
      <c r="J2030" s="246">
        <v>63200</v>
      </c>
      <c r="K2030" s="246">
        <v>68300</v>
      </c>
      <c r="L2030" s="246">
        <v>73350</v>
      </c>
      <c r="M2030" s="246">
        <v>78400</v>
      </c>
      <c r="N2030" s="246">
        <v>83450</v>
      </c>
    </row>
    <row r="2031" spans="3:14" ht="21.95" customHeight="1" x14ac:dyDescent="0.25">
      <c r="C2031" s="139" t="str">
        <f t="shared" si="47"/>
        <v>OK_BECKHAM COUNTY, OK</v>
      </c>
      <c r="D2031" s="136" t="s">
        <v>27</v>
      </c>
      <c r="E2031" s="262" t="s">
        <v>4582</v>
      </c>
      <c r="F2031" s="136" t="s">
        <v>183</v>
      </c>
      <c r="G2031" s="246">
        <v>44950</v>
      </c>
      <c r="H2031" s="246">
        <v>51350</v>
      </c>
      <c r="I2031" s="246">
        <v>57750</v>
      </c>
      <c r="J2031" s="246">
        <v>64150</v>
      </c>
      <c r="K2031" s="246">
        <v>69300</v>
      </c>
      <c r="L2031" s="246">
        <v>74450</v>
      </c>
      <c r="M2031" s="246">
        <v>79550</v>
      </c>
      <c r="N2031" s="246">
        <v>84700</v>
      </c>
    </row>
    <row r="2032" spans="3:14" ht="21.95" customHeight="1" x14ac:dyDescent="0.25">
      <c r="C2032" s="139" t="str">
        <f t="shared" si="47"/>
        <v>OK_BLAINE COUNTY, OK</v>
      </c>
      <c r="D2032" s="136" t="s">
        <v>27</v>
      </c>
      <c r="E2032" s="262" t="s">
        <v>4583</v>
      </c>
      <c r="F2032" s="136" t="s">
        <v>183</v>
      </c>
      <c r="G2032" s="246">
        <v>43900</v>
      </c>
      <c r="H2032" s="246">
        <v>50150</v>
      </c>
      <c r="I2032" s="246">
        <v>56400</v>
      </c>
      <c r="J2032" s="246">
        <v>62650</v>
      </c>
      <c r="K2032" s="246">
        <v>67700</v>
      </c>
      <c r="L2032" s="246">
        <v>72700</v>
      </c>
      <c r="M2032" s="246">
        <v>77700</v>
      </c>
      <c r="N2032" s="246">
        <v>82700</v>
      </c>
    </row>
    <row r="2033" spans="3:14" ht="21.95" customHeight="1" x14ac:dyDescent="0.25">
      <c r="C2033" s="139" t="str">
        <f t="shared" si="47"/>
        <v>OK_BRYAN COUNTY, OK</v>
      </c>
      <c r="D2033" s="136" t="s">
        <v>27</v>
      </c>
      <c r="E2033" s="262" t="s">
        <v>4584</v>
      </c>
      <c r="F2033" s="136" t="s">
        <v>183</v>
      </c>
      <c r="G2033" s="246">
        <v>41550</v>
      </c>
      <c r="H2033" s="246">
        <v>47500</v>
      </c>
      <c r="I2033" s="246">
        <v>53450</v>
      </c>
      <c r="J2033" s="246">
        <v>59350</v>
      </c>
      <c r="K2033" s="246">
        <v>64100</v>
      </c>
      <c r="L2033" s="246">
        <v>68850</v>
      </c>
      <c r="M2033" s="246">
        <v>73600</v>
      </c>
      <c r="N2033" s="246">
        <v>78350</v>
      </c>
    </row>
    <row r="2034" spans="3:14" ht="21.95" customHeight="1" x14ac:dyDescent="0.25">
      <c r="C2034" s="139" t="str">
        <f t="shared" si="47"/>
        <v>OK_CADDO COUNTY, OK</v>
      </c>
      <c r="D2034" s="136" t="s">
        <v>27</v>
      </c>
      <c r="E2034" s="262" t="s">
        <v>4585</v>
      </c>
      <c r="F2034" s="136" t="s">
        <v>183</v>
      </c>
      <c r="G2034" s="246">
        <v>41550</v>
      </c>
      <c r="H2034" s="246">
        <v>47500</v>
      </c>
      <c r="I2034" s="246">
        <v>53450</v>
      </c>
      <c r="J2034" s="246">
        <v>59350</v>
      </c>
      <c r="K2034" s="246">
        <v>64100</v>
      </c>
      <c r="L2034" s="246">
        <v>68850</v>
      </c>
      <c r="M2034" s="246">
        <v>73600</v>
      </c>
      <c r="N2034" s="246">
        <v>78350</v>
      </c>
    </row>
    <row r="2035" spans="3:14" ht="21.95" customHeight="1" x14ac:dyDescent="0.25">
      <c r="C2035" s="139" t="str">
        <f t="shared" si="47"/>
        <v>OK_CARTER COUNTY, OK</v>
      </c>
      <c r="D2035" s="136" t="s">
        <v>27</v>
      </c>
      <c r="E2035" s="262" t="s">
        <v>4586</v>
      </c>
      <c r="F2035" s="136" t="s">
        <v>183</v>
      </c>
      <c r="G2035" s="246">
        <v>45750</v>
      </c>
      <c r="H2035" s="246">
        <v>52250</v>
      </c>
      <c r="I2035" s="246">
        <v>58800</v>
      </c>
      <c r="J2035" s="246">
        <v>65300</v>
      </c>
      <c r="K2035" s="246">
        <v>70550</v>
      </c>
      <c r="L2035" s="246">
        <v>75750</v>
      </c>
      <c r="M2035" s="246">
        <v>81000</v>
      </c>
      <c r="N2035" s="246">
        <v>86200</v>
      </c>
    </row>
    <row r="2036" spans="3:14" ht="21.95" customHeight="1" x14ac:dyDescent="0.25">
      <c r="C2036" s="139" t="str">
        <f t="shared" si="47"/>
        <v>OK_CHEROKEE COUNTY, OK</v>
      </c>
      <c r="D2036" s="136" t="s">
        <v>27</v>
      </c>
      <c r="E2036" s="262" t="s">
        <v>4587</v>
      </c>
      <c r="F2036" s="136" t="s">
        <v>183</v>
      </c>
      <c r="G2036" s="246">
        <v>41550</v>
      </c>
      <c r="H2036" s="246">
        <v>47500</v>
      </c>
      <c r="I2036" s="246">
        <v>53450</v>
      </c>
      <c r="J2036" s="246">
        <v>59350</v>
      </c>
      <c r="K2036" s="246">
        <v>64100</v>
      </c>
      <c r="L2036" s="246">
        <v>68850</v>
      </c>
      <c r="M2036" s="246">
        <v>73600</v>
      </c>
      <c r="N2036" s="246">
        <v>78350</v>
      </c>
    </row>
    <row r="2037" spans="3:14" ht="21.95" customHeight="1" x14ac:dyDescent="0.25">
      <c r="C2037" s="139" t="str">
        <f t="shared" si="47"/>
        <v>OK_CHOCTAW COUNTY, OK</v>
      </c>
      <c r="D2037" s="136" t="s">
        <v>27</v>
      </c>
      <c r="E2037" s="262" t="s">
        <v>4588</v>
      </c>
      <c r="F2037" s="136" t="s">
        <v>183</v>
      </c>
      <c r="G2037" s="246">
        <v>41550</v>
      </c>
      <c r="H2037" s="246">
        <v>47500</v>
      </c>
      <c r="I2037" s="246">
        <v>53450</v>
      </c>
      <c r="J2037" s="246">
        <v>59350</v>
      </c>
      <c r="K2037" s="246">
        <v>64100</v>
      </c>
      <c r="L2037" s="246">
        <v>68850</v>
      </c>
      <c r="M2037" s="246">
        <v>73600</v>
      </c>
      <c r="N2037" s="246">
        <v>78350</v>
      </c>
    </row>
    <row r="2038" spans="3:14" ht="21.95" customHeight="1" x14ac:dyDescent="0.25">
      <c r="C2038" s="139" t="str">
        <f t="shared" si="47"/>
        <v>OK_CIMARRON COUNTY, OK</v>
      </c>
      <c r="D2038" s="136" t="s">
        <v>27</v>
      </c>
      <c r="E2038" s="262" t="s">
        <v>4589</v>
      </c>
      <c r="F2038" s="136" t="s">
        <v>183</v>
      </c>
      <c r="G2038" s="246">
        <v>45750</v>
      </c>
      <c r="H2038" s="246">
        <v>52300</v>
      </c>
      <c r="I2038" s="246">
        <v>58850</v>
      </c>
      <c r="J2038" s="246">
        <v>65350</v>
      </c>
      <c r="K2038" s="246">
        <v>70600</v>
      </c>
      <c r="L2038" s="246">
        <v>75850</v>
      </c>
      <c r="M2038" s="246">
        <v>81050</v>
      </c>
      <c r="N2038" s="246">
        <v>86300</v>
      </c>
    </row>
    <row r="2039" spans="3:14" ht="21.95" customHeight="1" x14ac:dyDescent="0.25">
      <c r="C2039" s="139" t="str">
        <f t="shared" si="47"/>
        <v>OK_COAL COUNTY, OK</v>
      </c>
      <c r="D2039" s="136" t="s">
        <v>27</v>
      </c>
      <c r="E2039" s="262" t="s">
        <v>4590</v>
      </c>
      <c r="F2039" s="136" t="s">
        <v>183</v>
      </c>
      <c r="G2039" s="246">
        <v>41550</v>
      </c>
      <c r="H2039" s="246">
        <v>47500</v>
      </c>
      <c r="I2039" s="246">
        <v>53450</v>
      </c>
      <c r="J2039" s="246">
        <v>59350</v>
      </c>
      <c r="K2039" s="246">
        <v>64100</v>
      </c>
      <c r="L2039" s="246">
        <v>68850</v>
      </c>
      <c r="M2039" s="246">
        <v>73600</v>
      </c>
      <c r="N2039" s="246">
        <v>78350</v>
      </c>
    </row>
    <row r="2040" spans="3:14" ht="21.95" customHeight="1" x14ac:dyDescent="0.25">
      <c r="C2040" s="139" t="str">
        <f t="shared" si="47"/>
        <v>OK_COTTON COUNTY, OK HUD METRO FMR AREA</v>
      </c>
      <c r="D2040" s="136" t="s">
        <v>27</v>
      </c>
      <c r="E2040" s="262" t="s">
        <v>4591</v>
      </c>
      <c r="F2040" s="136" t="s">
        <v>183</v>
      </c>
      <c r="G2040" s="246">
        <v>46550</v>
      </c>
      <c r="H2040" s="246">
        <v>53200</v>
      </c>
      <c r="I2040" s="246">
        <v>59850</v>
      </c>
      <c r="J2040" s="246">
        <v>66450</v>
      </c>
      <c r="K2040" s="246">
        <v>71800</v>
      </c>
      <c r="L2040" s="246">
        <v>77100</v>
      </c>
      <c r="M2040" s="246">
        <v>82400</v>
      </c>
      <c r="N2040" s="246">
        <v>87750</v>
      </c>
    </row>
    <row r="2041" spans="3:14" ht="21.95" customHeight="1" x14ac:dyDescent="0.25">
      <c r="C2041" s="139" t="str">
        <f t="shared" si="47"/>
        <v>OK_CRAIG COUNTY, OK</v>
      </c>
      <c r="D2041" s="136" t="s">
        <v>27</v>
      </c>
      <c r="E2041" s="262" t="s">
        <v>4592</v>
      </c>
      <c r="F2041" s="136" t="s">
        <v>183</v>
      </c>
      <c r="G2041" s="246">
        <v>41550</v>
      </c>
      <c r="H2041" s="246">
        <v>47500</v>
      </c>
      <c r="I2041" s="246">
        <v>53450</v>
      </c>
      <c r="J2041" s="246">
        <v>59350</v>
      </c>
      <c r="K2041" s="246">
        <v>64100</v>
      </c>
      <c r="L2041" s="246">
        <v>68850</v>
      </c>
      <c r="M2041" s="246">
        <v>73600</v>
      </c>
      <c r="N2041" s="246">
        <v>78350</v>
      </c>
    </row>
    <row r="2042" spans="3:14" ht="21.95" customHeight="1" x14ac:dyDescent="0.25">
      <c r="C2042" s="139" t="str">
        <f t="shared" si="47"/>
        <v>OK_CUSTER COUNTY, OK</v>
      </c>
      <c r="D2042" s="136" t="s">
        <v>27</v>
      </c>
      <c r="E2042" s="262" t="s">
        <v>4593</v>
      </c>
      <c r="F2042" s="136" t="s">
        <v>183</v>
      </c>
      <c r="G2042" s="246">
        <v>46700</v>
      </c>
      <c r="H2042" s="246">
        <v>53350</v>
      </c>
      <c r="I2042" s="246">
        <v>60000</v>
      </c>
      <c r="J2042" s="246">
        <v>66650</v>
      </c>
      <c r="K2042" s="246">
        <v>72000</v>
      </c>
      <c r="L2042" s="246">
        <v>77350</v>
      </c>
      <c r="M2042" s="246">
        <v>82650</v>
      </c>
      <c r="N2042" s="246">
        <v>88000</v>
      </c>
    </row>
    <row r="2043" spans="3:14" ht="21.95" customHeight="1" x14ac:dyDescent="0.25">
      <c r="C2043" s="139" t="str">
        <f t="shared" si="47"/>
        <v>OK_DELAWARE COUNTY, OK</v>
      </c>
      <c r="D2043" s="136" t="s">
        <v>27</v>
      </c>
      <c r="E2043" s="262" t="s">
        <v>4594</v>
      </c>
      <c r="F2043" s="136" t="s">
        <v>183</v>
      </c>
      <c r="G2043" s="246">
        <v>41850</v>
      </c>
      <c r="H2043" s="246">
        <v>47800</v>
      </c>
      <c r="I2043" s="246">
        <v>53800</v>
      </c>
      <c r="J2043" s="246">
        <v>59750</v>
      </c>
      <c r="K2043" s="246">
        <v>64550</v>
      </c>
      <c r="L2043" s="246">
        <v>69350</v>
      </c>
      <c r="M2043" s="246">
        <v>74100</v>
      </c>
      <c r="N2043" s="246">
        <v>78900</v>
      </c>
    </row>
    <row r="2044" spans="3:14" ht="21.95" customHeight="1" x14ac:dyDescent="0.25">
      <c r="C2044" s="139" t="str">
        <f t="shared" si="47"/>
        <v>OK_DEWEY COUNTY, OK</v>
      </c>
      <c r="D2044" s="136" t="s">
        <v>27</v>
      </c>
      <c r="E2044" s="262" t="s">
        <v>4595</v>
      </c>
      <c r="F2044" s="136" t="s">
        <v>183</v>
      </c>
      <c r="G2044" s="246">
        <v>43300</v>
      </c>
      <c r="H2044" s="246">
        <v>49500</v>
      </c>
      <c r="I2044" s="246">
        <v>55700</v>
      </c>
      <c r="J2044" s="246">
        <v>61850</v>
      </c>
      <c r="K2044" s="246">
        <v>66800</v>
      </c>
      <c r="L2044" s="246">
        <v>71750</v>
      </c>
      <c r="M2044" s="246">
        <v>76700</v>
      </c>
      <c r="N2044" s="246">
        <v>81650</v>
      </c>
    </row>
    <row r="2045" spans="3:14" ht="21.95" customHeight="1" x14ac:dyDescent="0.25">
      <c r="C2045" s="139" t="str">
        <f t="shared" si="47"/>
        <v>OK_ELLIS COUNTY, OK</v>
      </c>
      <c r="D2045" s="136" t="s">
        <v>27</v>
      </c>
      <c r="E2045" s="262" t="s">
        <v>4596</v>
      </c>
      <c r="F2045" s="136" t="s">
        <v>183</v>
      </c>
      <c r="G2045" s="246">
        <v>43400</v>
      </c>
      <c r="H2045" s="246">
        <v>49600</v>
      </c>
      <c r="I2045" s="246">
        <v>55800</v>
      </c>
      <c r="J2045" s="246">
        <v>62000</v>
      </c>
      <c r="K2045" s="246">
        <v>67000</v>
      </c>
      <c r="L2045" s="246">
        <v>71950</v>
      </c>
      <c r="M2045" s="246">
        <v>76900</v>
      </c>
      <c r="N2045" s="246">
        <v>81850</v>
      </c>
    </row>
    <row r="2046" spans="3:14" ht="21.95" customHeight="1" x14ac:dyDescent="0.25">
      <c r="C2046" s="139" t="str">
        <f t="shared" si="47"/>
        <v>OK_ENID, OK MSA</v>
      </c>
      <c r="D2046" s="136" t="s">
        <v>27</v>
      </c>
      <c r="E2046" s="262" t="s">
        <v>4597</v>
      </c>
      <c r="F2046" s="136" t="s">
        <v>183</v>
      </c>
      <c r="G2046" s="246">
        <v>49950</v>
      </c>
      <c r="H2046" s="246">
        <v>57100</v>
      </c>
      <c r="I2046" s="246">
        <v>64250</v>
      </c>
      <c r="J2046" s="246">
        <v>71350</v>
      </c>
      <c r="K2046" s="246">
        <v>77100</v>
      </c>
      <c r="L2046" s="246">
        <v>82800</v>
      </c>
      <c r="M2046" s="246">
        <v>88500</v>
      </c>
      <c r="N2046" s="246">
        <v>94200</v>
      </c>
    </row>
    <row r="2047" spans="3:14" ht="21.95" customHeight="1" x14ac:dyDescent="0.25">
      <c r="C2047" s="139" t="str">
        <f t="shared" si="47"/>
        <v>OK_FORT SMITH, AR-OK MSA</v>
      </c>
      <c r="D2047" s="136" t="s">
        <v>27</v>
      </c>
      <c r="E2047" s="262" t="s">
        <v>9088</v>
      </c>
      <c r="F2047" s="136" t="s">
        <v>183</v>
      </c>
      <c r="G2047" s="246">
        <v>40700</v>
      </c>
      <c r="H2047" s="246">
        <v>46500</v>
      </c>
      <c r="I2047" s="246">
        <v>52300</v>
      </c>
      <c r="J2047" s="246">
        <v>58100</v>
      </c>
      <c r="K2047" s="246">
        <v>62750</v>
      </c>
      <c r="L2047" s="246">
        <v>67400</v>
      </c>
      <c r="M2047" s="246">
        <v>72050</v>
      </c>
      <c r="N2047" s="246">
        <v>76700</v>
      </c>
    </row>
    <row r="2048" spans="3:14" ht="21.95" customHeight="1" x14ac:dyDescent="0.25">
      <c r="C2048" s="139" t="str">
        <f t="shared" ref="C2048:C2111" si="48">TRIM(UPPER(D2048))&amp;"_"&amp;TRIM(UPPER(E2048))</f>
        <v>OK_GARVIN COUNTY, OK</v>
      </c>
      <c r="D2048" s="136" t="s">
        <v>27</v>
      </c>
      <c r="E2048" s="262" t="s">
        <v>4598</v>
      </c>
      <c r="F2048" s="136" t="s">
        <v>183</v>
      </c>
      <c r="G2048" s="246">
        <v>42200</v>
      </c>
      <c r="H2048" s="246">
        <v>48200</v>
      </c>
      <c r="I2048" s="246">
        <v>54250</v>
      </c>
      <c r="J2048" s="246">
        <v>60250</v>
      </c>
      <c r="K2048" s="246">
        <v>65100</v>
      </c>
      <c r="L2048" s="246">
        <v>69900</v>
      </c>
      <c r="M2048" s="246">
        <v>74750</v>
      </c>
      <c r="N2048" s="246">
        <v>79550</v>
      </c>
    </row>
    <row r="2049" spans="3:14" ht="21.95" customHeight="1" x14ac:dyDescent="0.25">
      <c r="C2049" s="139" t="str">
        <f t="shared" si="48"/>
        <v>OK_GRADY COUNTY, OK HUD METRO FMR AREA</v>
      </c>
      <c r="D2049" s="136" t="s">
        <v>27</v>
      </c>
      <c r="E2049" s="262" t="s">
        <v>4599</v>
      </c>
      <c r="F2049" s="136" t="s">
        <v>183</v>
      </c>
      <c r="G2049" s="246">
        <v>54250</v>
      </c>
      <c r="H2049" s="246">
        <v>62000</v>
      </c>
      <c r="I2049" s="246">
        <v>69750</v>
      </c>
      <c r="J2049" s="246">
        <v>77450</v>
      </c>
      <c r="K2049" s="246">
        <v>83650</v>
      </c>
      <c r="L2049" s="246">
        <v>89850</v>
      </c>
      <c r="M2049" s="246">
        <v>96050</v>
      </c>
      <c r="N2049" s="246">
        <v>102250</v>
      </c>
    </row>
    <row r="2050" spans="3:14" ht="21.95" customHeight="1" x14ac:dyDescent="0.25">
      <c r="C2050" s="139" t="str">
        <f t="shared" si="48"/>
        <v>OK_GRANT COUNTY, OK</v>
      </c>
      <c r="D2050" s="136" t="s">
        <v>27</v>
      </c>
      <c r="E2050" s="262" t="s">
        <v>4600</v>
      </c>
      <c r="F2050" s="136" t="s">
        <v>183</v>
      </c>
      <c r="G2050" s="246">
        <v>49250</v>
      </c>
      <c r="H2050" s="246">
        <v>56250</v>
      </c>
      <c r="I2050" s="246">
        <v>63300</v>
      </c>
      <c r="J2050" s="246">
        <v>70300</v>
      </c>
      <c r="K2050" s="246">
        <v>75950</v>
      </c>
      <c r="L2050" s="246">
        <v>81550</v>
      </c>
      <c r="M2050" s="246">
        <v>87200</v>
      </c>
      <c r="N2050" s="246">
        <v>92800</v>
      </c>
    </row>
    <row r="2051" spans="3:14" ht="21.95" customHeight="1" x14ac:dyDescent="0.25">
      <c r="C2051" s="139" t="str">
        <f t="shared" si="48"/>
        <v>OK_GREER COUNTY, OK</v>
      </c>
      <c r="D2051" s="136" t="s">
        <v>27</v>
      </c>
      <c r="E2051" s="262" t="s">
        <v>4601</v>
      </c>
      <c r="F2051" s="136" t="s">
        <v>183</v>
      </c>
      <c r="G2051" s="246">
        <v>42200</v>
      </c>
      <c r="H2051" s="246">
        <v>48200</v>
      </c>
      <c r="I2051" s="246">
        <v>54250</v>
      </c>
      <c r="J2051" s="246">
        <v>60250</v>
      </c>
      <c r="K2051" s="246">
        <v>65100</v>
      </c>
      <c r="L2051" s="246">
        <v>69900</v>
      </c>
      <c r="M2051" s="246">
        <v>74750</v>
      </c>
      <c r="N2051" s="246">
        <v>79550</v>
      </c>
    </row>
    <row r="2052" spans="3:14" ht="21.95" customHeight="1" x14ac:dyDescent="0.25">
      <c r="C2052" s="139" t="str">
        <f t="shared" si="48"/>
        <v>OK_HARMON COUNTY, OK</v>
      </c>
      <c r="D2052" s="136" t="s">
        <v>27</v>
      </c>
      <c r="E2052" s="262" t="s">
        <v>4602</v>
      </c>
      <c r="F2052" s="136" t="s">
        <v>183</v>
      </c>
      <c r="G2052" s="246">
        <v>41550</v>
      </c>
      <c r="H2052" s="246">
        <v>47500</v>
      </c>
      <c r="I2052" s="246">
        <v>53450</v>
      </c>
      <c r="J2052" s="246">
        <v>59350</v>
      </c>
      <c r="K2052" s="246">
        <v>64100</v>
      </c>
      <c r="L2052" s="246">
        <v>68850</v>
      </c>
      <c r="M2052" s="246">
        <v>73600</v>
      </c>
      <c r="N2052" s="246">
        <v>78350</v>
      </c>
    </row>
    <row r="2053" spans="3:14" ht="21.95" customHeight="1" x14ac:dyDescent="0.25">
      <c r="C2053" s="139" t="str">
        <f t="shared" si="48"/>
        <v>OK_HARPER COUNTY, OK</v>
      </c>
      <c r="D2053" s="136" t="s">
        <v>27</v>
      </c>
      <c r="E2053" s="262" t="s">
        <v>4603</v>
      </c>
      <c r="F2053" s="136" t="s">
        <v>183</v>
      </c>
      <c r="G2053" s="246">
        <v>44450</v>
      </c>
      <c r="H2053" s="246">
        <v>50800</v>
      </c>
      <c r="I2053" s="246">
        <v>57150</v>
      </c>
      <c r="J2053" s="246">
        <v>63500</v>
      </c>
      <c r="K2053" s="246">
        <v>68600</v>
      </c>
      <c r="L2053" s="246">
        <v>73700</v>
      </c>
      <c r="M2053" s="246">
        <v>78750</v>
      </c>
      <c r="N2053" s="246">
        <v>83850</v>
      </c>
    </row>
    <row r="2054" spans="3:14" ht="21.95" customHeight="1" x14ac:dyDescent="0.25">
      <c r="C2054" s="139" t="str">
        <f t="shared" si="48"/>
        <v>OK_HASKELL COUNTY, OK</v>
      </c>
      <c r="D2054" s="136" t="s">
        <v>27</v>
      </c>
      <c r="E2054" s="262" t="s">
        <v>4604</v>
      </c>
      <c r="F2054" s="136" t="s">
        <v>183</v>
      </c>
      <c r="G2054" s="246">
        <v>41550</v>
      </c>
      <c r="H2054" s="246">
        <v>47500</v>
      </c>
      <c r="I2054" s="246">
        <v>53450</v>
      </c>
      <c r="J2054" s="246">
        <v>59350</v>
      </c>
      <c r="K2054" s="246">
        <v>64100</v>
      </c>
      <c r="L2054" s="246">
        <v>68850</v>
      </c>
      <c r="M2054" s="246">
        <v>73600</v>
      </c>
      <c r="N2054" s="246">
        <v>78350</v>
      </c>
    </row>
    <row r="2055" spans="3:14" ht="21.95" customHeight="1" x14ac:dyDescent="0.25">
      <c r="C2055" s="139" t="str">
        <f t="shared" si="48"/>
        <v>OK_HUGHES COUNTY, OK</v>
      </c>
      <c r="D2055" s="136" t="s">
        <v>27</v>
      </c>
      <c r="E2055" s="262" t="s">
        <v>4605</v>
      </c>
      <c r="F2055" s="136" t="s">
        <v>183</v>
      </c>
      <c r="G2055" s="246">
        <v>41550</v>
      </c>
      <c r="H2055" s="246">
        <v>47500</v>
      </c>
      <c r="I2055" s="246">
        <v>53450</v>
      </c>
      <c r="J2055" s="246">
        <v>59350</v>
      </c>
      <c r="K2055" s="246">
        <v>64100</v>
      </c>
      <c r="L2055" s="246">
        <v>68850</v>
      </c>
      <c r="M2055" s="246">
        <v>73600</v>
      </c>
      <c r="N2055" s="246">
        <v>78350</v>
      </c>
    </row>
    <row r="2056" spans="3:14" ht="21.95" customHeight="1" x14ac:dyDescent="0.25">
      <c r="C2056" s="139" t="str">
        <f t="shared" si="48"/>
        <v>OK_JACKSON COUNTY, OK</v>
      </c>
      <c r="D2056" s="136" t="s">
        <v>27</v>
      </c>
      <c r="E2056" s="262" t="s">
        <v>4606</v>
      </c>
      <c r="F2056" s="136" t="s">
        <v>183</v>
      </c>
      <c r="G2056" s="246">
        <v>47250</v>
      </c>
      <c r="H2056" s="246">
        <v>54000</v>
      </c>
      <c r="I2056" s="246">
        <v>60750</v>
      </c>
      <c r="J2056" s="246">
        <v>67450</v>
      </c>
      <c r="K2056" s="246">
        <v>72850</v>
      </c>
      <c r="L2056" s="246">
        <v>78250</v>
      </c>
      <c r="M2056" s="246">
        <v>83650</v>
      </c>
      <c r="N2056" s="246">
        <v>89050</v>
      </c>
    </row>
    <row r="2057" spans="3:14" ht="21.95" customHeight="1" x14ac:dyDescent="0.25">
      <c r="C2057" s="139" t="str">
        <f t="shared" si="48"/>
        <v>OK_JEFFERSON COUNTY, OK</v>
      </c>
      <c r="D2057" s="136" t="s">
        <v>27</v>
      </c>
      <c r="E2057" s="262" t="s">
        <v>4607</v>
      </c>
      <c r="F2057" s="136" t="s">
        <v>183</v>
      </c>
      <c r="G2057" s="246">
        <v>41550</v>
      </c>
      <c r="H2057" s="246">
        <v>47500</v>
      </c>
      <c r="I2057" s="246">
        <v>53450</v>
      </c>
      <c r="J2057" s="246">
        <v>59350</v>
      </c>
      <c r="K2057" s="246">
        <v>64100</v>
      </c>
      <c r="L2057" s="246">
        <v>68850</v>
      </c>
      <c r="M2057" s="246">
        <v>73600</v>
      </c>
      <c r="N2057" s="246">
        <v>78350</v>
      </c>
    </row>
    <row r="2058" spans="3:14" ht="21.95" customHeight="1" x14ac:dyDescent="0.25">
      <c r="C2058" s="139" t="str">
        <f t="shared" si="48"/>
        <v>OK_JOHNSTON COUNTY, OK</v>
      </c>
      <c r="D2058" s="136" t="s">
        <v>27</v>
      </c>
      <c r="E2058" s="262" t="s">
        <v>4608</v>
      </c>
      <c r="F2058" s="136" t="s">
        <v>183</v>
      </c>
      <c r="G2058" s="246">
        <v>41550</v>
      </c>
      <c r="H2058" s="246">
        <v>47500</v>
      </c>
      <c r="I2058" s="246">
        <v>53450</v>
      </c>
      <c r="J2058" s="246">
        <v>59350</v>
      </c>
      <c r="K2058" s="246">
        <v>64100</v>
      </c>
      <c r="L2058" s="246">
        <v>68850</v>
      </c>
      <c r="M2058" s="246">
        <v>73600</v>
      </c>
      <c r="N2058" s="246">
        <v>78350</v>
      </c>
    </row>
    <row r="2059" spans="3:14" ht="21.95" customHeight="1" x14ac:dyDescent="0.25">
      <c r="C2059" s="139" t="str">
        <f t="shared" si="48"/>
        <v>OK_KAY COUNTY, OK</v>
      </c>
      <c r="D2059" s="136" t="s">
        <v>27</v>
      </c>
      <c r="E2059" s="262" t="s">
        <v>4609</v>
      </c>
      <c r="F2059" s="136" t="s">
        <v>183</v>
      </c>
      <c r="G2059" s="246">
        <v>42300</v>
      </c>
      <c r="H2059" s="246">
        <v>48350</v>
      </c>
      <c r="I2059" s="246">
        <v>54400</v>
      </c>
      <c r="J2059" s="246">
        <v>60400</v>
      </c>
      <c r="K2059" s="246">
        <v>65250</v>
      </c>
      <c r="L2059" s="246">
        <v>70100</v>
      </c>
      <c r="M2059" s="246">
        <v>74900</v>
      </c>
      <c r="N2059" s="246">
        <v>79750</v>
      </c>
    </row>
    <row r="2060" spans="3:14" ht="21.95" customHeight="1" x14ac:dyDescent="0.25">
      <c r="C2060" s="139" t="str">
        <f t="shared" si="48"/>
        <v>OK_KINGFISHER COUNTY, OK</v>
      </c>
      <c r="D2060" s="136" t="s">
        <v>27</v>
      </c>
      <c r="E2060" s="262" t="s">
        <v>4610</v>
      </c>
      <c r="F2060" s="136" t="s">
        <v>183</v>
      </c>
      <c r="G2060" s="246">
        <v>47600</v>
      </c>
      <c r="H2060" s="246">
        <v>54400</v>
      </c>
      <c r="I2060" s="246">
        <v>61200</v>
      </c>
      <c r="J2060" s="246">
        <v>68000</v>
      </c>
      <c r="K2060" s="246">
        <v>73450</v>
      </c>
      <c r="L2060" s="246">
        <v>78900</v>
      </c>
      <c r="M2060" s="246">
        <v>84350</v>
      </c>
      <c r="N2060" s="246">
        <v>89800</v>
      </c>
    </row>
    <row r="2061" spans="3:14" ht="21.95" customHeight="1" x14ac:dyDescent="0.25">
      <c r="C2061" s="139" t="str">
        <f t="shared" si="48"/>
        <v>OK_KIOWA COUNTY, OK</v>
      </c>
      <c r="D2061" s="136" t="s">
        <v>27</v>
      </c>
      <c r="E2061" s="262" t="s">
        <v>4611</v>
      </c>
      <c r="F2061" s="136" t="s">
        <v>183</v>
      </c>
      <c r="G2061" s="246">
        <v>41550</v>
      </c>
      <c r="H2061" s="246">
        <v>47500</v>
      </c>
      <c r="I2061" s="246">
        <v>53450</v>
      </c>
      <c r="J2061" s="246">
        <v>59350</v>
      </c>
      <c r="K2061" s="246">
        <v>64100</v>
      </c>
      <c r="L2061" s="246">
        <v>68850</v>
      </c>
      <c r="M2061" s="246">
        <v>73600</v>
      </c>
      <c r="N2061" s="246">
        <v>78350</v>
      </c>
    </row>
    <row r="2062" spans="3:14" ht="21.95" customHeight="1" x14ac:dyDescent="0.25">
      <c r="C2062" s="139" t="str">
        <f t="shared" si="48"/>
        <v>OK_LATIMER COUNTY, OK</v>
      </c>
      <c r="D2062" s="136" t="s">
        <v>27</v>
      </c>
      <c r="E2062" s="262" t="s">
        <v>4612</v>
      </c>
      <c r="F2062" s="136" t="s">
        <v>183</v>
      </c>
      <c r="G2062" s="246">
        <v>41550</v>
      </c>
      <c r="H2062" s="246">
        <v>47500</v>
      </c>
      <c r="I2062" s="246">
        <v>53450</v>
      </c>
      <c r="J2062" s="246">
        <v>59350</v>
      </c>
      <c r="K2062" s="246">
        <v>64100</v>
      </c>
      <c r="L2062" s="246">
        <v>68850</v>
      </c>
      <c r="M2062" s="246">
        <v>73600</v>
      </c>
      <c r="N2062" s="246">
        <v>78350</v>
      </c>
    </row>
    <row r="2063" spans="3:14" ht="21.95" customHeight="1" x14ac:dyDescent="0.25">
      <c r="C2063" s="139" t="str">
        <f t="shared" si="48"/>
        <v>OK_LAWTON, OK HUD METRO FMR AREA</v>
      </c>
      <c r="D2063" s="136" t="s">
        <v>27</v>
      </c>
      <c r="E2063" s="262" t="s">
        <v>4613</v>
      </c>
      <c r="F2063" s="136" t="s">
        <v>183</v>
      </c>
      <c r="G2063" s="246">
        <v>41750</v>
      </c>
      <c r="H2063" s="246">
        <v>47700</v>
      </c>
      <c r="I2063" s="246">
        <v>53650</v>
      </c>
      <c r="J2063" s="246">
        <v>59600</v>
      </c>
      <c r="K2063" s="246">
        <v>64400</v>
      </c>
      <c r="L2063" s="246">
        <v>69150</v>
      </c>
      <c r="M2063" s="246">
        <v>73950</v>
      </c>
      <c r="N2063" s="246">
        <v>78700</v>
      </c>
    </row>
    <row r="2064" spans="3:14" ht="21.95" customHeight="1" x14ac:dyDescent="0.25">
      <c r="C2064" s="139" t="str">
        <f t="shared" si="48"/>
        <v>OK_LE FLORE COUNTY, OK</v>
      </c>
      <c r="D2064" s="136" t="s">
        <v>27</v>
      </c>
      <c r="E2064" s="262" t="s">
        <v>4614</v>
      </c>
      <c r="F2064" s="136" t="s">
        <v>183</v>
      </c>
      <c r="G2064" s="246">
        <v>41550</v>
      </c>
      <c r="H2064" s="246">
        <v>47500</v>
      </c>
      <c r="I2064" s="246">
        <v>53450</v>
      </c>
      <c r="J2064" s="246">
        <v>59350</v>
      </c>
      <c r="K2064" s="246">
        <v>64100</v>
      </c>
      <c r="L2064" s="246">
        <v>68850</v>
      </c>
      <c r="M2064" s="246">
        <v>73600</v>
      </c>
      <c r="N2064" s="246">
        <v>78350</v>
      </c>
    </row>
    <row r="2065" spans="3:14" ht="21.95" customHeight="1" x14ac:dyDescent="0.25">
      <c r="C2065" s="139" t="str">
        <f t="shared" si="48"/>
        <v>OK_LINCOLN COUNTY, OK HUD METRO FMR AREA</v>
      </c>
      <c r="D2065" s="136" t="s">
        <v>27</v>
      </c>
      <c r="E2065" s="262" t="s">
        <v>4615</v>
      </c>
      <c r="F2065" s="136" t="s">
        <v>183</v>
      </c>
      <c r="G2065" s="246">
        <v>43400</v>
      </c>
      <c r="H2065" s="246">
        <v>49600</v>
      </c>
      <c r="I2065" s="246">
        <v>55800</v>
      </c>
      <c r="J2065" s="246">
        <v>62000</v>
      </c>
      <c r="K2065" s="246">
        <v>67000</v>
      </c>
      <c r="L2065" s="246">
        <v>71950</v>
      </c>
      <c r="M2065" s="246">
        <v>76900</v>
      </c>
      <c r="N2065" s="246">
        <v>81850</v>
      </c>
    </row>
    <row r="2066" spans="3:14" ht="21.95" customHeight="1" x14ac:dyDescent="0.25">
      <c r="C2066" s="139" t="str">
        <f t="shared" si="48"/>
        <v>OK_LOVE COUNTY, OK</v>
      </c>
      <c r="D2066" s="136" t="s">
        <v>27</v>
      </c>
      <c r="E2066" s="262" t="s">
        <v>4616</v>
      </c>
      <c r="F2066" s="136" t="s">
        <v>183</v>
      </c>
      <c r="G2066" s="246">
        <v>44200</v>
      </c>
      <c r="H2066" s="246">
        <v>50500</v>
      </c>
      <c r="I2066" s="246">
        <v>56800</v>
      </c>
      <c r="J2066" s="246">
        <v>63100</v>
      </c>
      <c r="K2066" s="246">
        <v>68150</v>
      </c>
      <c r="L2066" s="246">
        <v>73200</v>
      </c>
      <c r="M2066" s="246">
        <v>78250</v>
      </c>
      <c r="N2066" s="246">
        <v>83300</v>
      </c>
    </row>
    <row r="2067" spans="3:14" ht="21.95" customHeight="1" x14ac:dyDescent="0.25">
      <c r="C2067" s="139" t="str">
        <f t="shared" si="48"/>
        <v>OK_MAJOR COUNTY, OK</v>
      </c>
      <c r="D2067" s="136" t="s">
        <v>27</v>
      </c>
      <c r="E2067" s="262" t="s">
        <v>4617</v>
      </c>
      <c r="F2067" s="136" t="s">
        <v>183</v>
      </c>
      <c r="G2067" s="246">
        <v>48100</v>
      </c>
      <c r="H2067" s="246">
        <v>54950</v>
      </c>
      <c r="I2067" s="246">
        <v>61800</v>
      </c>
      <c r="J2067" s="246">
        <v>68650</v>
      </c>
      <c r="K2067" s="246">
        <v>74150</v>
      </c>
      <c r="L2067" s="246">
        <v>79650</v>
      </c>
      <c r="M2067" s="246">
        <v>85150</v>
      </c>
      <c r="N2067" s="246">
        <v>90650</v>
      </c>
    </row>
    <row r="2068" spans="3:14" ht="21.95" customHeight="1" x14ac:dyDescent="0.25">
      <c r="C2068" s="139" t="str">
        <f t="shared" si="48"/>
        <v>OK_MARSHALL COUNTY, OK</v>
      </c>
      <c r="D2068" s="136" t="s">
        <v>27</v>
      </c>
      <c r="E2068" s="262" t="s">
        <v>4618</v>
      </c>
      <c r="F2068" s="136" t="s">
        <v>183</v>
      </c>
      <c r="G2068" s="246">
        <v>41550</v>
      </c>
      <c r="H2068" s="246">
        <v>47500</v>
      </c>
      <c r="I2068" s="246">
        <v>53450</v>
      </c>
      <c r="J2068" s="246">
        <v>59350</v>
      </c>
      <c r="K2068" s="246">
        <v>64100</v>
      </c>
      <c r="L2068" s="246">
        <v>68850</v>
      </c>
      <c r="M2068" s="246">
        <v>73600</v>
      </c>
      <c r="N2068" s="246">
        <v>78350</v>
      </c>
    </row>
    <row r="2069" spans="3:14" ht="21.95" customHeight="1" x14ac:dyDescent="0.25">
      <c r="C2069" s="139" t="str">
        <f t="shared" si="48"/>
        <v>OK_MAYES COUNTY, OK</v>
      </c>
      <c r="D2069" s="136" t="s">
        <v>27</v>
      </c>
      <c r="E2069" s="262" t="s">
        <v>4619</v>
      </c>
      <c r="F2069" s="136" t="s">
        <v>183</v>
      </c>
      <c r="G2069" s="246">
        <v>42800</v>
      </c>
      <c r="H2069" s="246">
        <v>48900</v>
      </c>
      <c r="I2069" s="246">
        <v>55000</v>
      </c>
      <c r="J2069" s="246">
        <v>61100</v>
      </c>
      <c r="K2069" s="246">
        <v>66000</v>
      </c>
      <c r="L2069" s="246">
        <v>70900</v>
      </c>
      <c r="M2069" s="246">
        <v>75800</v>
      </c>
      <c r="N2069" s="246">
        <v>80700</v>
      </c>
    </row>
    <row r="2070" spans="3:14" ht="21.95" customHeight="1" x14ac:dyDescent="0.25">
      <c r="C2070" s="139" t="str">
        <f t="shared" si="48"/>
        <v>OK_MCCURTAIN COUNTY, OK</v>
      </c>
      <c r="D2070" s="136" t="s">
        <v>27</v>
      </c>
      <c r="E2070" s="262" t="s">
        <v>4620</v>
      </c>
      <c r="F2070" s="136" t="s">
        <v>183</v>
      </c>
      <c r="G2070" s="246">
        <v>41550</v>
      </c>
      <c r="H2070" s="246">
        <v>47500</v>
      </c>
      <c r="I2070" s="246">
        <v>53450</v>
      </c>
      <c r="J2070" s="246">
        <v>59350</v>
      </c>
      <c r="K2070" s="246">
        <v>64100</v>
      </c>
      <c r="L2070" s="246">
        <v>68850</v>
      </c>
      <c r="M2070" s="246">
        <v>73600</v>
      </c>
      <c r="N2070" s="246">
        <v>78350</v>
      </c>
    </row>
    <row r="2071" spans="3:14" ht="21.95" customHeight="1" x14ac:dyDescent="0.25">
      <c r="C2071" s="139" t="str">
        <f t="shared" si="48"/>
        <v>OK_MCINTOSH COUNTY, OK</v>
      </c>
      <c r="D2071" s="136" t="s">
        <v>27</v>
      </c>
      <c r="E2071" s="262" t="s">
        <v>4621</v>
      </c>
      <c r="F2071" s="136" t="s">
        <v>183</v>
      </c>
      <c r="G2071" s="246">
        <v>41550</v>
      </c>
      <c r="H2071" s="246">
        <v>47500</v>
      </c>
      <c r="I2071" s="246">
        <v>53450</v>
      </c>
      <c r="J2071" s="246">
        <v>59350</v>
      </c>
      <c r="K2071" s="246">
        <v>64100</v>
      </c>
      <c r="L2071" s="246">
        <v>68850</v>
      </c>
      <c r="M2071" s="246">
        <v>73600</v>
      </c>
      <c r="N2071" s="246">
        <v>78350</v>
      </c>
    </row>
    <row r="2072" spans="3:14" ht="21.95" customHeight="1" x14ac:dyDescent="0.25">
      <c r="C2072" s="139" t="str">
        <f t="shared" si="48"/>
        <v>OK_MURRAY COUNTY, OK</v>
      </c>
      <c r="D2072" s="136" t="s">
        <v>27</v>
      </c>
      <c r="E2072" s="262" t="s">
        <v>4622</v>
      </c>
      <c r="F2072" s="136" t="s">
        <v>183</v>
      </c>
      <c r="G2072" s="246">
        <v>46900</v>
      </c>
      <c r="H2072" s="246">
        <v>53600</v>
      </c>
      <c r="I2072" s="246">
        <v>60300</v>
      </c>
      <c r="J2072" s="246">
        <v>66950</v>
      </c>
      <c r="K2072" s="246">
        <v>72350</v>
      </c>
      <c r="L2072" s="246">
        <v>77700</v>
      </c>
      <c r="M2072" s="246">
        <v>83050</v>
      </c>
      <c r="N2072" s="246">
        <v>88400</v>
      </c>
    </row>
    <row r="2073" spans="3:14" ht="21.95" customHeight="1" x14ac:dyDescent="0.25">
      <c r="C2073" s="139" t="str">
        <f t="shared" si="48"/>
        <v>OK_MUSKOGEE COUNTY, OK</v>
      </c>
      <c r="D2073" s="136" t="s">
        <v>27</v>
      </c>
      <c r="E2073" s="262" t="s">
        <v>4623</v>
      </c>
      <c r="F2073" s="136" t="s">
        <v>183</v>
      </c>
      <c r="G2073" s="246">
        <v>42800</v>
      </c>
      <c r="H2073" s="246">
        <v>48900</v>
      </c>
      <c r="I2073" s="246">
        <v>55000</v>
      </c>
      <c r="J2073" s="246">
        <v>61100</v>
      </c>
      <c r="K2073" s="246">
        <v>66000</v>
      </c>
      <c r="L2073" s="246">
        <v>70900</v>
      </c>
      <c r="M2073" s="246">
        <v>75800</v>
      </c>
      <c r="N2073" s="246">
        <v>80700</v>
      </c>
    </row>
    <row r="2074" spans="3:14" ht="21.95" customHeight="1" x14ac:dyDescent="0.25">
      <c r="C2074" s="139" t="str">
        <f t="shared" si="48"/>
        <v>OK_NOBLE COUNTY, OK</v>
      </c>
      <c r="D2074" s="136" t="s">
        <v>27</v>
      </c>
      <c r="E2074" s="262" t="s">
        <v>4624</v>
      </c>
      <c r="F2074" s="136" t="s">
        <v>183</v>
      </c>
      <c r="G2074" s="246">
        <v>51300</v>
      </c>
      <c r="H2074" s="246">
        <v>58600</v>
      </c>
      <c r="I2074" s="246">
        <v>65950</v>
      </c>
      <c r="J2074" s="246">
        <v>73250</v>
      </c>
      <c r="K2074" s="246">
        <v>79150</v>
      </c>
      <c r="L2074" s="246">
        <v>85000</v>
      </c>
      <c r="M2074" s="246">
        <v>90850</v>
      </c>
      <c r="N2074" s="246">
        <v>96700</v>
      </c>
    </row>
    <row r="2075" spans="3:14" ht="21.95" customHeight="1" x14ac:dyDescent="0.25">
      <c r="C2075" s="139" t="str">
        <f t="shared" si="48"/>
        <v>OK_NOWATA COUNTY, OK</v>
      </c>
      <c r="D2075" s="136" t="s">
        <v>27</v>
      </c>
      <c r="E2075" s="262" t="s">
        <v>4625</v>
      </c>
      <c r="F2075" s="136" t="s">
        <v>183</v>
      </c>
      <c r="G2075" s="246">
        <v>41550</v>
      </c>
      <c r="H2075" s="246">
        <v>47500</v>
      </c>
      <c r="I2075" s="246">
        <v>53450</v>
      </c>
      <c r="J2075" s="246">
        <v>59350</v>
      </c>
      <c r="K2075" s="246">
        <v>64100</v>
      </c>
      <c r="L2075" s="246">
        <v>68850</v>
      </c>
      <c r="M2075" s="246">
        <v>73600</v>
      </c>
      <c r="N2075" s="246">
        <v>78350</v>
      </c>
    </row>
    <row r="2076" spans="3:14" ht="21.95" customHeight="1" x14ac:dyDescent="0.25">
      <c r="C2076" s="139" t="str">
        <f t="shared" si="48"/>
        <v>OK_OKFUSKEE COUNTY, OK</v>
      </c>
      <c r="D2076" s="136" t="s">
        <v>27</v>
      </c>
      <c r="E2076" s="262" t="s">
        <v>4626</v>
      </c>
      <c r="F2076" s="136" t="s">
        <v>183</v>
      </c>
      <c r="G2076" s="246">
        <v>41550</v>
      </c>
      <c r="H2076" s="246">
        <v>47500</v>
      </c>
      <c r="I2076" s="246">
        <v>53450</v>
      </c>
      <c r="J2076" s="246">
        <v>59350</v>
      </c>
      <c r="K2076" s="246">
        <v>64100</v>
      </c>
      <c r="L2076" s="246">
        <v>68850</v>
      </c>
      <c r="M2076" s="246">
        <v>73600</v>
      </c>
      <c r="N2076" s="246">
        <v>78350</v>
      </c>
    </row>
    <row r="2077" spans="3:14" ht="21.95" customHeight="1" x14ac:dyDescent="0.25">
      <c r="C2077" s="139" t="str">
        <f t="shared" si="48"/>
        <v>OK_OKLAHOMA CITY, OK HUD METRO FMR AREA</v>
      </c>
      <c r="D2077" s="136" t="s">
        <v>27</v>
      </c>
      <c r="E2077" s="262" t="s">
        <v>4627</v>
      </c>
      <c r="F2077" s="136" t="s">
        <v>183</v>
      </c>
      <c r="G2077" s="246">
        <v>54750</v>
      </c>
      <c r="H2077" s="246">
        <v>62550</v>
      </c>
      <c r="I2077" s="246">
        <v>70350</v>
      </c>
      <c r="J2077" s="246">
        <v>78150</v>
      </c>
      <c r="K2077" s="246">
        <v>84450</v>
      </c>
      <c r="L2077" s="246">
        <v>90700</v>
      </c>
      <c r="M2077" s="246">
        <v>96950</v>
      </c>
      <c r="N2077" s="246">
        <v>103200</v>
      </c>
    </row>
    <row r="2078" spans="3:14" ht="21.95" customHeight="1" x14ac:dyDescent="0.25">
      <c r="C2078" s="139" t="str">
        <f t="shared" si="48"/>
        <v>OK_OKMULGEE COUNTY, OK HUD METRO FMR AREA</v>
      </c>
      <c r="D2078" s="136" t="s">
        <v>27</v>
      </c>
      <c r="E2078" s="262" t="s">
        <v>4628</v>
      </c>
      <c r="F2078" s="136" t="s">
        <v>183</v>
      </c>
      <c r="G2078" s="246">
        <v>41550</v>
      </c>
      <c r="H2078" s="246">
        <v>47500</v>
      </c>
      <c r="I2078" s="246">
        <v>53450</v>
      </c>
      <c r="J2078" s="246">
        <v>59350</v>
      </c>
      <c r="K2078" s="246">
        <v>64100</v>
      </c>
      <c r="L2078" s="246">
        <v>68850</v>
      </c>
      <c r="M2078" s="246">
        <v>73600</v>
      </c>
      <c r="N2078" s="246">
        <v>78350</v>
      </c>
    </row>
    <row r="2079" spans="3:14" ht="21.95" customHeight="1" x14ac:dyDescent="0.25">
      <c r="C2079" s="139" t="str">
        <f t="shared" si="48"/>
        <v>OK_OTTAWA COUNTY, OK</v>
      </c>
      <c r="D2079" s="136" t="s">
        <v>27</v>
      </c>
      <c r="E2079" s="262" t="s">
        <v>4629</v>
      </c>
      <c r="F2079" s="136" t="s">
        <v>183</v>
      </c>
      <c r="G2079" s="246">
        <v>41550</v>
      </c>
      <c r="H2079" s="246">
        <v>47500</v>
      </c>
      <c r="I2079" s="246">
        <v>53450</v>
      </c>
      <c r="J2079" s="246">
        <v>59350</v>
      </c>
      <c r="K2079" s="246">
        <v>64100</v>
      </c>
      <c r="L2079" s="246">
        <v>68850</v>
      </c>
      <c r="M2079" s="246">
        <v>73600</v>
      </c>
      <c r="N2079" s="246">
        <v>78350</v>
      </c>
    </row>
    <row r="2080" spans="3:14" ht="21.95" customHeight="1" x14ac:dyDescent="0.25">
      <c r="C2080" s="139" t="str">
        <f t="shared" si="48"/>
        <v>OK_PAWNEE COUNTY, OK HUD METRO FMR AREA</v>
      </c>
      <c r="D2080" s="136" t="s">
        <v>27</v>
      </c>
      <c r="E2080" s="262" t="s">
        <v>4630</v>
      </c>
      <c r="F2080" s="136" t="s">
        <v>183</v>
      </c>
      <c r="G2080" s="246">
        <v>43750</v>
      </c>
      <c r="H2080" s="246">
        <v>50000</v>
      </c>
      <c r="I2080" s="246">
        <v>56250</v>
      </c>
      <c r="J2080" s="246">
        <v>62500</v>
      </c>
      <c r="K2080" s="246">
        <v>67500</v>
      </c>
      <c r="L2080" s="246">
        <v>72500</v>
      </c>
      <c r="M2080" s="246">
        <v>77500</v>
      </c>
      <c r="N2080" s="246">
        <v>82500</v>
      </c>
    </row>
    <row r="2081" spans="3:14" ht="21.95" customHeight="1" x14ac:dyDescent="0.25">
      <c r="C2081" s="139" t="str">
        <f t="shared" si="48"/>
        <v>OK_PAYNE COUNTY, OK</v>
      </c>
      <c r="D2081" s="136" t="s">
        <v>27</v>
      </c>
      <c r="E2081" s="262" t="s">
        <v>4631</v>
      </c>
      <c r="F2081" s="136" t="s">
        <v>183</v>
      </c>
      <c r="G2081" s="246">
        <v>46600</v>
      </c>
      <c r="H2081" s="246">
        <v>53250</v>
      </c>
      <c r="I2081" s="246">
        <v>59900</v>
      </c>
      <c r="J2081" s="246">
        <v>66550</v>
      </c>
      <c r="K2081" s="246">
        <v>71900</v>
      </c>
      <c r="L2081" s="246">
        <v>77200</v>
      </c>
      <c r="M2081" s="246">
        <v>82550</v>
      </c>
      <c r="N2081" s="246">
        <v>87850</v>
      </c>
    </row>
    <row r="2082" spans="3:14" ht="21.95" customHeight="1" x14ac:dyDescent="0.25">
      <c r="C2082" s="139" t="str">
        <f t="shared" si="48"/>
        <v>OK_PITTSBURG COUNTY, OK</v>
      </c>
      <c r="D2082" s="136" t="s">
        <v>27</v>
      </c>
      <c r="E2082" s="262" t="s">
        <v>4632</v>
      </c>
      <c r="F2082" s="136" t="s">
        <v>183</v>
      </c>
      <c r="G2082" s="246">
        <v>42300</v>
      </c>
      <c r="H2082" s="246">
        <v>48350</v>
      </c>
      <c r="I2082" s="246">
        <v>54400</v>
      </c>
      <c r="J2082" s="246">
        <v>60400</v>
      </c>
      <c r="K2082" s="246">
        <v>65250</v>
      </c>
      <c r="L2082" s="246">
        <v>70100</v>
      </c>
      <c r="M2082" s="246">
        <v>74900</v>
      </c>
      <c r="N2082" s="246">
        <v>79750</v>
      </c>
    </row>
    <row r="2083" spans="3:14" ht="21.95" customHeight="1" x14ac:dyDescent="0.25">
      <c r="C2083" s="139" t="str">
        <f t="shared" si="48"/>
        <v>OK_PONTOTOC COUNTY, OK</v>
      </c>
      <c r="D2083" s="136" t="s">
        <v>27</v>
      </c>
      <c r="E2083" s="262" t="s">
        <v>4633</v>
      </c>
      <c r="F2083" s="136" t="s">
        <v>183</v>
      </c>
      <c r="G2083" s="246">
        <v>47150</v>
      </c>
      <c r="H2083" s="246">
        <v>53850</v>
      </c>
      <c r="I2083" s="246">
        <v>60600</v>
      </c>
      <c r="J2083" s="246">
        <v>67300</v>
      </c>
      <c r="K2083" s="246">
        <v>72700</v>
      </c>
      <c r="L2083" s="246">
        <v>78100</v>
      </c>
      <c r="M2083" s="246">
        <v>83500</v>
      </c>
      <c r="N2083" s="246">
        <v>88850</v>
      </c>
    </row>
    <row r="2084" spans="3:14" ht="21.95" customHeight="1" x14ac:dyDescent="0.25">
      <c r="C2084" s="139" t="str">
        <f t="shared" si="48"/>
        <v>OK_POTTAWATOMIE COUNTY, OK</v>
      </c>
      <c r="D2084" s="136" t="s">
        <v>27</v>
      </c>
      <c r="E2084" s="262" t="s">
        <v>4634</v>
      </c>
      <c r="F2084" s="136" t="s">
        <v>183</v>
      </c>
      <c r="G2084" s="246">
        <v>41550</v>
      </c>
      <c r="H2084" s="246">
        <v>47500</v>
      </c>
      <c r="I2084" s="246">
        <v>53450</v>
      </c>
      <c r="J2084" s="246">
        <v>59350</v>
      </c>
      <c r="K2084" s="246">
        <v>64100</v>
      </c>
      <c r="L2084" s="246">
        <v>68850</v>
      </c>
      <c r="M2084" s="246">
        <v>73600</v>
      </c>
      <c r="N2084" s="246">
        <v>78350</v>
      </c>
    </row>
    <row r="2085" spans="3:14" ht="21.95" customHeight="1" x14ac:dyDescent="0.25">
      <c r="C2085" s="139" t="str">
        <f t="shared" si="48"/>
        <v>OK_PUSHMATAHA COUNTY, OK</v>
      </c>
      <c r="D2085" s="136" t="s">
        <v>27</v>
      </c>
      <c r="E2085" s="262" t="s">
        <v>4635</v>
      </c>
      <c r="F2085" s="136" t="s">
        <v>183</v>
      </c>
      <c r="G2085" s="246">
        <v>41550</v>
      </c>
      <c r="H2085" s="246">
        <v>47500</v>
      </c>
      <c r="I2085" s="246">
        <v>53450</v>
      </c>
      <c r="J2085" s="246">
        <v>59350</v>
      </c>
      <c r="K2085" s="246">
        <v>64100</v>
      </c>
      <c r="L2085" s="246">
        <v>68850</v>
      </c>
      <c r="M2085" s="246">
        <v>73600</v>
      </c>
      <c r="N2085" s="246">
        <v>78350</v>
      </c>
    </row>
    <row r="2086" spans="3:14" ht="21.95" customHeight="1" x14ac:dyDescent="0.25">
      <c r="C2086" s="139" t="str">
        <f t="shared" si="48"/>
        <v>OK_ROGER MILLS COUNTY, OK</v>
      </c>
      <c r="D2086" s="136" t="s">
        <v>27</v>
      </c>
      <c r="E2086" s="262" t="s">
        <v>4636</v>
      </c>
      <c r="F2086" s="136" t="s">
        <v>183</v>
      </c>
      <c r="G2086" s="246">
        <v>43300</v>
      </c>
      <c r="H2086" s="246">
        <v>49500</v>
      </c>
      <c r="I2086" s="246">
        <v>55700</v>
      </c>
      <c r="J2086" s="246">
        <v>61850</v>
      </c>
      <c r="K2086" s="246">
        <v>66800</v>
      </c>
      <c r="L2086" s="246">
        <v>71750</v>
      </c>
      <c r="M2086" s="246">
        <v>76700</v>
      </c>
      <c r="N2086" s="246">
        <v>81650</v>
      </c>
    </row>
    <row r="2087" spans="3:14" ht="21.95" customHeight="1" x14ac:dyDescent="0.25">
      <c r="C2087" s="139" t="str">
        <f t="shared" si="48"/>
        <v>OK_SEMINOLE COUNTY, OK</v>
      </c>
      <c r="D2087" s="136" t="s">
        <v>27</v>
      </c>
      <c r="E2087" s="262" t="s">
        <v>4637</v>
      </c>
      <c r="F2087" s="136" t="s">
        <v>183</v>
      </c>
      <c r="G2087" s="246">
        <v>41550</v>
      </c>
      <c r="H2087" s="246">
        <v>47500</v>
      </c>
      <c r="I2087" s="246">
        <v>53450</v>
      </c>
      <c r="J2087" s="246">
        <v>59350</v>
      </c>
      <c r="K2087" s="246">
        <v>64100</v>
      </c>
      <c r="L2087" s="246">
        <v>68850</v>
      </c>
      <c r="M2087" s="246">
        <v>73600</v>
      </c>
      <c r="N2087" s="246">
        <v>78350</v>
      </c>
    </row>
    <row r="2088" spans="3:14" ht="21.95" customHeight="1" x14ac:dyDescent="0.25">
      <c r="C2088" s="139" t="str">
        <f t="shared" si="48"/>
        <v>OK_STEPHENS COUNTY, OK</v>
      </c>
      <c r="D2088" s="136" t="s">
        <v>27</v>
      </c>
      <c r="E2088" s="262" t="s">
        <v>4638</v>
      </c>
      <c r="F2088" s="136" t="s">
        <v>183</v>
      </c>
      <c r="G2088" s="246">
        <v>45750</v>
      </c>
      <c r="H2088" s="246">
        <v>52300</v>
      </c>
      <c r="I2088" s="246">
        <v>58850</v>
      </c>
      <c r="J2088" s="246">
        <v>65350</v>
      </c>
      <c r="K2088" s="246">
        <v>70600</v>
      </c>
      <c r="L2088" s="246">
        <v>75850</v>
      </c>
      <c r="M2088" s="246">
        <v>81050</v>
      </c>
      <c r="N2088" s="246">
        <v>86300</v>
      </c>
    </row>
    <row r="2089" spans="3:14" ht="21.95" customHeight="1" x14ac:dyDescent="0.25">
      <c r="C2089" s="139" t="str">
        <f t="shared" si="48"/>
        <v>OK_TEXAS COUNTY, OK</v>
      </c>
      <c r="D2089" s="136" t="s">
        <v>27</v>
      </c>
      <c r="E2089" s="262" t="s">
        <v>4639</v>
      </c>
      <c r="F2089" s="136" t="s">
        <v>183</v>
      </c>
      <c r="G2089" s="246">
        <v>44350</v>
      </c>
      <c r="H2089" s="246">
        <v>50650</v>
      </c>
      <c r="I2089" s="246">
        <v>57000</v>
      </c>
      <c r="J2089" s="246">
        <v>63300</v>
      </c>
      <c r="K2089" s="246">
        <v>68400</v>
      </c>
      <c r="L2089" s="246">
        <v>73450</v>
      </c>
      <c r="M2089" s="246">
        <v>78500</v>
      </c>
      <c r="N2089" s="246">
        <v>83600</v>
      </c>
    </row>
    <row r="2090" spans="3:14" ht="21.95" customHeight="1" x14ac:dyDescent="0.25">
      <c r="C2090" s="139" t="str">
        <f t="shared" si="48"/>
        <v>OK_TILLMAN COUNTY, OK</v>
      </c>
      <c r="D2090" s="136" t="s">
        <v>27</v>
      </c>
      <c r="E2090" s="262" t="s">
        <v>4640</v>
      </c>
      <c r="F2090" s="136" t="s">
        <v>183</v>
      </c>
      <c r="G2090" s="246">
        <v>41550</v>
      </c>
      <c r="H2090" s="246">
        <v>47500</v>
      </c>
      <c r="I2090" s="246">
        <v>53450</v>
      </c>
      <c r="J2090" s="246">
        <v>59350</v>
      </c>
      <c r="K2090" s="246">
        <v>64100</v>
      </c>
      <c r="L2090" s="246">
        <v>68850</v>
      </c>
      <c r="M2090" s="246">
        <v>73600</v>
      </c>
      <c r="N2090" s="246">
        <v>78350</v>
      </c>
    </row>
    <row r="2091" spans="3:14" ht="21.95" customHeight="1" x14ac:dyDescent="0.25">
      <c r="C2091" s="139" t="str">
        <f t="shared" si="48"/>
        <v>OK_TULSA, OK HUD METRO FMR AREA</v>
      </c>
      <c r="D2091" s="136" t="s">
        <v>27</v>
      </c>
      <c r="E2091" s="262" t="s">
        <v>4641</v>
      </c>
      <c r="F2091" s="136" t="s">
        <v>183</v>
      </c>
      <c r="G2091" s="246">
        <v>50600</v>
      </c>
      <c r="H2091" s="246">
        <v>57800</v>
      </c>
      <c r="I2091" s="246">
        <v>65050</v>
      </c>
      <c r="J2091" s="246">
        <v>72250</v>
      </c>
      <c r="K2091" s="246">
        <v>78050</v>
      </c>
      <c r="L2091" s="246">
        <v>83850</v>
      </c>
      <c r="M2091" s="246">
        <v>89600</v>
      </c>
      <c r="N2091" s="246">
        <v>95400</v>
      </c>
    </row>
    <row r="2092" spans="3:14" ht="21.95" customHeight="1" x14ac:dyDescent="0.25">
      <c r="C2092" s="139" t="str">
        <f t="shared" si="48"/>
        <v>OK_WASHINGTON COUNTY, OK</v>
      </c>
      <c r="D2092" s="136" t="s">
        <v>27</v>
      </c>
      <c r="E2092" s="262" t="s">
        <v>4642</v>
      </c>
      <c r="F2092" s="136" t="s">
        <v>183</v>
      </c>
      <c r="G2092" s="246">
        <v>49350</v>
      </c>
      <c r="H2092" s="246">
        <v>56400</v>
      </c>
      <c r="I2092" s="246">
        <v>63450</v>
      </c>
      <c r="J2092" s="246">
        <v>70500</v>
      </c>
      <c r="K2092" s="246">
        <v>76150</v>
      </c>
      <c r="L2092" s="246">
        <v>81800</v>
      </c>
      <c r="M2092" s="246">
        <v>87450</v>
      </c>
      <c r="N2092" s="246">
        <v>93100</v>
      </c>
    </row>
    <row r="2093" spans="3:14" ht="21.95" customHeight="1" x14ac:dyDescent="0.25">
      <c r="C2093" s="139" t="str">
        <f t="shared" si="48"/>
        <v>OK_WASHITA COUNTY, OK</v>
      </c>
      <c r="D2093" s="136" t="s">
        <v>27</v>
      </c>
      <c r="E2093" s="262" t="s">
        <v>4643</v>
      </c>
      <c r="F2093" s="136" t="s">
        <v>183</v>
      </c>
      <c r="G2093" s="246">
        <v>43650</v>
      </c>
      <c r="H2093" s="246">
        <v>49850</v>
      </c>
      <c r="I2093" s="246">
        <v>56100</v>
      </c>
      <c r="J2093" s="246">
        <v>62300</v>
      </c>
      <c r="K2093" s="246">
        <v>67300</v>
      </c>
      <c r="L2093" s="246">
        <v>72300</v>
      </c>
      <c r="M2093" s="246">
        <v>77300</v>
      </c>
      <c r="N2093" s="246">
        <v>82250</v>
      </c>
    </row>
    <row r="2094" spans="3:14" ht="21.95" customHeight="1" x14ac:dyDescent="0.25">
      <c r="C2094" s="139" t="str">
        <f t="shared" si="48"/>
        <v>OK_WOODS COUNTY, OK</v>
      </c>
      <c r="D2094" s="136" t="s">
        <v>27</v>
      </c>
      <c r="E2094" s="262" t="s">
        <v>4644</v>
      </c>
      <c r="F2094" s="136" t="s">
        <v>183</v>
      </c>
      <c r="G2094" s="246">
        <v>50050</v>
      </c>
      <c r="H2094" s="246">
        <v>57200</v>
      </c>
      <c r="I2094" s="246">
        <v>64350</v>
      </c>
      <c r="J2094" s="246">
        <v>71450</v>
      </c>
      <c r="K2094" s="246">
        <v>77200</v>
      </c>
      <c r="L2094" s="246">
        <v>82900</v>
      </c>
      <c r="M2094" s="246">
        <v>88600</v>
      </c>
      <c r="N2094" s="246">
        <v>94350</v>
      </c>
    </row>
    <row r="2095" spans="3:14" ht="21.95" customHeight="1" x14ac:dyDescent="0.25">
      <c r="C2095" s="139" t="str">
        <f t="shared" si="48"/>
        <v>OK_WOODWARD COUNTY, OK</v>
      </c>
      <c r="D2095" s="136" t="s">
        <v>27</v>
      </c>
      <c r="E2095" s="262" t="s">
        <v>4645</v>
      </c>
      <c r="F2095" s="136" t="s">
        <v>183</v>
      </c>
      <c r="G2095" s="246">
        <v>46450</v>
      </c>
      <c r="H2095" s="246">
        <v>53050</v>
      </c>
      <c r="I2095" s="246">
        <v>59700</v>
      </c>
      <c r="J2095" s="246">
        <v>66300</v>
      </c>
      <c r="K2095" s="246">
        <v>71650</v>
      </c>
      <c r="L2095" s="246">
        <v>76950</v>
      </c>
      <c r="M2095" s="246">
        <v>82250</v>
      </c>
      <c r="N2095" s="246">
        <v>87550</v>
      </c>
    </row>
    <row r="2096" spans="3:14" ht="21.95" customHeight="1" x14ac:dyDescent="0.25">
      <c r="C2096" s="139" t="str">
        <f t="shared" si="48"/>
        <v>OR_ALBANY, OR MSA</v>
      </c>
      <c r="D2096" s="136" t="s">
        <v>70</v>
      </c>
      <c r="E2096" s="262" t="s">
        <v>4646</v>
      </c>
      <c r="F2096" s="136" t="s">
        <v>183</v>
      </c>
      <c r="G2096" s="246">
        <v>51950</v>
      </c>
      <c r="H2096" s="246">
        <v>59350</v>
      </c>
      <c r="I2096" s="246">
        <v>66750</v>
      </c>
      <c r="J2096" s="246">
        <v>74150</v>
      </c>
      <c r="K2096" s="246">
        <v>80100</v>
      </c>
      <c r="L2096" s="246">
        <v>86050</v>
      </c>
      <c r="M2096" s="246">
        <v>91950</v>
      </c>
      <c r="N2096" s="246">
        <v>97900</v>
      </c>
    </row>
    <row r="2097" spans="3:14" ht="21.95" customHeight="1" x14ac:dyDescent="0.25">
      <c r="C2097" s="139" t="str">
        <f t="shared" si="48"/>
        <v>OR_BAKER COUNTY, OR</v>
      </c>
      <c r="D2097" s="136" t="s">
        <v>70</v>
      </c>
      <c r="E2097" s="262" t="s">
        <v>4647</v>
      </c>
      <c r="F2097" s="136" t="s">
        <v>183</v>
      </c>
      <c r="G2097" s="246">
        <v>48200</v>
      </c>
      <c r="H2097" s="246">
        <v>55050</v>
      </c>
      <c r="I2097" s="246">
        <v>61950</v>
      </c>
      <c r="J2097" s="246">
        <v>68800</v>
      </c>
      <c r="K2097" s="246">
        <v>74350</v>
      </c>
      <c r="L2097" s="246">
        <v>79850</v>
      </c>
      <c r="M2097" s="246">
        <v>85350</v>
      </c>
      <c r="N2097" s="246">
        <v>90850</v>
      </c>
    </row>
    <row r="2098" spans="3:14" ht="21.95" customHeight="1" x14ac:dyDescent="0.25">
      <c r="C2098" s="139" t="str">
        <f t="shared" si="48"/>
        <v>OR_BEND-REDMOND, OR HUD METRO FMR AREA</v>
      </c>
      <c r="D2098" s="136" t="s">
        <v>70</v>
      </c>
      <c r="E2098" s="262" t="s">
        <v>9243</v>
      </c>
      <c r="F2098" s="136" t="s">
        <v>183</v>
      </c>
      <c r="G2098" s="246">
        <v>64050</v>
      </c>
      <c r="H2098" s="246">
        <v>73200</v>
      </c>
      <c r="I2098" s="246">
        <v>82350</v>
      </c>
      <c r="J2098" s="246">
        <v>91450</v>
      </c>
      <c r="K2098" s="246">
        <v>98800</v>
      </c>
      <c r="L2098" s="246">
        <v>106100</v>
      </c>
      <c r="M2098" s="246">
        <v>113400</v>
      </c>
      <c r="N2098" s="246">
        <v>120750</v>
      </c>
    </row>
    <row r="2099" spans="3:14" ht="21.95" customHeight="1" x14ac:dyDescent="0.25">
      <c r="C2099" s="139" t="str">
        <f t="shared" si="48"/>
        <v>OR_CLATSOP COUNTY, OR</v>
      </c>
      <c r="D2099" s="136" t="s">
        <v>70</v>
      </c>
      <c r="E2099" s="262" t="s">
        <v>4648</v>
      </c>
      <c r="F2099" s="136" t="s">
        <v>183</v>
      </c>
      <c r="G2099" s="246">
        <v>54000</v>
      </c>
      <c r="H2099" s="246">
        <v>61700</v>
      </c>
      <c r="I2099" s="246">
        <v>69400</v>
      </c>
      <c r="J2099" s="246">
        <v>77100</v>
      </c>
      <c r="K2099" s="246">
        <v>83300</v>
      </c>
      <c r="L2099" s="246">
        <v>89450</v>
      </c>
      <c r="M2099" s="246">
        <v>95650</v>
      </c>
      <c r="N2099" s="246">
        <v>101800</v>
      </c>
    </row>
    <row r="2100" spans="3:14" ht="21.95" customHeight="1" x14ac:dyDescent="0.25">
      <c r="C2100" s="139" t="str">
        <f t="shared" si="48"/>
        <v>OR_COOS COUNTY, OR</v>
      </c>
      <c r="D2100" s="136" t="s">
        <v>70</v>
      </c>
      <c r="E2100" s="262" t="s">
        <v>4649</v>
      </c>
      <c r="F2100" s="136" t="s">
        <v>183</v>
      </c>
      <c r="G2100" s="246">
        <v>46550</v>
      </c>
      <c r="H2100" s="246">
        <v>53200</v>
      </c>
      <c r="I2100" s="246">
        <v>59850</v>
      </c>
      <c r="J2100" s="246">
        <v>66500</v>
      </c>
      <c r="K2100" s="246">
        <v>71850</v>
      </c>
      <c r="L2100" s="246">
        <v>77150</v>
      </c>
      <c r="M2100" s="246">
        <v>82500</v>
      </c>
      <c r="N2100" s="246">
        <v>87800</v>
      </c>
    </row>
    <row r="2101" spans="3:14" ht="21.95" customHeight="1" x14ac:dyDescent="0.25">
      <c r="C2101" s="139" t="str">
        <f t="shared" si="48"/>
        <v>OR_CORVALLIS, OR MSA</v>
      </c>
      <c r="D2101" s="136" t="s">
        <v>70</v>
      </c>
      <c r="E2101" s="262" t="s">
        <v>4650</v>
      </c>
      <c r="F2101" s="136" t="s">
        <v>183</v>
      </c>
      <c r="G2101" s="246">
        <v>66050</v>
      </c>
      <c r="H2101" s="246">
        <v>75450</v>
      </c>
      <c r="I2101" s="246">
        <v>84900</v>
      </c>
      <c r="J2101" s="246">
        <v>94300</v>
      </c>
      <c r="K2101" s="246">
        <v>101850</v>
      </c>
      <c r="L2101" s="246">
        <v>109400</v>
      </c>
      <c r="M2101" s="246">
        <v>116950</v>
      </c>
      <c r="N2101" s="246">
        <v>124500</v>
      </c>
    </row>
    <row r="2102" spans="3:14" ht="21.95" customHeight="1" x14ac:dyDescent="0.25">
      <c r="C2102" s="139" t="str">
        <f t="shared" si="48"/>
        <v>OR_CROOK COUNTY, OR HUD METRO FMR AREA</v>
      </c>
      <c r="D2102" s="136" t="s">
        <v>70</v>
      </c>
      <c r="E2102" s="262" t="s">
        <v>9242</v>
      </c>
      <c r="F2102" s="136" t="s">
        <v>183</v>
      </c>
      <c r="G2102" s="246">
        <v>51100</v>
      </c>
      <c r="H2102" s="246">
        <v>58400</v>
      </c>
      <c r="I2102" s="246">
        <v>65700</v>
      </c>
      <c r="J2102" s="246">
        <v>73000</v>
      </c>
      <c r="K2102" s="246">
        <v>78850</v>
      </c>
      <c r="L2102" s="246">
        <v>84700</v>
      </c>
      <c r="M2102" s="246">
        <v>90550</v>
      </c>
      <c r="N2102" s="246">
        <v>96400</v>
      </c>
    </row>
    <row r="2103" spans="3:14" ht="21.95" customHeight="1" x14ac:dyDescent="0.25">
      <c r="C2103" s="139" t="str">
        <f t="shared" si="48"/>
        <v>OR_CURRY COUNTY, OR</v>
      </c>
      <c r="D2103" s="136" t="s">
        <v>70</v>
      </c>
      <c r="E2103" s="262" t="s">
        <v>4651</v>
      </c>
      <c r="F2103" s="136" t="s">
        <v>183</v>
      </c>
      <c r="G2103" s="246">
        <v>45600</v>
      </c>
      <c r="H2103" s="246">
        <v>52100</v>
      </c>
      <c r="I2103" s="246">
        <v>58600</v>
      </c>
      <c r="J2103" s="246">
        <v>65100</v>
      </c>
      <c r="K2103" s="246">
        <v>70350</v>
      </c>
      <c r="L2103" s="246">
        <v>75550</v>
      </c>
      <c r="M2103" s="246">
        <v>80750</v>
      </c>
      <c r="N2103" s="246">
        <v>85950</v>
      </c>
    </row>
    <row r="2104" spans="3:14" ht="21.95" customHeight="1" x14ac:dyDescent="0.25">
      <c r="C2104" s="139" t="str">
        <f t="shared" si="48"/>
        <v>OR_DOUGLAS COUNTY, OR</v>
      </c>
      <c r="D2104" s="136" t="s">
        <v>70</v>
      </c>
      <c r="E2104" s="262" t="s">
        <v>4652</v>
      </c>
      <c r="F2104" s="136" t="s">
        <v>183</v>
      </c>
      <c r="G2104" s="246">
        <v>46850</v>
      </c>
      <c r="H2104" s="246">
        <v>53550</v>
      </c>
      <c r="I2104" s="246">
        <v>60250</v>
      </c>
      <c r="J2104" s="246">
        <v>66900</v>
      </c>
      <c r="K2104" s="246">
        <v>72300</v>
      </c>
      <c r="L2104" s="246">
        <v>77650</v>
      </c>
      <c r="M2104" s="246">
        <v>83000</v>
      </c>
      <c r="N2104" s="246">
        <v>88350</v>
      </c>
    </row>
    <row r="2105" spans="3:14" ht="21.95" customHeight="1" x14ac:dyDescent="0.25">
      <c r="C2105" s="139" t="str">
        <f t="shared" si="48"/>
        <v>OR_EUGENE-SPRINGFIELD, OR MSA</v>
      </c>
      <c r="D2105" s="136" t="s">
        <v>70</v>
      </c>
      <c r="E2105" s="262" t="s">
        <v>4653</v>
      </c>
      <c r="F2105" s="136" t="s">
        <v>183</v>
      </c>
      <c r="G2105" s="246">
        <v>51350</v>
      </c>
      <c r="H2105" s="246">
        <v>58700</v>
      </c>
      <c r="I2105" s="246">
        <v>66050</v>
      </c>
      <c r="J2105" s="246">
        <v>73350</v>
      </c>
      <c r="K2105" s="246">
        <v>79250</v>
      </c>
      <c r="L2105" s="246">
        <v>85100</v>
      </c>
      <c r="M2105" s="246">
        <v>91000</v>
      </c>
      <c r="N2105" s="246">
        <v>96850</v>
      </c>
    </row>
    <row r="2106" spans="3:14" ht="21.95" customHeight="1" x14ac:dyDescent="0.25">
      <c r="C2106" s="139" t="str">
        <f t="shared" si="48"/>
        <v>OR_GILLIAM COUNTY, OR</v>
      </c>
      <c r="D2106" s="136" t="s">
        <v>70</v>
      </c>
      <c r="E2106" s="262" t="s">
        <v>4654</v>
      </c>
      <c r="F2106" s="136" t="s">
        <v>183</v>
      </c>
      <c r="G2106" s="246">
        <v>46400</v>
      </c>
      <c r="H2106" s="246">
        <v>53000</v>
      </c>
      <c r="I2106" s="246">
        <v>59650</v>
      </c>
      <c r="J2106" s="246">
        <v>66250</v>
      </c>
      <c r="K2106" s="246">
        <v>71550</v>
      </c>
      <c r="L2106" s="246">
        <v>76850</v>
      </c>
      <c r="M2106" s="246">
        <v>82150</v>
      </c>
      <c r="N2106" s="246">
        <v>87450</v>
      </c>
    </row>
    <row r="2107" spans="3:14" ht="21.95" customHeight="1" x14ac:dyDescent="0.25">
      <c r="C2107" s="139" t="str">
        <f t="shared" si="48"/>
        <v>OR_GRANT COUNTY, OR</v>
      </c>
      <c r="D2107" s="136" t="s">
        <v>70</v>
      </c>
      <c r="E2107" s="262" t="s">
        <v>4655</v>
      </c>
      <c r="F2107" s="136" t="s">
        <v>183</v>
      </c>
      <c r="G2107" s="246">
        <v>45600</v>
      </c>
      <c r="H2107" s="246">
        <v>52100</v>
      </c>
      <c r="I2107" s="246">
        <v>58600</v>
      </c>
      <c r="J2107" s="246">
        <v>65100</v>
      </c>
      <c r="K2107" s="246">
        <v>70350</v>
      </c>
      <c r="L2107" s="246">
        <v>75550</v>
      </c>
      <c r="M2107" s="246">
        <v>80750</v>
      </c>
      <c r="N2107" s="246">
        <v>85950</v>
      </c>
    </row>
    <row r="2108" spans="3:14" ht="21.95" customHeight="1" x14ac:dyDescent="0.25">
      <c r="C2108" s="139" t="str">
        <f t="shared" si="48"/>
        <v>OR_GRANTS PASS, OR MSA</v>
      </c>
      <c r="D2108" s="136" t="s">
        <v>70</v>
      </c>
      <c r="E2108" s="262" t="s">
        <v>4656</v>
      </c>
      <c r="F2108" s="136" t="s">
        <v>183</v>
      </c>
      <c r="G2108" s="246">
        <v>47500</v>
      </c>
      <c r="H2108" s="246">
        <v>54300</v>
      </c>
      <c r="I2108" s="246">
        <v>61100</v>
      </c>
      <c r="J2108" s="246">
        <v>67850</v>
      </c>
      <c r="K2108" s="246">
        <v>73300</v>
      </c>
      <c r="L2108" s="246">
        <v>78750</v>
      </c>
      <c r="M2108" s="246">
        <v>84150</v>
      </c>
      <c r="N2108" s="246">
        <v>89600</v>
      </c>
    </row>
    <row r="2109" spans="3:14" ht="21.95" customHeight="1" x14ac:dyDescent="0.25">
      <c r="C2109" s="139" t="str">
        <f t="shared" si="48"/>
        <v>OR_HARNEY COUNTY, OR</v>
      </c>
      <c r="D2109" s="136" t="s">
        <v>70</v>
      </c>
      <c r="E2109" s="262" t="s">
        <v>4657</v>
      </c>
      <c r="F2109" s="136" t="s">
        <v>183</v>
      </c>
      <c r="G2109" s="246">
        <v>45600</v>
      </c>
      <c r="H2109" s="246">
        <v>52100</v>
      </c>
      <c r="I2109" s="246">
        <v>58600</v>
      </c>
      <c r="J2109" s="246">
        <v>65100</v>
      </c>
      <c r="K2109" s="246">
        <v>70350</v>
      </c>
      <c r="L2109" s="246">
        <v>75550</v>
      </c>
      <c r="M2109" s="246">
        <v>80750</v>
      </c>
      <c r="N2109" s="246">
        <v>85950</v>
      </c>
    </row>
    <row r="2110" spans="3:14" ht="21.95" customHeight="1" x14ac:dyDescent="0.25">
      <c r="C2110" s="139" t="str">
        <f t="shared" si="48"/>
        <v>OR_HOOD RIVER COUNTY, OR</v>
      </c>
      <c r="D2110" s="136" t="s">
        <v>70</v>
      </c>
      <c r="E2110" s="262" t="s">
        <v>4658</v>
      </c>
      <c r="F2110" s="136" t="s">
        <v>183</v>
      </c>
      <c r="G2110" s="246">
        <v>59850</v>
      </c>
      <c r="H2110" s="246">
        <v>68400</v>
      </c>
      <c r="I2110" s="246">
        <v>76950</v>
      </c>
      <c r="J2110" s="246">
        <v>85500</v>
      </c>
      <c r="K2110" s="246">
        <v>92350</v>
      </c>
      <c r="L2110" s="246">
        <v>99200</v>
      </c>
      <c r="M2110" s="246">
        <v>106050</v>
      </c>
      <c r="N2110" s="246">
        <v>112900</v>
      </c>
    </row>
    <row r="2111" spans="3:14" ht="21.95" customHeight="1" x14ac:dyDescent="0.25">
      <c r="C2111" s="139" t="str">
        <f t="shared" si="48"/>
        <v>OR_JEFFERSON COUNTY, OR HUD METRO FMR AREA</v>
      </c>
      <c r="D2111" s="136" t="s">
        <v>70</v>
      </c>
      <c r="E2111" s="262" t="s">
        <v>9244</v>
      </c>
      <c r="F2111" s="136" t="s">
        <v>183</v>
      </c>
      <c r="G2111" s="246">
        <v>47500</v>
      </c>
      <c r="H2111" s="246">
        <v>54300</v>
      </c>
      <c r="I2111" s="246">
        <v>61100</v>
      </c>
      <c r="J2111" s="246">
        <v>67850</v>
      </c>
      <c r="K2111" s="246">
        <v>73300</v>
      </c>
      <c r="L2111" s="246">
        <v>78750</v>
      </c>
      <c r="M2111" s="246">
        <v>84150</v>
      </c>
      <c r="N2111" s="246">
        <v>89600</v>
      </c>
    </row>
    <row r="2112" spans="3:14" ht="21.95" customHeight="1" x14ac:dyDescent="0.25">
      <c r="C2112" s="139" t="str">
        <f t="shared" ref="C2112:C2175" si="49">TRIM(UPPER(D2112))&amp;"_"&amp;TRIM(UPPER(E2112))</f>
        <v>OR_KLAMATH COUNTY, OR</v>
      </c>
      <c r="D2112" s="136" t="s">
        <v>70</v>
      </c>
      <c r="E2112" s="262" t="s">
        <v>4659</v>
      </c>
      <c r="F2112" s="136" t="s">
        <v>183</v>
      </c>
      <c r="G2112" s="246">
        <v>45600</v>
      </c>
      <c r="H2112" s="246">
        <v>52100</v>
      </c>
      <c r="I2112" s="246">
        <v>58600</v>
      </c>
      <c r="J2112" s="246">
        <v>65100</v>
      </c>
      <c r="K2112" s="246">
        <v>70350</v>
      </c>
      <c r="L2112" s="246">
        <v>75550</v>
      </c>
      <c r="M2112" s="246">
        <v>80750</v>
      </c>
      <c r="N2112" s="246">
        <v>85950</v>
      </c>
    </row>
    <row r="2113" spans="3:14" ht="21.95" customHeight="1" x14ac:dyDescent="0.25">
      <c r="C2113" s="139" t="str">
        <f t="shared" si="49"/>
        <v>OR_LAKE COUNTY, OR</v>
      </c>
      <c r="D2113" s="136" t="s">
        <v>70</v>
      </c>
      <c r="E2113" s="262" t="s">
        <v>4660</v>
      </c>
      <c r="F2113" s="136" t="s">
        <v>183</v>
      </c>
      <c r="G2113" s="246">
        <v>49500</v>
      </c>
      <c r="H2113" s="246">
        <v>56550</v>
      </c>
      <c r="I2113" s="246">
        <v>63600</v>
      </c>
      <c r="J2113" s="246">
        <v>70650</v>
      </c>
      <c r="K2113" s="246">
        <v>76350</v>
      </c>
      <c r="L2113" s="246">
        <v>82000</v>
      </c>
      <c r="M2113" s="246">
        <v>87650</v>
      </c>
      <c r="N2113" s="246">
        <v>93300</v>
      </c>
    </row>
    <row r="2114" spans="3:14" ht="21.95" customHeight="1" x14ac:dyDescent="0.25">
      <c r="C2114" s="139" t="str">
        <f t="shared" si="49"/>
        <v>OR_LINCOLN COUNTY, OR</v>
      </c>
      <c r="D2114" s="136" t="s">
        <v>70</v>
      </c>
      <c r="E2114" s="262" t="s">
        <v>4661</v>
      </c>
      <c r="F2114" s="136" t="s">
        <v>183</v>
      </c>
      <c r="G2114" s="246">
        <v>46300</v>
      </c>
      <c r="H2114" s="246">
        <v>52900</v>
      </c>
      <c r="I2114" s="246">
        <v>59500</v>
      </c>
      <c r="J2114" s="246">
        <v>66100</v>
      </c>
      <c r="K2114" s="246">
        <v>71400</v>
      </c>
      <c r="L2114" s="246">
        <v>76700</v>
      </c>
      <c r="M2114" s="246">
        <v>82000</v>
      </c>
      <c r="N2114" s="246">
        <v>87300</v>
      </c>
    </row>
    <row r="2115" spans="3:14" ht="21.95" customHeight="1" x14ac:dyDescent="0.25">
      <c r="C2115" s="139" t="str">
        <f t="shared" si="49"/>
        <v>OR_MALHEUR COUNTY, OR</v>
      </c>
      <c r="D2115" s="136" t="s">
        <v>70</v>
      </c>
      <c r="E2115" s="262" t="s">
        <v>4662</v>
      </c>
      <c r="F2115" s="136" t="s">
        <v>183</v>
      </c>
      <c r="G2115" s="246">
        <v>45600</v>
      </c>
      <c r="H2115" s="246">
        <v>52100</v>
      </c>
      <c r="I2115" s="246">
        <v>58600</v>
      </c>
      <c r="J2115" s="246">
        <v>65100</v>
      </c>
      <c r="K2115" s="246">
        <v>70350</v>
      </c>
      <c r="L2115" s="246">
        <v>75550</v>
      </c>
      <c r="M2115" s="246">
        <v>80750</v>
      </c>
      <c r="N2115" s="246">
        <v>85950</v>
      </c>
    </row>
    <row r="2116" spans="3:14" ht="21.95" customHeight="1" x14ac:dyDescent="0.25">
      <c r="C2116" s="139" t="str">
        <f t="shared" si="49"/>
        <v>OR_MEDFORD, OR MSA</v>
      </c>
      <c r="D2116" s="136" t="s">
        <v>70</v>
      </c>
      <c r="E2116" s="262" t="s">
        <v>4663</v>
      </c>
      <c r="F2116" s="136" t="s">
        <v>183</v>
      </c>
      <c r="G2116" s="246">
        <v>51750</v>
      </c>
      <c r="H2116" s="246">
        <v>59150</v>
      </c>
      <c r="I2116" s="246">
        <v>66550</v>
      </c>
      <c r="J2116" s="246">
        <v>73900</v>
      </c>
      <c r="K2116" s="246">
        <v>79850</v>
      </c>
      <c r="L2116" s="246">
        <v>85750</v>
      </c>
      <c r="M2116" s="246">
        <v>91650</v>
      </c>
      <c r="N2116" s="246">
        <v>97550</v>
      </c>
    </row>
    <row r="2117" spans="3:14" ht="21.95" customHeight="1" x14ac:dyDescent="0.25">
      <c r="C2117" s="139" t="str">
        <f t="shared" si="49"/>
        <v>OR_MORROW COUNTY, OR</v>
      </c>
      <c r="D2117" s="136" t="s">
        <v>70</v>
      </c>
      <c r="E2117" s="262" t="s">
        <v>4664</v>
      </c>
      <c r="F2117" s="136" t="s">
        <v>183</v>
      </c>
      <c r="G2117" s="246">
        <v>48100</v>
      </c>
      <c r="H2117" s="246">
        <v>55000</v>
      </c>
      <c r="I2117" s="246">
        <v>61850</v>
      </c>
      <c r="J2117" s="246">
        <v>68700</v>
      </c>
      <c r="K2117" s="246">
        <v>74200</v>
      </c>
      <c r="L2117" s="246">
        <v>79700</v>
      </c>
      <c r="M2117" s="246">
        <v>85200</v>
      </c>
      <c r="N2117" s="246">
        <v>90700</v>
      </c>
    </row>
    <row r="2118" spans="3:14" ht="21.95" customHeight="1" x14ac:dyDescent="0.25">
      <c r="C2118" s="139" t="str">
        <f t="shared" si="49"/>
        <v>OR_PORTLAND-VANCOUVER-HILLSBORO, OR-WA MSA</v>
      </c>
      <c r="D2118" s="136" t="s">
        <v>70</v>
      </c>
      <c r="E2118" s="262" t="s">
        <v>4665</v>
      </c>
      <c r="F2118" s="136" t="s">
        <v>183</v>
      </c>
      <c r="G2118" s="246">
        <v>69550</v>
      </c>
      <c r="H2118" s="246">
        <v>79450</v>
      </c>
      <c r="I2118" s="246">
        <v>89400</v>
      </c>
      <c r="J2118" s="246">
        <v>99300</v>
      </c>
      <c r="K2118" s="246">
        <v>107250</v>
      </c>
      <c r="L2118" s="246">
        <v>115200</v>
      </c>
      <c r="M2118" s="246">
        <v>123150</v>
      </c>
      <c r="N2118" s="246">
        <v>131100</v>
      </c>
    </row>
    <row r="2119" spans="3:14" ht="21.95" customHeight="1" x14ac:dyDescent="0.25">
      <c r="C2119" s="139" t="str">
        <f t="shared" si="49"/>
        <v>OR_SALEM, OR MSA</v>
      </c>
      <c r="D2119" s="136" t="s">
        <v>70</v>
      </c>
      <c r="E2119" s="262" t="s">
        <v>4666</v>
      </c>
      <c r="F2119" s="136" t="s">
        <v>183</v>
      </c>
      <c r="G2119" s="246">
        <v>51900</v>
      </c>
      <c r="H2119" s="246">
        <v>59300</v>
      </c>
      <c r="I2119" s="246">
        <v>66700</v>
      </c>
      <c r="J2119" s="246">
        <v>74100</v>
      </c>
      <c r="K2119" s="246">
        <v>80050</v>
      </c>
      <c r="L2119" s="246">
        <v>86000</v>
      </c>
      <c r="M2119" s="246">
        <v>91900</v>
      </c>
      <c r="N2119" s="246">
        <v>97850</v>
      </c>
    </row>
    <row r="2120" spans="3:14" ht="21.95" customHeight="1" x14ac:dyDescent="0.25">
      <c r="C2120" s="139" t="str">
        <f t="shared" si="49"/>
        <v>OR_SHERMAN COUNTY, OR</v>
      </c>
      <c r="D2120" s="136" t="s">
        <v>70</v>
      </c>
      <c r="E2120" s="262" t="s">
        <v>4667</v>
      </c>
      <c r="F2120" s="136" t="s">
        <v>183</v>
      </c>
      <c r="G2120" s="246">
        <v>46900</v>
      </c>
      <c r="H2120" s="246">
        <v>53600</v>
      </c>
      <c r="I2120" s="246">
        <v>60300</v>
      </c>
      <c r="J2120" s="246">
        <v>66950</v>
      </c>
      <c r="K2120" s="246">
        <v>72350</v>
      </c>
      <c r="L2120" s="246">
        <v>77700</v>
      </c>
      <c r="M2120" s="246">
        <v>83050</v>
      </c>
      <c r="N2120" s="246">
        <v>88400</v>
      </c>
    </row>
    <row r="2121" spans="3:14" ht="21.95" customHeight="1" x14ac:dyDescent="0.25">
      <c r="C2121" s="139" t="str">
        <f t="shared" si="49"/>
        <v>OR_TILLAMOOK COUNTY, OR</v>
      </c>
      <c r="D2121" s="136" t="s">
        <v>70</v>
      </c>
      <c r="E2121" s="262" t="s">
        <v>4668</v>
      </c>
      <c r="F2121" s="136" t="s">
        <v>183</v>
      </c>
      <c r="G2121" s="246">
        <v>46800</v>
      </c>
      <c r="H2121" s="246">
        <v>53450</v>
      </c>
      <c r="I2121" s="246">
        <v>60150</v>
      </c>
      <c r="J2121" s="246">
        <v>66800</v>
      </c>
      <c r="K2121" s="246">
        <v>72150</v>
      </c>
      <c r="L2121" s="246">
        <v>77500</v>
      </c>
      <c r="M2121" s="246">
        <v>82850</v>
      </c>
      <c r="N2121" s="246">
        <v>88200</v>
      </c>
    </row>
    <row r="2122" spans="3:14" ht="21.95" customHeight="1" x14ac:dyDescent="0.25">
      <c r="C2122" s="139" t="str">
        <f t="shared" si="49"/>
        <v>OR_UMATILLA COUNTY, OR</v>
      </c>
      <c r="D2122" s="136" t="s">
        <v>70</v>
      </c>
      <c r="E2122" s="262" t="s">
        <v>4669</v>
      </c>
      <c r="F2122" s="136" t="s">
        <v>183</v>
      </c>
      <c r="G2122" s="246">
        <v>45600</v>
      </c>
      <c r="H2122" s="246">
        <v>52100</v>
      </c>
      <c r="I2122" s="246">
        <v>58600</v>
      </c>
      <c r="J2122" s="246">
        <v>65100</v>
      </c>
      <c r="K2122" s="246">
        <v>70350</v>
      </c>
      <c r="L2122" s="246">
        <v>75550</v>
      </c>
      <c r="M2122" s="246">
        <v>80750</v>
      </c>
      <c r="N2122" s="246">
        <v>85950</v>
      </c>
    </row>
    <row r="2123" spans="3:14" ht="21.95" customHeight="1" x14ac:dyDescent="0.25">
      <c r="C2123" s="139" t="str">
        <f t="shared" si="49"/>
        <v>OR_UNION COUNTY, OR</v>
      </c>
      <c r="D2123" s="136" t="s">
        <v>70</v>
      </c>
      <c r="E2123" s="262" t="s">
        <v>4670</v>
      </c>
      <c r="F2123" s="136" t="s">
        <v>183</v>
      </c>
      <c r="G2123" s="246">
        <v>46400</v>
      </c>
      <c r="H2123" s="246">
        <v>53000</v>
      </c>
      <c r="I2123" s="246">
        <v>59650</v>
      </c>
      <c r="J2123" s="246">
        <v>66250</v>
      </c>
      <c r="K2123" s="246">
        <v>71550</v>
      </c>
      <c r="L2123" s="246">
        <v>76850</v>
      </c>
      <c r="M2123" s="246">
        <v>82150</v>
      </c>
      <c r="N2123" s="246">
        <v>87450</v>
      </c>
    </row>
    <row r="2124" spans="3:14" ht="21.95" customHeight="1" x14ac:dyDescent="0.25">
      <c r="C2124" s="139" t="str">
        <f t="shared" si="49"/>
        <v>OR_WALLOWA COUNTY, OR</v>
      </c>
      <c r="D2124" s="136" t="s">
        <v>70</v>
      </c>
      <c r="E2124" s="262" t="s">
        <v>4671</v>
      </c>
      <c r="F2124" s="136" t="s">
        <v>183</v>
      </c>
      <c r="G2124" s="246">
        <v>47350</v>
      </c>
      <c r="H2124" s="246">
        <v>54100</v>
      </c>
      <c r="I2124" s="246">
        <v>60850</v>
      </c>
      <c r="J2124" s="246">
        <v>67600</v>
      </c>
      <c r="K2124" s="246">
        <v>73050</v>
      </c>
      <c r="L2124" s="246">
        <v>78450</v>
      </c>
      <c r="M2124" s="246">
        <v>83850</v>
      </c>
      <c r="N2124" s="246">
        <v>89250</v>
      </c>
    </row>
    <row r="2125" spans="3:14" ht="21.95" customHeight="1" x14ac:dyDescent="0.25">
      <c r="C2125" s="139" t="str">
        <f t="shared" si="49"/>
        <v>OR_WASCO COUNTY, OR</v>
      </c>
      <c r="D2125" s="136" t="s">
        <v>70</v>
      </c>
      <c r="E2125" s="262" t="s">
        <v>4672</v>
      </c>
      <c r="F2125" s="136" t="s">
        <v>183</v>
      </c>
      <c r="G2125" s="246">
        <v>51100</v>
      </c>
      <c r="H2125" s="246">
        <v>58400</v>
      </c>
      <c r="I2125" s="246">
        <v>65700</v>
      </c>
      <c r="J2125" s="246">
        <v>73000</v>
      </c>
      <c r="K2125" s="246">
        <v>78850</v>
      </c>
      <c r="L2125" s="246">
        <v>84700</v>
      </c>
      <c r="M2125" s="246">
        <v>90550</v>
      </c>
      <c r="N2125" s="246">
        <v>96400</v>
      </c>
    </row>
    <row r="2126" spans="3:14" ht="21.95" customHeight="1" x14ac:dyDescent="0.25">
      <c r="C2126" s="139" t="str">
        <f t="shared" si="49"/>
        <v>OR_WHEELER COUNTY, OR</v>
      </c>
      <c r="D2126" s="136" t="s">
        <v>70</v>
      </c>
      <c r="E2126" s="262" t="s">
        <v>4673</v>
      </c>
      <c r="F2126" s="136" t="s">
        <v>183</v>
      </c>
      <c r="G2126" s="246">
        <v>45600</v>
      </c>
      <c r="H2126" s="246">
        <v>52100</v>
      </c>
      <c r="I2126" s="246">
        <v>58600</v>
      </c>
      <c r="J2126" s="246">
        <v>65100</v>
      </c>
      <c r="K2126" s="246">
        <v>70350</v>
      </c>
      <c r="L2126" s="246">
        <v>75550</v>
      </c>
      <c r="M2126" s="246">
        <v>80750</v>
      </c>
      <c r="N2126" s="246">
        <v>85950</v>
      </c>
    </row>
    <row r="2127" spans="3:14" ht="21.95" customHeight="1" x14ac:dyDescent="0.25">
      <c r="C2127" s="139" t="str">
        <f t="shared" si="49"/>
        <v>PA_ALLENTOWN-BETHLEHEM-EASTON, PA HUD METRO FMR AREA</v>
      </c>
      <c r="D2127" s="136" t="s">
        <v>69</v>
      </c>
      <c r="E2127" s="262" t="s">
        <v>4674</v>
      </c>
      <c r="F2127" s="136" t="s">
        <v>183</v>
      </c>
      <c r="G2127" s="246">
        <v>56150</v>
      </c>
      <c r="H2127" s="246">
        <v>64150</v>
      </c>
      <c r="I2127" s="246">
        <v>72150</v>
      </c>
      <c r="J2127" s="246">
        <v>80150</v>
      </c>
      <c r="K2127" s="246">
        <v>86600</v>
      </c>
      <c r="L2127" s="246">
        <v>93000</v>
      </c>
      <c r="M2127" s="246">
        <v>99400</v>
      </c>
      <c r="N2127" s="246">
        <v>105800</v>
      </c>
    </row>
    <row r="2128" spans="3:14" ht="21.95" customHeight="1" x14ac:dyDescent="0.25">
      <c r="C2128" s="139" t="str">
        <f t="shared" si="49"/>
        <v>PA_ALTOONA, PA MSA</v>
      </c>
      <c r="D2128" s="136" t="s">
        <v>69</v>
      </c>
      <c r="E2128" s="262" t="s">
        <v>4675</v>
      </c>
      <c r="F2128" s="136" t="s">
        <v>183</v>
      </c>
      <c r="G2128" s="246">
        <v>46950</v>
      </c>
      <c r="H2128" s="246">
        <v>53650</v>
      </c>
      <c r="I2128" s="246">
        <v>60350</v>
      </c>
      <c r="J2128" s="246">
        <v>67050</v>
      </c>
      <c r="K2128" s="246">
        <v>72450</v>
      </c>
      <c r="L2128" s="246">
        <v>77800</v>
      </c>
      <c r="M2128" s="246">
        <v>83150</v>
      </c>
      <c r="N2128" s="246">
        <v>88550</v>
      </c>
    </row>
    <row r="2129" spans="3:14" ht="21.95" customHeight="1" x14ac:dyDescent="0.25">
      <c r="C2129" s="139" t="str">
        <f t="shared" si="49"/>
        <v>PA_ARMSTRONG COUNTY, PA HUD METRO FMR AREA</v>
      </c>
      <c r="D2129" s="136" t="s">
        <v>69</v>
      </c>
      <c r="E2129" s="262" t="s">
        <v>4676</v>
      </c>
      <c r="F2129" s="136" t="s">
        <v>183</v>
      </c>
      <c r="G2129" s="246">
        <v>46900</v>
      </c>
      <c r="H2129" s="246">
        <v>53600</v>
      </c>
      <c r="I2129" s="246">
        <v>60300</v>
      </c>
      <c r="J2129" s="246">
        <v>66950</v>
      </c>
      <c r="K2129" s="246">
        <v>72350</v>
      </c>
      <c r="L2129" s="246">
        <v>77700</v>
      </c>
      <c r="M2129" s="246">
        <v>83050</v>
      </c>
      <c r="N2129" s="246">
        <v>88400</v>
      </c>
    </row>
    <row r="2130" spans="3:14" ht="21.95" customHeight="1" x14ac:dyDescent="0.25">
      <c r="C2130" s="139" t="str">
        <f t="shared" si="49"/>
        <v>PA_BEDFORD COUNTY, PA</v>
      </c>
      <c r="D2130" s="136" t="s">
        <v>69</v>
      </c>
      <c r="E2130" s="262" t="s">
        <v>4677</v>
      </c>
      <c r="F2130" s="136" t="s">
        <v>183</v>
      </c>
      <c r="G2130" s="246">
        <v>47450</v>
      </c>
      <c r="H2130" s="246">
        <v>54200</v>
      </c>
      <c r="I2130" s="246">
        <v>61000</v>
      </c>
      <c r="J2130" s="246">
        <v>67750</v>
      </c>
      <c r="K2130" s="246">
        <v>73200</v>
      </c>
      <c r="L2130" s="246">
        <v>78600</v>
      </c>
      <c r="M2130" s="246">
        <v>84050</v>
      </c>
      <c r="N2130" s="246">
        <v>89450</v>
      </c>
    </row>
    <row r="2131" spans="3:14" ht="21.95" customHeight="1" x14ac:dyDescent="0.25">
      <c r="C2131" s="139" t="str">
        <f t="shared" si="49"/>
        <v>PA_BRADFORD COUNTY, PA</v>
      </c>
      <c r="D2131" s="136" t="s">
        <v>69</v>
      </c>
      <c r="E2131" s="262" t="s">
        <v>4678</v>
      </c>
      <c r="F2131" s="136" t="s">
        <v>183</v>
      </c>
      <c r="G2131" s="246">
        <v>48650</v>
      </c>
      <c r="H2131" s="246">
        <v>55600</v>
      </c>
      <c r="I2131" s="246">
        <v>62550</v>
      </c>
      <c r="J2131" s="246">
        <v>69500</v>
      </c>
      <c r="K2131" s="246">
        <v>75100</v>
      </c>
      <c r="L2131" s="246">
        <v>80650</v>
      </c>
      <c r="M2131" s="246">
        <v>86200</v>
      </c>
      <c r="N2131" s="246">
        <v>91750</v>
      </c>
    </row>
    <row r="2132" spans="3:14" ht="21.95" customHeight="1" x14ac:dyDescent="0.25">
      <c r="C2132" s="139" t="str">
        <f t="shared" si="49"/>
        <v>PA_CAMERON COUNTY, PA</v>
      </c>
      <c r="D2132" s="136" t="s">
        <v>69</v>
      </c>
      <c r="E2132" s="262" t="s">
        <v>4679</v>
      </c>
      <c r="F2132" s="136" t="s">
        <v>183</v>
      </c>
      <c r="G2132" s="246">
        <v>46900</v>
      </c>
      <c r="H2132" s="246">
        <v>53600</v>
      </c>
      <c r="I2132" s="246">
        <v>60300</v>
      </c>
      <c r="J2132" s="246">
        <v>66950</v>
      </c>
      <c r="K2132" s="246">
        <v>72350</v>
      </c>
      <c r="L2132" s="246">
        <v>77700</v>
      </c>
      <c r="M2132" s="246">
        <v>83050</v>
      </c>
      <c r="N2132" s="246">
        <v>88400</v>
      </c>
    </row>
    <row r="2133" spans="3:14" ht="21.95" customHeight="1" x14ac:dyDescent="0.25">
      <c r="C2133" s="139" t="str">
        <f t="shared" si="49"/>
        <v>PA_CHAMBERSBURG, PA MSA</v>
      </c>
      <c r="D2133" s="136" t="s">
        <v>69</v>
      </c>
      <c r="E2133" s="262" t="s">
        <v>9246</v>
      </c>
      <c r="F2133" s="136" t="s">
        <v>183</v>
      </c>
      <c r="G2133" s="246">
        <v>53500</v>
      </c>
      <c r="H2133" s="246">
        <v>61150</v>
      </c>
      <c r="I2133" s="246">
        <v>68800</v>
      </c>
      <c r="J2133" s="246">
        <v>76400</v>
      </c>
      <c r="K2133" s="246">
        <v>82550</v>
      </c>
      <c r="L2133" s="246">
        <v>88650</v>
      </c>
      <c r="M2133" s="246">
        <v>94750</v>
      </c>
      <c r="N2133" s="246">
        <v>100850</v>
      </c>
    </row>
    <row r="2134" spans="3:14" ht="21.95" customHeight="1" x14ac:dyDescent="0.25">
      <c r="C2134" s="139" t="str">
        <f t="shared" si="49"/>
        <v>PA_CLARION COUNTY, PA</v>
      </c>
      <c r="D2134" s="136" t="s">
        <v>69</v>
      </c>
      <c r="E2134" s="262" t="s">
        <v>4680</v>
      </c>
      <c r="F2134" s="136" t="s">
        <v>183</v>
      </c>
      <c r="G2134" s="246">
        <v>48100</v>
      </c>
      <c r="H2134" s="246">
        <v>54950</v>
      </c>
      <c r="I2134" s="246">
        <v>61800</v>
      </c>
      <c r="J2134" s="246">
        <v>68650</v>
      </c>
      <c r="K2134" s="246">
        <v>74150</v>
      </c>
      <c r="L2134" s="246">
        <v>79650</v>
      </c>
      <c r="M2134" s="246">
        <v>85150</v>
      </c>
      <c r="N2134" s="246">
        <v>90650</v>
      </c>
    </row>
    <row r="2135" spans="3:14" ht="21.95" customHeight="1" x14ac:dyDescent="0.25">
      <c r="C2135" s="139" t="str">
        <f t="shared" si="49"/>
        <v>PA_CLEARFIELD COUNTY, PA</v>
      </c>
      <c r="D2135" s="136" t="s">
        <v>69</v>
      </c>
      <c r="E2135" s="262" t="s">
        <v>4681</v>
      </c>
      <c r="F2135" s="136" t="s">
        <v>183</v>
      </c>
      <c r="G2135" s="246">
        <v>47250</v>
      </c>
      <c r="H2135" s="246">
        <v>54000</v>
      </c>
      <c r="I2135" s="246">
        <v>60750</v>
      </c>
      <c r="J2135" s="246">
        <v>67500</v>
      </c>
      <c r="K2135" s="246">
        <v>72900</v>
      </c>
      <c r="L2135" s="246">
        <v>78300</v>
      </c>
      <c r="M2135" s="246">
        <v>83700</v>
      </c>
      <c r="N2135" s="246">
        <v>89100</v>
      </c>
    </row>
    <row r="2136" spans="3:14" ht="21.95" customHeight="1" x14ac:dyDescent="0.25">
      <c r="C2136" s="139" t="str">
        <f t="shared" si="49"/>
        <v>PA_CLINTON COUNTY, PA</v>
      </c>
      <c r="D2136" s="136" t="s">
        <v>69</v>
      </c>
      <c r="E2136" s="262" t="s">
        <v>4682</v>
      </c>
      <c r="F2136" s="136" t="s">
        <v>183</v>
      </c>
      <c r="G2136" s="246">
        <v>46900</v>
      </c>
      <c r="H2136" s="246">
        <v>53600</v>
      </c>
      <c r="I2136" s="246">
        <v>60300</v>
      </c>
      <c r="J2136" s="246">
        <v>66950</v>
      </c>
      <c r="K2136" s="246">
        <v>72350</v>
      </c>
      <c r="L2136" s="246">
        <v>77700</v>
      </c>
      <c r="M2136" s="246">
        <v>83050</v>
      </c>
      <c r="N2136" s="246">
        <v>88400</v>
      </c>
    </row>
    <row r="2137" spans="3:14" ht="21.95" customHeight="1" x14ac:dyDescent="0.25">
      <c r="C2137" s="139" t="str">
        <f t="shared" si="49"/>
        <v>PA_COLUMBIA COUNTY, PA</v>
      </c>
      <c r="D2137" s="136" t="s">
        <v>69</v>
      </c>
      <c r="E2137" s="262" t="s">
        <v>9245</v>
      </c>
      <c r="F2137" s="136" t="s">
        <v>183</v>
      </c>
      <c r="G2137" s="246">
        <v>47250</v>
      </c>
      <c r="H2137" s="246">
        <v>54000</v>
      </c>
      <c r="I2137" s="246">
        <v>60750</v>
      </c>
      <c r="J2137" s="246">
        <v>67450</v>
      </c>
      <c r="K2137" s="246">
        <v>72850</v>
      </c>
      <c r="L2137" s="246">
        <v>78250</v>
      </c>
      <c r="M2137" s="246">
        <v>83650</v>
      </c>
      <c r="N2137" s="246">
        <v>89050</v>
      </c>
    </row>
    <row r="2138" spans="3:14" ht="21.95" customHeight="1" x14ac:dyDescent="0.25">
      <c r="C2138" s="139" t="str">
        <f t="shared" si="49"/>
        <v>PA_CRAWFORD COUNTY, PA</v>
      </c>
      <c r="D2138" s="136" t="s">
        <v>69</v>
      </c>
      <c r="E2138" s="262" t="s">
        <v>4683</v>
      </c>
      <c r="F2138" s="136" t="s">
        <v>183</v>
      </c>
      <c r="G2138" s="246">
        <v>46900</v>
      </c>
      <c r="H2138" s="246">
        <v>53600</v>
      </c>
      <c r="I2138" s="246">
        <v>60300</v>
      </c>
      <c r="J2138" s="246">
        <v>66950</v>
      </c>
      <c r="K2138" s="246">
        <v>72350</v>
      </c>
      <c r="L2138" s="246">
        <v>77700</v>
      </c>
      <c r="M2138" s="246">
        <v>83050</v>
      </c>
      <c r="N2138" s="246">
        <v>88400</v>
      </c>
    </row>
    <row r="2139" spans="3:14" ht="21.95" customHeight="1" x14ac:dyDescent="0.25">
      <c r="C2139" s="139" t="str">
        <f t="shared" si="49"/>
        <v>PA_ELK COUNTY, PA</v>
      </c>
      <c r="D2139" s="136" t="s">
        <v>69</v>
      </c>
      <c r="E2139" s="262" t="s">
        <v>4684</v>
      </c>
      <c r="F2139" s="136" t="s">
        <v>183</v>
      </c>
      <c r="G2139" s="246">
        <v>50350</v>
      </c>
      <c r="H2139" s="246">
        <v>57550</v>
      </c>
      <c r="I2139" s="246">
        <v>64750</v>
      </c>
      <c r="J2139" s="246">
        <v>71900</v>
      </c>
      <c r="K2139" s="246">
        <v>77700</v>
      </c>
      <c r="L2139" s="246">
        <v>83450</v>
      </c>
      <c r="M2139" s="246">
        <v>89200</v>
      </c>
      <c r="N2139" s="246">
        <v>94950</v>
      </c>
    </row>
    <row r="2140" spans="3:14" ht="21.95" customHeight="1" x14ac:dyDescent="0.25">
      <c r="C2140" s="139" t="str">
        <f t="shared" si="49"/>
        <v>PA_ERIE, PA MSA</v>
      </c>
      <c r="D2140" s="136" t="s">
        <v>69</v>
      </c>
      <c r="E2140" s="262" t="s">
        <v>4685</v>
      </c>
      <c r="F2140" s="136" t="s">
        <v>183</v>
      </c>
      <c r="G2140" s="246">
        <v>47250</v>
      </c>
      <c r="H2140" s="246">
        <v>54000</v>
      </c>
      <c r="I2140" s="246">
        <v>60750</v>
      </c>
      <c r="J2140" s="246">
        <v>67500</v>
      </c>
      <c r="K2140" s="246">
        <v>72900</v>
      </c>
      <c r="L2140" s="246">
        <v>78300</v>
      </c>
      <c r="M2140" s="246">
        <v>83700</v>
      </c>
      <c r="N2140" s="246">
        <v>89100</v>
      </c>
    </row>
    <row r="2141" spans="3:14" ht="21.95" customHeight="1" x14ac:dyDescent="0.25">
      <c r="C2141" s="139" t="str">
        <f t="shared" si="49"/>
        <v>PA_FOREST COUNTY, PA</v>
      </c>
      <c r="D2141" s="136" t="s">
        <v>69</v>
      </c>
      <c r="E2141" s="262" t="s">
        <v>4686</v>
      </c>
      <c r="F2141" s="136" t="s">
        <v>183</v>
      </c>
      <c r="G2141" s="246">
        <v>46900</v>
      </c>
      <c r="H2141" s="246">
        <v>53600</v>
      </c>
      <c r="I2141" s="246">
        <v>60300</v>
      </c>
      <c r="J2141" s="246">
        <v>66950</v>
      </c>
      <c r="K2141" s="246">
        <v>72350</v>
      </c>
      <c r="L2141" s="246">
        <v>77700</v>
      </c>
      <c r="M2141" s="246">
        <v>83050</v>
      </c>
      <c r="N2141" s="246">
        <v>88400</v>
      </c>
    </row>
    <row r="2142" spans="3:14" ht="21.95" customHeight="1" x14ac:dyDescent="0.25">
      <c r="C2142" s="139" t="str">
        <f t="shared" si="49"/>
        <v>PA_FULTON COUNTY, PA</v>
      </c>
      <c r="D2142" s="136" t="s">
        <v>69</v>
      </c>
      <c r="E2142" s="262" t="s">
        <v>4687</v>
      </c>
      <c r="F2142" s="136" t="s">
        <v>183</v>
      </c>
      <c r="G2142" s="246">
        <v>49600</v>
      </c>
      <c r="H2142" s="246">
        <v>56650</v>
      </c>
      <c r="I2142" s="246">
        <v>63750</v>
      </c>
      <c r="J2142" s="246">
        <v>70800</v>
      </c>
      <c r="K2142" s="246">
        <v>76500</v>
      </c>
      <c r="L2142" s="246">
        <v>82150</v>
      </c>
      <c r="M2142" s="246">
        <v>87800</v>
      </c>
      <c r="N2142" s="246">
        <v>93500</v>
      </c>
    </row>
    <row r="2143" spans="3:14" ht="21.95" customHeight="1" x14ac:dyDescent="0.25">
      <c r="C2143" s="139" t="str">
        <f t="shared" si="49"/>
        <v>PA_GETTYSBURG, PA MSA</v>
      </c>
      <c r="D2143" s="136" t="s">
        <v>69</v>
      </c>
      <c r="E2143" s="262" t="s">
        <v>4688</v>
      </c>
      <c r="F2143" s="136" t="s">
        <v>183</v>
      </c>
      <c r="G2143" s="246">
        <v>57350</v>
      </c>
      <c r="H2143" s="246">
        <v>65550</v>
      </c>
      <c r="I2143" s="246">
        <v>73750</v>
      </c>
      <c r="J2143" s="246">
        <v>81900</v>
      </c>
      <c r="K2143" s="246">
        <v>88500</v>
      </c>
      <c r="L2143" s="246">
        <v>95050</v>
      </c>
      <c r="M2143" s="246">
        <v>101600</v>
      </c>
      <c r="N2143" s="246">
        <v>108150</v>
      </c>
    </row>
    <row r="2144" spans="3:14" ht="21.95" customHeight="1" x14ac:dyDescent="0.25">
      <c r="C2144" s="139" t="str">
        <f t="shared" si="49"/>
        <v>PA_GREENE COUNTY, PA</v>
      </c>
      <c r="D2144" s="136" t="s">
        <v>69</v>
      </c>
      <c r="E2144" s="262" t="s">
        <v>4689</v>
      </c>
      <c r="F2144" s="136" t="s">
        <v>183</v>
      </c>
      <c r="G2144" s="246">
        <v>52150</v>
      </c>
      <c r="H2144" s="246">
        <v>59600</v>
      </c>
      <c r="I2144" s="246">
        <v>67050</v>
      </c>
      <c r="J2144" s="246">
        <v>74500</v>
      </c>
      <c r="K2144" s="246">
        <v>80500</v>
      </c>
      <c r="L2144" s="246">
        <v>86450</v>
      </c>
      <c r="M2144" s="246">
        <v>92400</v>
      </c>
      <c r="N2144" s="246">
        <v>98350</v>
      </c>
    </row>
    <row r="2145" spans="3:14" ht="21.95" customHeight="1" x14ac:dyDescent="0.25">
      <c r="C2145" s="139" t="str">
        <f t="shared" si="49"/>
        <v>PA_HARRISBURG-CARLISLE, PA MSA</v>
      </c>
      <c r="D2145" s="136" t="s">
        <v>69</v>
      </c>
      <c r="E2145" s="262" t="s">
        <v>4690</v>
      </c>
      <c r="F2145" s="136" t="s">
        <v>183</v>
      </c>
      <c r="G2145" s="246">
        <v>59050</v>
      </c>
      <c r="H2145" s="246">
        <v>67450</v>
      </c>
      <c r="I2145" s="246">
        <v>75900</v>
      </c>
      <c r="J2145" s="246">
        <v>84300</v>
      </c>
      <c r="K2145" s="246">
        <v>91050</v>
      </c>
      <c r="L2145" s="246">
        <v>97800</v>
      </c>
      <c r="M2145" s="246">
        <v>104550</v>
      </c>
      <c r="N2145" s="246">
        <v>111300</v>
      </c>
    </row>
    <row r="2146" spans="3:14" ht="21.95" customHeight="1" x14ac:dyDescent="0.25">
      <c r="C2146" s="139" t="str">
        <f t="shared" si="49"/>
        <v>PA_HUNTINGDON COUNTY, PA</v>
      </c>
      <c r="D2146" s="136" t="s">
        <v>69</v>
      </c>
      <c r="E2146" s="262" t="s">
        <v>4691</v>
      </c>
      <c r="F2146" s="136" t="s">
        <v>183</v>
      </c>
      <c r="G2146" s="246">
        <v>49500</v>
      </c>
      <c r="H2146" s="246">
        <v>56600</v>
      </c>
      <c r="I2146" s="246">
        <v>63650</v>
      </c>
      <c r="J2146" s="246">
        <v>70700</v>
      </c>
      <c r="K2146" s="246">
        <v>76400</v>
      </c>
      <c r="L2146" s="246">
        <v>82050</v>
      </c>
      <c r="M2146" s="246">
        <v>87700</v>
      </c>
      <c r="N2146" s="246">
        <v>93350</v>
      </c>
    </row>
    <row r="2147" spans="3:14" ht="21.95" customHeight="1" x14ac:dyDescent="0.25">
      <c r="C2147" s="139" t="str">
        <f t="shared" si="49"/>
        <v>PA_INDIANA COUNTY, PA</v>
      </c>
      <c r="D2147" s="136" t="s">
        <v>69</v>
      </c>
      <c r="E2147" s="262" t="s">
        <v>4692</v>
      </c>
      <c r="F2147" s="136" t="s">
        <v>183</v>
      </c>
      <c r="G2147" s="246">
        <v>46900</v>
      </c>
      <c r="H2147" s="246">
        <v>53600</v>
      </c>
      <c r="I2147" s="246">
        <v>60300</v>
      </c>
      <c r="J2147" s="246">
        <v>66950</v>
      </c>
      <c r="K2147" s="246">
        <v>72350</v>
      </c>
      <c r="L2147" s="246">
        <v>77700</v>
      </c>
      <c r="M2147" s="246">
        <v>83050</v>
      </c>
      <c r="N2147" s="246">
        <v>88400</v>
      </c>
    </row>
    <row r="2148" spans="3:14" ht="21.95" customHeight="1" x14ac:dyDescent="0.25">
      <c r="C2148" s="139" t="str">
        <f t="shared" si="49"/>
        <v>PA_JEFFERSON COUNTY, PA</v>
      </c>
      <c r="D2148" s="136" t="s">
        <v>69</v>
      </c>
      <c r="E2148" s="262" t="s">
        <v>4693</v>
      </c>
      <c r="F2148" s="136" t="s">
        <v>183</v>
      </c>
      <c r="G2148" s="246">
        <v>46900</v>
      </c>
      <c r="H2148" s="246">
        <v>53600</v>
      </c>
      <c r="I2148" s="246">
        <v>60300</v>
      </c>
      <c r="J2148" s="246">
        <v>66950</v>
      </c>
      <c r="K2148" s="246">
        <v>72350</v>
      </c>
      <c r="L2148" s="246">
        <v>77700</v>
      </c>
      <c r="M2148" s="246">
        <v>83050</v>
      </c>
      <c r="N2148" s="246">
        <v>88400</v>
      </c>
    </row>
    <row r="2149" spans="3:14" ht="21.95" customHeight="1" x14ac:dyDescent="0.25">
      <c r="C2149" s="139" t="str">
        <f t="shared" si="49"/>
        <v>PA_JOHNSTOWN, PA MSA</v>
      </c>
      <c r="D2149" s="136" t="s">
        <v>69</v>
      </c>
      <c r="E2149" s="262" t="s">
        <v>4694</v>
      </c>
      <c r="F2149" s="136" t="s">
        <v>183</v>
      </c>
      <c r="G2149" s="246">
        <v>47250</v>
      </c>
      <c r="H2149" s="246">
        <v>54000</v>
      </c>
      <c r="I2149" s="246">
        <v>60750</v>
      </c>
      <c r="J2149" s="246">
        <v>67500</v>
      </c>
      <c r="K2149" s="246">
        <v>72900</v>
      </c>
      <c r="L2149" s="246">
        <v>78300</v>
      </c>
      <c r="M2149" s="246">
        <v>83700</v>
      </c>
      <c r="N2149" s="246">
        <v>89100</v>
      </c>
    </row>
    <row r="2150" spans="3:14" ht="21.95" customHeight="1" x14ac:dyDescent="0.25">
      <c r="C2150" s="139" t="str">
        <f t="shared" si="49"/>
        <v>PA_JUNIATA COUNTY, PA</v>
      </c>
      <c r="D2150" s="136" t="s">
        <v>69</v>
      </c>
      <c r="E2150" s="262" t="s">
        <v>4695</v>
      </c>
      <c r="F2150" s="136" t="s">
        <v>183</v>
      </c>
      <c r="G2150" s="246">
        <v>47700</v>
      </c>
      <c r="H2150" s="246">
        <v>54500</v>
      </c>
      <c r="I2150" s="246">
        <v>61300</v>
      </c>
      <c r="J2150" s="246">
        <v>68100</v>
      </c>
      <c r="K2150" s="246">
        <v>73550</v>
      </c>
      <c r="L2150" s="246">
        <v>79000</v>
      </c>
      <c r="M2150" s="246">
        <v>84450</v>
      </c>
      <c r="N2150" s="246">
        <v>89900</v>
      </c>
    </row>
    <row r="2151" spans="3:14" ht="21.95" customHeight="1" x14ac:dyDescent="0.25">
      <c r="C2151" s="139" t="str">
        <f t="shared" si="49"/>
        <v>PA_LANCASTER, PA MSA</v>
      </c>
      <c r="D2151" s="136" t="s">
        <v>69</v>
      </c>
      <c r="E2151" s="262" t="s">
        <v>4696</v>
      </c>
      <c r="F2151" s="136" t="s">
        <v>183</v>
      </c>
      <c r="G2151" s="246">
        <v>58200</v>
      </c>
      <c r="H2151" s="246">
        <v>66500</v>
      </c>
      <c r="I2151" s="246">
        <v>74800</v>
      </c>
      <c r="J2151" s="246">
        <v>83100</v>
      </c>
      <c r="K2151" s="246">
        <v>89750</v>
      </c>
      <c r="L2151" s="246">
        <v>96400</v>
      </c>
      <c r="M2151" s="246">
        <v>103050</v>
      </c>
      <c r="N2151" s="246">
        <v>109700</v>
      </c>
    </row>
    <row r="2152" spans="3:14" ht="21.95" customHeight="1" x14ac:dyDescent="0.25">
      <c r="C2152" s="139" t="str">
        <f t="shared" si="49"/>
        <v>PA_LAWRENCE COUNTY, PA HUD METRO FMR AREA</v>
      </c>
      <c r="D2152" s="136" t="s">
        <v>69</v>
      </c>
      <c r="E2152" s="262" t="s">
        <v>9247</v>
      </c>
      <c r="F2152" s="136" t="s">
        <v>183</v>
      </c>
      <c r="G2152" s="246">
        <v>49800</v>
      </c>
      <c r="H2152" s="246">
        <v>56900</v>
      </c>
      <c r="I2152" s="246">
        <v>64000</v>
      </c>
      <c r="J2152" s="246">
        <v>71100</v>
      </c>
      <c r="K2152" s="246">
        <v>76800</v>
      </c>
      <c r="L2152" s="246">
        <v>82500</v>
      </c>
      <c r="M2152" s="246">
        <v>88200</v>
      </c>
      <c r="N2152" s="246">
        <v>93900</v>
      </c>
    </row>
    <row r="2153" spans="3:14" ht="21.95" customHeight="1" x14ac:dyDescent="0.25">
      <c r="C2153" s="139" t="str">
        <f t="shared" si="49"/>
        <v>PA_LEBANON, PA MSA</v>
      </c>
      <c r="D2153" s="136" t="s">
        <v>69</v>
      </c>
      <c r="E2153" s="262" t="s">
        <v>4697</v>
      </c>
      <c r="F2153" s="136" t="s">
        <v>183</v>
      </c>
      <c r="G2153" s="246">
        <v>52300</v>
      </c>
      <c r="H2153" s="246">
        <v>59750</v>
      </c>
      <c r="I2153" s="246">
        <v>67200</v>
      </c>
      <c r="J2153" s="246">
        <v>74650</v>
      </c>
      <c r="K2153" s="246">
        <v>80650</v>
      </c>
      <c r="L2153" s="246">
        <v>86600</v>
      </c>
      <c r="M2153" s="246">
        <v>92600</v>
      </c>
      <c r="N2153" s="246">
        <v>98550</v>
      </c>
    </row>
    <row r="2154" spans="3:14" ht="21.95" customHeight="1" x14ac:dyDescent="0.25">
      <c r="C2154" s="139" t="str">
        <f t="shared" si="49"/>
        <v>PA_MCKEAN COUNTY, PA</v>
      </c>
      <c r="D2154" s="136" t="s">
        <v>69</v>
      </c>
      <c r="E2154" s="262" t="s">
        <v>4698</v>
      </c>
      <c r="F2154" s="136" t="s">
        <v>183</v>
      </c>
      <c r="G2154" s="246">
        <v>47350</v>
      </c>
      <c r="H2154" s="246">
        <v>54100</v>
      </c>
      <c r="I2154" s="246">
        <v>60850</v>
      </c>
      <c r="J2154" s="246">
        <v>67600</v>
      </c>
      <c r="K2154" s="246">
        <v>73050</v>
      </c>
      <c r="L2154" s="246">
        <v>78450</v>
      </c>
      <c r="M2154" s="246">
        <v>83850</v>
      </c>
      <c r="N2154" s="246">
        <v>89250</v>
      </c>
    </row>
    <row r="2155" spans="3:14" ht="21.95" customHeight="1" x14ac:dyDescent="0.25">
      <c r="C2155" s="139" t="str">
        <f t="shared" si="49"/>
        <v>PA_MERCER COUNTY, PA</v>
      </c>
      <c r="D2155" s="136" t="s">
        <v>69</v>
      </c>
      <c r="E2155" s="262" t="s">
        <v>9248</v>
      </c>
      <c r="F2155" s="136" t="s">
        <v>183</v>
      </c>
      <c r="G2155" s="246">
        <v>46900</v>
      </c>
      <c r="H2155" s="246">
        <v>53600</v>
      </c>
      <c r="I2155" s="246">
        <v>60300</v>
      </c>
      <c r="J2155" s="246">
        <v>66950</v>
      </c>
      <c r="K2155" s="246">
        <v>72350</v>
      </c>
      <c r="L2155" s="246">
        <v>77700</v>
      </c>
      <c r="M2155" s="246">
        <v>83050</v>
      </c>
      <c r="N2155" s="246">
        <v>88400</v>
      </c>
    </row>
    <row r="2156" spans="3:14" ht="21.95" customHeight="1" x14ac:dyDescent="0.25">
      <c r="C2156" s="139" t="str">
        <f t="shared" si="49"/>
        <v>PA_MIFFLIN COUNTY, PA</v>
      </c>
      <c r="D2156" s="136" t="s">
        <v>69</v>
      </c>
      <c r="E2156" s="262" t="s">
        <v>4699</v>
      </c>
      <c r="F2156" s="136" t="s">
        <v>183</v>
      </c>
      <c r="G2156" s="246">
        <v>46900</v>
      </c>
      <c r="H2156" s="246">
        <v>53600</v>
      </c>
      <c r="I2156" s="246">
        <v>60300</v>
      </c>
      <c r="J2156" s="246">
        <v>66950</v>
      </c>
      <c r="K2156" s="246">
        <v>72350</v>
      </c>
      <c r="L2156" s="246">
        <v>77700</v>
      </c>
      <c r="M2156" s="246">
        <v>83050</v>
      </c>
      <c r="N2156" s="246">
        <v>88400</v>
      </c>
    </row>
    <row r="2157" spans="3:14" ht="21.95" customHeight="1" x14ac:dyDescent="0.25">
      <c r="C2157" s="139" t="str">
        <f t="shared" si="49"/>
        <v>PA_MONROE COUNTY, PA</v>
      </c>
      <c r="D2157" s="136" t="s">
        <v>69</v>
      </c>
      <c r="E2157" s="262" t="s">
        <v>9249</v>
      </c>
      <c r="F2157" s="136" t="s">
        <v>183</v>
      </c>
      <c r="G2157" s="246">
        <v>58450</v>
      </c>
      <c r="H2157" s="246">
        <v>66800</v>
      </c>
      <c r="I2157" s="246">
        <v>75150</v>
      </c>
      <c r="J2157" s="246">
        <v>83500</v>
      </c>
      <c r="K2157" s="246">
        <v>90200</v>
      </c>
      <c r="L2157" s="246">
        <v>96900</v>
      </c>
      <c r="M2157" s="246">
        <v>103550</v>
      </c>
      <c r="N2157" s="246">
        <v>110250</v>
      </c>
    </row>
    <row r="2158" spans="3:14" ht="21.95" customHeight="1" x14ac:dyDescent="0.25">
      <c r="C2158" s="139" t="str">
        <f t="shared" si="49"/>
        <v>PA_MONTOUR COUNTY, PA</v>
      </c>
      <c r="D2158" s="136" t="s">
        <v>69</v>
      </c>
      <c r="E2158" s="262" t="s">
        <v>9250</v>
      </c>
      <c r="F2158" s="136" t="s">
        <v>183</v>
      </c>
      <c r="G2158" s="246">
        <v>55850</v>
      </c>
      <c r="H2158" s="246">
        <v>63800</v>
      </c>
      <c r="I2158" s="246">
        <v>71800</v>
      </c>
      <c r="J2158" s="246">
        <v>79750</v>
      </c>
      <c r="K2158" s="246">
        <v>86150</v>
      </c>
      <c r="L2158" s="246">
        <v>92550</v>
      </c>
      <c r="M2158" s="246">
        <v>98900</v>
      </c>
      <c r="N2158" s="246">
        <v>105300</v>
      </c>
    </row>
    <row r="2159" spans="3:14" ht="21.95" customHeight="1" x14ac:dyDescent="0.25">
      <c r="C2159" s="139" t="str">
        <f t="shared" si="49"/>
        <v>PA_NORTHUMBERLAND COUNTY, PA</v>
      </c>
      <c r="D2159" s="136" t="s">
        <v>69</v>
      </c>
      <c r="E2159" s="262" t="s">
        <v>4700</v>
      </c>
      <c r="F2159" s="136" t="s">
        <v>183</v>
      </c>
      <c r="G2159" s="246">
        <v>46900</v>
      </c>
      <c r="H2159" s="246">
        <v>53600</v>
      </c>
      <c r="I2159" s="246">
        <v>60300</v>
      </c>
      <c r="J2159" s="246">
        <v>66950</v>
      </c>
      <c r="K2159" s="246">
        <v>72350</v>
      </c>
      <c r="L2159" s="246">
        <v>77700</v>
      </c>
      <c r="M2159" s="246">
        <v>83050</v>
      </c>
      <c r="N2159" s="246">
        <v>88400</v>
      </c>
    </row>
    <row r="2160" spans="3:14" ht="21.95" customHeight="1" x14ac:dyDescent="0.25">
      <c r="C2160" s="139" t="str">
        <f t="shared" si="49"/>
        <v>PA_PHILADELPHIA-CAMDEN-WILMINGTON, PA-NJ-DE-MD MSA</v>
      </c>
      <c r="D2160" s="136" t="s">
        <v>69</v>
      </c>
      <c r="E2160" s="262" t="s">
        <v>3212</v>
      </c>
      <c r="F2160" s="136" t="s">
        <v>183</v>
      </c>
      <c r="G2160" s="246">
        <v>66850</v>
      </c>
      <c r="H2160" s="246">
        <v>76400</v>
      </c>
      <c r="I2160" s="246">
        <v>85950</v>
      </c>
      <c r="J2160" s="246">
        <v>95500</v>
      </c>
      <c r="K2160" s="246">
        <v>103150</v>
      </c>
      <c r="L2160" s="246">
        <v>110800</v>
      </c>
      <c r="M2160" s="246">
        <v>118450</v>
      </c>
      <c r="N2160" s="246">
        <v>126100</v>
      </c>
    </row>
    <row r="2161" spans="3:14" ht="21.95" customHeight="1" x14ac:dyDescent="0.25">
      <c r="C2161" s="139" t="str">
        <f t="shared" si="49"/>
        <v>PA_PIKE COUNTY, PA</v>
      </c>
      <c r="D2161" s="136" t="s">
        <v>69</v>
      </c>
      <c r="E2161" s="262" t="s">
        <v>9251</v>
      </c>
      <c r="F2161" s="136" t="s">
        <v>183</v>
      </c>
      <c r="G2161" s="246">
        <v>56150</v>
      </c>
      <c r="H2161" s="246">
        <v>64150</v>
      </c>
      <c r="I2161" s="246">
        <v>72150</v>
      </c>
      <c r="J2161" s="246">
        <v>80150</v>
      </c>
      <c r="K2161" s="246">
        <v>86600</v>
      </c>
      <c r="L2161" s="246">
        <v>93000</v>
      </c>
      <c r="M2161" s="246">
        <v>99400</v>
      </c>
      <c r="N2161" s="246">
        <v>105800</v>
      </c>
    </row>
    <row r="2162" spans="3:14" ht="21.95" customHeight="1" x14ac:dyDescent="0.25">
      <c r="C2162" s="139" t="str">
        <f t="shared" si="49"/>
        <v>PA_PITTSBURGH, PA HUD METRO FMR AREA</v>
      </c>
      <c r="D2162" s="136" t="s">
        <v>69</v>
      </c>
      <c r="E2162" s="262" t="s">
        <v>4701</v>
      </c>
      <c r="F2162" s="136" t="s">
        <v>183</v>
      </c>
      <c r="G2162" s="246">
        <v>60100</v>
      </c>
      <c r="H2162" s="246">
        <v>68700</v>
      </c>
      <c r="I2162" s="246">
        <v>77300</v>
      </c>
      <c r="J2162" s="246">
        <v>85850</v>
      </c>
      <c r="K2162" s="246">
        <v>92750</v>
      </c>
      <c r="L2162" s="246">
        <v>99600</v>
      </c>
      <c r="M2162" s="246">
        <v>106500</v>
      </c>
      <c r="N2162" s="246">
        <v>113350</v>
      </c>
    </row>
    <row r="2163" spans="3:14" ht="21.95" customHeight="1" x14ac:dyDescent="0.25">
      <c r="C2163" s="139" t="str">
        <f t="shared" si="49"/>
        <v>PA_POTTER COUNTY, PA</v>
      </c>
      <c r="D2163" s="136" t="s">
        <v>69</v>
      </c>
      <c r="E2163" s="262" t="s">
        <v>4702</v>
      </c>
      <c r="F2163" s="136" t="s">
        <v>183</v>
      </c>
      <c r="G2163" s="246">
        <v>46900</v>
      </c>
      <c r="H2163" s="246">
        <v>53600</v>
      </c>
      <c r="I2163" s="246">
        <v>60300</v>
      </c>
      <c r="J2163" s="246">
        <v>66950</v>
      </c>
      <c r="K2163" s="246">
        <v>72350</v>
      </c>
      <c r="L2163" s="246">
        <v>77700</v>
      </c>
      <c r="M2163" s="246">
        <v>83050</v>
      </c>
      <c r="N2163" s="246">
        <v>88400</v>
      </c>
    </row>
    <row r="2164" spans="3:14" ht="21.95" customHeight="1" x14ac:dyDescent="0.25">
      <c r="C2164" s="139" t="str">
        <f t="shared" si="49"/>
        <v>PA_READING, PA MSA</v>
      </c>
      <c r="D2164" s="136" t="s">
        <v>69</v>
      </c>
      <c r="E2164" s="262" t="s">
        <v>4703</v>
      </c>
      <c r="F2164" s="136" t="s">
        <v>183</v>
      </c>
      <c r="G2164" s="246">
        <v>55900</v>
      </c>
      <c r="H2164" s="246">
        <v>63900</v>
      </c>
      <c r="I2164" s="246">
        <v>71900</v>
      </c>
      <c r="J2164" s="246">
        <v>79850</v>
      </c>
      <c r="K2164" s="246">
        <v>86250</v>
      </c>
      <c r="L2164" s="246">
        <v>92650</v>
      </c>
      <c r="M2164" s="246">
        <v>99050</v>
      </c>
      <c r="N2164" s="246">
        <v>105450</v>
      </c>
    </row>
    <row r="2165" spans="3:14" ht="21.95" customHeight="1" x14ac:dyDescent="0.25">
      <c r="C2165" s="139" t="str">
        <f t="shared" si="49"/>
        <v>PA_SCHUYLKILL COUNTY, PA</v>
      </c>
      <c r="D2165" s="136" t="s">
        <v>69</v>
      </c>
      <c r="E2165" s="262" t="s">
        <v>4704</v>
      </c>
      <c r="F2165" s="136" t="s">
        <v>183</v>
      </c>
      <c r="G2165" s="246">
        <v>48100</v>
      </c>
      <c r="H2165" s="246">
        <v>54950</v>
      </c>
      <c r="I2165" s="246">
        <v>61800</v>
      </c>
      <c r="J2165" s="246">
        <v>68650</v>
      </c>
      <c r="K2165" s="246">
        <v>74150</v>
      </c>
      <c r="L2165" s="246">
        <v>79650</v>
      </c>
      <c r="M2165" s="246">
        <v>85150</v>
      </c>
      <c r="N2165" s="246">
        <v>90650</v>
      </c>
    </row>
    <row r="2166" spans="3:14" ht="21.95" customHeight="1" x14ac:dyDescent="0.25">
      <c r="C2166" s="139" t="str">
        <f t="shared" si="49"/>
        <v>PA_SCRANTON--WILKES-BARRE, PA MSA</v>
      </c>
      <c r="D2166" s="136" t="s">
        <v>69</v>
      </c>
      <c r="E2166" s="262" t="s">
        <v>4705</v>
      </c>
      <c r="F2166" s="136" t="s">
        <v>183</v>
      </c>
      <c r="G2166" s="246">
        <v>46900</v>
      </c>
      <c r="H2166" s="246">
        <v>53600</v>
      </c>
      <c r="I2166" s="246">
        <v>60300</v>
      </c>
      <c r="J2166" s="246">
        <v>66950</v>
      </c>
      <c r="K2166" s="246">
        <v>72350</v>
      </c>
      <c r="L2166" s="246">
        <v>77700</v>
      </c>
      <c r="M2166" s="246">
        <v>83050</v>
      </c>
      <c r="N2166" s="246">
        <v>88400</v>
      </c>
    </row>
    <row r="2167" spans="3:14" ht="21.95" customHeight="1" x14ac:dyDescent="0.25">
      <c r="C2167" s="139" t="str">
        <f t="shared" si="49"/>
        <v>PA_SNYDER COUNTY, PA</v>
      </c>
      <c r="D2167" s="136" t="s">
        <v>69</v>
      </c>
      <c r="E2167" s="262" t="s">
        <v>4706</v>
      </c>
      <c r="F2167" s="136" t="s">
        <v>183</v>
      </c>
      <c r="G2167" s="246">
        <v>48750</v>
      </c>
      <c r="H2167" s="246">
        <v>55700</v>
      </c>
      <c r="I2167" s="246">
        <v>62650</v>
      </c>
      <c r="J2167" s="246">
        <v>69600</v>
      </c>
      <c r="K2167" s="246">
        <v>75200</v>
      </c>
      <c r="L2167" s="246">
        <v>80750</v>
      </c>
      <c r="M2167" s="246">
        <v>86350</v>
      </c>
      <c r="N2167" s="246">
        <v>91900</v>
      </c>
    </row>
    <row r="2168" spans="3:14" ht="21.95" customHeight="1" x14ac:dyDescent="0.25">
      <c r="C2168" s="139" t="str">
        <f t="shared" si="49"/>
        <v>PA_SOMERSET COUNTY, PA</v>
      </c>
      <c r="D2168" s="136" t="s">
        <v>69</v>
      </c>
      <c r="E2168" s="262" t="s">
        <v>4707</v>
      </c>
      <c r="F2168" s="136" t="s">
        <v>183</v>
      </c>
      <c r="G2168" s="246">
        <v>46900</v>
      </c>
      <c r="H2168" s="246">
        <v>53600</v>
      </c>
      <c r="I2168" s="246">
        <v>60300</v>
      </c>
      <c r="J2168" s="246">
        <v>66950</v>
      </c>
      <c r="K2168" s="246">
        <v>72350</v>
      </c>
      <c r="L2168" s="246">
        <v>77700</v>
      </c>
      <c r="M2168" s="246">
        <v>83050</v>
      </c>
      <c r="N2168" s="246">
        <v>88400</v>
      </c>
    </row>
    <row r="2169" spans="3:14" ht="21.95" customHeight="1" x14ac:dyDescent="0.25">
      <c r="C2169" s="139" t="str">
        <f t="shared" si="49"/>
        <v>PA_STATE COLLEGE, PA MSA</v>
      </c>
      <c r="D2169" s="136" t="s">
        <v>69</v>
      </c>
      <c r="E2169" s="262" t="s">
        <v>4708</v>
      </c>
      <c r="F2169" s="136" t="s">
        <v>183</v>
      </c>
      <c r="G2169" s="246">
        <v>60550</v>
      </c>
      <c r="H2169" s="246">
        <v>69200</v>
      </c>
      <c r="I2169" s="246">
        <v>77850</v>
      </c>
      <c r="J2169" s="246">
        <v>86500</v>
      </c>
      <c r="K2169" s="246">
        <v>93450</v>
      </c>
      <c r="L2169" s="246">
        <v>100350</v>
      </c>
      <c r="M2169" s="246">
        <v>107300</v>
      </c>
      <c r="N2169" s="246">
        <v>114200</v>
      </c>
    </row>
    <row r="2170" spans="3:14" ht="21.95" customHeight="1" x14ac:dyDescent="0.25">
      <c r="C2170" s="139" t="str">
        <f t="shared" si="49"/>
        <v>PA_SULLIVAN COUNTY, PA</v>
      </c>
      <c r="D2170" s="136" t="s">
        <v>69</v>
      </c>
      <c r="E2170" s="262" t="s">
        <v>4709</v>
      </c>
      <c r="F2170" s="136" t="s">
        <v>183</v>
      </c>
      <c r="G2170" s="246">
        <v>49500</v>
      </c>
      <c r="H2170" s="246">
        <v>56600</v>
      </c>
      <c r="I2170" s="246">
        <v>63650</v>
      </c>
      <c r="J2170" s="246">
        <v>70700</v>
      </c>
      <c r="K2170" s="246">
        <v>76400</v>
      </c>
      <c r="L2170" s="246">
        <v>82050</v>
      </c>
      <c r="M2170" s="246">
        <v>87700</v>
      </c>
      <c r="N2170" s="246">
        <v>93350</v>
      </c>
    </row>
    <row r="2171" spans="3:14" ht="21.95" customHeight="1" x14ac:dyDescent="0.25">
      <c r="C2171" s="139" t="str">
        <f t="shared" si="49"/>
        <v>PA_SUSQUEHANNA COUNTY, PA</v>
      </c>
      <c r="D2171" s="136" t="s">
        <v>69</v>
      </c>
      <c r="E2171" s="262" t="s">
        <v>4710</v>
      </c>
      <c r="F2171" s="136" t="s">
        <v>183</v>
      </c>
      <c r="G2171" s="246">
        <v>49200</v>
      </c>
      <c r="H2171" s="246">
        <v>56200</v>
      </c>
      <c r="I2171" s="246">
        <v>63250</v>
      </c>
      <c r="J2171" s="246">
        <v>70250</v>
      </c>
      <c r="K2171" s="246">
        <v>75900</v>
      </c>
      <c r="L2171" s="246">
        <v>81500</v>
      </c>
      <c r="M2171" s="246">
        <v>87150</v>
      </c>
      <c r="N2171" s="246">
        <v>92750</v>
      </c>
    </row>
    <row r="2172" spans="3:14" ht="21.95" customHeight="1" x14ac:dyDescent="0.25">
      <c r="C2172" s="139" t="str">
        <f t="shared" si="49"/>
        <v>PA_TIOGA COUNTY, PA</v>
      </c>
      <c r="D2172" s="136" t="s">
        <v>69</v>
      </c>
      <c r="E2172" s="262" t="s">
        <v>4711</v>
      </c>
      <c r="F2172" s="136" t="s">
        <v>183</v>
      </c>
      <c r="G2172" s="246">
        <v>46900</v>
      </c>
      <c r="H2172" s="246">
        <v>53600</v>
      </c>
      <c r="I2172" s="246">
        <v>60300</v>
      </c>
      <c r="J2172" s="246">
        <v>66950</v>
      </c>
      <c r="K2172" s="246">
        <v>72350</v>
      </c>
      <c r="L2172" s="246">
        <v>77700</v>
      </c>
      <c r="M2172" s="246">
        <v>83050</v>
      </c>
      <c r="N2172" s="246">
        <v>88400</v>
      </c>
    </row>
    <row r="2173" spans="3:14" ht="21.95" customHeight="1" x14ac:dyDescent="0.25">
      <c r="C2173" s="139" t="str">
        <f t="shared" si="49"/>
        <v>PA_UNION COUNTY, PA</v>
      </c>
      <c r="D2173" s="136" t="s">
        <v>69</v>
      </c>
      <c r="E2173" s="262" t="s">
        <v>4712</v>
      </c>
      <c r="F2173" s="136" t="s">
        <v>183</v>
      </c>
      <c r="G2173" s="246">
        <v>57900</v>
      </c>
      <c r="H2173" s="246">
        <v>66150</v>
      </c>
      <c r="I2173" s="246">
        <v>74400</v>
      </c>
      <c r="J2173" s="246">
        <v>82650</v>
      </c>
      <c r="K2173" s="246">
        <v>89300</v>
      </c>
      <c r="L2173" s="246">
        <v>95900</v>
      </c>
      <c r="M2173" s="246">
        <v>102500</v>
      </c>
      <c r="N2173" s="246">
        <v>109100</v>
      </c>
    </row>
    <row r="2174" spans="3:14" ht="21.95" customHeight="1" x14ac:dyDescent="0.25">
      <c r="C2174" s="139" t="str">
        <f t="shared" si="49"/>
        <v>PA_VENANGO COUNTY, PA</v>
      </c>
      <c r="D2174" s="136" t="s">
        <v>69</v>
      </c>
      <c r="E2174" s="262" t="s">
        <v>4713</v>
      </c>
      <c r="F2174" s="136" t="s">
        <v>183</v>
      </c>
      <c r="G2174" s="246">
        <v>46900</v>
      </c>
      <c r="H2174" s="246">
        <v>53600</v>
      </c>
      <c r="I2174" s="246">
        <v>60300</v>
      </c>
      <c r="J2174" s="246">
        <v>66950</v>
      </c>
      <c r="K2174" s="246">
        <v>72350</v>
      </c>
      <c r="L2174" s="246">
        <v>77700</v>
      </c>
      <c r="M2174" s="246">
        <v>83050</v>
      </c>
      <c r="N2174" s="246">
        <v>88400</v>
      </c>
    </row>
    <row r="2175" spans="3:14" ht="21.95" customHeight="1" x14ac:dyDescent="0.25">
      <c r="C2175" s="139" t="str">
        <f t="shared" si="49"/>
        <v>PA_WARREN COUNTY, PA</v>
      </c>
      <c r="D2175" s="136" t="s">
        <v>69</v>
      </c>
      <c r="E2175" s="262" t="s">
        <v>4714</v>
      </c>
      <c r="F2175" s="136" t="s">
        <v>183</v>
      </c>
      <c r="G2175" s="246">
        <v>46900</v>
      </c>
      <c r="H2175" s="246">
        <v>53600</v>
      </c>
      <c r="I2175" s="246">
        <v>60300</v>
      </c>
      <c r="J2175" s="246">
        <v>66950</v>
      </c>
      <c r="K2175" s="246">
        <v>72350</v>
      </c>
      <c r="L2175" s="246">
        <v>77700</v>
      </c>
      <c r="M2175" s="246">
        <v>83050</v>
      </c>
      <c r="N2175" s="246">
        <v>88400</v>
      </c>
    </row>
    <row r="2176" spans="3:14" ht="21.95" customHeight="1" x14ac:dyDescent="0.25">
      <c r="C2176" s="139" t="str">
        <f t="shared" ref="C2176:C2239" si="50">TRIM(UPPER(D2176))&amp;"_"&amp;TRIM(UPPER(E2176))</f>
        <v>PA_WAYNE COUNTY, PA</v>
      </c>
      <c r="D2176" s="136" t="s">
        <v>69</v>
      </c>
      <c r="E2176" s="262" t="s">
        <v>4715</v>
      </c>
      <c r="F2176" s="136" t="s">
        <v>183</v>
      </c>
      <c r="G2176" s="246">
        <v>47000</v>
      </c>
      <c r="H2176" s="246">
        <v>53700</v>
      </c>
      <c r="I2176" s="246">
        <v>60400</v>
      </c>
      <c r="J2176" s="246">
        <v>67100</v>
      </c>
      <c r="K2176" s="246">
        <v>72500</v>
      </c>
      <c r="L2176" s="246">
        <v>77850</v>
      </c>
      <c r="M2176" s="246">
        <v>83250</v>
      </c>
      <c r="N2176" s="246">
        <v>88600</v>
      </c>
    </row>
    <row r="2177" spans="3:14" ht="21.95" customHeight="1" x14ac:dyDescent="0.25">
      <c r="C2177" s="139" t="str">
        <f t="shared" si="50"/>
        <v>PA_WILLIAMSPORT, PA MSA</v>
      </c>
      <c r="D2177" s="136" t="s">
        <v>69</v>
      </c>
      <c r="E2177" s="262" t="s">
        <v>4716</v>
      </c>
      <c r="F2177" s="136" t="s">
        <v>183</v>
      </c>
      <c r="G2177" s="246">
        <v>49200</v>
      </c>
      <c r="H2177" s="246">
        <v>56200</v>
      </c>
      <c r="I2177" s="246">
        <v>63250</v>
      </c>
      <c r="J2177" s="246">
        <v>70250</v>
      </c>
      <c r="K2177" s="246">
        <v>75900</v>
      </c>
      <c r="L2177" s="246">
        <v>81500</v>
      </c>
      <c r="M2177" s="246">
        <v>87150</v>
      </c>
      <c r="N2177" s="246">
        <v>92750</v>
      </c>
    </row>
    <row r="2178" spans="3:14" ht="21.95" customHeight="1" x14ac:dyDescent="0.25">
      <c r="C2178" s="139" t="str">
        <f t="shared" si="50"/>
        <v>PA_YORK-HANOVER, PA MSA</v>
      </c>
      <c r="D2178" s="136" t="s">
        <v>69</v>
      </c>
      <c r="E2178" s="262" t="s">
        <v>4717</v>
      </c>
      <c r="F2178" s="136" t="s">
        <v>183</v>
      </c>
      <c r="G2178" s="246">
        <v>59300</v>
      </c>
      <c r="H2178" s="246">
        <v>67750</v>
      </c>
      <c r="I2178" s="246">
        <v>76200</v>
      </c>
      <c r="J2178" s="246">
        <v>84650</v>
      </c>
      <c r="K2178" s="246">
        <v>91450</v>
      </c>
      <c r="L2178" s="246">
        <v>98200</v>
      </c>
      <c r="M2178" s="246">
        <v>105000</v>
      </c>
      <c r="N2178" s="246">
        <v>111750</v>
      </c>
    </row>
    <row r="2179" spans="3:14" ht="21.95" customHeight="1" x14ac:dyDescent="0.25">
      <c r="C2179" s="139" t="str">
        <f t="shared" si="50"/>
        <v>RI_NEWPORT-MIDDLETON-PORTSMOUTH, RI HUD METRO FMR AREA</v>
      </c>
      <c r="D2179" s="136" t="s">
        <v>67</v>
      </c>
      <c r="E2179" s="262" t="s">
        <v>4718</v>
      </c>
      <c r="F2179" s="136" t="s">
        <v>183</v>
      </c>
      <c r="G2179" s="246">
        <v>72950</v>
      </c>
      <c r="H2179" s="246">
        <v>83400</v>
      </c>
      <c r="I2179" s="246">
        <v>93800</v>
      </c>
      <c r="J2179" s="246">
        <v>104200</v>
      </c>
      <c r="K2179" s="246">
        <v>112550</v>
      </c>
      <c r="L2179" s="246">
        <v>120900</v>
      </c>
      <c r="M2179" s="246">
        <v>129250</v>
      </c>
      <c r="N2179" s="246">
        <v>137550</v>
      </c>
    </row>
    <row r="2180" spans="3:14" ht="21.95" customHeight="1" x14ac:dyDescent="0.25">
      <c r="C2180" s="139" t="str">
        <f t="shared" si="50"/>
        <v>RI_PROVIDENCE-FALL RIVER, RI-MA HUD METRO FMR AREA</v>
      </c>
      <c r="D2180" s="136" t="s">
        <v>67</v>
      </c>
      <c r="E2180" s="262" t="s">
        <v>3876</v>
      </c>
      <c r="F2180" s="136" t="s">
        <v>183</v>
      </c>
      <c r="G2180" s="246">
        <v>64050</v>
      </c>
      <c r="H2180" s="246">
        <v>73200</v>
      </c>
      <c r="I2180" s="246">
        <v>82350</v>
      </c>
      <c r="J2180" s="246">
        <v>91450</v>
      </c>
      <c r="K2180" s="246">
        <v>98800</v>
      </c>
      <c r="L2180" s="246">
        <v>106100</v>
      </c>
      <c r="M2180" s="246">
        <v>113400</v>
      </c>
      <c r="N2180" s="246">
        <v>120750</v>
      </c>
    </row>
    <row r="2181" spans="3:14" ht="21.95" customHeight="1" x14ac:dyDescent="0.25">
      <c r="C2181" s="139" t="str">
        <f t="shared" si="50"/>
        <v>RI_WESTERLY-HOPKINTON-NEW SHOREHAM, RI HUD METRO FMR AREA</v>
      </c>
      <c r="D2181" s="136" t="s">
        <v>67</v>
      </c>
      <c r="E2181" s="262" t="s">
        <v>4719</v>
      </c>
      <c r="F2181" s="136" t="s">
        <v>183</v>
      </c>
      <c r="G2181" s="246">
        <v>69300</v>
      </c>
      <c r="H2181" s="246">
        <v>79200</v>
      </c>
      <c r="I2181" s="246">
        <v>89100</v>
      </c>
      <c r="J2181" s="246">
        <v>98950</v>
      </c>
      <c r="K2181" s="246">
        <v>106900</v>
      </c>
      <c r="L2181" s="246">
        <v>114800</v>
      </c>
      <c r="M2181" s="246">
        <v>122700</v>
      </c>
      <c r="N2181" s="246">
        <v>130650</v>
      </c>
    </row>
    <row r="2182" spans="3:14" ht="21.95" customHeight="1" x14ac:dyDescent="0.25">
      <c r="C2182" s="139" t="str">
        <f t="shared" si="50"/>
        <v>SC_ABBEVILLE COUNTY, SC</v>
      </c>
      <c r="D2182" s="136" t="s">
        <v>66</v>
      </c>
      <c r="E2182" s="262" t="s">
        <v>4720</v>
      </c>
      <c r="F2182" s="136" t="s">
        <v>183</v>
      </c>
      <c r="G2182" s="246">
        <v>40550</v>
      </c>
      <c r="H2182" s="246">
        <v>46350</v>
      </c>
      <c r="I2182" s="246">
        <v>52150</v>
      </c>
      <c r="J2182" s="246">
        <v>57900</v>
      </c>
      <c r="K2182" s="246">
        <v>62550</v>
      </c>
      <c r="L2182" s="246">
        <v>67200</v>
      </c>
      <c r="M2182" s="246">
        <v>71800</v>
      </c>
      <c r="N2182" s="246">
        <v>76450</v>
      </c>
    </row>
    <row r="2183" spans="3:14" ht="21.95" customHeight="1" x14ac:dyDescent="0.25">
      <c r="C2183" s="139" t="str">
        <f t="shared" si="50"/>
        <v>SC_ALLENDALE COUNTY, SC</v>
      </c>
      <c r="D2183" s="136" t="s">
        <v>66</v>
      </c>
      <c r="E2183" s="262" t="s">
        <v>4721</v>
      </c>
      <c r="F2183" s="136" t="s">
        <v>183</v>
      </c>
      <c r="G2183" s="246">
        <v>38100</v>
      </c>
      <c r="H2183" s="246">
        <v>43550</v>
      </c>
      <c r="I2183" s="246">
        <v>49000</v>
      </c>
      <c r="J2183" s="246">
        <v>54400</v>
      </c>
      <c r="K2183" s="246">
        <v>58800</v>
      </c>
      <c r="L2183" s="246">
        <v>63150</v>
      </c>
      <c r="M2183" s="246">
        <v>67500</v>
      </c>
      <c r="N2183" s="246">
        <v>71850</v>
      </c>
    </row>
    <row r="2184" spans="3:14" ht="21.95" customHeight="1" x14ac:dyDescent="0.25">
      <c r="C2184" s="139" t="str">
        <f t="shared" si="50"/>
        <v>SC_ANDERSON, SC HUD METRO FMR AREA</v>
      </c>
      <c r="D2184" s="136" t="s">
        <v>66</v>
      </c>
      <c r="E2184" s="262" t="s">
        <v>4722</v>
      </c>
      <c r="F2184" s="136" t="s">
        <v>183</v>
      </c>
      <c r="G2184" s="246">
        <v>48800</v>
      </c>
      <c r="H2184" s="246">
        <v>55800</v>
      </c>
      <c r="I2184" s="246">
        <v>62750</v>
      </c>
      <c r="J2184" s="246">
        <v>69700</v>
      </c>
      <c r="K2184" s="246">
        <v>75300</v>
      </c>
      <c r="L2184" s="246">
        <v>80900</v>
      </c>
      <c r="M2184" s="246">
        <v>86450</v>
      </c>
      <c r="N2184" s="246">
        <v>92050</v>
      </c>
    </row>
    <row r="2185" spans="3:14" ht="21.95" customHeight="1" x14ac:dyDescent="0.25">
      <c r="C2185" s="139" t="str">
        <f t="shared" si="50"/>
        <v>SC_AUGUSTA-RICHMOND COUNTY, GA-SC HUD METRO FMR AREA</v>
      </c>
      <c r="D2185" s="136" t="s">
        <v>66</v>
      </c>
      <c r="E2185" s="262" t="s">
        <v>3264</v>
      </c>
      <c r="F2185" s="136" t="s">
        <v>183</v>
      </c>
      <c r="G2185" s="246">
        <v>49500</v>
      </c>
      <c r="H2185" s="246">
        <v>56550</v>
      </c>
      <c r="I2185" s="246">
        <v>63600</v>
      </c>
      <c r="J2185" s="246">
        <v>70650</v>
      </c>
      <c r="K2185" s="246">
        <v>76350</v>
      </c>
      <c r="L2185" s="246">
        <v>82000</v>
      </c>
      <c r="M2185" s="246">
        <v>87650</v>
      </c>
      <c r="N2185" s="246">
        <v>93300</v>
      </c>
    </row>
    <row r="2186" spans="3:14" ht="21.95" customHeight="1" x14ac:dyDescent="0.25">
      <c r="C2186" s="139" t="str">
        <f t="shared" si="50"/>
        <v>SC_BAMBERG COUNTY, SC</v>
      </c>
      <c r="D2186" s="136" t="s">
        <v>66</v>
      </c>
      <c r="E2186" s="262" t="s">
        <v>4723</v>
      </c>
      <c r="F2186" s="136" t="s">
        <v>183</v>
      </c>
      <c r="G2186" s="246">
        <v>38550</v>
      </c>
      <c r="H2186" s="246">
        <v>44050</v>
      </c>
      <c r="I2186" s="246">
        <v>49550</v>
      </c>
      <c r="J2186" s="246">
        <v>55050</v>
      </c>
      <c r="K2186" s="246">
        <v>59500</v>
      </c>
      <c r="L2186" s="246">
        <v>63900</v>
      </c>
      <c r="M2186" s="246">
        <v>68300</v>
      </c>
      <c r="N2186" s="246">
        <v>72700</v>
      </c>
    </row>
    <row r="2187" spans="3:14" ht="21.95" customHeight="1" x14ac:dyDescent="0.25">
      <c r="C2187" s="139" t="str">
        <f t="shared" si="50"/>
        <v>SC_BARNWELL COUNTY, SC</v>
      </c>
      <c r="D2187" s="136" t="s">
        <v>66</v>
      </c>
      <c r="E2187" s="262" t="s">
        <v>4724</v>
      </c>
      <c r="F2187" s="136" t="s">
        <v>183</v>
      </c>
      <c r="G2187" s="246">
        <v>39700</v>
      </c>
      <c r="H2187" s="246">
        <v>45350</v>
      </c>
      <c r="I2187" s="246">
        <v>51000</v>
      </c>
      <c r="J2187" s="246">
        <v>56650</v>
      </c>
      <c r="K2187" s="246">
        <v>61200</v>
      </c>
      <c r="L2187" s="246">
        <v>65750</v>
      </c>
      <c r="M2187" s="246">
        <v>70250</v>
      </c>
      <c r="N2187" s="246">
        <v>74800</v>
      </c>
    </row>
    <row r="2188" spans="3:14" ht="21.95" customHeight="1" x14ac:dyDescent="0.25">
      <c r="C2188" s="139" t="str">
        <f t="shared" si="50"/>
        <v>SC_BEAUFORT COUNTY, SC HUD METRO FMR AREA</v>
      </c>
      <c r="D2188" s="136" t="s">
        <v>66</v>
      </c>
      <c r="E2188" s="262" t="s">
        <v>4725</v>
      </c>
      <c r="F2188" s="136" t="s">
        <v>183</v>
      </c>
      <c r="G2188" s="246">
        <v>61700</v>
      </c>
      <c r="H2188" s="246">
        <v>70500</v>
      </c>
      <c r="I2188" s="246">
        <v>79300</v>
      </c>
      <c r="J2188" s="246">
        <v>88100</v>
      </c>
      <c r="K2188" s="246">
        <v>95150</v>
      </c>
      <c r="L2188" s="246">
        <v>102200</v>
      </c>
      <c r="M2188" s="246">
        <v>109250</v>
      </c>
      <c r="N2188" s="246">
        <v>116300</v>
      </c>
    </row>
    <row r="2189" spans="3:14" ht="21.95" customHeight="1" x14ac:dyDescent="0.25">
      <c r="C2189" s="139" t="str">
        <f t="shared" si="50"/>
        <v>SC_CHARLESTON-NORTH CHARLESTON, SC MSA</v>
      </c>
      <c r="D2189" s="136" t="s">
        <v>66</v>
      </c>
      <c r="E2189" s="262" t="s">
        <v>4726</v>
      </c>
      <c r="F2189" s="136" t="s">
        <v>183</v>
      </c>
      <c r="G2189" s="246">
        <v>62100</v>
      </c>
      <c r="H2189" s="246">
        <v>71000</v>
      </c>
      <c r="I2189" s="246">
        <v>79850</v>
      </c>
      <c r="J2189" s="246">
        <v>88700</v>
      </c>
      <c r="K2189" s="246">
        <v>95800</v>
      </c>
      <c r="L2189" s="246">
        <v>102900</v>
      </c>
      <c r="M2189" s="246">
        <v>110000</v>
      </c>
      <c r="N2189" s="246">
        <v>117100</v>
      </c>
    </row>
    <row r="2190" spans="3:14" ht="21.95" customHeight="1" x14ac:dyDescent="0.25">
      <c r="C2190" s="139" t="str">
        <f t="shared" si="50"/>
        <v>SC_CHARLOTTE-CONCORD-GASTONIA, NC-SC HUD METRO FMR AREA</v>
      </c>
      <c r="D2190" s="136" t="s">
        <v>66</v>
      </c>
      <c r="E2190" s="262" t="s">
        <v>4267</v>
      </c>
      <c r="F2190" s="136" t="s">
        <v>183</v>
      </c>
      <c r="G2190" s="246">
        <v>62850</v>
      </c>
      <c r="H2190" s="246">
        <v>71800</v>
      </c>
      <c r="I2190" s="246">
        <v>80800</v>
      </c>
      <c r="J2190" s="246">
        <v>89750</v>
      </c>
      <c r="K2190" s="246">
        <v>96950</v>
      </c>
      <c r="L2190" s="246">
        <v>104150</v>
      </c>
      <c r="M2190" s="246">
        <v>111300</v>
      </c>
      <c r="N2190" s="246">
        <v>118500</v>
      </c>
    </row>
    <row r="2191" spans="3:14" ht="21.95" customHeight="1" x14ac:dyDescent="0.25">
      <c r="C2191" s="139" t="str">
        <f t="shared" si="50"/>
        <v>SC_CHEROKEE COUNTY, SC</v>
      </c>
      <c r="D2191" s="136" t="s">
        <v>66</v>
      </c>
      <c r="E2191" s="262" t="s">
        <v>4727</v>
      </c>
      <c r="F2191" s="136" t="s">
        <v>183</v>
      </c>
      <c r="G2191" s="246">
        <v>40450</v>
      </c>
      <c r="H2191" s="246">
        <v>46200</v>
      </c>
      <c r="I2191" s="246">
        <v>52000</v>
      </c>
      <c r="J2191" s="246">
        <v>57750</v>
      </c>
      <c r="K2191" s="246">
        <v>62400</v>
      </c>
      <c r="L2191" s="246">
        <v>67000</v>
      </c>
      <c r="M2191" s="246">
        <v>71650</v>
      </c>
      <c r="N2191" s="246">
        <v>76250</v>
      </c>
    </row>
    <row r="2192" spans="3:14" ht="21.95" customHeight="1" x14ac:dyDescent="0.25">
      <c r="C2192" s="139" t="str">
        <f t="shared" si="50"/>
        <v>SC_CHESTER COUNTY, SC HUD METRO FMR AREA</v>
      </c>
      <c r="D2192" s="136" t="s">
        <v>66</v>
      </c>
      <c r="E2192" s="262" t="s">
        <v>4728</v>
      </c>
      <c r="F2192" s="136" t="s">
        <v>183</v>
      </c>
      <c r="G2192" s="246">
        <v>38850</v>
      </c>
      <c r="H2192" s="246">
        <v>44400</v>
      </c>
      <c r="I2192" s="246">
        <v>49950</v>
      </c>
      <c r="J2192" s="246">
        <v>55500</v>
      </c>
      <c r="K2192" s="246">
        <v>59950</v>
      </c>
      <c r="L2192" s="246">
        <v>64400</v>
      </c>
      <c r="M2192" s="246">
        <v>68850</v>
      </c>
      <c r="N2192" s="246">
        <v>73300</v>
      </c>
    </row>
    <row r="2193" spans="3:14" ht="21.95" customHeight="1" x14ac:dyDescent="0.25">
      <c r="C2193" s="139" t="str">
        <f t="shared" si="50"/>
        <v>SC_CHESTERFIELD COUNTY, SC</v>
      </c>
      <c r="D2193" s="136" t="s">
        <v>66</v>
      </c>
      <c r="E2193" s="262" t="s">
        <v>4729</v>
      </c>
      <c r="F2193" s="136" t="s">
        <v>183</v>
      </c>
      <c r="G2193" s="246">
        <v>38650</v>
      </c>
      <c r="H2193" s="246">
        <v>44200</v>
      </c>
      <c r="I2193" s="246">
        <v>49700</v>
      </c>
      <c r="J2193" s="246">
        <v>55200</v>
      </c>
      <c r="K2193" s="246">
        <v>59650</v>
      </c>
      <c r="L2193" s="246">
        <v>64050</v>
      </c>
      <c r="M2193" s="246">
        <v>68450</v>
      </c>
      <c r="N2193" s="246">
        <v>72900</v>
      </c>
    </row>
    <row r="2194" spans="3:14" ht="21.95" customHeight="1" x14ac:dyDescent="0.25">
      <c r="C2194" s="139" t="str">
        <f t="shared" si="50"/>
        <v>SC_CLARENDON COUNTY, SC</v>
      </c>
      <c r="D2194" s="136" t="s">
        <v>66</v>
      </c>
      <c r="E2194" s="262" t="s">
        <v>9252</v>
      </c>
      <c r="F2194" s="136" t="s">
        <v>183</v>
      </c>
      <c r="G2194" s="246">
        <v>39900</v>
      </c>
      <c r="H2194" s="246">
        <v>45600</v>
      </c>
      <c r="I2194" s="246">
        <v>51300</v>
      </c>
      <c r="J2194" s="246">
        <v>56950</v>
      </c>
      <c r="K2194" s="246">
        <v>61550</v>
      </c>
      <c r="L2194" s="246">
        <v>66100</v>
      </c>
      <c r="M2194" s="246">
        <v>70650</v>
      </c>
      <c r="N2194" s="246">
        <v>75200</v>
      </c>
    </row>
    <row r="2195" spans="3:14" ht="21.95" customHeight="1" x14ac:dyDescent="0.25">
      <c r="C2195" s="139" t="str">
        <f t="shared" si="50"/>
        <v>SC_COLLETON COUNTY, SC</v>
      </c>
      <c r="D2195" s="136" t="s">
        <v>66</v>
      </c>
      <c r="E2195" s="262" t="s">
        <v>4730</v>
      </c>
      <c r="F2195" s="136" t="s">
        <v>183</v>
      </c>
      <c r="G2195" s="246">
        <v>38100</v>
      </c>
      <c r="H2195" s="246">
        <v>43550</v>
      </c>
      <c r="I2195" s="246">
        <v>49000</v>
      </c>
      <c r="J2195" s="246">
        <v>54400</v>
      </c>
      <c r="K2195" s="246">
        <v>58800</v>
      </c>
      <c r="L2195" s="246">
        <v>63150</v>
      </c>
      <c r="M2195" s="246">
        <v>67500</v>
      </c>
      <c r="N2195" s="246">
        <v>71850</v>
      </c>
    </row>
    <row r="2196" spans="3:14" ht="21.95" customHeight="1" x14ac:dyDescent="0.25">
      <c r="C2196" s="139" t="str">
        <f t="shared" si="50"/>
        <v>SC_COLUMBIA, SC HUD METRO FMR AREA</v>
      </c>
      <c r="D2196" s="136" t="s">
        <v>66</v>
      </c>
      <c r="E2196" s="262" t="s">
        <v>4731</v>
      </c>
      <c r="F2196" s="136" t="s">
        <v>183</v>
      </c>
      <c r="G2196" s="246">
        <v>51950</v>
      </c>
      <c r="H2196" s="246">
        <v>59350</v>
      </c>
      <c r="I2196" s="246">
        <v>66750</v>
      </c>
      <c r="J2196" s="246">
        <v>74150</v>
      </c>
      <c r="K2196" s="246">
        <v>80100</v>
      </c>
      <c r="L2196" s="246">
        <v>86050</v>
      </c>
      <c r="M2196" s="246">
        <v>91950</v>
      </c>
      <c r="N2196" s="246">
        <v>97900</v>
      </c>
    </row>
    <row r="2197" spans="3:14" ht="21.95" customHeight="1" x14ac:dyDescent="0.25">
      <c r="C2197" s="139" t="str">
        <f t="shared" si="50"/>
        <v>SC_DARLINGTON COUNTY, SC HUD METRO FMR AREA</v>
      </c>
      <c r="D2197" s="136" t="s">
        <v>66</v>
      </c>
      <c r="E2197" s="262" t="s">
        <v>4732</v>
      </c>
      <c r="F2197" s="136" t="s">
        <v>183</v>
      </c>
      <c r="G2197" s="246">
        <v>38850</v>
      </c>
      <c r="H2197" s="246">
        <v>44400</v>
      </c>
      <c r="I2197" s="246">
        <v>49950</v>
      </c>
      <c r="J2197" s="246">
        <v>55500</v>
      </c>
      <c r="K2197" s="246">
        <v>59950</v>
      </c>
      <c r="L2197" s="246">
        <v>64400</v>
      </c>
      <c r="M2197" s="246">
        <v>68850</v>
      </c>
      <c r="N2197" s="246">
        <v>73300</v>
      </c>
    </row>
    <row r="2198" spans="3:14" ht="21.95" customHeight="1" x14ac:dyDescent="0.25">
      <c r="C2198" s="139" t="str">
        <f t="shared" si="50"/>
        <v>SC_DILLON COUNTY, SC</v>
      </c>
      <c r="D2198" s="136" t="s">
        <v>66</v>
      </c>
      <c r="E2198" s="262" t="s">
        <v>4733</v>
      </c>
      <c r="F2198" s="136" t="s">
        <v>183</v>
      </c>
      <c r="G2198" s="246">
        <v>38100</v>
      </c>
      <c r="H2198" s="246">
        <v>43550</v>
      </c>
      <c r="I2198" s="246">
        <v>49000</v>
      </c>
      <c r="J2198" s="246">
        <v>54400</v>
      </c>
      <c r="K2198" s="246">
        <v>58800</v>
      </c>
      <c r="L2198" s="246">
        <v>63150</v>
      </c>
      <c r="M2198" s="246">
        <v>67500</v>
      </c>
      <c r="N2198" s="246">
        <v>71850</v>
      </c>
    </row>
    <row r="2199" spans="3:14" ht="21.95" customHeight="1" x14ac:dyDescent="0.25">
      <c r="C2199" s="139" t="str">
        <f t="shared" si="50"/>
        <v>SC_FLORENCE, SC HUD METRO FMR AREA</v>
      </c>
      <c r="D2199" s="136" t="s">
        <v>66</v>
      </c>
      <c r="E2199" s="262" t="s">
        <v>4734</v>
      </c>
      <c r="F2199" s="136" t="s">
        <v>183</v>
      </c>
      <c r="G2199" s="246">
        <v>43150</v>
      </c>
      <c r="H2199" s="246">
        <v>49300</v>
      </c>
      <c r="I2199" s="246">
        <v>55450</v>
      </c>
      <c r="J2199" s="246">
        <v>61600</v>
      </c>
      <c r="K2199" s="246">
        <v>66550</v>
      </c>
      <c r="L2199" s="246">
        <v>71500</v>
      </c>
      <c r="M2199" s="246">
        <v>76400</v>
      </c>
      <c r="N2199" s="246">
        <v>81350</v>
      </c>
    </row>
    <row r="2200" spans="3:14" ht="21.95" customHeight="1" x14ac:dyDescent="0.25">
      <c r="C2200" s="139" t="str">
        <f t="shared" si="50"/>
        <v>SC_GEORGETOWN COUNTY, SC</v>
      </c>
      <c r="D2200" s="136" t="s">
        <v>66</v>
      </c>
      <c r="E2200" s="262" t="s">
        <v>4735</v>
      </c>
      <c r="F2200" s="136" t="s">
        <v>183</v>
      </c>
      <c r="G2200" s="246">
        <v>46450</v>
      </c>
      <c r="H2200" s="246">
        <v>53050</v>
      </c>
      <c r="I2200" s="246">
        <v>59700</v>
      </c>
      <c r="J2200" s="246">
        <v>66300</v>
      </c>
      <c r="K2200" s="246">
        <v>71650</v>
      </c>
      <c r="L2200" s="246">
        <v>76950</v>
      </c>
      <c r="M2200" s="246">
        <v>82250</v>
      </c>
      <c r="N2200" s="246">
        <v>87550</v>
      </c>
    </row>
    <row r="2201" spans="3:14" ht="21.95" customHeight="1" x14ac:dyDescent="0.25">
      <c r="C2201" s="139" t="str">
        <f t="shared" si="50"/>
        <v>SC_GREENVILLE-MAULDIN-EASLEY, SC HUD METRO FMR AREA</v>
      </c>
      <c r="D2201" s="136" t="s">
        <v>66</v>
      </c>
      <c r="E2201" s="262" t="s">
        <v>4736</v>
      </c>
      <c r="F2201" s="136" t="s">
        <v>183</v>
      </c>
      <c r="G2201" s="246">
        <v>54150</v>
      </c>
      <c r="H2201" s="246">
        <v>61900</v>
      </c>
      <c r="I2201" s="246">
        <v>69650</v>
      </c>
      <c r="J2201" s="246">
        <v>77350</v>
      </c>
      <c r="K2201" s="246">
        <v>83550</v>
      </c>
      <c r="L2201" s="246">
        <v>89750</v>
      </c>
      <c r="M2201" s="246">
        <v>95950</v>
      </c>
      <c r="N2201" s="246">
        <v>102150</v>
      </c>
    </row>
    <row r="2202" spans="3:14" ht="21.95" customHeight="1" x14ac:dyDescent="0.25">
      <c r="C2202" s="139" t="str">
        <f t="shared" si="50"/>
        <v>SC_GREENWOOD COUNTY, SC</v>
      </c>
      <c r="D2202" s="136" t="s">
        <v>66</v>
      </c>
      <c r="E2202" s="262" t="s">
        <v>4737</v>
      </c>
      <c r="F2202" s="136" t="s">
        <v>183</v>
      </c>
      <c r="G2202" s="246">
        <v>38100</v>
      </c>
      <c r="H2202" s="246">
        <v>43550</v>
      </c>
      <c r="I2202" s="246">
        <v>49000</v>
      </c>
      <c r="J2202" s="246">
        <v>54400</v>
      </c>
      <c r="K2202" s="246">
        <v>58800</v>
      </c>
      <c r="L2202" s="246">
        <v>63150</v>
      </c>
      <c r="M2202" s="246">
        <v>67500</v>
      </c>
      <c r="N2202" s="246">
        <v>71850</v>
      </c>
    </row>
    <row r="2203" spans="3:14" ht="21.95" customHeight="1" x14ac:dyDescent="0.25">
      <c r="C2203" s="139" t="str">
        <f t="shared" si="50"/>
        <v>SC_HAMPTON COUNTY, SC</v>
      </c>
      <c r="D2203" s="136" t="s">
        <v>66</v>
      </c>
      <c r="E2203" s="262" t="s">
        <v>4738</v>
      </c>
      <c r="F2203" s="136" t="s">
        <v>183</v>
      </c>
      <c r="G2203" s="246">
        <v>38100</v>
      </c>
      <c r="H2203" s="246">
        <v>43550</v>
      </c>
      <c r="I2203" s="246">
        <v>49000</v>
      </c>
      <c r="J2203" s="246">
        <v>54400</v>
      </c>
      <c r="K2203" s="246">
        <v>58800</v>
      </c>
      <c r="L2203" s="246">
        <v>63150</v>
      </c>
      <c r="M2203" s="246">
        <v>67500</v>
      </c>
      <c r="N2203" s="246">
        <v>71850</v>
      </c>
    </row>
    <row r="2204" spans="3:14" ht="21.95" customHeight="1" x14ac:dyDescent="0.25">
      <c r="C2204" s="139" t="str">
        <f t="shared" si="50"/>
        <v>SC_JASPER COUNTY, SC HUD METRO FMR AREA</v>
      </c>
      <c r="D2204" s="136" t="s">
        <v>66</v>
      </c>
      <c r="E2204" s="262" t="s">
        <v>4739</v>
      </c>
      <c r="F2204" s="136" t="s">
        <v>183</v>
      </c>
      <c r="G2204" s="246">
        <v>42600</v>
      </c>
      <c r="H2204" s="246">
        <v>48650</v>
      </c>
      <c r="I2204" s="246">
        <v>54750</v>
      </c>
      <c r="J2204" s="246">
        <v>60800</v>
      </c>
      <c r="K2204" s="246">
        <v>65700</v>
      </c>
      <c r="L2204" s="246">
        <v>70550</v>
      </c>
      <c r="M2204" s="246">
        <v>75400</v>
      </c>
      <c r="N2204" s="246">
        <v>80300</v>
      </c>
    </row>
    <row r="2205" spans="3:14" ht="21.95" customHeight="1" x14ac:dyDescent="0.25">
      <c r="C2205" s="139" t="str">
        <f t="shared" si="50"/>
        <v>SC_KERSHAW COUNTY, SC HUD METRO FMR AREA</v>
      </c>
      <c r="D2205" s="136" t="s">
        <v>66</v>
      </c>
      <c r="E2205" s="262" t="s">
        <v>4740</v>
      </c>
      <c r="F2205" s="136" t="s">
        <v>183</v>
      </c>
      <c r="G2205" s="246">
        <v>47250</v>
      </c>
      <c r="H2205" s="246">
        <v>54000</v>
      </c>
      <c r="I2205" s="246">
        <v>60750</v>
      </c>
      <c r="J2205" s="246">
        <v>67500</v>
      </c>
      <c r="K2205" s="246">
        <v>72900</v>
      </c>
      <c r="L2205" s="246">
        <v>78300</v>
      </c>
      <c r="M2205" s="246">
        <v>83700</v>
      </c>
      <c r="N2205" s="246">
        <v>89100</v>
      </c>
    </row>
    <row r="2206" spans="3:14" ht="21.95" customHeight="1" x14ac:dyDescent="0.25">
      <c r="C2206" s="139" t="str">
        <f t="shared" si="50"/>
        <v>SC_LANCASTER COUNTY, SC HUD METRO FMR AREA</v>
      </c>
      <c r="D2206" s="136" t="s">
        <v>66</v>
      </c>
      <c r="E2206" s="262" t="s">
        <v>4741</v>
      </c>
      <c r="F2206" s="136" t="s">
        <v>183</v>
      </c>
      <c r="G2206" s="246">
        <v>52200</v>
      </c>
      <c r="H2206" s="246">
        <v>59650</v>
      </c>
      <c r="I2206" s="246">
        <v>67100</v>
      </c>
      <c r="J2206" s="246">
        <v>74550</v>
      </c>
      <c r="K2206" s="246">
        <v>80550</v>
      </c>
      <c r="L2206" s="246">
        <v>86500</v>
      </c>
      <c r="M2206" s="246">
        <v>92450</v>
      </c>
      <c r="N2206" s="246">
        <v>98450</v>
      </c>
    </row>
    <row r="2207" spans="3:14" ht="21.95" customHeight="1" x14ac:dyDescent="0.25">
      <c r="C2207" s="139" t="str">
        <f t="shared" si="50"/>
        <v>SC_LAURENS COUNTY, SC HUD METRO FMR AREA</v>
      </c>
      <c r="D2207" s="136" t="s">
        <v>66</v>
      </c>
      <c r="E2207" s="262" t="s">
        <v>4742</v>
      </c>
      <c r="F2207" s="136" t="s">
        <v>183</v>
      </c>
      <c r="G2207" s="246">
        <v>41650</v>
      </c>
      <c r="H2207" s="246">
        <v>47600</v>
      </c>
      <c r="I2207" s="246">
        <v>53550</v>
      </c>
      <c r="J2207" s="246">
        <v>59500</v>
      </c>
      <c r="K2207" s="246">
        <v>64300</v>
      </c>
      <c r="L2207" s="246">
        <v>69050</v>
      </c>
      <c r="M2207" s="246">
        <v>73800</v>
      </c>
      <c r="N2207" s="246">
        <v>78550</v>
      </c>
    </row>
    <row r="2208" spans="3:14" ht="21.95" customHeight="1" x14ac:dyDescent="0.25">
      <c r="C2208" s="139" t="str">
        <f t="shared" si="50"/>
        <v>SC_LEE COUNTY, SC</v>
      </c>
      <c r="D2208" s="136" t="s">
        <v>66</v>
      </c>
      <c r="E2208" s="262" t="s">
        <v>4743</v>
      </c>
      <c r="F2208" s="136" t="s">
        <v>183</v>
      </c>
      <c r="G2208" s="246">
        <v>38100</v>
      </c>
      <c r="H2208" s="246">
        <v>43550</v>
      </c>
      <c r="I2208" s="246">
        <v>49000</v>
      </c>
      <c r="J2208" s="246">
        <v>54400</v>
      </c>
      <c r="K2208" s="246">
        <v>58800</v>
      </c>
      <c r="L2208" s="246">
        <v>63150</v>
      </c>
      <c r="M2208" s="246">
        <v>67500</v>
      </c>
      <c r="N2208" s="246">
        <v>71850</v>
      </c>
    </row>
    <row r="2209" spans="3:14" ht="21.95" customHeight="1" x14ac:dyDescent="0.25">
      <c r="C2209" s="139" t="str">
        <f t="shared" si="50"/>
        <v>SC_MARION COUNTY, SC</v>
      </c>
      <c r="D2209" s="136" t="s">
        <v>66</v>
      </c>
      <c r="E2209" s="262" t="s">
        <v>4744</v>
      </c>
      <c r="F2209" s="136" t="s">
        <v>183</v>
      </c>
      <c r="G2209" s="246">
        <v>38100</v>
      </c>
      <c r="H2209" s="246">
        <v>43550</v>
      </c>
      <c r="I2209" s="246">
        <v>49000</v>
      </c>
      <c r="J2209" s="246">
        <v>54400</v>
      </c>
      <c r="K2209" s="246">
        <v>58800</v>
      </c>
      <c r="L2209" s="246">
        <v>63150</v>
      </c>
      <c r="M2209" s="246">
        <v>67500</v>
      </c>
      <c r="N2209" s="246">
        <v>71850</v>
      </c>
    </row>
    <row r="2210" spans="3:14" ht="21.95" customHeight="1" x14ac:dyDescent="0.25">
      <c r="C2210" s="139" t="str">
        <f t="shared" si="50"/>
        <v>SC_MARLBORO COUNTY, SC</v>
      </c>
      <c r="D2210" s="136" t="s">
        <v>66</v>
      </c>
      <c r="E2210" s="262" t="s">
        <v>4745</v>
      </c>
      <c r="F2210" s="136" t="s">
        <v>183</v>
      </c>
      <c r="G2210" s="246">
        <v>38100</v>
      </c>
      <c r="H2210" s="246">
        <v>43550</v>
      </c>
      <c r="I2210" s="246">
        <v>49000</v>
      </c>
      <c r="J2210" s="246">
        <v>54400</v>
      </c>
      <c r="K2210" s="246">
        <v>58800</v>
      </c>
      <c r="L2210" s="246">
        <v>63150</v>
      </c>
      <c r="M2210" s="246">
        <v>67500</v>
      </c>
      <c r="N2210" s="246">
        <v>71850</v>
      </c>
    </row>
    <row r="2211" spans="3:14" ht="21.95" customHeight="1" x14ac:dyDescent="0.25">
      <c r="C2211" s="139" t="str">
        <f t="shared" si="50"/>
        <v>SC_MCCORMICK COUNTY, SC</v>
      </c>
      <c r="D2211" s="136" t="s">
        <v>66</v>
      </c>
      <c r="E2211" s="262" t="s">
        <v>4746</v>
      </c>
      <c r="F2211" s="136" t="s">
        <v>183</v>
      </c>
      <c r="G2211" s="246">
        <v>45400</v>
      </c>
      <c r="H2211" s="246">
        <v>51850</v>
      </c>
      <c r="I2211" s="246">
        <v>58350</v>
      </c>
      <c r="J2211" s="246">
        <v>64800</v>
      </c>
      <c r="K2211" s="246">
        <v>70000</v>
      </c>
      <c r="L2211" s="246">
        <v>75200</v>
      </c>
      <c r="M2211" s="246">
        <v>80400</v>
      </c>
      <c r="N2211" s="246">
        <v>85550</v>
      </c>
    </row>
    <row r="2212" spans="3:14" ht="21.95" customHeight="1" x14ac:dyDescent="0.25">
      <c r="C2212" s="139" t="str">
        <f t="shared" si="50"/>
        <v>SC_MYRTLE BEACH-NORTH MYRTLE BEACH-CONWAY, SC HUD METRO FMR AREA</v>
      </c>
      <c r="D2212" s="136" t="s">
        <v>66</v>
      </c>
      <c r="E2212" s="262" t="s">
        <v>4747</v>
      </c>
      <c r="F2212" s="136" t="s">
        <v>183</v>
      </c>
      <c r="G2212" s="246">
        <v>48650</v>
      </c>
      <c r="H2212" s="246">
        <v>55600</v>
      </c>
      <c r="I2212" s="246">
        <v>62550</v>
      </c>
      <c r="J2212" s="246">
        <v>69450</v>
      </c>
      <c r="K2212" s="246">
        <v>75050</v>
      </c>
      <c r="L2212" s="246">
        <v>80600</v>
      </c>
      <c r="M2212" s="246">
        <v>86150</v>
      </c>
      <c r="N2212" s="246">
        <v>91700</v>
      </c>
    </row>
    <row r="2213" spans="3:14" ht="21.95" customHeight="1" x14ac:dyDescent="0.25">
      <c r="C2213" s="139" t="str">
        <f t="shared" si="50"/>
        <v>SC_NEWBERRY COUNTY, SC</v>
      </c>
      <c r="D2213" s="136" t="s">
        <v>66</v>
      </c>
      <c r="E2213" s="262" t="s">
        <v>4748</v>
      </c>
      <c r="F2213" s="136" t="s">
        <v>183</v>
      </c>
      <c r="G2213" s="246">
        <v>43750</v>
      </c>
      <c r="H2213" s="246">
        <v>50000</v>
      </c>
      <c r="I2213" s="246">
        <v>56250</v>
      </c>
      <c r="J2213" s="246">
        <v>62450</v>
      </c>
      <c r="K2213" s="246">
        <v>67450</v>
      </c>
      <c r="L2213" s="246">
        <v>72450</v>
      </c>
      <c r="M2213" s="246">
        <v>77450</v>
      </c>
      <c r="N2213" s="246">
        <v>82450</v>
      </c>
    </row>
    <row r="2214" spans="3:14" ht="21.95" customHeight="1" x14ac:dyDescent="0.25">
      <c r="C2214" s="139" t="str">
        <f t="shared" si="50"/>
        <v>SC_OCONEE COUNTY, SC</v>
      </c>
      <c r="D2214" s="136" t="s">
        <v>66</v>
      </c>
      <c r="E2214" s="262" t="s">
        <v>4749</v>
      </c>
      <c r="F2214" s="136" t="s">
        <v>183</v>
      </c>
      <c r="G2214" s="246">
        <v>45300</v>
      </c>
      <c r="H2214" s="246">
        <v>51800</v>
      </c>
      <c r="I2214" s="246">
        <v>58250</v>
      </c>
      <c r="J2214" s="246">
        <v>64700</v>
      </c>
      <c r="K2214" s="246">
        <v>69900</v>
      </c>
      <c r="L2214" s="246">
        <v>75100</v>
      </c>
      <c r="M2214" s="246">
        <v>80250</v>
      </c>
      <c r="N2214" s="246">
        <v>85450</v>
      </c>
    </row>
    <row r="2215" spans="3:14" ht="21.95" customHeight="1" x14ac:dyDescent="0.25">
      <c r="C2215" s="139" t="str">
        <f t="shared" si="50"/>
        <v>SC_ORANGEBURG COUNTY, SC</v>
      </c>
      <c r="D2215" s="136" t="s">
        <v>66</v>
      </c>
      <c r="E2215" s="262" t="s">
        <v>4750</v>
      </c>
      <c r="F2215" s="136" t="s">
        <v>183</v>
      </c>
      <c r="G2215" s="246">
        <v>38100</v>
      </c>
      <c r="H2215" s="246">
        <v>43550</v>
      </c>
      <c r="I2215" s="246">
        <v>49000</v>
      </c>
      <c r="J2215" s="246">
        <v>54400</v>
      </c>
      <c r="K2215" s="246">
        <v>58800</v>
      </c>
      <c r="L2215" s="246">
        <v>63150</v>
      </c>
      <c r="M2215" s="246">
        <v>67500</v>
      </c>
      <c r="N2215" s="246">
        <v>71850</v>
      </c>
    </row>
    <row r="2216" spans="3:14" ht="21.95" customHeight="1" x14ac:dyDescent="0.25">
      <c r="C2216" s="139" t="str">
        <f t="shared" si="50"/>
        <v>SC_SPARTANBURG, SC HUD METRO FMR AREA</v>
      </c>
      <c r="D2216" s="136" t="s">
        <v>66</v>
      </c>
      <c r="E2216" s="262" t="s">
        <v>9253</v>
      </c>
      <c r="F2216" s="136" t="s">
        <v>183</v>
      </c>
      <c r="G2216" s="246">
        <v>46000</v>
      </c>
      <c r="H2216" s="246">
        <v>52600</v>
      </c>
      <c r="I2216" s="246">
        <v>59150</v>
      </c>
      <c r="J2216" s="246">
        <v>65700</v>
      </c>
      <c r="K2216" s="246">
        <v>71000</v>
      </c>
      <c r="L2216" s="246">
        <v>76250</v>
      </c>
      <c r="M2216" s="246">
        <v>81500</v>
      </c>
      <c r="N2216" s="246">
        <v>86750</v>
      </c>
    </row>
    <row r="2217" spans="3:14" ht="21.95" customHeight="1" x14ac:dyDescent="0.25">
      <c r="C2217" s="139" t="str">
        <f t="shared" si="50"/>
        <v>SC_SUMTER, SC MSA</v>
      </c>
      <c r="D2217" s="136" t="s">
        <v>66</v>
      </c>
      <c r="E2217" s="262" t="s">
        <v>9254</v>
      </c>
      <c r="F2217" s="136" t="s">
        <v>183</v>
      </c>
      <c r="G2217" s="246">
        <v>39950</v>
      </c>
      <c r="H2217" s="246">
        <v>45650</v>
      </c>
      <c r="I2217" s="246">
        <v>51350</v>
      </c>
      <c r="J2217" s="246">
        <v>57050</v>
      </c>
      <c r="K2217" s="246">
        <v>61650</v>
      </c>
      <c r="L2217" s="246">
        <v>66200</v>
      </c>
      <c r="M2217" s="246">
        <v>70750</v>
      </c>
      <c r="N2217" s="246">
        <v>75350</v>
      </c>
    </row>
    <row r="2218" spans="3:14" ht="21.95" customHeight="1" x14ac:dyDescent="0.25">
      <c r="C2218" s="139" t="str">
        <f t="shared" si="50"/>
        <v>SC_UNION COUNTY, SC HUD METRO FMR AREA</v>
      </c>
      <c r="D2218" s="136" t="s">
        <v>66</v>
      </c>
      <c r="E2218" s="262" t="s">
        <v>9255</v>
      </c>
      <c r="F2218" s="136" t="s">
        <v>183</v>
      </c>
      <c r="G2218" s="246">
        <v>38100</v>
      </c>
      <c r="H2218" s="246">
        <v>43550</v>
      </c>
      <c r="I2218" s="246">
        <v>49000</v>
      </c>
      <c r="J2218" s="246">
        <v>54400</v>
      </c>
      <c r="K2218" s="246">
        <v>58800</v>
      </c>
      <c r="L2218" s="246">
        <v>63150</v>
      </c>
      <c r="M2218" s="246">
        <v>67500</v>
      </c>
      <c r="N2218" s="246">
        <v>71850</v>
      </c>
    </row>
    <row r="2219" spans="3:14" ht="21.95" customHeight="1" x14ac:dyDescent="0.25">
      <c r="C2219" s="139" t="str">
        <f t="shared" si="50"/>
        <v>SC_WILLIAMSBURG COUNTY, SC</v>
      </c>
      <c r="D2219" s="136" t="s">
        <v>66</v>
      </c>
      <c r="E2219" s="262" t="s">
        <v>4751</v>
      </c>
      <c r="F2219" s="136" t="s">
        <v>183</v>
      </c>
      <c r="G2219" s="246">
        <v>38100</v>
      </c>
      <c r="H2219" s="246">
        <v>43550</v>
      </c>
      <c r="I2219" s="246">
        <v>49000</v>
      </c>
      <c r="J2219" s="246">
        <v>54400</v>
      </c>
      <c r="K2219" s="246">
        <v>58800</v>
      </c>
      <c r="L2219" s="246">
        <v>63150</v>
      </c>
      <c r="M2219" s="246">
        <v>67500</v>
      </c>
      <c r="N2219" s="246">
        <v>71850</v>
      </c>
    </row>
    <row r="2220" spans="3:14" ht="21.95" customHeight="1" x14ac:dyDescent="0.25">
      <c r="C2220" s="139" t="str">
        <f t="shared" si="50"/>
        <v>SD_AURORA COUNTY, SD</v>
      </c>
      <c r="D2220" s="136" t="s">
        <v>65</v>
      </c>
      <c r="E2220" s="262" t="s">
        <v>4752</v>
      </c>
      <c r="F2220" s="136" t="s">
        <v>183</v>
      </c>
      <c r="G2220" s="246">
        <v>52600</v>
      </c>
      <c r="H2220" s="246">
        <v>60100</v>
      </c>
      <c r="I2220" s="246">
        <v>67600</v>
      </c>
      <c r="J2220" s="246">
        <v>75100</v>
      </c>
      <c r="K2220" s="246">
        <v>81150</v>
      </c>
      <c r="L2220" s="246">
        <v>87150</v>
      </c>
      <c r="M2220" s="246">
        <v>93150</v>
      </c>
      <c r="N2220" s="246">
        <v>99150</v>
      </c>
    </row>
    <row r="2221" spans="3:14" ht="21.95" customHeight="1" x14ac:dyDescent="0.25">
      <c r="C2221" s="139" t="str">
        <f t="shared" si="50"/>
        <v>SD_BEADLE COUNTY, SD</v>
      </c>
      <c r="D2221" s="136" t="s">
        <v>65</v>
      </c>
      <c r="E2221" s="262" t="s">
        <v>4753</v>
      </c>
      <c r="F2221" s="136" t="s">
        <v>183</v>
      </c>
      <c r="G2221" s="246">
        <v>52600</v>
      </c>
      <c r="H2221" s="246">
        <v>60100</v>
      </c>
      <c r="I2221" s="246">
        <v>67600</v>
      </c>
      <c r="J2221" s="246">
        <v>75100</v>
      </c>
      <c r="K2221" s="246">
        <v>81150</v>
      </c>
      <c r="L2221" s="246">
        <v>87150</v>
      </c>
      <c r="M2221" s="246">
        <v>93150</v>
      </c>
      <c r="N2221" s="246">
        <v>99150</v>
      </c>
    </row>
    <row r="2222" spans="3:14" ht="21.95" customHeight="1" x14ac:dyDescent="0.25">
      <c r="C2222" s="139" t="str">
        <f t="shared" si="50"/>
        <v>SD_BENNETT COUNTY, SD</v>
      </c>
      <c r="D2222" s="136" t="s">
        <v>65</v>
      </c>
      <c r="E2222" s="262" t="s">
        <v>4754</v>
      </c>
      <c r="F2222" s="136" t="s">
        <v>183</v>
      </c>
      <c r="G2222" s="246">
        <v>52600</v>
      </c>
      <c r="H2222" s="246">
        <v>60100</v>
      </c>
      <c r="I2222" s="246">
        <v>67600</v>
      </c>
      <c r="J2222" s="246">
        <v>75100</v>
      </c>
      <c r="K2222" s="246">
        <v>81150</v>
      </c>
      <c r="L2222" s="246">
        <v>87150</v>
      </c>
      <c r="M2222" s="246">
        <v>93150</v>
      </c>
      <c r="N2222" s="246">
        <v>99150</v>
      </c>
    </row>
    <row r="2223" spans="3:14" ht="21.95" customHeight="1" x14ac:dyDescent="0.25">
      <c r="C2223" s="139" t="str">
        <f t="shared" si="50"/>
        <v>SD_BON HOMME COUNTY, SD</v>
      </c>
      <c r="D2223" s="136" t="s">
        <v>65</v>
      </c>
      <c r="E2223" s="262" t="s">
        <v>4755</v>
      </c>
      <c r="F2223" s="136" t="s">
        <v>183</v>
      </c>
      <c r="G2223" s="246">
        <v>52600</v>
      </c>
      <c r="H2223" s="246">
        <v>60100</v>
      </c>
      <c r="I2223" s="246">
        <v>67600</v>
      </c>
      <c r="J2223" s="246">
        <v>75100</v>
      </c>
      <c r="K2223" s="246">
        <v>81150</v>
      </c>
      <c r="L2223" s="246">
        <v>87150</v>
      </c>
      <c r="M2223" s="246">
        <v>93150</v>
      </c>
      <c r="N2223" s="246">
        <v>99150</v>
      </c>
    </row>
    <row r="2224" spans="3:14" ht="21.95" customHeight="1" x14ac:dyDescent="0.25">
      <c r="C2224" s="139" t="str">
        <f t="shared" si="50"/>
        <v>SD_BROOKINGS COUNTY, SD</v>
      </c>
      <c r="D2224" s="136" t="s">
        <v>65</v>
      </c>
      <c r="E2224" s="262" t="s">
        <v>4756</v>
      </c>
      <c r="F2224" s="136" t="s">
        <v>183</v>
      </c>
      <c r="G2224" s="246">
        <v>63500</v>
      </c>
      <c r="H2224" s="246">
        <v>72550</v>
      </c>
      <c r="I2224" s="246">
        <v>81600</v>
      </c>
      <c r="J2224" s="246">
        <v>90650</v>
      </c>
      <c r="K2224" s="246">
        <v>97950</v>
      </c>
      <c r="L2224" s="246">
        <v>105200</v>
      </c>
      <c r="M2224" s="246">
        <v>112450</v>
      </c>
      <c r="N2224" s="246">
        <v>119700</v>
      </c>
    </row>
    <row r="2225" spans="3:14" ht="21.95" customHeight="1" x14ac:dyDescent="0.25">
      <c r="C2225" s="139" t="str">
        <f t="shared" si="50"/>
        <v>SD_BROWN COUNTY, SD</v>
      </c>
      <c r="D2225" s="136" t="s">
        <v>65</v>
      </c>
      <c r="E2225" s="262" t="s">
        <v>4757</v>
      </c>
      <c r="F2225" s="136" t="s">
        <v>183</v>
      </c>
      <c r="G2225" s="246">
        <v>59050</v>
      </c>
      <c r="H2225" s="246">
        <v>67450</v>
      </c>
      <c r="I2225" s="246">
        <v>75900</v>
      </c>
      <c r="J2225" s="246">
        <v>84300</v>
      </c>
      <c r="K2225" s="246">
        <v>91050</v>
      </c>
      <c r="L2225" s="246">
        <v>97800</v>
      </c>
      <c r="M2225" s="246">
        <v>104550</v>
      </c>
      <c r="N2225" s="246">
        <v>111300</v>
      </c>
    </row>
    <row r="2226" spans="3:14" ht="21.95" customHeight="1" x14ac:dyDescent="0.25">
      <c r="C2226" s="139" t="str">
        <f t="shared" si="50"/>
        <v>SD_BRULE COUNTY, SD</v>
      </c>
      <c r="D2226" s="136" t="s">
        <v>65</v>
      </c>
      <c r="E2226" s="262" t="s">
        <v>4758</v>
      </c>
      <c r="F2226" s="136" t="s">
        <v>183</v>
      </c>
      <c r="G2226" s="246">
        <v>55800</v>
      </c>
      <c r="H2226" s="246">
        <v>63800</v>
      </c>
      <c r="I2226" s="246">
        <v>71750</v>
      </c>
      <c r="J2226" s="246">
        <v>79700</v>
      </c>
      <c r="K2226" s="246">
        <v>86100</v>
      </c>
      <c r="L2226" s="246">
        <v>92500</v>
      </c>
      <c r="M2226" s="246">
        <v>98850</v>
      </c>
      <c r="N2226" s="246">
        <v>105250</v>
      </c>
    </row>
    <row r="2227" spans="3:14" ht="21.95" customHeight="1" x14ac:dyDescent="0.25">
      <c r="C2227" s="139" t="str">
        <f t="shared" si="50"/>
        <v>SD_BUFFALO COUNTY, SD</v>
      </c>
      <c r="D2227" s="136" t="s">
        <v>65</v>
      </c>
      <c r="E2227" s="262" t="s">
        <v>4759</v>
      </c>
      <c r="F2227" s="136" t="s">
        <v>183</v>
      </c>
      <c r="G2227" s="246">
        <v>52600</v>
      </c>
      <c r="H2227" s="246">
        <v>60100</v>
      </c>
      <c r="I2227" s="246">
        <v>67600</v>
      </c>
      <c r="J2227" s="246">
        <v>75100</v>
      </c>
      <c r="K2227" s="246">
        <v>81150</v>
      </c>
      <c r="L2227" s="246">
        <v>87150</v>
      </c>
      <c r="M2227" s="246">
        <v>93150</v>
      </c>
      <c r="N2227" s="246">
        <v>99150</v>
      </c>
    </row>
    <row r="2228" spans="3:14" ht="21.95" customHeight="1" x14ac:dyDescent="0.25">
      <c r="C2228" s="139" t="str">
        <f t="shared" si="50"/>
        <v>SD_BUTTE COUNTY, SD</v>
      </c>
      <c r="D2228" s="136" t="s">
        <v>65</v>
      </c>
      <c r="E2228" s="262" t="s">
        <v>4760</v>
      </c>
      <c r="F2228" s="136" t="s">
        <v>183</v>
      </c>
      <c r="G2228" s="246">
        <v>54950</v>
      </c>
      <c r="H2228" s="246">
        <v>62800</v>
      </c>
      <c r="I2228" s="246">
        <v>70650</v>
      </c>
      <c r="J2228" s="246">
        <v>78500</v>
      </c>
      <c r="K2228" s="246">
        <v>84800</v>
      </c>
      <c r="L2228" s="246">
        <v>91100</v>
      </c>
      <c r="M2228" s="246">
        <v>97350</v>
      </c>
      <c r="N2228" s="246">
        <v>103650</v>
      </c>
    </row>
    <row r="2229" spans="3:14" ht="21.95" customHeight="1" x14ac:dyDescent="0.25">
      <c r="C2229" s="139" t="str">
        <f t="shared" si="50"/>
        <v>SD_CAMPBELL COUNTY, SD</v>
      </c>
      <c r="D2229" s="136" t="s">
        <v>65</v>
      </c>
      <c r="E2229" s="262" t="s">
        <v>4761</v>
      </c>
      <c r="F2229" s="136" t="s">
        <v>183</v>
      </c>
      <c r="G2229" s="246">
        <v>57150</v>
      </c>
      <c r="H2229" s="246">
        <v>65300</v>
      </c>
      <c r="I2229" s="246">
        <v>73450</v>
      </c>
      <c r="J2229" s="246">
        <v>81600</v>
      </c>
      <c r="K2229" s="246">
        <v>88150</v>
      </c>
      <c r="L2229" s="246">
        <v>94700</v>
      </c>
      <c r="M2229" s="246">
        <v>101200</v>
      </c>
      <c r="N2229" s="246">
        <v>107750</v>
      </c>
    </row>
    <row r="2230" spans="3:14" ht="21.95" customHeight="1" x14ac:dyDescent="0.25">
      <c r="C2230" s="139" t="str">
        <f t="shared" si="50"/>
        <v>SD_CHARLES MIX COUNTY, SD</v>
      </c>
      <c r="D2230" s="136" t="s">
        <v>65</v>
      </c>
      <c r="E2230" s="262" t="s">
        <v>4762</v>
      </c>
      <c r="F2230" s="136" t="s">
        <v>183</v>
      </c>
      <c r="G2230" s="246">
        <v>52600</v>
      </c>
      <c r="H2230" s="246">
        <v>60100</v>
      </c>
      <c r="I2230" s="246">
        <v>67600</v>
      </c>
      <c r="J2230" s="246">
        <v>75100</v>
      </c>
      <c r="K2230" s="246">
        <v>81150</v>
      </c>
      <c r="L2230" s="246">
        <v>87150</v>
      </c>
      <c r="M2230" s="246">
        <v>93150</v>
      </c>
      <c r="N2230" s="246">
        <v>99150</v>
      </c>
    </row>
    <row r="2231" spans="3:14" ht="21.95" customHeight="1" x14ac:dyDescent="0.25">
      <c r="C2231" s="139" t="str">
        <f t="shared" si="50"/>
        <v>SD_CLARK COUNTY, SD</v>
      </c>
      <c r="D2231" s="136" t="s">
        <v>65</v>
      </c>
      <c r="E2231" s="262" t="s">
        <v>4763</v>
      </c>
      <c r="F2231" s="136" t="s">
        <v>183</v>
      </c>
      <c r="G2231" s="246">
        <v>52600</v>
      </c>
      <c r="H2231" s="246">
        <v>60100</v>
      </c>
      <c r="I2231" s="246">
        <v>67600</v>
      </c>
      <c r="J2231" s="246">
        <v>75100</v>
      </c>
      <c r="K2231" s="246">
        <v>81150</v>
      </c>
      <c r="L2231" s="246">
        <v>87150</v>
      </c>
      <c r="M2231" s="246">
        <v>93150</v>
      </c>
      <c r="N2231" s="246">
        <v>99150</v>
      </c>
    </row>
    <row r="2232" spans="3:14" ht="21.95" customHeight="1" x14ac:dyDescent="0.25">
      <c r="C2232" s="139" t="str">
        <f t="shared" si="50"/>
        <v>SD_CLAY COUNTY, SD</v>
      </c>
      <c r="D2232" s="136" t="s">
        <v>65</v>
      </c>
      <c r="E2232" s="262" t="s">
        <v>4764</v>
      </c>
      <c r="F2232" s="136" t="s">
        <v>183</v>
      </c>
      <c r="G2232" s="246">
        <v>58100</v>
      </c>
      <c r="H2232" s="246">
        <v>66400</v>
      </c>
      <c r="I2232" s="246">
        <v>74700</v>
      </c>
      <c r="J2232" s="246">
        <v>82950</v>
      </c>
      <c r="K2232" s="246">
        <v>89600</v>
      </c>
      <c r="L2232" s="246">
        <v>96250</v>
      </c>
      <c r="M2232" s="246">
        <v>102900</v>
      </c>
      <c r="N2232" s="246">
        <v>109500</v>
      </c>
    </row>
    <row r="2233" spans="3:14" ht="21.95" customHeight="1" x14ac:dyDescent="0.25">
      <c r="C2233" s="139" t="str">
        <f t="shared" si="50"/>
        <v>SD_CODINGTON COUNTY, SD</v>
      </c>
      <c r="D2233" s="136" t="s">
        <v>65</v>
      </c>
      <c r="E2233" s="262" t="s">
        <v>4765</v>
      </c>
      <c r="F2233" s="136" t="s">
        <v>183</v>
      </c>
      <c r="G2233" s="246">
        <v>52600</v>
      </c>
      <c r="H2233" s="246">
        <v>60100</v>
      </c>
      <c r="I2233" s="246">
        <v>67600</v>
      </c>
      <c r="J2233" s="246">
        <v>75100</v>
      </c>
      <c r="K2233" s="246">
        <v>81150</v>
      </c>
      <c r="L2233" s="246">
        <v>87150</v>
      </c>
      <c r="M2233" s="246">
        <v>93150</v>
      </c>
      <c r="N2233" s="246">
        <v>99150</v>
      </c>
    </row>
    <row r="2234" spans="3:14" ht="21.95" customHeight="1" x14ac:dyDescent="0.25">
      <c r="C2234" s="139" t="str">
        <f t="shared" si="50"/>
        <v>SD_CORSON COUNTY, SD</v>
      </c>
      <c r="D2234" s="136" t="s">
        <v>65</v>
      </c>
      <c r="E2234" s="262" t="s">
        <v>4766</v>
      </c>
      <c r="F2234" s="136" t="s">
        <v>183</v>
      </c>
      <c r="G2234" s="246">
        <v>52600</v>
      </c>
      <c r="H2234" s="246">
        <v>60100</v>
      </c>
      <c r="I2234" s="246">
        <v>67600</v>
      </c>
      <c r="J2234" s="246">
        <v>75100</v>
      </c>
      <c r="K2234" s="246">
        <v>81150</v>
      </c>
      <c r="L2234" s="246">
        <v>87150</v>
      </c>
      <c r="M2234" s="246">
        <v>93150</v>
      </c>
      <c r="N2234" s="246">
        <v>99150</v>
      </c>
    </row>
    <row r="2235" spans="3:14" ht="21.95" customHeight="1" x14ac:dyDescent="0.25">
      <c r="C2235" s="139" t="str">
        <f t="shared" si="50"/>
        <v>SD_CUSTER COUNTY, SD HUD METRO FMR AREA</v>
      </c>
      <c r="D2235" s="136" t="s">
        <v>65</v>
      </c>
      <c r="E2235" s="262" t="s">
        <v>9256</v>
      </c>
      <c r="F2235" s="136" t="s">
        <v>183</v>
      </c>
      <c r="G2235" s="246">
        <v>55800</v>
      </c>
      <c r="H2235" s="246">
        <v>63800</v>
      </c>
      <c r="I2235" s="246">
        <v>71750</v>
      </c>
      <c r="J2235" s="246">
        <v>79700</v>
      </c>
      <c r="K2235" s="246">
        <v>86100</v>
      </c>
      <c r="L2235" s="246">
        <v>92500</v>
      </c>
      <c r="M2235" s="246">
        <v>98850</v>
      </c>
      <c r="N2235" s="246">
        <v>105250</v>
      </c>
    </row>
    <row r="2236" spans="3:14" ht="21.95" customHeight="1" x14ac:dyDescent="0.25">
      <c r="C2236" s="139" t="str">
        <f t="shared" si="50"/>
        <v>SD_DAVISON COUNTY, SD</v>
      </c>
      <c r="D2236" s="136" t="s">
        <v>65</v>
      </c>
      <c r="E2236" s="262" t="s">
        <v>4767</v>
      </c>
      <c r="F2236" s="136" t="s">
        <v>183</v>
      </c>
      <c r="G2236" s="246">
        <v>55450</v>
      </c>
      <c r="H2236" s="246">
        <v>63400</v>
      </c>
      <c r="I2236" s="246">
        <v>71300</v>
      </c>
      <c r="J2236" s="246">
        <v>79200</v>
      </c>
      <c r="K2236" s="246">
        <v>85550</v>
      </c>
      <c r="L2236" s="246">
        <v>91900</v>
      </c>
      <c r="M2236" s="246">
        <v>98250</v>
      </c>
      <c r="N2236" s="246">
        <v>104550</v>
      </c>
    </row>
    <row r="2237" spans="3:14" ht="21.95" customHeight="1" x14ac:dyDescent="0.25">
      <c r="C2237" s="139" t="str">
        <f t="shared" si="50"/>
        <v>SD_DAY COUNTY, SD</v>
      </c>
      <c r="D2237" s="136" t="s">
        <v>65</v>
      </c>
      <c r="E2237" s="262" t="s">
        <v>4768</v>
      </c>
      <c r="F2237" s="136" t="s">
        <v>183</v>
      </c>
      <c r="G2237" s="246">
        <v>52600</v>
      </c>
      <c r="H2237" s="246">
        <v>60100</v>
      </c>
      <c r="I2237" s="246">
        <v>67600</v>
      </c>
      <c r="J2237" s="246">
        <v>75100</v>
      </c>
      <c r="K2237" s="246">
        <v>81150</v>
      </c>
      <c r="L2237" s="246">
        <v>87150</v>
      </c>
      <c r="M2237" s="246">
        <v>93150</v>
      </c>
      <c r="N2237" s="246">
        <v>99150</v>
      </c>
    </row>
    <row r="2238" spans="3:14" ht="21.95" customHeight="1" x14ac:dyDescent="0.25">
      <c r="C2238" s="139" t="str">
        <f t="shared" si="50"/>
        <v>SD_DEUEL COUNTY, SD</v>
      </c>
      <c r="D2238" s="136" t="s">
        <v>65</v>
      </c>
      <c r="E2238" s="262" t="s">
        <v>4769</v>
      </c>
      <c r="F2238" s="136" t="s">
        <v>183</v>
      </c>
      <c r="G2238" s="246">
        <v>55800</v>
      </c>
      <c r="H2238" s="246">
        <v>63750</v>
      </c>
      <c r="I2238" s="246">
        <v>71700</v>
      </c>
      <c r="J2238" s="246">
        <v>79650</v>
      </c>
      <c r="K2238" s="246">
        <v>86050</v>
      </c>
      <c r="L2238" s="246">
        <v>92400</v>
      </c>
      <c r="M2238" s="246">
        <v>98800</v>
      </c>
      <c r="N2238" s="246">
        <v>105150</v>
      </c>
    </row>
    <row r="2239" spans="3:14" ht="21.95" customHeight="1" x14ac:dyDescent="0.25">
      <c r="C2239" s="139" t="str">
        <f t="shared" si="50"/>
        <v>SD_DEWEY COUNTY, SD</v>
      </c>
      <c r="D2239" s="136" t="s">
        <v>65</v>
      </c>
      <c r="E2239" s="262" t="s">
        <v>4770</v>
      </c>
      <c r="F2239" s="136" t="s">
        <v>183</v>
      </c>
      <c r="G2239" s="246">
        <v>52600</v>
      </c>
      <c r="H2239" s="246">
        <v>60100</v>
      </c>
      <c r="I2239" s="246">
        <v>67600</v>
      </c>
      <c r="J2239" s="246">
        <v>75100</v>
      </c>
      <c r="K2239" s="246">
        <v>81150</v>
      </c>
      <c r="L2239" s="246">
        <v>87150</v>
      </c>
      <c r="M2239" s="246">
        <v>93150</v>
      </c>
      <c r="N2239" s="246">
        <v>99150</v>
      </c>
    </row>
    <row r="2240" spans="3:14" ht="21.95" customHeight="1" x14ac:dyDescent="0.25">
      <c r="C2240" s="139" t="str">
        <f t="shared" ref="C2240:C2303" si="51">TRIM(UPPER(D2240))&amp;"_"&amp;TRIM(UPPER(E2240))</f>
        <v>SD_DOUGLAS COUNTY, SD</v>
      </c>
      <c r="D2240" s="136" t="s">
        <v>65</v>
      </c>
      <c r="E2240" s="262" t="s">
        <v>4771</v>
      </c>
      <c r="F2240" s="136" t="s">
        <v>183</v>
      </c>
      <c r="G2240" s="246">
        <v>56150</v>
      </c>
      <c r="H2240" s="246">
        <v>64150</v>
      </c>
      <c r="I2240" s="246">
        <v>72150</v>
      </c>
      <c r="J2240" s="246">
        <v>80150</v>
      </c>
      <c r="K2240" s="246">
        <v>86600</v>
      </c>
      <c r="L2240" s="246">
        <v>93000</v>
      </c>
      <c r="M2240" s="246">
        <v>99400</v>
      </c>
      <c r="N2240" s="246">
        <v>105800</v>
      </c>
    </row>
    <row r="2241" spans="3:14" ht="21.95" customHeight="1" x14ac:dyDescent="0.25">
      <c r="C2241" s="139" t="str">
        <f t="shared" si="51"/>
        <v>SD_EDMUNDS COUNTY, SD</v>
      </c>
      <c r="D2241" s="136" t="s">
        <v>65</v>
      </c>
      <c r="E2241" s="262" t="s">
        <v>4772</v>
      </c>
      <c r="F2241" s="136" t="s">
        <v>183</v>
      </c>
      <c r="G2241" s="246">
        <v>54850</v>
      </c>
      <c r="H2241" s="246">
        <v>62650</v>
      </c>
      <c r="I2241" s="246">
        <v>70500</v>
      </c>
      <c r="J2241" s="246">
        <v>78300</v>
      </c>
      <c r="K2241" s="246">
        <v>84600</v>
      </c>
      <c r="L2241" s="246">
        <v>90850</v>
      </c>
      <c r="M2241" s="246">
        <v>97100</v>
      </c>
      <c r="N2241" s="246">
        <v>103400</v>
      </c>
    </row>
    <row r="2242" spans="3:14" ht="21.95" customHeight="1" x14ac:dyDescent="0.25">
      <c r="C2242" s="139" t="str">
        <f t="shared" si="51"/>
        <v>SD_FALL RIVER COUNTY, SD</v>
      </c>
      <c r="D2242" s="136" t="s">
        <v>65</v>
      </c>
      <c r="E2242" s="262" t="s">
        <v>4773</v>
      </c>
      <c r="F2242" s="136" t="s">
        <v>183</v>
      </c>
      <c r="G2242" s="246">
        <v>52600</v>
      </c>
      <c r="H2242" s="246">
        <v>60100</v>
      </c>
      <c r="I2242" s="246">
        <v>67600</v>
      </c>
      <c r="J2242" s="246">
        <v>75100</v>
      </c>
      <c r="K2242" s="246">
        <v>81150</v>
      </c>
      <c r="L2242" s="246">
        <v>87150</v>
      </c>
      <c r="M2242" s="246">
        <v>93150</v>
      </c>
      <c r="N2242" s="246">
        <v>99150</v>
      </c>
    </row>
    <row r="2243" spans="3:14" ht="21.95" customHeight="1" x14ac:dyDescent="0.25">
      <c r="C2243" s="139" t="str">
        <f t="shared" si="51"/>
        <v>SD_FAULK COUNTY, SD</v>
      </c>
      <c r="D2243" s="136" t="s">
        <v>65</v>
      </c>
      <c r="E2243" s="262" t="s">
        <v>4774</v>
      </c>
      <c r="F2243" s="136" t="s">
        <v>183</v>
      </c>
      <c r="G2243" s="246">
        <v>58450</v>
      </c>
      <c r="H2243" s="246">
        <v>66800</v>
      </c>
      <c r="I2243" s="246">
        <v>75150</v>
      </c>
      <c r="J2243" s="246">
        <v>83500</v>
      </c>
      <c r="K2243" s="246">
        <v>90200</v>
      </c>
      <c r="L2243" s="246">
        <v>96900</v>
      </c>
      <c r="M2243" s="246">
        <v>103550</v>
      </c>
      <c r="N2243" s="246">
        <v>110250</v>
      </c>
    </row>
    <row r="2244" spans="3:14" ht="21.95" customHeight="1" x14ac:dyDescent="0.25">
      <c r="C2244" s="139" t="str">
        <f t="shared" si="51"/>
        <v>SD_GRANT COUNTY, SD</v>
      </c>
      <c r="D2244" s="136" t="s">
        <v>65</v>
      </c>
      <c r="E2244" s="262" t="s">
        <v>4775</v>
      </c>
      <c r="F2244" s="136" t="s">
        <v>183</v>
      </c>
      <c r="G2244" s="246">
        <v>56950</v>
      </c>
      <c r="H2244" s="246">
        <v>65050</v>
      </c>
      <c r="I2244" s="246">
        <v>73200</v>
      </c>
      <c r="J2244" s="246">
        <v>81300</v>
      </c>
      <c r="K2244" s="246">
        <v>87850</v>
      </c>
      <c r="L2244" s="246">
        <v>94350</v>
      </c>
      <c r="M2244" s="246">
        <v>100850</v>
      </c>
      <c r="N2244" s="246">
        <v>107350</v>
      </c>
    </row>
    <row r="2245" spans="3:14" ht="21.95" customHeight="1" x14ac:dyDescent="0.25">
      <c r="C2245" s="139" t="str">
        <f t="shared" si="51"/>
        <v>SD_GREGORY COUNTY, SD</v>
      </c>
      <c r="D2245" s="136" t="s">
        <v>65</v>
      </c>
      <c r="E2245" s="262" t="s">
        <v>4776</v>
      </c>
      <c r="F2245" s="136" t="s">
        <v>183</v>
      </c>
      <c r="G2245" s="246">
        <v>52600</v>
      </c>
      <c r="H2245" s="246">
        <v>60100</v>
      </c>
      <c r="I2245" s="246">
        <v>67600</v>
      </c>
      <c r="J2245" s="246">
        <v>75100</v>
      </c>
      <c r="K2245" s="246">
        <v>81150</v>
      </c>
      <c r="L2245" s="246">
        <v>87150</v>
      </c>
      <c r="M2245" s="246">
        <v>93150</v>
      </c>
      <c r="N2245" s="246">
        <v>99150</v>
      </c>
    </row>
    <row r="2246" spans="3:14" ht="21.95" customHeight="1" x14ac:dyDescent="0.25">
      <c r="C2246" s="139" t="str">
        <f t="shared" si="51"/>
        <v>SD_HAAKON COUNTY, SD</v>
      </c>
      <c r="D2246" s="136" t="s">
        <v>65</v>
      </c>
      <c r="E2246" s="262" t="s">
        <v>4777</v>
      </c>
      <c r="F2246" s="136" t="s">
        <v>183</v>
      </c>
      <c r="G2246" s="246">
        <v>52600</v>
      </c>
      <c r="H2246" s="246">
        <v>60100</v>
      </c>
      <c r="I2246" s="246">
        <v>67600</v>
      </c>
      <c r="J2246" s="246">
        <v>75100</v>
      </c>
      <c r="K2246" s="246">
        <v>81150</v>
      </c>
      <c r="L2246" s="246">
        <v>87150</v>
      </c>
      <c r="M2246" s="246">
        <v>93150</v>
      </c>
      <c r="N2246" s="246">
        <v>99150</v>
      </c>
    </row>
    <row r="2247" spans="3:14" ht="21.95" customHeight="1" x14ac:dyDescent="0.25">
      <c r="C2247" s="139" t="str">
        <f t="shared" si="51"/>
        <v>SD_HAMLIN COUNTY, SD</v>
      </c>
      <c r="D2247" s="136" t="s">
        <v>65</v>
      </c>
      <c r="E2247" s="262" t="s">
        <v>4778</v>
      </c>
      <c r="F2247" s="136" t="s">
        <v>183</v>
      </c>
      <c r="G2247" s="246">
        <v>54950</v>
      </c>
      <c r="H2247" s="246">
        <v>62800</v>
      </c>
      <c r="I2247" s="246">
        <v>70650</v>
      </c>
      <c r="J2247" s="246">
        <v>78500</v>
      </c>
      <c r="K2247" s="246">
        <v>84800</v>
      </c>
      <c r="L2247" s="246">
        <v>91100</v>
      </c>
      <c r="M2247" s="246">
        <v>97350</v>
      </c>
      <c r="N2247" s="246">
        <v>103650</v>
      </c>
    </row>
    <row r="2248" spans="3:14" ht="21.95" customHeight="1" x14ac:dyDescent="0.25">
      <c r="C2248" s="139" t="str">
        <f t="shared" si="51"/>
        <v>SD_HAND COUNTY, SD</v>
      </c>
      <c r="D2248" s="136" t="s">
        <v>65</v>
      </c>
      <c r="E2248" s="262" t="s">
        <v>4779</v>
      </c>
      <c r="F2248" s="136" t="s">
        <v>183</v>
      </c>
      <c r="G2248" s="246">
        <v>57800</v>
      </c>
      <c r="H2248" s="246">
        <v>66050</v>
      </c>
      <c r="I2248" s="246">
        <v>74300</v>
      </c>
      <c r="J2248" s="246">
        <v>82550</v>
      </c>
      <c r="K2248" s="246">
        <v>89200</v>
      </c>
      <c r="L2248" s="246">
        <v>95800</v>
      </c>
      <c r="M2248" s="246">
        <v>102400</v>
      </c>
      <c r="N2248" s="246">
        <v>109000</v>
      </c>
    </row>
    <row r="2249" spans="3:14" ht="21.95" customHeight="1" x14ac:dyDescent="0.25">
      <c r="C2249" s="139" t="str">
        <f t="shared" si="51"/>
        <v>SD_HANSON COUNTY, SD</v>
      </c>
      <c r="D2249" s="136" t="s">
        <v>65</v>
      </c>
      <c r="E2249" s="262" t="s">
        <v>4780</v>
      </c>
      <c r="F2249" s="136" t="s">
        <v>183</v>
      </c>
      <c r="G2249" s="246">
        <v>59850</v>
      </c>
      <c r="H2249" s="246">
        <v>68400</v>
      </c>
      <c r="I2249" s="246">
        <v>76950</v>
      </c>
      <c r="J2249" s="246">
        <v>85450</v>
      </c>
      <c r="K2249" s="246">
        <v>92300</v>
      </c>
      <c r="L2249" s="246">
        <v>99150</v>
      </c>
      <c r="M2249" s="246">
        <v>106000</v>
      </c>
      <c r="N2249" s="246">
        <v>112800</v>
      </c>
    </row>
    <row r="2250" spans="3:14" ht="21.95" customHeight="1" x14ac:dyDescent="0.25">
      <c r="C2250" s="139" t="str">
        <f t="shared" si="51"/>
        <v>SD_HARDING COUNTY, SD</v>
      </c>
      <c r="D2250" s="136" t="s">
        <v>65</v>
      </c>
      <c r="E2250" s="262" t="s">
        <v>4781</v>
      </c>
      <c r="F2250" s="136" t="s">
        <v>183</v>
      </c>
      <c r="G2250" s="246">
        <v>52600</v>
      </c>
      <c r="H2250" s="246">
        <v>60100</v>
      </c>
      <c r="I2250" s="246">
        <v>67600</v>
      </c>
      <c r="J2250" s="246">
        <v>75100</v>
      </c>
      <c r="K2250" s="246">
        <v>81150</v>
      </c>
      <c r="L2250" s="246">
        <v>87150</v>
      </c>
      <c r="M2250" s="246">
        <v>93150</v>
      </c>
      <c r="N2250" s="246">
        <v>99150</v>
      </c>
    </row>
    <row r="2251" spans="3:14" ht="21.95" customHeight="1" x14ac:dyDescent="0.25">
      <c r="C2251" s="139" t="str">
        <f t="shared" si="51"/>
        <v>SD_HUGHES COUNTY, SD</v>
      </c>
      <c r="D2251" s="136" t="s">
        <v>65</v>
      </c>
      <c r="E2251" s="262" t="s">
        <v>4782</v>
      </c>
      <c r="F2251" s="136" t="s">
        <v>183</v>
      </c>
      <c r="G2251" s="246">
        <v>57250</v>
      </c>
      <c r="H2251" s="246">
        <v>65400</v>
      </c>
      <c r="I2251" s="246">
        <v>73600</v>
      </c>
      <c r="J2251" s="246">
        <v>81750</v>
      </c>
      <c r="K2251" s="246">
        <v>88300</v>
      </c>
      <c r="L2251" s="246">
        <v>94850</v>
      </c>
      <c r="M2251" s="246">
        <v>101400</v>
      </c>
      <c r="N2251" s="246">
        <v>107950</v>
      </c>
    </row>
    <row r="2252" spans="3:14" ht="21.95" customHeight="1" x14ac:dyDescent="0.25">
      <c r="C2252" s="139" t="str">
        <f t="shared" si="51"/>
        <v>SD_HUTCHINSON COUNTY, SD</v>
      </c>
      <c r="D2252" s="136" t="s">
        <v>65</v>
      </c>
      <c r="E2252" s="262" t="s">
        <v>4783</v>
      </c>
      <c r="F2252" s="136" t="s">
        <v>183</v>
      </c>
      <c r="G2252" s="246">
        <v>58150</v>
      </c>
      <c r="H2252" s="246">
        <v>66450</v>
      </c>
      <c r="I2252" s="246">
        <v>74750</v>
      </c>
      <c r="J2252" s="246">
        <v>83050</v>
      </c>
      <c r="K2252" s="246">
        <v>89700</v>
      </c>
      <c r="L2252" s="246">
        <v>96350</v>
      </c>
      <c r="M2252" s="246">
        <v>103000</v>
      </c>
      <c r="N2252" s="246">
        <v>109650</v>
      </c>
    </row>
    <row r="2253" spans="3:14" ht="21.95" customHeight="1" x14ac:dyDescent="0.25">
      <c r="C2253" s="139" t="str">
        <f t="shared" si="51"/>
        <v>SD_HYDE COUNTY, SD</v>
      </c>
      <c r="D2253" s="136" t="s">
        <v>65</v>
      </c>
      <c r="E2253" s="262" t="s">
        <v>4784</v>
      </c>
      <c r="F2253" s="136" t="s">
        <v>183</v>
      </c>
      <c r="G2253" s="246">
        <v>54950</v>
      </c>
      <c r="H2253" s="246">
        <v>62800</v>
      </c>
      <c r="I2253" s="246">
        <v>70650</v>
      </c>
      <c r="J2253" s="246">
        <v>78500</v>
      </c>
      <c r="K2253" s="246">
        <v>84800</v>
      </c>
      <c r="L2253" s="246">
        <v>91100</v>
      </c>
      <c r="M2253" s="246">
        <v>97350</v>
      </c>
      <c r="N2253" s="246">
        <v>103650</v>
      </c>
    </row>
    <row r="2254" spans="3:14" ht="21.95" customHeight="1" x14ac:dyDescent="0.25">
      <c r="C2254" s="139" t="str">
        <f t="shared" si="51"/>
        <v>SD_JACKSON COUNTY, SD</v>
      </c>
      <c r="D2254" s="136" t="s">
        <v>65</v>
      </c>
      <c r="E2254" s="262" t="s">
        <v>4785</v>
      </c>
      <c r="F2254" s="136" t="s">
        <v>183</v>
      </c>
      <c r="G2254" s="246">
        <v>52600</v>
      </c>
      <c r="H2254" s="246">
        <v>60100</v>
      </c>
      <c r="I2254" s="246">
        <v>67600</v>
      </c>
      <c r="J2254" s="246">
        <v>75100</v>
      </c>
      <c r="K2254" s="246">
        <v>81150</v>
      </c>
      <c r="L2254" s="246">
        <v>87150</v>
      </c>
      <c r="M2254" s="246">
        <v>93150</v>
      </c>
      <c r="N2254" s="246">
        <v>99150</v>
      </c>
    </row>
    <row r="2255" spans="3:14" ht="21.95" customHeight="1" x14ac:dyDescent="0.25">
      <c r="C2255" s="139" t="str">
        <f t="shared" si="51"/>
        <v>SD_JERAULD COUNTY, SD</v>
      </c>
      <c r="D2255" s="136" t="s">
        <v>65</v>
      </c>
      <c r="E2255" s="262" t="s">
        <v>4786</v>
      </c>
      <c r="F2255" s="136" t="s">
        <v>183</v>
      </c>
      <c r="G2255" s="246">
        <v>55800</v>
      </c>
      <c r="H2255" s="246">
        <v>63800</v>
      </c>
      <c r="I2255" s="246">
        <v>71750</v>
      </c>
      <c r="J2255" s="246">
        <v>79700</v>
      </c>
      <c r="K2255" s="246">
        <v>86100</v>
      </c>
      <c r="L2255" s="246">
        <v>92500</v>
      </c>
      <c r="M2255" s="246">
        <v>98850</v>
      </c>
      <c r="N2255" s="246">
        <v>105250</v>
      </c>
    </row>
    <row r="2256" spans="3:14" ht="21.95" customHeight="1" x14ac:dyDescent="0.25">
      <c r="C2256" s="139" t="str">
        <f t="shared" si="51"/>
        <v>SD_JONES COUNTY, SD</v>
      </c>
      <c r="D2256" s="136" t="s">
        <v>65</v>
      </c>
      <c r="E2256" s="262" t="s">
        <v>4787</v>
      </c>
      <c r="F2256" s="136" t="s">
        <v>183</v>
      </c>
      <c r="G2256" s="246">
        <v>52600</v>
      </c>
      <c r="H2256" s="246">
        <v>60100</v>
      </c>
      <c r="I2256" s="246">
        <v>67600</v>
      </c>
      <c r="J2256" s="246">
        <v>75100</v>
      </c>
      <c r="K2256" s="246">
        <v>81150</v>
      </c>
      <c r="L2256" s="246">
        <v>87150</v>
      </c>
      <c r="M2256" s="246">
        <v>93150</v>
      </c>
      <c r="N2256" s="246">
        <v>99150</v>
      </c>
    </row>
    <row r="2257" spans="3:14" ht="21.95" customHeight="1" x14ac:dyDescent="0.25">
      <c r="C2257" s="139" t="str">
        <f t="shared" si="51"/>
        <v>SD_KINGSBURY COUNTY, SD</v>
      </c>
      <c r="D2257" s="136" t="s">
        <v>65</v>
      </c>
      <c r="E2257" s="262" t="s">
        <v>4788</v>
      </c>
      <c r="F2257" s="136" t="s">
        <v>183</v>
      </c>
      <c r="G2257" s="246">
        <v>55400</v>
      </c>
      <c r="H2257" s="246">
        <v>63300</v>
      </c>
      <c r="I2257" s="246">
        <v>71200</v>
      </c>
      <c r="J2257" s="246">
        <v>79100</v>
      </c>
      <c r="K2257" s="246">
        <v>85450</v>
      </c>
      <c r="L2257" s="246">
        <v>91800</v>
      </c>
      <c r="M2257" s="246">
        <v>98100</v>
      </c>
      <c r="N2257" s="246">
        <v>104450</v>
      </c>
    </row>
    <row r="2258" spans="3:14" ht="21.95" customHeight="1" x14ac:dyDescent="0.25">
      <c r="C2258" s="139" t="str">
        <f t="shared" si="51"/>
        <v>SD_LAKE COUNTY, SD</v>
      </c>
      <c r="D2258" s="136" t="s">
        <v>65</v>
      </c>
      <c r="E2258" s="262" t="s">
        <v>4789</v>
      </c>
      <c r="F2258" s="136" t="s">
        <v>183</v>
      </c>
      <c r="G2258" s="246">
        <v>57700</v>
      </c>
      <c r="H2258" s="246">
        <v>65950</v>
      </c>
      <c r="I2258" s="246">
        <v>74200</v>
      </c>
      <c r="J2258" s="246">
        <v>82400</v>
      </c>
      <c r="K2258" s="246">
        <v>89000</v>
      </c>
      <c r="L2258" s="246">
        <v>95600</v>
      </c>
      <c r="M2258" s="246">
        <v>102200</v>
      </c>
      <c r="N2258" s="246">
        <v>108800</v>
      </c>
    </row>
    <row r="2259" spans="3:14" ht="21.95" customHeight="1" x14ac:dyDescent="0.25">
      <c r="C2259" s="139" t="str">
        <f t="shared" si="51"/>
        <v>SD_LAWRENCE COUNTY, SD</v>
      </c>
      <c r="D2259" s="136" t="s">
        <v>65</v>
      </c>
      <c r="E2259" s="262" t="s">
        <v>4790</v>
      </c>
      <c r="F2259" s="136" t="s">
        <v>183</v>
      </c>
      <c r="G2259" s="246">
        <v>53850</v>
      </c>
      <c r="H2259" s="246">
        <v>61550</v>
      </c>
      <c r="I2259" s="246">
        <v>69250</v>
      </c>
      <c r="J2259" s="246">
        <v>76900</v>
      </c>
      <c r="K2259" s="246">
        <v>83100</v>
      </c>
      <c r="L2259" s="246">
        <v>89250</v>
      </c>
      <c r="M2259" s="246">
        <v>95400</v>
      </c>
      <c r="N2259" s="246">
        <v>101550</v>
      </c>
    </row>
    <row r="2260" spans="3:14" ht="21.95" customHeight="1" x14ac:dyDescent="0.25">
      <c r="C2260" s="139" t="str">
        <f t="shared" si="51"/>
        <v>SD_LYMAN COUNTY, SD</v>
      </c>
      <c r="D2260" s="136" t="s">
        <v>65</v>
      </c>
      <c r="E2260" s="262" t="s">
        <v>4791</v>
      </c>
      <c r="F2260" s="136" t="s">
        <v>183</v>
      </c>
      <c r="G2260" s="246">
        <v>52600</v>
      </c>
      <c r="H2260" s="246">
        <v>60100</v>
      </c>
      <c r="I2260" s="246">
        <v>67600</v>
      </c>
      <c r="J2260" s="246">
        <v>75100</v>
      </c>
      <c r="K2260" s="246">
        <v>81150</v>
      </c>
      <c r="L2260" s="246">
        <v>87150</v>
      </c>
      <c r="M2260" s="246">
        <v>93150</v>
      </c>
      <c r="N2260" s="246">
        <v>99150</v>
      </c>
    </row>
    <row r="2261" spans="3:14" ht="21.95" customHeight="1" x14ac:dyDescent="0.25">
      <c r="C2261" s="139" t="str">
        <f t="shared" si="51"/>
        <v>SD_MARSHALL COUNTY, SD</v>
      </c>
      <c r="D2261" s="136" t="s">
        <v>65</v>
      </c>
      <c r="E2261" s="262" t="s">
        <v>4792</v>
      </c>
      <c r="F2261" s="136" t="s">
        <v>183</v>
      </c>
      <c r="G2261" s="246">
        <v>59200</v>
      </c>
      <c r="H2261" s="246">
        <v>67650</v>
      </c>
      <c r="I2261" s="246">
        <v>76100</v>
      </c>
      <c r="J2261" s="246">
        <v>84550</v>
      </c>
      <c r="K2261" s="246">
        <v>91350</v>
      </c>
      <c r="L2261" s="246">
        <v>98100</v>
      </c>
      <c r="M2261" s="246">
        <v>104850</v>
      </c>
      <c r="N2261" s="246">
        <v>111650</v>
      </c>
    </row>
    <row r="2262" spans="3:14" ht="21.95" customHeight="1" x14ac:dyDescent="0.25">
      <c r="C2262" s="139" t="str">
        <f t="shared" si="51"/>
        <v>SD_MCPHERSON COUNTY, SD</v>
      </c>
      <c r="D2262" s="136" t="s">
        <v>65</v>
      </c>
      <c r="E2262" s="262" t="s">
        <v>4793</v>
      </c>
      <c r="F2262" s="136" t="s">
        <v>183</v>
      </c>
      <c r="G2262" s="246">
        <v>52600</v>
      </c>
      <c r="H2262" s="246">
        <v>60100</v>
      </c>
      <c r="I2262" s="246">
        <v>67600</v>
      </c>
      <c r="J2262" s="246">
        <v>75100</v>
      </c>
      <c r="K2262" s="246">
        <v>81150</v>
      </c>
      <c r="L2262" s="246">
        <v>87150</v>
      </c>
      <c r="M2262" s="246">
        <v>93150</v>
      </c>
      <c r="N2262" s="246">
        <v>99150</v>
      </c>
    </row>
    <row r="2263" spans="3:14" ht="21.95" customHeight="1" x14ac:dyDescent="0.25">
      <c r="C2263" s="139" t="str">
        <f t="shared" si="51"/>
        <v>SD_MEADE COUNTY, SD HUD METRO FMR AREA</v>
      </c>
      <c r="D2263" s="136" t="s">
        <v>65</v>
      </c>
      <c r="E2263" s="262" t="s">
        <v>4794</v>
      </c>
      <c r="F2263" s="136" t="s">
        <v>183</v>
      </c>
      <c r="G2263" s="246">
        <v>55900</v>
      </c>
      <c r="H2263" s="246">
        <v>63900</v>
      </c>
      <c r="I2263" s="246">
        <v>71900</v>
      </c>
      <c r="J2263" s="246">
        <v>79850</v>
      </c>
      <c r="K2263" s="246">
        <v>86250</v>
      </c>
      <c r="L2263" s="246">
        <v>92650</v>
      </c>
      <c r="M2263" s="246">
        <v>99050</v>
      </c>
      <c r="N2263" s="246">
        <v>105450</v>
      </c>
    </row>
    <row r="2264" spans="3:14" ht="21.95" customHeight="1" x14ac:dyDescent="0.25">
      <c r="C2264" s="139" t="str">
        <f t="shared" si="51"/>
        <v>SD_MELLETTE COUNTY, SD</v>
      </c>
      <c r="D2264" s="136" t="s">
        <v>65</v>
      </c>
      <c r="E2264" s="262" t="s">
        <v>4795</v>
      </c>
      <c r="F2264" s="136" t="s">
        <v>183</v>
      </c>
      <c r="G2264" s="246">
        <v>52600</v>
      </c>
      <c r="H2264" s="246">
        <v>60100</v>
      </c>
      <c r="I2264" s="246">
        <v>67600</v>
      </c>
      <c r="J2264" s="246">
        <v>75100</v>
      </c>
      <c r="K2264" s="246">
        <v>81150</v>
      </c>
      <c r="L2264" s="246">
        <v>87150</v>
      </c>
      <c r="M2264" s="246">
        <v>93150</v>
      </c>
      <c r="N2264" s="246">
        <v>99150</v>
      </c>
    </row>
    <row r="2265" spans="3:14" ht="21.95" customHeight="1" x14ac:dyDescent="0.25">
      <c r="C2265" s="139" t="str">
        <f t="shared" si="51"/>
        <v>SD_MINER COUNTY, SD</v>
      </c>
      <c r="D2265" s="136" t="s">
        <v>65</v>
      </c>
      <c r="E2265" s="262" t="s">
        <v>4796</v>
      </c>
      <c r="F2265" s="136" t="s">
        <v>183</v>
      </c>
      <c r="G2265" s="246">
        <v>55800</v>
      </c>
      <c r="H2265" s="246">
        <v>63800</v>
      </c>
      <c r="I2265" s="246">
        <v>71750</v>
      </c>
      <c r="J2265" s="246">
        <v>79700</v>
      </c>
      <c r="K2265" s="246">
        <v>86100</v>
      </c>
      <c r="L2265" s="246">
        <v>92500</v>
      </c>
      <c r="M2265" s="246">
        <v>98850</v>
      </c>
      <c r="N2265" s="246">
        <v>105250</v>
      </c>
    </row>
    <row r="2266" spans="3:14" ht="21.95" customHeight="1" x14ac:dyDescent="0.25">
      <c r="C2266" s="139" t="str">
        <f t="shared" si="51"/>
        <v>SD_MOODY COUNTY, SD</v>
      </c>
      <c r="D2266" s="136" t="s">
        <v>65</v>
      </c>
      <c r="E2266" s="262" t="s">
        <v>4797</v>
      </c>
      <c r="F2266" s="136" t="s">
        <v>183</v>
      </c>
      <c r="G2266" s="246">
        <v>58950</v>
      </c>
      <c r="H2266" s="246">
        <v>67350</v>
      </c>
      <c r="I2266" s="246">
        <v>75750</v>
      </c>
      <c r="J2266" s="246">
        <v>84150</v>
      </c>
      <c r="K2266" s="246">
        <v>90900</v>
      </c>
      <c r="L2266" s="246">
        <v>97650</v>
      </c>
      <c r="M2266" s="246">
        <v>104350</v>
      </c>
      <c r="N2266" s="246">
        <v>111100</v>
      </c>
    </row>
    <row r="2267" spans="3:14" ht="21.95" customHeight="1" x14ac:dyDescent="0.25">
      <c r="C2267" s="139" t="str">
        <f t="shared" si="51"/>
        <v>SD_OGLALA LAKOTA COUNTY</v>
      </c>
      <c r="D2267" s="136" t="s">
        <v>65</v>
      </c>
      <c r="E2267" s="262" t="s">
        <v>4798</v>
      </c>
      <c r="F2267" s="136" t="s">
        <v>183</v>
      </c>
      <c r="G2267" s="246">
        <v>52600</v>
      </c>
      <c r="H2267" s="246">
        <v>60100</v>
      </c>
      <c r="I2267" s="246">
        <v>67600</v>
      </c>
      <c r="J2267" s="246">
        <v>75100</v>
      </c>
      <c r="K2267" s="246">
        <v>81150</v>
      </c>
      <c r="L2267" s="246">
        <v>87150</v>
      </c>
      <c r="M2267" s="246">
        <v>93150</v>
      </c>
      <c r="N2267" s="246">
        <v>99150</v>
      </c>
    </row>
    <row r="2268" spans="3:14" ht="21.95" customHeight="1" x14ac:dyDescent="0.25">
      <c r="C2268" s="139" t="str">
        <f t="shared" si="51"/>
        <v>SD_PERKINS COUNTY, SD</v>
      </c>
      <c r="D2268" s="136" t="s">
        <v>65</v>
      </c>
      <c r="E2268" s="262" t="s">
        <v>4799</v>
      </c>
      <c r="F2268" s="136" t="s">
        <v>183</v>
      </c>
      <c r="G2268" s="246">
        <v>52600</v>
      </c>
      <c r="H2268" s="246">
        <v>60100</v>
      </c>
      <c r="I2268" s="246">
        <v>67600</v>
      </c>
      <c r="J2268" s="246">
        <v>75100</v>
      </c>
      <c r="K2268" s="246">
        <v>81150</v>
      </c>
      <c r="L2268" s="246">
        <v>87150</v>
      </c>
      <c r="M2268" s="246">
        <v>93150</v>
      </c>
      <c r="N2268" s="246">
        <v>99150</v>
      </c>
    </row>
    <row r="2269" spans="3:14" ht="21.95" customHeight="1" x14ac:dyDescent="0.25">
      <c r="C2269" s="139" t="str">
        <f t="shared" si="51"/>
        <v>SD_POTTER COUNTY, SD</v>
      </c>
      <c r="D2269" s="136" t="s">
        <v>65</v>
      </c>
      <c r="E2269" s="262" t="s">
        <v>4800</v>
      </c>
      <c r="F2269" s="136" t="s">
        <v>183</v>
      </c>
      <c r="G2269" s="246">
        <v>55800</v>
      </c>
      <c r="H2269" s="246">
        <v>63800</v>
      </c>
      <c r="I2269" s="246">
        <v>71750</v>
      </c>
      <c r="J2269" s="246">
        <v>79700</v>
      </c>
      <c r="K2269" s="246">
        <v>86100</v>
      </c>
      <c r="L2269" s="246">
        <v>92500</v>
      </c>
      <c r="M2269" s="246">
        <v>98850</v>
      </c>
      <c r="N2269" s="246">
        <v>105250</v>
      </c>
    </row>
    <row r="2270" spans="3:14" ht="21.95" customHeight="1" x14ac:dyDescent="0.25">
      <c r="C2270" s="139" t="str">
        <f t="shared" si="51"/>
        <v>SD_RAPID CITY, SD HUD METRO FMR AREA</v>
      </c>
      <c r="D2270" s="136" t="s">
        <v>65</v>
      </c>
      <c r="E2270" s="262" t="s">
        <v>4801</v>
      </c>
      <c r="F2270" s="136" t="s">
        <v>183</v>
      </c>
      <c r="G2270" s="246">
        <v>54950</v>
      </c>
      <c r="H2270" s="246">
        <v>62800</v>
      </c>
      <c r="I2270" s="246">
        <v>70650</v>
      </c>
      <c r="J2270" s="246">
        <v>78500</v>
      </c>
      <c r="K2270" s="246">
        <v>84800</v>
      </c>
      <c r="L2270" s="246">
        <v>91100</v>
      </c>
      <c r="M2270" s="246">
        <v>97350</v>
      </c>
      <c r="N2270" s="246">
        <v>103650</v>
      </c>
    </row>
    <row r="2271" spans="3:14" ht="21.95" customHeight="1" x14ac:dyDescent="0.25">
      <c r="C2271" s="139" t="str">
        <f t="shared" si="51"/>
        <v>SD_ROBERTS COUNTY, SD</v>
      </c>
      <c r="D2271" s="136" t="s">
        <v>65</v>
      </c>
      <c r="E2271" s="262" t="s">
        <v>4802</v>
      </c>
      <c r="F2271" s="136" t="s">
        <v>183</v>
      </c>
      <c r="G2271" s="246">
        <v>52600</v>
      </c>
      <c r="H2271" s="246">
        <v>60100</v>
      </c>
      <c r="I2271" s="246">
        <v>67600</v>
      </c>
      <c r="J2271" s="246">
        <v>75100</v>
      </c>
      <c r="K2271" s="246">
        <v>81150</v>
      </c>
      <c r="L2271" s="246">
        <v>87150</v>
      </c>
      <c r="M2271" s="246">
        <v>93150</v>
      </c>
      <c r="N2271" s="246">
        <v>99150</v>
      </c>
    </row>
    <row r="2272" spans="3:14" ht="21.95" customHeight="1" x14ac:dyDescent="0.25">
      <c r="C2272" s="139" t="str">
        <f t="shared" si="51"/>
        <v>SD_SANBORN COUNTY, SD</v>
      </c>
      <c r="D2272" s="136" t="s">
        <v>65</v>
      </c>
      <c r="E2272" s="262" t="s">
        <v>4803</v>
      </c>
      <c r="F2272" s="136" t="s">
        <v>183</v>
      </c>
      <c r="G2272" s="246">
        <v>54950</v>
      </c>
      <c r="H2272" s="246">
        <v>62800</v>
      </c>
      <c r="I2272" s="246">
        <v>70650</v>
      </c>
      <c r="J2272" s="246">
        <v>78500</v>
      </c>
      <c r="K2272" s="246">
        <v>84800</v>
      </c>
      <c r="L2272" s="246">
        <v>91100</v>
      </c>
      <c r="M2272" s="246">
        <v>97350</v>
      </c>
      <c r="N2272" s="246">
        <v>103650</v>
      </c>
    </row>
    <row r="2273" spans="3:14" ht="21.95" customHeight="1" x14ac:dyDescent="0.25">
      <c r="C2273" s="139" t="str">
        <f t="shared" si="51"/>
        <v>SD_SIOUX CITY, IA-NE-SD MSA</v>
      </c>
      <c r="D2273" s="136" t="s">
        <v>65</v>
      </c>
      <c r="E2273" s="262" t="s">
        <v>3448</v>
      </c>
      <c r="F2273" s="136" t="s">
        <v>183</v>
      </c>
      <c r="G2273" s="246">
        <v>51550</v>
      </c>
      <c r="H2273" s="246">
        <v>58900</v>
      </c>
      <c r="I2273" s="246">
        <v>66250</v>
      </c>
      <c r="J2273" s="246">
        <v>73600</v>
      </c>
      <c r="K2273" s="246">
        <v>79500</v>
      </c>
      <c r="L2273" s="246">
        <v>85400</v>
      </c>
      <c r="M2273" s="246">
        <v>91300</v>
      </c>
      <c r="N2273" s="246">
        <v>97200</v>
      </c>
    </row>
    <row r="2274" spans="3:14" ht="21.95" customHeight="1" x14ac:dyDescent="0.25">
      <c r="C2274" s="139" t="str">
        <f t="shared" si="51"/>
        <v>SD_SIOUX FALLS, SD HUD METRO FMR AREA</v>
      </c>
      <c r="D2274" s="136" t="s">
        <v>65</v>
      </c>
      <c r="E2274" s="262" t="s">
        <v>9257</v>
      </c>
      <c r="F2274" s="136" t="s">
        <v>183</v>
      </c>
      <c r="G2274" s="246">
        <v>62850</v>
      </c>
      <c r="H2274" s="246">
        <v>71800</v>
      </c>
      <c r="I2274" s="246">
        <v>80800</v>
      </c>
      <c r="J2274" s="246">
        <v>89750</v>
      </c>
      <c r="K2274" s="246">
        <v>96950</v>
      </c>
      <c r="L2274" s="246">
        <v>104150</v>
      </c>
      <c r="M2274" s="246">
        <v>111300</v>
      </c>
      <c r="N2274" s="246">
        <v>118500</v>
      </c>
    </row>
    <row r="2275" spans="3:14" ht="21.95" customHeight="1" x14ac:dyDescent="0.25">
      <c r="C2275" s="139" t="str">
        <f t="shared" si="51"/>
        <v>SD_SPINK COUNTY, SD</v>
      </c>
      <c r="D2275" s="136" t="s">
        <v>65</v>
      </c>
      <c r="E2275" s="262" t="s">
        <v>4804</v>
      </c>
      <c r="F2275" s="136" t="s">
        <v>183</v>
      </c>
      <c r="G2275" s="246">
        <v>55800</v>
      </c>
      <c r="H2275" s="246">
        <v>63800</v>
      </c>
      <c r="I2275" s="246">
        <v>71750</v>
      </c>
      <c r="J2275" s="246">
        <v>79700</v>
      </c>
      <c r="K2275" s="246">
        <v>86100</v>
      </c>
      <c r="L2275" s="246">
        <v>92500</v>
      </c>
      <c r="M2275" s="246">
        <v>98850</v>
      </c>
      <c r="N2275" s="246">
        <v>105250</v>
      </c>
    </row>
    <row r="2276" spans="3:14" ht="21.95" customHeight="1" x14ac:dyDescent="0.25">
      <c r="C2276" s="139" t="str">
        <f t="shared" si="51"/>
        <v>SD_STANLEY COUNTY, SD</v>
      </c>
      <c r="D2276" s="136" t="s">
        <v>65</v>
      </c>
      <c r="E2276" s="262" t="s">
        <v>4805</v>
      </c>
      <c r="F2276" s="136" t="s">
        <v>183</v>
      </c>
      <c r="G2276" s="246">
        <v>63600</v>
      </c>
      <c r="H2276" s="246">
        <v>72700</v>
      </c>
      <c r="I2276" s="246">
        <v>81800</v>
      </c>
      <c r="J2276" s="246">
        <v>90850</v>
      </c>
      <c r="K2276" s="246">
        <v>98150</v>
      </c>
      <c r="L2276" s="246">
        <v>105400</v>
      </c>
      <c r="M2276" s="246">
        <v>112700</v>
      </c>
      <c r="N2276" s="246">
        <v>119950</v>
      </c>
    </row>
    <row r="2277" spans="3:14" ht="21.95" customHeight="1" x14ac:dyDescent="0.25">
      <c r="C2277" s="139" t="str">
        <f t="shared" si="51"/>
        <v>SD_SULLY COUNTY, SD</v>
      </c>
      <c r="D2277" s="136" t="s">
        <v>65</v>
      </c>
      <c r="E2277" s="262" t="s">
        <v>4806</v>
      </c>
      <c r="F2277" s="136" t="s">
        <v>183</v>
      </c>
      <c r="G2277" s="246">
        <v>56800</v>
      </c>
      <c r="H2277" s="246">
        <v>64900</v>
      </c>
      <c r="I2277" s="246">
        <v>73000</v>
      </c>
      <c r="J2277" s="246">
        <v>81100</v>
      </c>
      <c r="K2277" s="246">
        <v>87600</v>
      </c>
      <c r="L2277" s="246">
        <v>94100</v>
      </c>
      <c r="M2277" s="246">
        <v>100600</v>
      </c>
      <c r="N2277" s="246">
        <v>107100</v>
      </c>
    </row>
    <row r="2278" spans="3:14" ht="21.95" customHeight="1" x14ac:dyDescent="0.25">
      <c r="C2278" s="139" t="str">
        <f t="shared" si="51"/>
        <v>SD_TODD COUNTY, SD</v>
      </c>
      <c r="D2278" s="136" t="s">
        <v>65</v>
      </c>
      <c r="E2278" s="262" t="s">
        <v>4807</v>
      </c>
      <c r="F2278" s="136" t="s">
        <v>183</v>
      </c>
      <c r="G2278" s="246">
        <v>52600</v>
      </c>
      <c r="H2278" s="246">
        <v>60100</v>
      </c>
      <c r="I2278" s="246">
        <v>67600</v>
      </c>
      <c r="J2278" s="246">
        <v>75100</v>
      </c>
      <c r="K2278" s="246">
        <v>81150</v>
      </c>
      <c r="L2278" s="246">
        <v>87150</v>
      </c>
      <c r="M2278" s="246">
        <v>93150</v>
      </c>
      <c r="N2278" s="246">
        <v>99150</v>
      </c>
    </row>
    <row r="2279" spans="3:14" ht="21.95" customHeight="1" x14ac:dyDescent="0.25">
      <c r="C2279" s="139" t="str">
        <f t="shared" si="51"/>
        <v>SD_TRIPP COUNTY, SD</v>
      </c>
      <c r="D2279" s="136" t="s">
        <v>65</v>
      </c>
      <c r="E2279" s="262" t="s">
        <v>4808</v>
      </c>
      <c r="F2279" s="136" t="s">
        <v>183</v>
      </c>
      <c r="G2279" s="246">
        <v>52600</v>
      </c>
      <c r="H2279" s="246">
        <v>60100</v>
      </c>
      <c r="I2279" s="246">
        <v>67600</v>
      </c>
      <c r="J2279" s="246">
        <v>75100</v>
      </c>
      <c r="K2279" s="246">
        <v>81150</v>
      </c>
      <c r="L2279" s="246">
        <v>87150</v>
      </c>
      <c r="M2279" s="246">
        <v>93150</v>
      </c>
      <c r="N2279" s="246">
        <v>99150</v>
      </c>
    </row>
    <row r="2280" spans="3:14" ht="21.95" customHeight="1" x14ac:dyDescent="0.25">
      <c r="C2280" s="139" t="str">
        <f t="shared" si="51"/>
        <v>SD_WALWORTH COUNTY, SD</v>
      </c>
      <c r="D2280" s="136" t="s">
        <v>65</v>
      </c>
      <c r="E2280" s="262" t="s">
        <v>4809</v>
      </c>
      <c r="F2280" s="136" t="s">
        <v>183</v>
      </c>
      <c r="G2280" s="246">
        <v>52600</v>
      </c>
      <c r="H2280" s="246">
        <v>60100</v>
      </c>
      <c r="I2280" s="246">
        <v>67600</v>
      </c>
      <c r="J2280" s="246">
        <v>75100</v>
      </c>
      <c r="K2280" s="246">
        <v>81150</v>
      </c>
      <c r="L2280" s="246">
        <v>87150</v>
      </c>
      <c r="M2280" s="246">
        <v>93150</v>
      </c>
      <c r="N2280" s="246">
        <v>99150</v>
      </c>
    </row>
    <row r="2281" spans="3:14" ht="21.95" customHeight="1" x14ac:dyDescent="0.25">
      <c r="C2281" s="139" t="str">
        <f t="shared" si="51"/>
        <v>SD_YANKTON COUNTY, SD</v>
      </c>
      <c r="D2281" s="136" t="s">
        <v>65</v>
      </c>
      <c r="E2281" s="262" t="s">
        <v>4810</v>
      </c>
      <c r="F2281" s="136" t="s">
        <v>183</v>
      </c>
      <c r="G2281" s="246">
        <v>57300</v>
      </c>
      <c r="H2281" s="246">
        <v>65500</v>
      </c>
      <c r="I2281" s="246">
        <v>73700</v>
      </c>
      <c r="J2281" s="246">
        <v>81850</v>
      </c>
      <c r="K2281" s="246">
        <v>88400</v>
      </c>
      <c r="L2281" s="246">
        <v>94950</v>
      </c>
      <c r="M2281" s="246">
        <v>101500</v>
      </c>
      <c r="N2281" s="246">
        <v>108050</v>
      </c>
    </row>
    <row r="2282" spans="3:14" ht="21.95" customHeight="1" x14ac:dyDescent="0.25">
      <c r="C2282" s="139" t="str">
        <f t="shared" si="51"/>
        <v>SD_ZIEBACH COUNTY, SD</v>
      </c>
      <c r="D2282" s="136" t="s">
        <v>65</v>
      </c>
      <c r="E2282" s="262" t="s">
        <v>4811</v>
      </c>
      <c r="F2282" s="136" t="s">
        <v>183</v>
      </c>
      <c r="G2282" s="246">
        <v>52600</v>
      </c>
      <c r="H2282" s="246">
        <v>60100</v>
      </c>
      <c r="I2282" s="246">
        <v>67600</v>
      </c>
      <c r="J2282" s="246">
        <v>75100</v>
      </c>
      <c r="K2282" s="246">
        <v>81150</v>
      </c>
      <c r="L2282" s="246">
        <v>87150</v>
      </c>
      <c r="M2282" s="246">
        <v>93150</v>
      </c>
      <c r="N2282" s="246">
        <v>99150</v>
      </c>
    </row>
    <row r="2283" spans="3:14" ht="21.95" customHeight="1" x14ac:dyDescent="0.25">
      <c r="C2283" s="139" t="str">
        <f t="shared" si="51"/>
        <v>TN_BEDFORD COUNTY, TN</v>
      </c>
      <c r="D2283" s="136" t="s">
        <v>64</v>
      </c>
      <c r="E2283" s="262" t="s">
        <v>4812</v>
      </c>
      <c r="F2283" s="136" t="s">
        <v>183</v>
      </c>
      <c r="G2283" s="246">
        <v>44000</v>
      </c>
      <c r="H2283" s="246">
        <v>50250</v>
      </c>
      <c r="I2283" s="246">
        <v>56550</v>
      </c>
      <c r="J2283" s="246">
        <v>62800</v>
      </c>
      <c r="K2283" s="246">
        <v>67850</v>
      </c>
      <c r="L2283" s="246">
        <v>72850</v>
      </c>
      <c r="M2283" s="246">
        <v>77900</v>
      </c>
      <c r="N2283" s="246">
        <v>82900</v>
      </c>
    </row>
    <row r="2284" spans="3:14" ht="21.95" customHeight="1" x14ac:dyDescent="0.25">
      <c r="C2284" s="139" t="str">
        <f t="shared" si="51"/>
        <v>TN_BENTON COUNTY, TN</v>
      </c>
      <c r="D2284" s="136" t="s">
        <v>64</v>
      </c>
      <c r="E2284" s="262" t="s">
        <v>4813</v>
      </c>
      <c r="F2284" s="136" t="s">
        <v>183</v>
      </c>
      <c r="G2284" s="246">
        <v>42350</v>
      </c>
      <c r="H2284" s="246">
        <v>48400</v>
      </c>
      <c r="I2284" s="246">
        <v>54450</v>
      </c>
      <c r="J2284" s="246">
        <v>60500</v>
      </c>
      <c r="K2284" s="246">
        <v>65350</v>
      </c>
      <c r="L2284" s="246">
        <v>70200</v>
      </c>
      <c r="M2284" s="246">
        <v>75050</v>
      </c>
      <c r="N2284" s="246">
        <v>79900</v>
      </c>
    </row>
    <row r="2285" spans="3:14" ht="21.95" customHeight="1" x14ac:dyDescent="0.25">
      <c r="C2285" s="139" t="str">
        <f t="shared" si="51"/>
        <v>TN_BLEDSOE COUNTY, TN</v>
      </c>
      <c r="D2285" s="136" t="s">
        <v>64</v>
      </c>
      <c r="E2285" s="262" t="s">
        <v>4814</v>
      </c>
      <c r="F2285" s="136" t="s">
        <v>183</v>
      </c>
      <c r="G2285" s="246">
        <v>41950</v>
      </c>
      <c r="H2285" s="246">
        <v>47950</v>
      </c>
      <c r="I2285" s="246">
        <v>53950</v>
      </c>
      <c r="J2285" s="246">
        <v>59900</v>
      </c>
      <c r="K2285" s="246">
        <v>64700</v>
      </c>
      <c r="L2285" s="246">
        <v>69500</v>
      </c>
      <c r="M2285" s="246">
        <v>74300</v>
      </c>
      <c r="N2285" s="246">
        <v>79100</v>
      </c>
    </row>
    <row r="2286" spans="3:14" ht="21.95" customHeight="1" x14ac:dyDescent="0.25">
      <c r="C2286" s="139" t="str">
        <f t="shared" si="51"/>
        <v>TN_CAMPBELL COUNTY, TN HUD METRO FMR AREA</v>
      </c>
      <c r="D2286" s="136" t="s">
        <v>64</v>
      </c>
      <c r="E2286" s="262" t="s">
        <v>4815</v>
      </c>
      <c r="F2286" s="136" t="s">
        <v>183</v>
      </c>
      <c r="G2286" s="246">
        <v>41950</v>
      </c>
      <c r="H2286" s="246">
        <v>47950</v>
      </c>
      <c r="I2286" s="246">
        <v>53950</v>
      </c>
      <c r="J2286" s="246">
        <v>59900</v>
      </c>
      <c r="K2286" s="246">
        <v>64700</v>
      </c>
      <c r="L2286" s="246">
        <v>69500</v>
      </c>
      <c r="M2286" s="246">
        <v>74300</v>
      </c>
      <c r="N2286" s="246">
        <v>79100</v>
      </c>
    </row>
    <row r="2287" spans="3:14" ht="21.95" customHeight="1" x14ac:dyDescent="0.25">
      <c r="C2287" s="139" t="str">
        <f t="shared" si="51"/>
        <v>TN_CARROLL COUNTY, TN</v>
      </c>
      <c r="D2287" s="136" t="s">
        <v>64</v>
      </c>
      <c r="E2287" s="262" t="s">
        <v>4816</v>
      </c>
      <c r="F2287" s="136" t="s">
        <v>183</v>
      </c>
      <c r="G2287" s="246">
        <v>44250</v>
      </c>
      <c r="H2287" s="246">
        <v>50600</v>
      </c>
      <c r="I2287" s="246">
        <v>56900</v>
      </c>
      <c r="J2287" s="246">
        <v>63200</v>
      </c>
      <c r="K2287" s="246">
        <v>68300</v>
      </c>
      <c r="L2287" s="246">
        <v>73350</v>
      </c>
      <c r="M2287" s="246">
        <v>78400</v>
      </c>
      <c r="N2287" s="246">
        <v>83450</v>
      </c>
    </row>
    <row r="2288" spans="3:14" ht="21.95" customHeight="1" x14ac:dyDescent="0.25">
      <c r="C2288" s="139" t="str">
        <f t="shared" si="51"/>
        <v>TN_CHATTANOOGA, TN-GA MSA</v>
      </c>
      <c r="D2288" s="136" t="s">
        <v>64</v>
      </c>
      <c r="E2288" s="262" t="s">
        <v>3278</v>
      </c>
      <c r="F2288" s="136" t="s">
        <v>183</v>
      </c>
      <c r="G2288" s="246">
        <v>53500</v>
      </c>
      <c r="H2288" s="246">
        <v>61150</v>
      </c>
      <c r="I2288" s="246">
        <v>68800</v>
      </c>
      <c r="J2288" s="246">
        <v>76400</v>
      </c>
      <c r="K2288" s="246">
        <v>82550</v>
      </c>
      <c r="L2288" s="246">
        <v>88650</v>
      </c>
      <c r="M2288" s="246">
        <v>94750</v>
      </c>
      <c r="N2288" s="246">
        <v>100850</v>
      </c>
    </row>
    <row r="2289" spans="3:14" ht="21.95" customHeight="1" x14ac:dyDescent="0.25">
      <c r="C2289" s="139" t="str">
        <f t="shared" si="51"/>
        <v>TN_CLAIBORNE COUNTY, TN</v>
      </c>
      <c r="D2289" s="136" t="s">
        <v>64</v>
      </c>
      <c r="E2289" s="262" t="s">
        <v>4817</v>
      </c>
      <c r="F2289" s="136" t="s">
        <v>183</v>
      </c>
      <c r="G2289" s="246">
        <v>41950</v>
      </c>
      <c r="H2289" s="246">
        <v>47950</v>
      </c>
      <c r="I2289" s="246">
        <v>53950</v>
      </c>
      <c r="J2289" s="246">
        <v>59900</v>
      </c>
      <c r="K2289" s="246">
        <v>64700</v>
      </c>
      <c r="L2289" s="246">
        <v>69500</v>
      </c>
      <c r="M2289" s="246">
        <v>74300</v>
      </c>
      <c r="N2289" s="246">
        <v>79100</v>
      </c>
    </row>
    <row r="2290" spans="3:14" ht="21.95" customHeight="1" x14ac:dyDescent="0.25">
      <c r="C2290" s="139" t="str">
        <f t="shared" si="51"/>
        <v>TN_CLARKSVILLE, TN-KY HUD METRO FMR AREA</v>
      </c>
      <c r="D2290" s="136" t="s">
        <v>64</v>
      </c>
      <c r="E2290" s="262" t="s">
        <v>3749</v>
      </c>
      <c r="F2290" s="136" t="s">
        <v>183</v>
      </c>
      <c r="G2290" s="246">
        <v>49100</v>
      </c>
      <c r="H2290" s="246">
        <v>56100</v>
      </c>
      <c r="I2290" s="246">
        <v>63100</v>
      </c>
      <c r="J2290" s="246">
        <v>70100</v>
      </c>
      <c r="K2290" s="246">
        <v>75750</v>
      </c>
      <c r="L2290" s="246">
        <v>81350</v>
      </c>
      <c r="M2290" s="246">
        <v>86950</v>
      </c>
      <c r="N2290" s="246">
        <v>92550</v>
      </c>
    </row>
    <row r="2291" spans="3:14" ht="21.95" customHeight="1" x14ac:dyDescent="0.25">
      <c r="C2291" s="139" t="str">
        <f t="shared" si="51"/>
        <v>TN_CLAY COUNTY, TN</v>
      </c>
      <c r="D2291" s="136" t="s">
        <v>64</v>
      </c>
      <c r="E2291" s="262" t="s">
        <v>4818</v>
      </c>
      <c r="F2291" s="136" t="s">
        <v>183</v>
      </c>
      <c r="G2291" s="246">
        <v>41950</v>
      </c>
      <c r="H2291" s="246">
        <v>47950</v>
      </c>
      <c r="I2291" s="246">
        <v>53950</v>
      </c>
      <c r="J2291" s="246">
        <v>59900</v>
      </c>
      <c r="K2291" s="246">
        <v>64700</v>
      </c>
      <c r="L2291" s="246">
        <v>69500</v>
      </c>
      <c r="M2291" s="246">
        <v>74300</v>
      </c>
      <c r="N2291" s="246">
        <v>79100</v>
      </c>
    </row>
    <row r="2292" spans="3:14" ht="21.95" customHeight="1" x14ac:dyDescent="0.25">
      <c r="C2292" s="139" t="str">
        <f t="shared" si="51"/>
        <v>TN_CLEVELAND, TN MSA</v>
      </c>
      <c r="D2292" s="136" t="s">
        <v>64</v>
      </c>
      <c r="E2292" s="262" t="s">
        <v>4819</v>
      </c>
      <c r="F2292" s="136" t="s">
        <v>183</v>
      </c>
      <c r="G2292" s="246">
        <v>46500</v>
      </c>
      <c r="H2292" s="246">
        <v>53150</v>
      </c>
      <c r="I2292" s="246">
        <v>59800</v>
      </c>
      <c r="J2292" s="246">
        <v>66400</v>
      </c>
      <c r="K2292" s="246">
        <v>71750</v>
      </c>
      <c r="L2292" s="246">
        <v>77050</v>
      </c>
      <c r="M2292" s="246">
        <v>82350</v>
      </c>
      <c r="N2292" s="246">
        <v>87650</v>
      </c>
    </row>
    <row r="2293" spans="3:14" ht="21.95" customHeight="1" x14ac:dyDescent="0.25">
      <c r="C2293" s="139" t="str">
        <f t="shared" si="51"/>
        <v>TN_COCKE COUNTY, TN</v>
      </c>
      <c r="D2293" s="136" t="s">
        <v>64</v>
      </c>
      <c r="E2293" s="262" t="s">
        <v>4820</v>
      </c>
      <c r="F2293" s="136" t="s">
        <v>183</v>
      </c>
      <c r="G2293" s="246">
        <v>41950</v>
      </c>
      <c r="H2293" s="246">
        <v>47950</v>
      </c>
      <c r="I2293" s="246">
        <v>53950</v>
      </c>
      <c r="J2293" s="246">
        <v>59900</v>
      </c>
      <c r="K2293" s="246">
        <v>64700</v>
      </c>
      <c r="L2293" s="246">
        <v>69500</v>
      </c>
      <c r="M2293" s="246">
        <v>74300</v>
      </c>
      <c r="N2293" s="246">
        <v>79100</v>
      </c>
    </row>
    <row r="2294" spans="3:14" ht="21.95" customHeight="1" x14ac:dyDescent="0.25">
      <c r="C2294" s="139" t="str">
        <f t="shared" si="51"/>
        <v>TN_COFFEE COUNTY, TN</v>
      </c>
      <c r="D2294" s="136" t="s">
        <v>64</v>
      </c>
      <c r="E2294" s="262" t="s">
        <v>4821</v>
      </c>
      <c r="F2294" s="136" t="s">
        <v>183</v>
      </c>
      <c r="G2294" s="246">
        <v>42800</v>
      </c>
      <c r="H2294" s="246">
        <v>48900</v>
      </c>
      <c r="I2294" s="246">
        <v>55000</v>
      </c>
      <c r="J2294" s="246">
        <v>61100</v>
      </c>
      <c r="K2294" s="246">
        <v>66000</v>
      </c>
      <c r="L2294" s="246">
        <v>70900</v>
      </c>
      <c r="M2294" s="246">
        <v>75800</v>
      </c>
      <c r="N2294" s="246">
        <v>80700</v>
      </c>
    </row>
    <row r="2295" spans="3:14" ht="21.95" customHeight="1" x14ac:dyDescent="0.25">
      <c r="C2295" s="139" t="str">
        <f t="shared" si="51"/>
        <v>TN_CROCKETT COUNTY, TN HUD METRO FMR AREA</v>
      </c>
      <c r="D2295" s="136" t="s">
        <v>64</v>
      </c>
      <c r="E2295" s="262" t="s">
        <v>4822</v>
      </c>
      <c r="F2295" s="136" t="s">
        <v>183</v>
      </c>
      <c r="G2295" s="246">
        <v>44750</v>
      </c>
      <c r="H2295" s="246">
        <v>51150</v>
      </c>
      <c r="I2295" s="246">
        <v>57550</v>
      </c>
      <c r="J2295" s="246">
        <v>63900</v>
      </c>
      <c r="K2295" s="246">
        <v>69050</v>
      </c>
      <c r="L2295" s="246">
        <v>74150</v>
      </c>
      <c r="M2295" s="246">
        <v>79250</v>
      </c>
      <c r="N2295" s="246">
        <v>84350</v>
      </c>
    </row>
    <row r="2296" spans="3:14" ht="21.95" customHeight="1" x14ac:dyDescent="0.25">
      <c r="C2296" s="139" t="str">
        <f t="shared" si="51"/>
        <v>TN_CUMBERLAND COUNTY, TN</v>
      </c>
      <c r="D2296" s="136" t="s">
        <v>64</v>
      </c>
      <c r="E2296" s="262" t="s">
        <v>4823</v>
      </c>
      <c r="F2296" s="136" t="s">
        <v>183</v>
      </c>
      <c r="G2296" s="246">
        <v>42350</v>
      </c>
      <c r="H2296" s="246">
        <v>48400</v>
      </c>
      <c r="I2296" s="246">
        <v>54450</v>
      </c>
      <c r="J2296" s="246">
        <v>60500</v>
      </c>
      <c r="K2296" s="246">
        <v>65350</v>
      </c>
      <c r="L2296" s="246">
        <v>70200</v>
      </c>
      <c r="M2296" s="246">
        <v>75050</v>
      </c>
      <c r="N2296" s="246">
        <v>79900</v>
      </c>
    </row>
    <row r="2297" spans="3:14" ht="21.95" customHeight="1" x14ac:dyDescent="0.25">
      <c r="C2297" s="139" t="str">
        <f t="shared" si="51"/>
        <v>TN_DECATUR COUNTY, TN</v>
      </c>
      <c r="D2297" s="136" t="s">
        <v>64</v>
      </c>
      <c r="E2297" s="262" t="s">
        <v>4824</v>
      </c>
      <c r="F2297" s="136" t="s">
        <v>183</v>
      </c>
      <c r="G2297" s="246">
        <v>41950</v>
      </c>
      <c r="H2297" s="246">
        <v>47950</v>
      </c>
      <c r="I2297" s="246">
        <v>53950</v>
      </c>
      <c r="J2297" s="246">
        <v>59900</v>
      </c>
      <c r="K2297" s="246">
        <v>64700</v>
      </c>
      <c r="L2297" s="246">
        <v>69500</v>
      </c>
      <c r="M2297" s="246">
        <v>74300</v>
      </c>
      <c r="N2297" s="246">
        <v>79100</v>
      </c>
    </row>
    <row r="2298" spans="3:14" ht="21.95" customHeight="1" x14ac:dyDescent="0.25">
      <c r="C2298" s="139" t="str">
        <f t="shared" si="51"/>
        <v>TN_DEKALB COUNTY, TN</v>
      </c>
      <c r="D2298" s="136" t="s">
        <v>64</v>
      </c>
      <c r="E2298" s="262" t="s">
        <v>4825</v>
      </c>
      <c r="F2298" s="136" t="s">
        <v>183</v>
      </c>
      <c r="G2298" s="246">
        <v>41950</v>
      </c>
      <c r="H2298" s="246">
        <v>47950</v>
      </c>
      <c r="I2298" s="246">
        <v>53950</v>
      </c>
      <c r="J2298" s="246">
        <v>59900</v>
      </c>
      <c r="K2298" s="246">
        <v>64700</v>
      </c>
      <c r="L2298" s="246">
        <v>69500</v>
      </c>
      <c r="M2298" s="246">
        <v>74300</v>
      </c>
      <c r="N2298" s="246">
        <v>79100</v>
      </c>
    </row>
    <row r="2299" spans="3:14" ht="21.95" customHeight="1" x14ac:dyDescent="0.25">
      <c r="C2299" s="139" t="str">
        <f t="shared" si="51"/>
        <v>TN_DYER COUNTY, TN</v>
      </c>
      <c r="D2299" s="136" t="s">
        <v>64</v>
      </c>
      <c r="E2299" s="262" t="s">
        <v>4826</v>
      </c>
      <c r="F2299" s="136" t="s">
        <v>183</v>
      </c>
      <c r="G2299" s="246">
        <v>42350</v>
      </c>
      <c r="H2299" s="246">
        <v>48400</v>
      </c>
      <c r="I2299" s="246">
        <v>54450</v>
      </c>
      <c r="J2299" s="246">
        <v>60500</v>
      </c>
      <c r="K2299" s="246">
        <v>65350</v>
      </c>
      <c r="L2299" s="246">
        <v>70200</v>
      </c>
      <c r="M2299" s="246">
        <v>75050</v>
      </c>
      <c r="N2299" s="246">
        <v>79900</v>
      </c>
    </row>
    <row r="2300" spans="3:14" ht="21.95" customHeight="1" x14ac:dyDescent="0.25">
      <c r="C2300" s="139" t="str">
        <f t="shared" si="51"/>
        <v>TN_FENTRESS COUNTY, TN</v>
      </c>
      <c r="D2300" s="136" t="s">
        <v>64</v>
      </c>
      <c r="E2300" s="262" t="s">
        <v>4827</v>
      </c>
      <c r="F2300" s="136" t="s">
        <v>183</v>
      </c>
      <c r="G2300" s="246">
        <v>41950</v>
      </c>
      <c r="H2300" s="246">
        <v>47950</v>
      </c>
      <c r="I2300" s="246">
        <v>53950</v>
      </c>
      <c r="J2300" s="246">
        <v>59900</v>
      </c>
      <c r="K2300" s="246">
        <v>64700</v>
      </c>
      <c r="L2300" s="246">
        <v>69500</v>
      </c>
      <c r="M2300" s="246">
        <v>74300</v>
      </c>
      <c r="N2300" s="246">
        <v>79100</v>
      </c>
    </row>
    <row r="2301" spans="3:14" ht="21.95" customHeight="1" x14ac:dyDescent="0.25">
      <c r="C2301" s="139" t="str">
        <f t="shared" si="51"/>
        <v>TN_FRANKLIN COUNTY, TN</v>
      </c>
      <c r="D2301" s="136" t="s">
        <v>64</v>
      </c>
      <c r="E2301" s="262" t="s">
        <v>4828</v>
      </c>
      <c r="F2301" s="136" t="s">
        <v>183</v>
      </c>
      <c r="G2301" s="246">
        <v>46500</v>
      </c>
      <c r="H2301" s="246">
        <v>53150</v>
      </c>
      <c r="I2301" s="246">
        <v>59800</v>
      </c>
      <c r="J2301" s="246">
        <v>66400</v>
      </c>
      <c r="K2301" s="246">
        <v>71750</v>
      </c>
      <c r="L2301" s="246">
        <v>77050</v>
      </c>
      <c r="M2301" s="246">
        <v>82350</v>
      </c>
      <c r="N2301" s="246">
        <v>87650</v>
      </c>
    </row>
    <row r="2302" spans="3:14" ht="21.95" customHeight="1" x14ac:dyDescent="0.25">
      <c r="C2302" s="139" t="str">
        <f t="shared" si="51"/>
        <v>TN_GIBSON COUNTY, TN HUD METRO FMR AREA</v>
      </c>
      <c r="D2302" s="136" t="s">
        <v>64</v>
      </c>
      <c r="E2302" s="262" t="s">
        <v>4829</v>
      </c>
      <c r="F2302" s="136" t="s">
        <v>183</v>
      </c>
      <c r="G2302" s="246">
        <v>43150</v>
      </c>
      <c r="H2302" s="246">
        <v>49300</v>
      </c>
      <c r="I2302" s="246">
        <v>55450</v>
      </c>
      <c r="J2302" s="246">
        <v>61600</v>
      </c>
      <c r="K2302" s="246">
        <v>66550</v>
      </c>
      <c r="L2302" s="246">
        <v>71500</v>
      </c>
      <c r="M2302" s="246">
        <v>76400</v>
      </c>
      <c r="N2302" s="246">
        <v>81350</v>
      </c>
    </row>
    <row r="2303" spans="3:14" ht="21.95" customHeight="1" x14ac:dyDescent="0.25">
      <c r="C2303" s="139" t="str">
        <f t="shared" si="51"/>
        <v>TN_GILES COUNTY, TN</v>
      </c>
      <c r="D2303" s="136" t="s">
        <v>64</v>
      </c>
      <c r="E2303" s="262" t="s">
        <v>4830</v>
      </c>
      <c r="F2303" s="136" t="s">
        <v>183</v>
      </c>
      <c r="G2303" s="246">
        <v>47850</v>
      </c>
      <c r="H2303" s="246">
        <v>54650</v>
      </c>
      <c r="I2303" s="246">
        <v>61500</v>
      </c>
      <c r="J2303" s="246">
        <v>68300</v>
      </c>
      <c r="K2303" s="246">
        <v>73800</v>
      </c>
      <c r="L2303" s="246">
        <v>79250</v>
      </c>
      <c r="M2303" s="246">
        <v>84700</v>
      </c>
      <c r="N2303" s="246">
        <v>90200</v>
      </c>
    </row>
    <row r="2304" spans="3:14" ht="21.95" customHeight="1" x14ac:dyDescent="0.25">
      <c r="C2304" s="139" t="str">
        <f t="shared" ref="C2304:C2367" si="52">TRIM(UPPER(D2304))&amp;"_"&amp;TRIM(UPPER(E2304))</f>
        <v>TN_GRAINGER COUNTY, TN HUD METRO FMR AREA</v>
      </c>
      <c r="D2304" s="136" t="s">
        <v>64</v>
      </c>
      <c r="E2304" s="262" t="s">
        <v>4831</v>
      </c>
      <c r="F2304" s="136" t="s">
        <v>183</v>
      </c>
      <c r="G2304" s="246">
        <v>41950</v>
      </c>
      <c r="H2304" s="246">
        <v>47950</v>
      </c>
      <c r="I2304" s="246">
        <v>53950</v>
      </c>
      <c r="J2304" s="246">
        <v>59900</v>
      </c>
      <c r="K2304" s="246">
        <v>64700</v>
      </c>
      <c r="L2304" s="246">
        <v>69500</v>
      </c>
      <c r="M2304" s="246">
        <v>74300</v>
      </c>
      <c r="N2304" s="246">
        <v>79100</v>
      </c>
    </row>
    <row r="2305" spans="3:14" ht="21.95" customHeight="1" x14ac:dyDescent="0.25">
      <c r="C2305" s="139" t="str">
        <f t="shared" si="52"/>
        <v>TN_GREENE COUNTY, TN</v>
      </c>
      <c r="D2305" s="136" t="s">
        <v>64</v>
      </c>
      <c r="E2305" s="262" t="s">
        <v>4832</v>
      </c>
      <c r="F2305" s="136" t="s">
        <v>183</v>
      </c>
      <c r="G2305" s="246">
        <v>41950</v>
      </c>
      <c r="H2305" s="246">
        <v>47950</v>
      </c>
      <c r="I2305" s="246">
        <v>53950</v>
      </c>
      <c r="J2305" s="246">
        <v>59900</v>
      </c>
      <c r="K2305" s="246">
        <v>64700</v>
      </c>
      <c r="L2305" s="246">
        <v>69500</v>
      </c>
      <c r="M2305" s="246">
        <v>74300</v>
      </c>
      <c r="N2305" s="246">
        <v>79100</v>
      </c>
    </row>
    <row r="2306" spans="3:14" ht="21.95" customHeight="1" x14ac:dyDescent="0.25">
      <c r="C2306" s="139" t="str">
        <f t="shared" si="52"/>
        <v>TN_GRUNDY COUNTY, TN</v>
      </c>
      <c r="D2306" s="136" t="s">
        <v>64</v>
      </c>
      <c r="E2306" s="262" t="s">
        <v>4833</v>
      </c>
      <c r="F2306" s="136" t="s">
        <v>183</v>
      </c>
      <c r="G2306" s="246">
        <v>41950</v>
      </c>
      <c r="H2306" s="246">
        <v>47950</v>
      </c>
      <c r="I2306" s="246">
        <v>53950</v>
      </c>
      <c r="J2306" s="246">
        <v>59900</v>
      </c>
      <c r="K2306" s="246">
        <v>64700</v>
      </c>
      <c r="L2306" s="246">
        <v>69500</v>
      </c>
      <c r="M2306" s="246">
        <v>74300</v>
      </c>
      <c r="N2306" s="246">
        <v>79100</v>
      </c>
    </row>
    <row r="2307" spans="3:14" ht="21.95" customHeight="1" x14ac:dyDescent="0.25">
      <c r="C2307" s="139" t="str">
        <f t="shared" si="52"/>
        <v>TN_HANCOCK COUNTY, TN</v>
      </c>
      <c r="D2307" s="136" t="s">
        <v>64</v>
      </c>
      <c r="E2307" s="262" t="s">
        <v>4834</v>
      </c>
      <c r="F2307" s="136" t="s">
        <v>183</v>
      </c>
      <c r="G2307" s="246">
        <v>41950</v>
      </c>
      <c r="H2307" s="246">
        <v>47950</v>
      </c>
      <c r="I2307" s="246">
        <v>53950</v>
      </c>
      <c r="J2307" s="246">
        <v>59900</v>
      </c>
      <c r="K2307" s="246">
        <v>64700</v>
      </c>
      <c r="L2307" s="246">
        <v>69500</v>
      </c>
      <c r="M2307" s="246">
        <v>74300</v>
      </c>
      <c r="N2307" s="246">
        <v>79100</v>
      </c>
    </row>
    <row r="2308" spans="3:14" ht="21.95" customHeight="1" x14ac:dyDescent="0.25">
      <c r="C2308" s="139" t="str">
        <f t="shared" si="52"/>
        <v>TN_HARDEMAN COUNTY, TN</v>
      </c>
      <c r="D2308" s="136" t="s">
        <v>64</v>
      </c>
      <c r="E2308" s="262" t="s">
        <v>4835</v>
      </c>
      <c r="F2308" s="136" t="s">
        <v>183</v>
      </c>
      <c r="G2308" s="246">
        <v>41950</v>
      </c>
      <c r="H2308" s="246">
        <v>47950</v>
      </c>
      <c r="I2308" s="246">
        <v>53950</v>
      </c>
      <c r="J2308" s="246">
        <v>59900</v>
      </c>
      <c r="K2308" s="246">
        <v>64700</v>
      </c>
      <c r="L2308" s="246">
        <v>69500</v>
      </c>
      <c r="M2308" s="246">
        <v>74300</v>
      </c>
      <c r="N2308" s="246">
        <v>79100</v>
      </c>
    </row>
    <row r="2309" spans="3:14" ht="21.95" customHeight="1" x14ac:dyDescent="0.25">
      <c r="C2309" s="139" t="str">
        <f t="shared" si="52"/>
        <v>TN_HARDIN COUNTY, TN</v>
      </c>
      <c r="D2309" s="136" t="s">
        <v>64</v>
      </c>
      <c r="E2309" s="262" t="s">
        <v>4836</v>
      </c>
      <c r="F2309" s="136" t="s">
        <v>183</v>
      </c>
      <c r="G2309" s="246">
        <v>41950</v>
      </c>
      <c r="H2309" s="246">
        <v>47950</v>
      </c>
      <c r="I2309" s="246">
        <v>53950</v>
      </c>
      <c r="J2309" s="246">
        <v>59900</v>
      </c>
      <c r="K2309" s="246">
        <v>64700</v>
      </c>
      <c r="L2309" s="246">
        <v>69500</v>
      </c>
      <c r="M2309" s="246">
        <v>74300</v>
      </c>
      <c r="N2309" s="246">
        <v>79100</v>
      </c>
    </row>
    <row r="2310" spans="3:14" ht="21.95" customHeight="1" x14ac:dyDescent="0.25">
      <c r="C2310" s="139" t="str">
        <f t="shared" si="52"/>
        <v>TN_HAYWOOD COUNTY, TN</v>
      </c>
      <c r="D2310" s="136" t="s">
        <v>64</v>
      </c>
      <c r="E2310" s="262" t="s">
        <v>4837</v>
      </c>
      <c r="F2310" s="136" t="s">
        <v>183</v>
      </c>
      <c r="G2310" s="246">
        <v>41950</v>
      </c>
      <c r="H2310" s="246">
        <v>47950</v>
      </c>
      <c r="I2310" s="246">
        <v>53950</v>
      </c>
      <c r="J2310" s="246">
        <v>59900</v>
      </c>
      <c r="K2310" s="246">
        <v>64700</v>
      </c>
      <c r="L2310" s="246">
        <v>69500</v>
      </c>
      <c r="M2310" s="246">
        <v>74300</v>
      </c>
      <c r="N2310" s="246">
        <v>79100</v>
      </c>
    </row>
    <row r="2311" spans="3:14" ht="21.95" customHeight="1" x14ac:dyDescent="0.25">
      <c r="C2311" s="139" t="str">
        <f t="shared" si="52"/>
        <v>TN_HENDERSON COUNTY, TN</v>
      </c>
      <c r="D2311" s="136" t="s">
        <v>64</v>
      </c>
      <c r="E2311" s="262" t="s">
        <v>4838</v>
      </c>
      <c r="F2311" s="136" t="s">
        <v>183</v>
      </c>
      <c r="G2311" s="246">
        <v>43400</v>
      </c>
      <c r="H2311" s="246">
        <v>49600</v>
      </c>
      <c r="I2311" s="246">
        <v>55800</v>
      </c>
      <c r="J2311" s="246">
        <v>62000</v>
      </c>
      <c r="K2311" s="246">
        <v>67000</v>
      </c>
      <c r="L2311" s="246">
        <v>71950</v>
      </c>
      <c r="M2311" s="246">
        <v>76900</v>
      </c>
      <c r="N2311" s="246">
        <v>81850</v>
      </c>
    </row>
    <row r="2312" spans="3:14" ht="21.95" customHeight="1" x14ac:dyDescent="0.25">
      <c r="C2312" s="139" t="str">
        <f t="shared" si="52"/>
        <v>TN_HENRY COUNTY, TN</v>
      </c>
      <c r="D2312" s="136" t="s">
        <v>64</v>
      </c>
      <c r="E2312" s="262" t="s">
        <v>4839</v>
      </c>
      <c r="F2312" s="136" t="s">
        <v>183</v>
      </c>
      <c r="G2312" s="246">
        <v>41950</v>
      </c>
      <c r="H2312" s="246">
        <v>47950</v>
      </c>
      <c r="I2312" s="246">
        <v>53950</v>
      </c>
      <c r="J2312" s="246">
        <v>59900</v>
      </c>
      <c r="K2312" s="246">
        <v>64700</v>
      </c>
      <c r="L2312" s="246">
        <v>69500</v>
      </c>
      <c r="M2312" s="246">
        <v>74300</v>
      </c>
      <c r="N2312" s="246">
        <v>79100</v>
      </c>
    </row>
    <row r="2313" spans="3:14" ht="21.95" customHeight="1" x14ac:dyDescent="0.25">
      <c r="C2313" s="139" t="str">
        <f t="shared" si="52"/>
        <v>TN_HICKMAN COUNTY, TN HUD METRO FMR AREA</v>
      </c>
      <c r="D2313" s="136" t="s">
        <v>64</v>
      </c>
      <c r="E2313" s="262" t="s">
        <v>9259</v>
      </c>
      <c r="F2313" s="136" t="s">
        <v>183</v>
      </c>
      <c r="G2313" s="246">
        <v>42200</v>
      </c>
      <c r="H2313" s="246">
        <v>48200</v>
      </c>
      <c r="I2313" s="246">
        <v>54250</v>
      </c>
      <c r="J2313" s="246">
        <v>60250</v>
      </c>
      <c r="K2313" s="246">
        <v>65100</v>
      </c>
      <c r="L2313" s="246">
        <v>69900</v>
      </c>
      <c r="M2313" s="246">
        <v>74750</v>
      </c>
      <c r="N2313" s="246">
        <v>79550</v>
      </c>
    </row>
    <row r="2314" spans="3:14" ht="21.95" customHeight="1" x14ac:dyDescent="0.25">
      <c r="C2314" s="139" t="str">
        <f t="shared" si="52"/>
        <v>TN_HOUSTON COUNTY, TN</v>
      </c>
      <c r="D2314" s="136" t="s">
        <v>64</v>
      </c>
      <c r="E2314" s="262" t="s">
        <v>4840</v>
      </c>
      <c r="F2314" s="136" t="s">
        <v>183</v>
      </c>
      <c r="G2314" s="246">
        <v>43350</v>
      </c>
      <c r="H2314" s="246">
        <v>49550</v>
      </c>
      <c r="I2314" s="246">
        <v>55750</v>
      </c>
      <c r="J2314" s="246">
        <v>61900</v>
      </c>
      <c r="K2314" s="246">
        <v>66900</v>
      </c>
      <c r="L2314" s="246">
        <v>71850</v>
      </c>
      <c r="M2314" s="246">
        <v>76800</v>
      </c>
      <c r="N2314" s="246">
        <v>81750</v>
      </c>
    </row>
    <row r="2315" spans="3:14" ht="21.95" customHeight="1" x14ac:dyDescent="0.25">
      <c r="C2315" s="139" t="str">
        <f t="shared" si="52"/>
        <v>TN_HUMPHREYS COUNTY, TN</v>
      </c>
      <c r="D2315" s="136" t="s">
        <v>64</v>
      </c>
      <c r="E2315" s="262" t="s">
        <v>4841</v>
      </c>
      <c r="F2315" s="136" t="s">
        <v>183</v>
      </c>
      <c r="G2315" s="246">
        <v>44900</v>
      </c>
      <c r="H2315" s="246">
        <v>51300</v>
      </c>
      <c r="I2315" s="246">
        <v>57700</v>
      </c>
      <c r="J2315" s="246">
        <v>64100</v>
      </c>
      <c r="K2315" s="246">
        <v>69250</v>
      </c>
      <c r="L2315" s="246">
        <v>74400</v>
      </c>
      <c r="M2315" s="246">
        <v>79500</v>
      </c>
      <c r="N2315" s="246">
        <v>84650</v>
      </c>
    </row>
    <row r="2316" spans="3:14" ht="21.95" customHeight="1" x14ac:dyDescent="0.25">
      <c r="C2316" s="139" t="str">
        <f t="shared" si="52"/>
        <v>TN_JACKSON COUNTY, TN</v>
      </c>
      <c r="D2316" s="136" t="s">
        <v>64</v>
      </c>
      <c r="E2316" s="262" t="s">
        <v>4842</v>
      </c>
      <c r="F2316" s="136" t="s">
        <v>183</v>
      </c>
      <c r="G2316" s="246">
        <v>42150</v>
      </c>
      <c r="H2316" s="246">
        <v>48150</v>
      </c>
      <c r="I2316" s="246">
        <v>54150</v>
      </c>
      <c r="J2316" s="246">
        <v>60150</v>
      </c>
      <c r="K2316" s="246">
        <v>65000</v>
      </c>
      <c r="L2316" s="246">
        <v>69800</v>
      </c>
      <c r="M2316" s="246">
        <v>74600</v>
      </c>
      <c r="N2316" s="246">
        <v>79400</v>
      </c>
    </row>
    <row r="2317" spans="3:14" ht="21.95" customHeight="1" x14ac:dyDescent="0.25">
      <c r="C2317" s="139" t="str">
        <f t="shared" si="52"/>
        <v>TN_JACKSON, TN HUD METRO FMR AREA</v>
      </c>
      <c r="D2317" s="136" t="s">
        <v>64</v>
      </c>
      <c r="E2317" s="262" t="s">
        <v>4843</v>
      </c>
      <c r="F2317" s="136" t="s">
        <v>183</v>
      </c>
      <c r="G2317" s="246">
        <v>46050</v>
      </c>
      <c r="H2317" s="246">
        <v>52600</v>
      </c>
      <c r="I2317" s="246">
        <v>59200</v>
      </c>
      <c r="J2317" s="246">
        <v>65750</v>
      </c>
      <c r="K2317" s="246">
        <v>71050</v>
      </c>
      <c r="L2317" s="246">
        <v>76300</v>
      </c>
      <c r="M2317" s="246">
        <v>81550</v>
      </c>
      <c r="N2317" s="246">
        <v>86800</v>
      </c>
    </row>
    <row r="2318" spans="3:14" ht="21.95" customHeight="1" x14ac:dyDescent="0.25">
      <c r="C2318" s="139" t="str">
        <f t="shared" si="52"/>
        <v>TN_JOHNSON CITY, TN MSA</v>
      </c>
      <c r="D2318" s="136" t="s">
        <v>64</v>
      </c>
      <c r="E2318" s="262" t="s">
        <v>4844</v>
      </c>
      <c r="F2318" s="136" t="s">
        <v>183</v>
      </c>
      <c r="G2318" s="246">
        <v>47500</v>
      </c>
      <c r="H2318" s="246">
        <v>54300</v>
      </c>
      <c r="I2318" s="246">
        <v>61100</v>
      </c>
      <c r="J2318" s="246">
        <v>67850</v>
      </c>
      <c r="K2318" s="246">
        <v>73300</v>
      </c>
      <c r="L2318" s="246">
        <v>78750</v>
      </c>
      <c r="M2318" s="246">
        <v>84150</v>
      </c>
      <c r="N2318" s="246">
        <v>89600</v>
      </c>
    </row>
    <row r="2319" spans="3:14" ht="21.95" customHeight="1" x14ac:dyDescent="0.25">
      <c r="C2319" s="139" t="str">
        <f t="shared" si="52"/>
        <v>TN_JOHNSON COUNTY, TN</v>
      </c>
      <c r="D2319" s="136" t="s">
        <v>64</v>
      </c>
      <c r="E2319" s="262" t="s">
        <v>4845</v>
      </c>
      <c r="F2319" s="136" t="s">
        <v>183</v>
      </c>
      <c r="G2319" s="246">
        <v>41950</v>
      </c>
      <c r="H2319" s="246">
        <v>47950</v>
      </c>
      <c r="I2319" s="246">
        <v>53950</v>
      </c>
      <c r="J2319" s="246">
        <v>59900</v>
      </c>
      <c r="K2319" s="246">
        <v>64700</v>
      </c>
      <c r="L2319" s="246">
        <v>69500</v>
      </c>
      <c r="M2319" s="246">
        <v>74300</v>
      </c>
      <c r="N2319" s="246">
        <v>79100</v>
      </c>
    </row>
    <row r="2320" spans="3:14" ht="21.95" customHeight="1" x14ac:dyDescent="0.25">
      <c r="C2320" s="139" t="str">
        <f t="shared" si="52"/>
        <v>TN_KINGSPORT-BRISTOL, TN-VA MSA</v>
      </c>
      <c r="D2320" s="136" t="s">
        <v>64</v>
      </c>
      <c r="E2320" s="262" t="s">
        <v>9258</v>
      </c>
      <c r="F2320" s="136" t="s">
        <v>183</v>
      </c>
      <c r="G2320" s="246">
        <v>42950</v>
      </c>
      <c r="H2320" s="246">
        <v>49100</v>
      </c>
      <c r="I2320" s="246">
        <v>55250</v>
      </c>
      <c r="J2320" s="246">
        <v>61350</v>
      </c>
      <c r="K2320" s="246">
        <v>66300</v>
      </c>
      <c r="L2320" s="246">
        <v>71200</v>
      </c>
      <c r="M2320" s="246">
        <v>76100</v>
      </c>
      <c r="N2320" s="246">
        <v>81000</v>
      </c>
    </row>
    <row r="2321" spans="3:14" ht="21.95" customHeight="1" x14ac:dyDescent="0.25">
      <c r="C2321" s="139" t="str">
        <f t="shared" si="52"/>
        <v>TN_KNOXVILLE, TN HUD METRO FMR AREA</v>
      </c>
      <c r="D2321" s="136" t="s">
        <v>64</v>
      </c>
      <c r="E2321" s="262" t="s">
        <v>4846</v>
      </c>
      <c r="F2321" s="136" t="s">
        <v>183</v>
      </c>
      <c r="G2321" s="246">
        <v>55650</v>
      </c>
      <c r="H2321" s="246">
        <v>63600</v>
      </c>
      <c r="I2321" s="246">
        <v>71550</v>
      </c>
      <c r="J2321" s="246">
        <v>79500</v>
      </c>
      <c r="K2321" s="246">
        <v>85900</v>
      </c>
      <c r="L2321" s="246">
        <v>92250</v>
      </c>
      <c r="M2321" s="246">
        <v>98600</v>
      </c>
      <c r="N2321" s="246">
        <v>104950</v>
      </c>
    </row>
    <row r="2322" spans="3:14" ht="21.95" customHeight="1" x14ac:dyDescent="0.25">
      <c r="C2322" s="139" t="str">
        <f t="shared" si="52"/>
        <v>TN_LAKE COUNTY, TN</v>
      </c>
      <c r="D2322" s="136" t="s">
        <v>64</v>
      </c>
      <c r="E2322" s="262" t="s">
        <v>4847</v>
      </c>
      <c r="F2322" s="136" t="s">
        <v>183</v>
      </c>
      <c r="G2322" s="246">
        <v>41950</v>
      </c>
      <c r="H2322" s="246">
        <v>47950</v>
      </c>
      <c r="I2322" s="246">
        <v>53950</v>
      </c>
      <c r="J2322" s="246">
        <v>59900</v>
      </c>
      <c r="K2322" s="246">
        <v>64700</v>
      </c>
      <c r="L2322" s="246">
        <v>69500</v>
      </c>
      <c r="M2322" s="246">
        <v>74300</v>
      </c>
      <c r="N2322" s="246">
        <v>79100</v>
      </c>
    </row>
    <row r="2323" spans="3:14" ht="21.95" customHeight="1" x14ac:dyDescent="0.25">
      <c r="C2323" s="139" t="str">
        <f t="shared" si="52"/>
        <v>TN_LAUDERDALE COUNTY, TN</v>
      </c>
      <c r="D2323" s="136" t="s">
        <v>64</v>
      </c>
      <c r="E2323" s="262" t="s">
        <v>4848</v>
      </c>
      <c r="F2323" s="136" t="s">
        <v>183</v>
      </c>
      <c r="G2323" s="246">
        <v>41950</v>
      </c>
      <c r="H2323" s="246">
        <v>47950</v>
      </c>
      <c r="I2323" s="246">
        <v>53950</v>
      </c>
      <c r="J2323" s="246">
        <v>59900</v>
      </c>
      <c r="K2323" s="246">
        <v>64700</v>
      </c>
      <c r="L2323" s="246">
        <v>69500</v>
      </c>
      <c r="M2323" s="246">
        <v>74300</v>
      </c>
      <c r="N2323" s="246">
        <v>79100</v>
      </c>
    </row>
    <row r="2324" spans="3:14" ht="21.95" customHeight="1" x14ac:dyDescent="0.25">
      <c r="C2324" s="139" t="str">
        <f t="shared" si="52"/>
        <v>TN_LAWRENCE COUNTY, TN</v>
      </c>
      <c r="D2324" s="136" t="s">
        <v>64</v>
      </c>
      <c r="E2324" s="262" t="s">
        <v>4849</v>
      </c>
      <c r="F2324" s="136" t="s">
        <v>183</v>
      </c>
      <c r="G2324" s="246">
        <v>42350</v>
      </c>
      <c r="H2324" s="246">
        <v>48400</v>
      </c>
      <c r="I2324" s="246">
        <v>54450</v>
      </c>
      <c r="J2324" s="246">
        <v>60500</v>
      </c>
      <c r="K2324" s="246">
        <v>65350</v>
      </c>
      <c r="L2324" s="246">
        <v>70200</v>
      </c>
      <c r="M2324" s="246">
        <v>75050</v>
      </c>
      <c r="N2324" s="246">
        <v>79900</v>
      </c>
    </row>
    <row r="2325" spans="3:14" ht="21.95" customHeight="1" x14ac:dyDescent="0.25">
      <c r="C2325" s="139" t="str">
        <f t="shared" si="52"/>
        <v>TN_LEWIS COUNTY, TN</v>
      </c>
      <c r="D2325" s="136" t="s">
        <v>64</v>
      </c>
      <c r="E2325" s="262" t="s">
        <v>4850</v>
      </c>
      <c r="F2325" s="136" t="s">
        <v>183</v>
      </c>
      <c r="G2325" s="246">
        <v>41950</v>
      </c>
      <c r="H2325" s="246">
        <v>47950</v>
      </c>
      <c r="I2325" s="246">
        <v>53950</v>
      </c>
      <c r="J2325" s="246">
        <v>59900</v>
      </c>
      <c r="K2325" s="246">
        <v>64700</v>
      </c>
      <c r="L2325" s="246">
        <v>69500</v>
      </c>
      <c r="M2325" s="246">
        <v>74300</v>
      </c>
      <c r="N2325" s="246">
        <v>79100</v>
      </c>
    </row>
    <row r="2326" spans="3:14" ht="21.95" customHeight="1" x14ac:dyDescent="0.25">
      <c r="C2326" s="139" t="str">
        <f t="shared" si="52"/>
        <v>TN_LINCOLN COUNTY, TN</v>
      </c>
      <c r="D2326" s="136" t="s">
        <v>64</v>
      </c>
      <c r="E2326" s="262" t="s">
        <v>4851</v>
      </c>
      <c r="F2326" s="136" t="s">
        <v>183</v>
      </c>
      <c r="G2326" s="246">
        <v>45750</v>
      </c>
      <c r="H2326" s="246">
        <v>52300</v>
      </c>
      <c r="I2326" s="246">
        <v>58850</v>
      </c>
      <c r="J2326" s="246">
        <v>65350</v>
      </c>
      <c r="K2326" s="246">
        <v>70600</v>
      </c>
      <c r="L2326" s="246">
        <v>75850</v>
      </c>
      <c r="M2326" s="246">
        <v>81050</v>
      </c>
      <c r="N2326" s="246">
        <v>86300</v>
      </c>
    </row>
    <row r="2327" spans="3:14" ht="21.95" customHeight="1" x14ac:dyDescent="0.25">
      <c r="C2327" s="139" t="str">
        <f t="shared" si="52"/>
        <v>TN_MACON COUNTY, TN HUD METRO FMR AREA</v>
      </c>
      <c r="D2327" s="136" t="s">
        <v>64</v>
      </c>
      <c r="E2327" s="262" t="s">
        <v>4852</v>
      </c>
      <c r="F2327" s="136" t="s">
        <v>183</v>
      </c>
      <c r="G2327" s="246">
        <v>43500</v>
      </c>
      <c r="H2327" s="246">
        <v>49700</v>
      </c>
      <c r="I2327" s="246">
        <v>55900</v>
      </c>
      <c r="J2327" s="246">
        <v>62100</v>
      </c>
      <c r="K2327" s="246">
        <v>67100</v>
      </c>
      <c r="L2327" s="246">
        <v>72050</v>
      </c>
      <c r="M2327" s="246">
        <v>77050</v>
      </c>
      <c r="N2327" s="246">
        <v>82000</v>
      </c>
    </row>
    <row r="2328" spans="3:14" ht="21.95" customHeight="1" x14ac:dyDescent="0.25">
      <c r="C2328" s="139" t="str">
        <f t="shared" si="52"/>
        <v>TN_MARSHALL COUNTY, TN</v>
      </c>
      <c r="D2328" s="136" t="s">
        <v>64</v>
      </c>
      <c r="E2328" s="262" t="s">
        <v>4853</v>
      </c>
      <c r="F2328" s="136" t="s">
        <v>183</v>
      </c>
      <c r="G2328" s="246">
        <v>47100</v>
      </c>
      <c r="H2328" s="246">
        <v>53800</v>
      </c>
      <c r="I2328" s="246">
        <v>60550</v>
      </c>
      <c r="J2328" s="246">
        <v>67250</v>
      </c>
      <c r="K2328" s="246">
        <v>72650</v>
      </c>
      <c r="L2328" s="246">
        <v>78050</v>
      </c>
      <c r="M2328" s="246">
        <v>83400</v>
      </c>
      <c r="N2328" s="246">
        <v>88800</v>
      </c>
    </row>
    <row r="2329" spans="3:14" ht="21.95" customHeight="1" x14ac:dyDescent="0.25">
      <c r="C2329" s="139" t="str">
        <f t="shared" si="52"/>
        <v>TN_MAURY COUNTY, TN HUD METRO FMR AREA</v>
      </c>
      <c r="D2329" s="136" t="s">
        <v>64</v>
      </c>
      <c r="E2329" s="262" t="s">
        <v>4854</v>
      </c>
      <c r="F2329" s="136" t="s">
        <v>183</v>
      </c>
      <c r="G2329" s="246">
        <v>52750</v>
      </c>
      <c r="H2329" s="246">
        <v>60300</v>
      </c>
      <c r="I2329" s="246">
        <v>67850</v>
      </c>
      <c r="J2329" s="246">
        <v>75350</v>
      </c>
      <c r="K2329" s="246">
        <v>81400</v>
      </c>
      <c r="L2329" s="246">
        <v>87450</v>
      </c>
      <c r="M2329" s="246">
        <v>93450</v>
      </c>
      <c r="N2329" s="246">
        <v>99500</v>
      </c>
    </row>
    <row r="2330" spans="3:14" ht="21.95" customHeight="1" x14ac:dyDescent="0.25">
      <c r="C2330" s="139" t="str">
        <f t="shared" si="52"/>
        <v>TN_MCMINN COUNTY, TN</v>
      </c>
      <c r="D2330" s="136" t="s">
        <v>64</v>
      </c>
      <c r="E2330" s="262" t="s">
        <v>4855</v>
      </c>
      <c r="F2330" s="136" t="s">
        <v>183</v>
      </c>
      <c r="G2330" s="246">
        <v>43600</v>
      </c>
      <c r="H2330" s="246">
        <v>49800</v>
      </c>
      <c r="I2330" s="246">
        <v>56050</v>
      </c>
      <c r="J2330" s="246">
        <v>62250</v>
      </c>
      <c r="K2330" s="246">
        <v>67250</v>
      </c>
      <c r="L2330" s="246">
        <v>72250</v>
      </c>
      <c r="M2330" s="246">
        <v>77200</v>
      </c>
      <c r="N2330" s="246">
        <v>82200</v>
      </c>
    </row>
    <row r="2331" spans="3:14" ht="21.95" customHeight="1" x14ac:dyDescent="0.25">
      <c r="C2331" s="139" t="str">
        <f t="shared" si="52"/>
        <v>TN_MCNAIRY COUNTY, TN</v>
      </c>
      <c r="D2331" s="136" t="s">
        <v>64</v>
      </c>
      <c r="E2331" s="262" t="s">
        <v>4856</v>
      </c>
      <c r="F2331" s="136" t="s">
        <v>183</v>
      </c>
      <c r="G2331" s="246">
        <v>41950</v>
      </c>
      <c r="H2331" s="246">
        <v>47950</v>
      </c>
      <c r="I2331" s="246">
        <v>53950</v>
      </c>
      <c r="J2331" s="246">
        <v>59900</v>
      </c>
      <c r="K2331" s="246">
        <v>64700</v>
      </c>
      <c r="L2331" s="246">
        <v>69500</v>
      </c>
      <c r="M2331" s="246">
        <v>74300</v>
      </c>
      <c r="N2331" s="246">
        <v>79100</v>
      </c>
    </row>
    <row r="2332" spans="3:14" ht="21.95" customHeight="1" x14ac:dyDescent="0.25">
      <c r="C2332" s="139" t="str">
        <f t="shared" si="52"/>
        <v>TN_MEIGS COUNTY, TN</v>
      </c>
      <c r="D2332" s="136" t="s">
        <v>64</v>
      </c>
      <c r="E2332" s="262" t="s">
        <v>4857</v>
      </c>
      <c r="F2332" s="136" t="s">
        <v>183</v>
      </c>
      <c r="G2332" s="246">
        <v>43700</v>
      </c>
      <c r="H2332" s="246">
        <v>49950</v>
      </c>
      <c r="I2332" s="246">
        <v>56200</v>
      </c>
      <c r="J2332" s="246">
        <v>62400</v>
      </c>
      <c r="K2332" s="246">
        <v>67400</v>
      </c>
      <c r="L2332" s="246">
        <v>72400</v>
      </c>
      <c r="M2332" s="246">
        <v>77400</v>
      </c>
      <c r="N2332" s="246">
        <v>82400</v>
      </c>
    </row>
    <row r="2333" spans="3:14" ht="21.95" customHeight="1" x14ac:dyDescent="0.25">
      <c r="C2333" s="139" t="str">
        <f t="shared" si="52"/>
        <v>TN_MEMPHIS, TN-MS-AR HUD METRO FMR AREA</v>
      </c>
      <c r="D2333" s="136" t="s">
        <v>64</v>
      </c>
      <c r="E2333" s="262" t="s">
        <v>3074</v>
      </c>
      <c r="F2333" s="136" t="s">
        <v>183</v>
      </c>
      <c r="G2333" s="246">
        <v>51050</v>
      </c>
      <c r="H2333" s="246">
        <v>58350</v>
      </c>
      <c r="I2333" s="246">
        <v>65650</v>
      </c>
      <c r="J2333" s="246">
        <v>72900</v>
      </c>
      <c r="K2333" s="246">
        <v>78750</v>
      </c>
      <c r="L2333" s="246">
        <v>84600</v>
      </c>
      <c r="M2333" s="246">
        <v>90400</v>
      </c>
      <c r="N2333" s="246">
        <v>96250</v>
      </c>
    </row>
    <row r="2334" spans="3:14" ht="21.95" customHeight="1" x14ac:dyDescent="0.25">
      <c r="C2334" s="139" t="str">
        <f t="shared" si="52"/>
        <v>TN_MONROE COUNTY, TN</v>
      </c>
      <c r="D2334" s="136" t="s">
        <v>64</v>
      </c>
      <c r="E2334" s="262" t="s">
        <v>4858</v>
      </c>
      <c r="F2334" s="136" t="s">
        <v>183</v>
      </c>
      <c r="G2334" s="246">
        <v>44600</v>
      </c>
      <c r="H2334" s="246">
        <v>50950</v>
      </c>
      <c r="I2334" s="246">
        <v>57300</v>
      </c>
      <c r="J2334" s="246">
        <v>63650</v>
      </c>
      <c r="K2334" s="246">
        <v>68750</v>
      </c>
      <c r="L2334" s="246">
        <v>73850</v>
      </c>
      <c r="M2334" s="246">
        <v>78950</v>
      </c>
      <c r="N2334" s="246">
        <v>84050</v>
      </c>
    </row>
    <row r="2335" spans="3:14" ht="21.95" customHeight="1" x14ac:dyDescent="0.25">
      <c r="C2335" s="139" t="str">
        <f t="shared" si="52"/>
        <v>TN_MOORE COUNTY, TN</v>
      </c>
      <c r="D2335" s="136" t="s">
        <v>64</v>
      </c>
      <c r="E2335" s="262" t="s">
        <v>4859</v>
      </c>
      <c r="F2335" s="136" t="s">
        <v>183</v>
      </c>
      <c r="G2335" s="246">
        <v>50600</v>
      </c>
      <c r="H2335" s="246">
        <v>57800</v>
      </c>
      <c r="I2335" s="246">
        <v>65050</v>
      </c>
      <c r="J2335" s="246">
        <v>72250</v>
      </c>
      <c r="K2335" s="246">
        <v>78050</v>
      </c>
      <c r="L2335" s="246">
        <v>83850</v>
      </c>
      <c r="M2335" s="246">
        <v>89600</v>
      </c>
      <c r="N2335" s="246">
        <v>95400</v>
      </c>
    </row>
    <row r="2336" spans="3:14" ht="21.95" customHeight="1" x14ac:dyDescent="0.25">
      <c r="C2336" s="139" t="str">
        <f t="shared" si="52"/>
        <v>TN_MORGAN COUNTY, TN HUD METRO FMR AREA</v>
      </c>
      <c r="D2336" s="136" t="s">
        <v>64</v>
      </c>
      <c r="E2336" s="262" t="s">
        <v>4860</v>
      </c>
      <c r="F2336" s="136" t="s">
        <v>183</v>
      </c>
      <c r="G2336" s="246">
        <v>43150</v>
      </c>
      <c r="H2336" s="246">
        <v>49300</v>
      </c>
      <c r="I2336" s="246">
        <v>55450</v>
      </c>
      <c r="J2336" s="246">
        <v>61600</v>
      </c>
      <c r="K2336" s="246">
        <v>66550</v>
      </c>
      <c r="L2336" s="246">
        <v>71500</v>
      </c>
      <c r="M2336" s="246">
        <v>76400</v>
      </c>
      <c r="N2336" s="246">
        <v>81350</v>
      </c>
    </row>
    <row r="2337" spans="3:14" ht="21.95" customHeight="1" x14ac:dyDescent="0.25">
      <c r="C2337" s="139" t="str">
        <f t="shared" si="52"/>
        <v>TN_MORRISTOWN, TN HUD METRO FMR AREA</v>
      </c>
      <c r="D2337" s="136" t="s">
        <v>64</v>
      </c>
      <c r="E2337" s="262" t="s">
        <v>4861</v>
      </c>
      <c r="F2337" s="136" t="s">
        <v>183</v>
      </c>
      <c r="G2337" s="246">
        <v>42350</v>
      </c>
      <c r="H2337" s="246">
        <v>48400</v>
      </c>
      <c r="I2337" s="246">
        <v>54450</v>
      </c>
      <c r="J2337" s="246">
        <v>60500</v>
      </c>
      <c r="K2337" s="246">
        <v>65350</v>
      </c>
      <c r="L2337" s="246">
        <v>70200</v>
      </c>
      <c r="M2337" s="246">
        <v>75050</v>
      </c>
      <c r="N2337" s="246">
        <v>79900</v>
      </c>
    </row>
    <row r="2338" spans="3:14" ht="21.95" customHeight="1" x14ac:dyDescent="0.25">
      <c r="C2338" s="139" t="str">
        <f t="shared" si="52"/>
        <v>TN_NASHVILLE-DAVIDSON--MURFREESBORO--FRANKLIN, TN HUD METRO FMR AREA</v>
      </c>
      <c r="D2338" s="136" t="s">
        <v>64</v>
      </c>
      <c r="E2338" s="262" t="s">
        <v>4862</v>
      </c>
      <c r="F2338" s="136" t="s">
        <v>183</v>
      </c>
      <c r="G2338" s="246">
        <v>64300</v>
      </c>
      <c r="H2338" s="246">
        <v>73500</v>
      </c>
      <c r="I2338" s="246">
        <v>82700</v>
      </c>
      <c r="J2338" s="246">
        <v>91850</v>
      </c>
      <c r="K2338" s="246">
        <v>99200</v>
      </c>
      <c r="L2338" s="246">
        <v>106550</v>
      </c>
      <c r="M2338" s="246">
        <v>113900</v>
      </c>
      <c r="N2338" s="246">
        <v>121250</v>
      </c>
    </row>
    <row r="2339" spans="3:14" ht="21.95" customHeight="1" x14ac:dyDescent="0.25">
      <c r="C2339" s="139" t="str">
        <f t="shared" si="52"/>
        <v>TN_OBION COUNTY, TN</v>
      </c>
      <c r="D2339" s="136" t="s">
        <v>64</v>
      </c>
      <c r="E2339" s="262" t="s">
        <v>4863</v>
      </c>
      <c r="F2339" s="136" t="s">
        <v>183</v>
      </c>
      <c r="G2339" s="246">
        <v>42350</v>
      </c>
      <c r="H2339" s="246">
        <v>48400</v>
      </c>
      <c r="I2339" s="246">
        <v>54450</v>
      </c>
      <c r="J2339" s="246">
        <v>60500</v>
      </c>
      <c r="K2339" s="246">
        <v>65350</v>
      </c>
      <c r="L2339" s="246">
        <v>70200</v>
      </c>
      <c r="M2339" s="246">
        <v>75050</v>
      </c>
      <c r="N2339" s="246">
        <v>79900</v>
      </c>
    </row>
    <row r="2340" spans="3:14" ht="21.95" customHeight="1" x14ac:dyDescent="0.25">
      <c r="C2340" s="139" t="str">
        <f t="shared" si="52"/>
        <v>TN_OVERTON COUNTY, TN</v>
      </c>
      <c r="D2340" s="136" t="s">
        <v>64</v>
      </c>
      <c r="E2340" s="262" t="s">
        <v>4864</v>
      </c>
      <c r="F2340" s="136" t="s">
        <v>183</v>
      </c>
      <c r="G2340" s="246">
        <v>42350</v>
      </c>
      <c r="H2340" s="246">
        <v>48400</v>
      </c>
      <c r="I2340" s="246">
        <v>54450</v>
      </c>
      <c r="J2340" s="246">
        <v>60500</v>
      </c>
      <c r="K2340" s="246">
        <v>65350</v>
      </c>
      <c r="L2340" s="246">
        <v>70200</v>
      </c>
      <c r="M2340" s="246">
        <v>75050</v>
      </c>
      <c r="N2340" s="246">
        <v>79900</v>
      </c>
    </row>
    <row r="2341" spans="3:14" ht="21.95" customHeight="1" x14ac:dyDescent="0.25">
      <c r="C2341" s="139" t="str">
        <f t="shared" si="52"/>
        <v>TN_PERRY COUNTY, TN</v>
      </c>
      <c r="D2341" s="136" t="s">
        <v>64</v>
      </c>
      <c r="E2341" s="262" t="s">
        <v>4865</v>
      </c>
      <c r="F2341" s="136" t="s">
        <v>183</v>
      </c>
      <c r="G2341" s="246">
        <v>41950</v>
      </c>
      <c r="H2341" s="246">
        <v>47950</v>
      </c>
      <c r="I2341" s="246">
        <v>53950</v>
      </c>
      <c r="J2341" s="246">
        <v>59900</v>
      </c>
      <c r="K2341" s="246">
        <v>64700</v>
      </c>
      <c r="L2341" s="246">
        <v>69500</v>
      </c>
      <c r="M2341" s="246">
        <v>74300</v>
      </c>
      <c r="N2341" s="246">
        <v>79100</v>
      </c>
    </row>
    <row r="2342" spans="3:14" ht="21.95" customHeight="1" x14ac:dyDescent="0.25">
      <c r="C2342" s="139" t="str">
        <f t="shared" si="52"/>
        <v>TN_PICKETT COUNTY, TN</v>
      </c>
      <c r="D2342" s="136" t="s">
        <v>64</v>
      </c>
      <c r="E2342" s="262" t="s">
        <v>4866</v>
      </c>
      <c r="F2342" s="136" t="s">
        <v>183</v>
      </c>
      <c r="G2342" s="246">
        <v>41950</v>
      </c>
      <c r="H2342" s="246">
        <v>47950</v>
      </c>
      <c r="I2342" s="246">
        <v>53950</v>
      </c>
      <c r="J2342" s="246">
        <v>59900</v>
      </c>
      <c r="K2342" s="246">
        <v>64700</v>
      </c>
      <c r="L2342" s="246">
        <v>69500</v>
      </c>
      <c r="M2342" s="246">
        <v>74300</v>
      </c>
      <c r="N2342" s="246">
        <v>79100</v>
      </c>
    </row>
    <row r="2343" spans="3:14" ht="21.95" customHeight="1" x14ac:dyDescent="0.25">
      <c r="C2343" s="139" t="str">
        <f t="shared" si="52"/>
        <v>TN_PUTNAM COUNTY, TN</v>
      </c>
      <c r="D2343" s="136" t="s">
        <v>64</v>
      </c>
      <c r="E2343" s="262" t="s">
        <v>4867</v>
      </c>
      <c r="F2343" s="136" t="s">
        <v>183</v>
      </c>
      <c r="G2343" s="246">
        <v>44650</v>
      </c>
      <c r="H2343" s="246">
        <v>51000</v>
      </c>
      <c r="I2343" s="246">
        <v>57400</v>
      </c>
      <c r="J2343" s="246">
        <v>63750</v>
      </c>
      <c r="K2343" s="246">
        <v>68850</v>
      </c>
      <c r="L2343" s="246">
        <v>73950</v>
      </c>
      <c r="M2343" s="246">
        <v>79050</v>
      </c>
      <c r="N2343" s="246">
        <v>84150</v>
      </c>
    </row>
    <row r="2344" spans="3:14" ht="21.95" customHeight="1" x14ac:dyDescent="0.25">
      <c r="C2344" s="139" t="str">
        <f t="shared" si="52"/>
        <v>TN_RHEA COUNTY, TN</v>
      </c>
      <c r="D2344" s="136" t="s">
        <v>64</v>
      </c>
      <c r="E2344" s="262" t="s">
        <v>4868</v>
      </c>
      <c r="F2344" s="136" t="s">
        <v>183</v>
      </c>
      <c r="G2344" s="246">
        <v>41950</v>
      </c>
      <c r="H2344" s="246">
        <v>47950</v>
      </c>
      <c r="I2344" s="246">
        <v>53950</v>
      </c>
      <c r="J2344" s="246">
        <v>59900</v>
      </c>
      <c r="K2344" s="246">
        <v>64700</v>
      </c>
      <c r="L2344" s="246">
        <v>69500</v>
      </c>
      <c r="M2344" s="246">
        <v>74300</v>
      </c>
      <c r="N2344" s="246">
        <v>79100</v>
      </c>
    </row>
    <row r="2345" spans="3:14" ht="21.95" customHeight="1" x14ac:dyDescent="0.25">
      <c r="C2345" s="139" t="str">
        <f t="shared" si="52"/>
        <v>TN_ROANE COUNTY, TN HUD METRO FMR AREA</v>
      </c>
      <c r="D2345" s="136" t="s">
        <v>64</v>
      </c>
      <c r="E2345" s="262" t="s">
        <v>4869</v>
      </c>
      <c r="F2345" s="136" t="s">
        <v>183</v>
      </c>
      <c r="G2345" s="246">
        <v>50900</v>
      </c>
      <c r="H2345" s="246">
        <v>58150</v>
      </c>
      <c r="I2345" s="246">
        <v>65400</v>
      </c>
      <c r="J2345" s="246">
        <v>72650</v>
      </c>
      <c r="K2345" s="246">
        <v>78500</v>
      </c>
      <c r="L2345" s="246">
        <v>84300</v>
      </c>
      <c r="M2345" s="246">
        <v>90100</v>
      </c>
      <c r="N2345" s="246">
        <v>95900</v>
      </c>
    </row>
    <row r="2346" spans="3:14" ht="21.95" customHeight="1" x14ac:dyDescent="0.25">
      <c r="C2346" s="139" t="str">
        <f t="shared" si="52"/>
        <v>TN_SCOTT COUNTY, TN</v>
      </c>
      <c r="D2346" s="136" t="s">
        <v>64</v>
      </c>
      <c r="E2346" s="262" t="s">
        <v>4870</v>
      </c>
      <c r="F2346" s="136" t="s">
        <v>183</v>
      </c>
      <c r="G2346" s="246">
        <v>41950</v>
      </c>
      <c r="H2346" s="246">
        <v>47950</v>
      </c>
      <c r="I2346" s="246">
        <v>53950</v>
      </c>
      <c r="J2346" s="246">
        <v>59900</v>
      </c>
      <c r="K2346" s="246">
        <v>64700</v>
      </c>
      <c r="L2346" s="246">
        <v>69500</v>
      </c>
      <c r="M2346" s="246">
        <v>74300</v>
      </c>
      <c r="N2346" s="246">
        <v>79100</v>
      </c>
    </row>
    <row r="2347" spans="3:14" ht="21.95" customHeight="1" x14ac:dyDescent="0.25">
      <c r="C2347" s="139" t="str">
        <f t="shared" si="52"/>
        <v>TN_SEVIER COUNTY, TN</v>
      </c>
      <c r="D2347" s="136" t="s">
        <v>64</v>
      </c>
      <c r="E2347" s="262" t="s">
        <v>4871</v>
      </c>
      <c r="F2347" s="136" t="s">
        <v>183</v>
      </c>
      <c r="G2347" s="246">
        <v>44800</v>
      </c>
      <c r="H2347" s="246">
        <v>51200</v>
      </c>
      <c r="I2347" s="246">
        <v>57600</v>
      </c>
      <c r="J2347" s="246">
        <v>64000</v>
      </c>
      <c r="K2347" s="246">
        <v>69150</v>
      </c>
      <c r="L2347" s="246">
        <v>74250</v>
      </c>
      <c r="M2347" s="246">
        <v>79400</v>
      </c>
      <c r="N2347" s="246">
        <v>84500</v>
      </c>
    </row>
    <row r="2348" spans="3:14" ht="21.95" customHeight="1" x14ac:dyDescent="0.25">
      <c r="C2348" s="139" t="str">
        <f t="shared" si="52"/>
        <v>TN_SMITH COUNTY, TN HUD METRO FMR AREA</v>
      </c>
      <c r="D2348" s="136" t="s">
        <v>64</v>
      </c>
      <c r="E2348" s="262" t="s">
        <v>4872</v>
      </c>
      <c r="F2348" s="136" t="s">
        <v>183</v>
      </c>
      <c r="G2348" s="246">
        <v>46600</v>
      </c>
      <c r="H2348" s="246">
        <v>53250</v>
      </c>
      <c r="I2348" s="246">
        <v>59900</v>
      </c>
      <c r="J2348" s="246">
        <v>66550</v>
      </c>
      <c r="K2348" s="246">
        <v>71900</v>
      </c>
      <c r="L2348" s="246">
        <v>77200</v>
      </c>
      <c r="M2348" s="246">
        <v>82550</v>
      </c>
      <c r="N2348" s="246">
        <v>87850</v>
      </c>
    </row>
    <row r="2349" spans="3:14" ht="21.95" customHeight="1" x14ac:dyDescent="0.25">
      <c r="C2349" s="139" t="str">
        <f t="shared" si="52"/>
        <v>TN_STEWART COUNTY, TN HUD METRO FMR AREA</v>
      </c>
      <c r="D2349" s="136" t="s">
        <v>64</v>
      </c>
      <c r="E2349" s="262" t="s">
        <v>4873</v>
      </c>
      <c r="F2349" s="136" t="s">
        <v>183</v>
      </c>
      <c r="G2349" s="246">
        <v>46000</v>
      </c>
      <c r="H2349" s="246">
        <v>52600</v>
      </c>
      <c r="I2349" s="246">
        <v>59150</v>
      </c>
      <c r="J2349" s="246">
        <v>65700</v>
      </c>
      <c r="K2349" s="246">
        <v>71000</v>
      </c>
      <c r="L2349" s="246">
        <v>76250</v>
      </c>
      <c r="M2349" s="246">
        <v>81500</v>
      </c>
      <c r="N2349" s="246">
        <v>86750</v>
      </c>
    </row>
    <row r="2350" spans="3:14" ht="21.95" customHeight="1" x14ac:dyDescent="0.25">
      <c r="C2350" s="139" t="str">
        <f t="shared" si="52"/>
        <v>TN_VAN BUREN COUNTY, TN</v>
      </c>
      <c r="D2350" s="136" t="s">
        <v>64</v>
      </c>
      <c r="E2350" s="262" t="s">
        <v>4874</v>
      </c>
      <c r="F2350" s="136" t="s">
        <v>183</v>
      </c>
      <c r="G2350" s="246">
        <v>41950</v>
      </c>
      <c r="H2350" s="246">
        <v>47950</v>
      </c>
      <c r="I2350" s="246">
        <v>53950</v>
      </c>
      <c r="J2350" s="246">
        <v>59900</v>
      </c>
      <c r="K2350" s="246">
        <v>64700</v>
      </c>
      <c r="L2350" s="246">
        <v>69500</v>
      </c>
      <c r="M2350" s="246">
        <v>74300</v>
      </c>
      <c r="N2350" s="246">
        <v>79100</v>
      </c>
    </row>
    <row r="2351" spans="3:14" ht="21.95" customHeight="1" x14ac:dyDescent="0.25">
      <c r="C2351" s="139" t="str">
        <f t="shared" si="52"/>
        <v>TN_WARREN COUNTY, TN</v>
      </c>
      <c r="D2351" s="136" t="s">
        <v>64</v>
      </c>
      <c r="E2351" s="262" t="s">
        <v>4875</v>
      </c>
      <c r="F2351" s="136" t="s">
        <v>183</v>
      </c>
      <c r="G2351" s="246">
        <v>41950</v>
      </c>
      <c r="H2351" s="246">
        <v>47950</v>
      </c>
      <c r="I2351" s="246">
        <v>53950</v>
      </c>
      <c r="J2351" s="246">
        <v>59900</v>
      </c>
      <c r="K2351" s="246">
        <v>64700</v>
      </c>
      <c r="L2351" s="246">
        <v>69500</v>
      </c>
      <c r="M2351" s="246">
        <v>74300</v>
      </c>
      <c r="N2351" s="246">
        <v>79100</v>
      </c>
    </row>
    <row r="2352" spans="3:14" ht="21.95" customHeight="1" x14ac:dyDescent="0.25">
      <c r="C2352" s="139" t="str">
        <f t="shared" si="52"/>
        <v>TN_WAYNE COUNTY, TN</v>
      </c>
      <c r="D2352" s="136" t="s">
        <v>64</v>
      </c>
      <c r="E2352" s="262" t="s">
        <v>4876</v>
      </c>
      <c r="F2352" s="136" t="s">
        <v>183</v>
      </c>
      <c r="G2352" s="246">
        <v>41950</v>
      </c>
      <c r="H2352" s="246">
        <v>47950</v>
      </c>
      <c r="I2352" s="246">
        <v>53950</v>
      </c>
      <c r="J2352" s="246">
        <v>59900</v>
      </c>
      <c r="K2352" s="246">
        <v>64700</v>
      </c>
      <c r="L2352" s="246">
        <v>69500</v>
      </c>
      <c r="M2352" s="246">
        <v>74300</v>
      </c>
      <c r="N2352" s="246">
        <v>79100</v>
      </c>
    </row>
    <row r="2353" spans="3:14" ht="21.95" customHeight="1" x14ac:dyDescent="0.25">
      <c r="C2353" s="139" t="str">
        <f t="shared" si="52"/>
        <v>TN_WEAKLEY COUNTY, TN</v>
      </c>
      <c r="D2353" s="136" t="s">
        <v>64</v>
      </c>
      <c r="E2353" s="262" t="s">
        <v>4877</v>
      </c>
      <c r="F2353" s="136" t="s">
        <v>183</v>
      </c>
      <c r="G2353" s="246">
        <v>42300</v>
      </c>
      <c r="H2353" s="246">
        <v>48350</v>
      </c>
      <c r="I2353" s="246">
        <v>54400</v>
      </c>
      <c r="J2353" s="246">
        <v>60400</v>
      </c>
      <c r="K2353" s="246">
        <v>65250</v>
      </c>
      <c r="L2353" s="246">
        <v>70100</v>
      </c>
      <c r="M2353" s="246">
        <v>74900</v>
      </c>
      <c r="N2353" s="246">
        <v>79750</v>
      </c>
    </row>
    <row r="2354" spans="3:14" ht="21.95" customHeight="1" x14ac:dyDescent="0.25">
      <c r="C2354" s="139" t="str">
        <f t="shared" si="52"/>
        <v>TN_WHITE COUNTY, TN</v>
      </c>
      <c r="D2354" s="136" t="s">
        <v>64</v>
      </c>
      <c r="E2354" s="262" t="s">
        <v>4878</v>
      </c>
      <c r="F2354" s="136" t="s">
        <v>183</v>
      </c>
      <c r="G2354" s="246">
        <v>41950</v>
      </c>
      <c r="H2354" s="246">
        <v>47950</v>
      </c>
      <c r="I2354" s="246">
        <v>53950</v>
      </c>
      <c r="J2354" s="246">
        <v>59900</v>
      </c>
      <c r="K2354" s="246">
        <v>64700</v>
      </c>
      <c r="L2354" s="246">
        <v>69500</v>
      </c>
      <c r="M2354" s="246">
        <v>74300</v>
      </c>
      <c r="N2354" s="246">
        <v>79100</v>
      </c>
    </row>
    <row r="2355" spans="3:14" ht="21.95" customHeight="1" x14ac:dyDescent="0.25">
      <c r="C2355" s="139" t="str">
        <f t="shared" si="52"/>
        <v>TX_ABILENE, TX MSA</v>
      </c>
      <c r="D2355" s="136" t="s">
        <v>63</v>
      </c>
      <c r="E2355" s="262" t="s">
        <v>4879</v>
      </c>
      <c r="F2355" s="136" t="s">
        <v>183</v>
      </c>
      <c r="G2355" s="246">
        <v>48900</v>
      </c>
      <c r="H2355" s="246">
        <v>55900</v>
      </c>
      <c r="I2355" s="246">
        <v>62900</v>
      </c>
      <c r="J2355" s="246">
        <v>69850</v>
      </c>
      <c r="K2355" s="246">
        <v>75450</v>
      </c>
      <c r="L2355" s="246">
        <v>81050</v>
      </c>
      <c r="M2355" s="246">
        <v>86650</v>
      </c>
      <c r="N2355" s="246">
        <v>92250</v>
      </c>
    </row>
    <row r="2356" spans="3:14" ht="21.95" customHeight="1" x14ac:dyDescent="0.25">
      <c r="C2356" s="139" t="str">
        <f t="shared" si="52"/>
        <v>TX_AMARILLO, TX HUD METRO FMR AREA</v>
      </c>
      <c r="D2356" s="136" t="s">
        <v>63</v>
      </c>
      <c r="E2356" s="262" t="s">
        <v>4880</v>
      </c>
      <c r="F2356" s="136" t="s">
        <v>183</v>
      </c>
      <c r="G2356" s="246">
        <v>53600</v>
      </c>
      <c r="H2356" s="246">
        <v>61250</v>
      </c>
      <c r="I2356" s="246">
        <v>68900</v>
      </c>
      <c r="J2356" s="246">
        <v>76550</v>
      </c>
      <c r="K2356" s="246">
        <v>82700</v>
      </c>
      <c r="L2356" s="246">
        <v>88800</v>
      </c>
      <c r="M2356" s="246">
        <v>94950</v>
      </c>
      <c r="N2356" s="246">
        <v>101050</v>
      </c>
    </row>
    <row r="2357" spans="3:14" ht="21.95" customHeight="1" x14ac:dyDescent="0.25">
      <c r="C2357" s="139" t="str">
        <f t="shared" si="52"/>
        <v>TX_ANDERSON COUNTY, TX</v>
      </c>
      <c r="D2357" s="136" t="s">
        <v>63</v>
      </c>
      <c r="E2357" s="262" t="s">
        <v>4881</v>
      </c>
      <c r="F2357" s="136" t="s">
        <v>183</v>
      </c>
      <c r="G2357" s="246">
        <v>44450</v>
      </c>
      <c r="H2357" s="246">
        <v>50800</v>
      </c>
      <c r="I2357" s="246">
        <v>57150</v>
      </c>
      <c r="J2357" s="246">
        <v>63500</v>
      </c>
      <c r="K2357" s="246">
        <v>68600</v>
      </c>
      <c r="L2357" s="246">
        <v>73700</v>
      </c>
      <c r="M2357" s="246">
        <v>78750</v>
      </c>
      <c r="N2357" s="246">
        <v>83850</v>
      </c>
    </row>
    <row r="2358" spans="3:14" ht="21.95" customHeight="1" x14ac:dyDescent="0.25">
      <c r="C2358" s="139" t="str">
        <f t="shared" si="52"/>
        <v>TX_ANDREWS COUNTY, TX</v>
      </c>
      <c r="D2358" s="136" t="s">
        <v>63</v>
      </c>
      <c r="E2358" s="262" t="s">
        <v>4882</v>
      </c>
      <c r="F2358" s="136" t="s">
        <v>183</v>
      </c>
      <c r="G2358" s="246">
        <v>54500</v>
      </c>
      <c r="H2358" s="246">
        <v>62300</v>
      </c>
      <c r="I2358" s="246">
        <v>70100</v>
      </c>
      <c r="J2358" s="246">
        <v>77850</v>
      </c>
      <c r="K2358" s="246">
        <v>84100</v>
      </c>
      <c r="L2358" s="246">
        <v>90350</v>
      </c>
      <c r="M2358" s="246">
        <v>96550</v>
      </c>
      <c r="N2358" s="246">
        <v>102800</v>
      </c>
    </row>
    <row r="2359" spans="3:14" ht="21.95" customHeight="1" x14ac:dyDescent="0.25">
      <c r="C2359" s="139" t="str">
        <f t="shared" si="52"/>
        <v>TX_ANGELINA COUNTY, TX</v>
      </c>
      <c r="D2359" s="136" t="s">
        <v>63</v>
      </c>
      <c r="E2359" s="262" t="s">
        <v>4883</v>
      </c>
      <c r="F2359" s="136" t="s">
        <v>183</v>
      </c>
      <c r="G2359" s="246">
        <v>44450</v>
      </c>
      <c r="H2359" s="246">
        <v>50800</v>
      </c>
      <c r="I2359" s="246">
        <v>57150</v>
      </c>
      <c r="J2359" s="246">
        <v>63500</v>
      </c>
      <c r="K2359" s="246">
        <v>68600</v>
      </c>
      <c r="L2359" s="246">
        <v>73700</v>
      </c>
      <c r="M2359" s="246">
        <v>78750</v>
      </c>
      <c r="N2359" s="246">
        <v>83850</v>
      </c>
    </row>
    <row r="2360" spans="3:14" ht="21.95" customHeight="1" x14ac:dyDescent="0.25">
      <c r="C2360" s="139" t="str">
        <f t="shared" si="52"/>
        <v>TX_ARANSAS COUNTY, TX HUD METRO FMR AREA</v>
      </c>
      <c r="D2360" s="136" t="s">
        <v>63</v>
      </c>
      <c r="E2360" s="262" t="s">
        <v>9260</v>
      </c>
      <c r="F2360" s="136" t="s">
        <v>183</v>
      </c>
      <c r="G2360" s="246">
        <v>44450</v>
      </c>
      <c r="H2360" s="246">
        <v>50800</v>
      </c>
      <c r="I2360" s="246">
        <v>57150</v>
      </c>
      <c r="J2360" s="246">
        <v>63500</v>
      </c>
      <c r="K2360" s="246">
        <v>68600</v>
      </c>
      <c r="L2360" s="246">
        <v>73700</v>
      </c>
      <c r="M2360" s="246">
        <v>78750</v>
      </c>
      <c r="N2360" s="246">
        <v>83850</v>
      </c>
    </row>
    <row r="2361" spans="3:14" ht="21.95" customHeight="1" x14ac:dyDescent="0.25">
      <c r="C2361" s="139" t="str">
        <f t="shared" si="52"/>
        <v>TX_ATASCOSA COUNTY, TX HUD METRO FMR AREA</v>
      </c>
      <c r="D2361" s="136" t="s">
        <v>63</v>
      </c>
      <c r="E2361" s="262" t="s">
        <v>4884</v>
      </c>
      <c r="F2361" s="136" t="s">
        <v>183</v>
      </c>
      <c r="G2361" s="246">
        <v>48650</v>
      </c>
      <c r="H2361" s="246">
        <v>55600</v>
      </c>
      <c r="I2361" s="246">
        <v>62550</v>
      </c>
      <c r="J2361" s="246">
        <v>69500</v>
      </c>
      <c r="K2361" s="246">
        <v>75100</v>
      </c>
      <c r="L2361" s="246">
        <v>80650</v>
      </c>
      <c r="M2361" s="246">
        <v>86200</v>
      </c>
      <c r="N2361" s="246">
        <v>91750</v>
      </c>
    </row>
    <row r="2362" spans="3:14" ht="21.95" customHeight="1" x14ac:dyDescent="0.25">
      <c r="C2362" s="139" t="str">
        <f t="shared" si="52"/>
        <v>TX_AUSTIN COUNTY, TX HUD METRO FMR AREA</v>
      </c>
      <c r="D2362" s="136" t="s">
        <v>63</v>
      </c>
      <c r="E2362" s="262" t="s">
        <v>4885</v>
      </c>
      <c r="F2362" s="136" t="s">
        <v>183</v>
      </c>
      <c r="G2362" s="246">
        <v>56600</v>
      </c>
      <c r="H2362" s="246">
        <v>64650</v>
      </c>
      <c r="I2362" s="246">
        <v>72750</v>
      </c>
      <c r="J2362" s="246">
        <v>80800</v>
      </c>
      <c r="K2362" s="246">
        <v>87300</v>
      </c>
      <c r="L2362" s="246">
        <v>93750</v>
      </c>
      <c r="M2362" s="246">
        <v>100200</v>
      </c>
      <c r="N2362" s="246">
        <v>106700</v>
      </c>
    </row>
    <row r="2363" spans="3:14" ht="21.95" customHeight="1" x14ac:dyDescent="0.25">
      <c r="C2363" s="139" t="str">
        <f t="shared" si="52"/>
        <v>TX_AUSTIN-ROUND ROCK-SAN MARCOS, TX MSA</v>
      </c>
      <c r="D2363" s="136" t="s">
        <v>63</v>
      </c>
      <c r="E2363" s="262" t="s">
        <v>9261</v>
      </c>
      <c r="F2363" s="136" t="s">
        <v>183</v>
      </c>
      <c r="G2363" s="246">
        <v>72950</v>
      </c>
      <c r="H2363" s="246">
        <v>83400</v>
      </c>
      <c r="I2363" s="246">
        <v>93800</v>
      </c>
      <c r="J2363" s="246">
        <v>104200</v>
      </c>
      <c r="K2363" s="246">
        <v>112550</v>
      </c>
      <c r="L2363" s="246">
        <v>120900</v>
      </c>
      <c r="M2363" s="246">
        <v>129250</v>
      </c>
      <c r="N2363" s="246">
        <v>137550</v>
      </c>
    </row>
    <row r="2364" spans="3:14" ht="21.95" customHeight="1" x14ac:dyDescent="0.25">
      <c r="C2364" s="139" t="str">
        <f t="shared" si="52"/>
        <v>TX_BAILEY COUNTY, TX</v>
      </c>
      <c r="D2364" s="136" t="s">
        <v>63</v>
      </c>
      <c r="E2364" s="262" t="s">
        <v>4886</v>
      </c>
      <c r="F2364" s="136" t="s">
        <v>183</v>
      </c>
      <c r="G2364" s="246">
        <v>48500</v>
      </c>
      <c r="H2364" s="246">
        <v>55400</v>
      </c>
      <c r="I2364" s="246">
        <v>62350</v>
      </c>
      <c r="J2364" s="246">
        <v>69250</v>
      </c>
      <c r="K2364" s="246">
        <v>74800</v>
      </c>
      <c r="L2364" s="246">
        <v>80350</v>
      </c>
      <c r="M2364" s="246">
        <v>85900</v>
      </c>
      <c r="N2364" s="246">
        <v>91450</v>
      </c>
    </row>
    <row r="2365" spans="3:14" ht="21.95" customHeight="1" x14ac:dyDescent="0.25">
      <c r="C2365" s="139" t="str">
        <f t="shared" si="52"/>
        <v>TX_BAYLOR COUNTY, TX</v>
      </c>
      <c r="D2365" s="136" t="s">
        <v>63</v>
      </c>
      <c r="E2365" s="262" t="s">
        <v>4887</v>
      </c>
      <c r="F2365" s="136" t="s">
        <v>183</v>
      </c>
      <c r="G2365" s="246">
        <v>44450</v>
      </c>
      <c r="H2365" s="246">
        <v>50800</v>
      </c>
      <c r="I2365" s="246">
        <v>57150</v>
      </c>
      <c r="J2365" s="246">
        <v>63500</v>
      </c>
      <c r="K2365" s="246">
        <v>68600</v>
      </c>
      <c r="L2365" s="246">
        <v>73700</v>
      </c>
      <c r="M2365" s="246">
        <v>78750</v>
      </c>
      <c r="N2365" s="246">
        <v>83850</v>
      </c>
    </row>
    <row r="2366" spans="3:14" ht="21.95" customHeight="1" x14ac:dyDescent="0.25">
      <c r="C2366" s="139" t="str">
        <f t="shared" si="52"/>
        <v>TX_BEAUMONT-PORT ARTHUR, TX MSA</v>
      </c>
      <c r="D2366" s="136" t="s">
        <v>63</v>
      </c>
      <c r="E2366" s="262" t="s">
        <v>4888</v>
      </c>
      <c r="F2366" s="136" t="s">
        <v>183</v>
      </c>
      <c r="G2366" s="246">
        <v>47250</v>
      </c>
      <c r="H2366" s="246">
        <v>54000</v>
      </c>
      <c r="I2366" s="246">
        <v>60750</v>
      </c>
      <c r="J2366" s="246">
        <v>67500</v>
      </c>
      <c r="K2366" s="246">
        <v>72900</v>
      </c>
      <c r="L2366" s="246">
        <v>78300</v>
      </c>
      <c r="M2366" s="246">
        <v>83700</v>
      </c>
      <c r="N2366" s="246">
        <v>89100</v>
      </c>
    </row>
    <row r="2367" spans="3:14" ht="21.95" customHeight="1" x14ac:dyDescent="0.25">
      <c r="C2367" s="139" t="str">
        <f t="shared" si="52"/>
        <v>TX_BEE COUNTY, TX</v>
      </c>
      <c r="D2367" s="136" t="s">
        <v>63</v>
      </c>
      <c r="E2367" s="262" t="s">
        <v>4889</v>
      </c>
      <c r="F2367" s="136" t="s">
        <v>183</v>
      </c>
      <c r="G2367" s="246">
        <v>45300</v>
      </c>
      <c r="H2367" s="246">
        <v>51750</v>
      </c>
      <c r="I2367" s="246">
        <v>58200</v>
      </c>
      <c r="J2367" s="246">
        <v>64650</v>
      </c>
      <c r="K2367" s="246">
        <v>69850</v>
      </c>
      <c r="L2367" s="246">
        <v>75000</v>
      </c>
      <c r="M2367" s="246">
        <v>80200</v>
      </c>
      <c r="N2367" s="246">
        <v>85350</v>
      </c>
    </row>
    <row r="2368" spans="3:14" ht="21.95" customHeight="1" x14ac:dyDescent="0.25">
      <c r="C2368" s="139" t="str">
        <f t="shared" ref="C2368:C2431" si="53">TRIM(UPPER(D2368))&amp;"_"&amp;TRIM(UPPER(E2368))</f>
        <v>TX_BLANCO COUNTY, TX</v>
      </c>
      <c r="D2368" s="136" t="s">
        <v>63</v>
      </c>
      <c r="E2368" s="262" t="s">
        <v>4890</v>
      </c>
      <c r="F2368" s="136" t="s">
        <v>183</v>
      </c>
      <c r="G2368" s="246">
        <v>56000</v>
      </c>
      <c r="H2368" s="246">
        <v>64000</v>
      </c>
      <c r="I2368" s="246">
        <v>72000</v>
      </c>
      <c r="J2368" s="246">
        <v>80000</v>
      </c>
      <c r="K2368" s="246">
        <v>86400</v>
      </c>
      <c r="L2368" s="246">
        <v>92800</v>
      </c>
      <c r="M2368" s="246">
        <v>99200</v>
      </c>
      <c r="N2368" s="246">
        <v>105600</v>
      </c>
    </row>
    <row r="2369" spans="3:14" ht="21.95" customHeight="1" x14ac:dyDescent="0.25">
      <c r="C2369" s="139" t="str">
        <f t="shared" si="53"/>
        <v>TX_BORDEN COUNTY, TX</v>
      </c>
      <c r="D2369" s="136" t="s">
        <v>63</v>
      </c>
      <c r="E2369" s="262" t="s">
        <v>4891</v>
      </c>
      <c r="F2369" s="136" t="s">
        <v>183</v>
      </c>
      <c r="G2369" s="246">
        <v>57050</v>
      </c>
      <c r="H2369" s="246">
        <v>65200</v>
      </c>
      <c r="I2369" s="246">
        <v>73350</v>
      </c>
      <c r="J2369" s="246">
        <v>81500</v>
      </c>
      <c r="K2369" s="246">
        <v>88050</v>
      </c>
      <c r="L2369" s="246">
        <v>94550</v>
      </c>
      <c r="M2369" s="246">
        <v>101100</v>
      </c>
      <c r="N2369" s="246">
        <v>107600</v>
      </c>
    </row>
    <row r="2370" spans="3:14" ht="21.95" customHeight="1" x14ac:dyDescent="0.25">
      <c r="C2370" s="139" t="str">
        <f t="shared" si="53"/>
        <v>TX_BOSQUE COUNTY, TX HUD METRO FMR AREA</v>
      </c>
      <c r="D2370" s="136" t="s">
        <v>63</v>
      </c>
      <c r="E2370" s="262" t="s">
        <v>9262</v>
      </c>
      <c r="F2370" s="136" t="s">
        <v>183</v>
      </c>
      <c r="G2370" s="246">
        <v>48750</v>
      </c>
      <c r="H2370" s="246">
        <v>55700</v>
      </c>
      <c r="I2370" s="246">
        <v>62650</v>
      </c>
      <c r="J2370" s="246">
        <v>69600</v>
      </c>
      <c r="K2370" s="246">
        <v>75200</v>
      </c>
      <c r="L2370" s="246">
        <v>80750</v>
      </c>
      <c r="M2370" s="246">
        <v>86350</v>
      </c>
      <c r="N2370" s="246">
        <v>91900</v>
      </c>
    </row>
    <row r="2371" spans="3:14" ht="21.95" customHeight="1" x14ac:dyDescent="0.25">
      <c r="C2371" s="139" t="str">
        <f t="shared" si="53"/>
        <v>TX_BRAZORIA COUNTY, TX HUD METRO FMR AREA</v>
      </c>
      <c r="D2371" s="136" t="s">
        <v>63</v>
      </c>
      <c r="E2371" s="262" t="s">
        <v>4892</v>
      </c>
      <c r="F2371" s="136" t="s">
        <v>183</v>
      </c>
      <c r="G2371" s="246">
        <v>65050</v>
      </c>
      <c r="H2371" s="246">
        <v>74350</v>
      </c>
      <c r="I2371" s="246">
        <v>83650</v>
      </c>
      <c r="J2371" s="246">
        <v>92900</v>
      </c>
      <c r="K2371" s="246">
        <v>100350</v>
      </c>
      <c r="L2371" s="246">
        <v>107800</v>
      </c>
      <c r="M2371" s="246">
        <v>115200</v>
      </c>
      <c r="N2371" s="246">
        <v>122650</v>
      </c>
    </row>
    <row r="2372" spans="3:14" ht="21.95" customHeight="1" x14ac:dyDescent="0.25">
      <c r="C2372" s="139" t="str">
        <f t="shared" si="53"/>
        <v>TX_BREWSTER COUNTY, TX</v>
      </c>
      <c r="D2372" s="136" t="s">
        <v>63</v>
      </c>
      <c r="E2372" s="262" t="s">
        <v>4893</v>
      </c>
      <c r="F2372" s="136" t="s">
        <v>183</v>
      </c>
      <c r="G2372" s="246">
        <v>44650</v>
      </c>
      <c r="H2372" s="246">
        <v>51000</v>
      </c>
      <c r="I2372" s="246">
        <v>57400</v>
      </c>
      <c r="J2372" s="246">
        <v>63750</v>
      </c>
      <c r="K2372" s="246">
        <v>68850</v>
      </c>
      <c r="L2372" s="246">
        <v>73950</v>
      </c>
      <c r="M2372" s="246">
        <v>79050</v>
      </c>
      <c r="N2372" s="246">
        <v>84150</v>
      </c>
    </row>
    <row r="2373" spans="3:14" ht="21.95" customHeight="1" x14ac:dyDescent="0.25">
      <c r="C2373" s="139" t="str">
        <f t="shared" si="53"/>
        <v>TX_BRISCOE COUNTY, TX</v>
      </c>
      <c r="D2373" s="136" t="s">
        <v>63</v>
      </c>
      <c r="E2373" s="262" t="s">
        <v>4894</v>
      </c>
      <c r="F2373" s="136" t="s">
        <v>183</v>
      </c>
      <c r="G2373" s="246">
        <v>44450</v>
      </c>
      <c r="H2373" s="246">
        <v>50800</v>
      </c>
      <c r="I2373" s="246">
        <v>57150</v>
      </c>
      <c r="J2373" s="246">
        <v>63500</v>
      </c>
      <c r="K2373" s="246">
        <v>68600</v>
      </c>
      <c r="L2373" s="246">
        <v>73700</v>
      </c>
      <c r="M2373" s="246">
        <v>78750</v>
      </c>
      <c r="N2373" s="246">
        <v>83850</v>
      </c>
    </row>
    <row r="2374" spans="3:14" ht="21.95" customHeight="1" x14ac:dyDescent="0.25">
      <c r="C2374" s="139" t="str">
        <f t="shared" si="53"/>
        <v>TX_BROOKS COUNTY, TX</v>
      </c>
      <c r="D2374" s="136" t="s">
        <v>63</v>
      </c>
      <c r="E2374" s="262" t="s">
        <v>4895</v>
      </c>
      <c r="F2374" s="136" t="s">
        <v>183</v>
      </c>
      <c r="G2374" s="246">
        <v>44450</v>
      </c>
      <c r="H2374" s="246">
        <v>50800</v>
      </c>
      <c r="I2374" s="246">
        <v>57150</v>
      </c>
      <c r="J2374" s="246">
        <v>63500</v>
      </c>
      <c r="K2374" s="246">
        <v>68600</v>
      </c>
      <c r="L2374" s="246">
        <v>73700</v>
      </c>
      <c r="M2374" s="246">
        <v>78750</v>
      </c>
      <c r="N2374" s="246">
        <v>83850</v>
      </c>
    </row>
    <row r="2375" spans="3:14" ht="21.95" customHeight="1" x14ac:dyDescent="0.25">
      <c r="C2375" s="139" t="str">
        <f t="shared" si="53"/>
        <v>TX_BROWN COUNTY, TX</v>
      </c>
      <c r="D2375" s="136" t="s">
        <v>63</v>
      </c>
      <c r="E2375" s="262" t="s">
        <v>4896</v>
      </c>
      <c r="F2375" s="136" t="s">
        <v>183</v>
      </c>
      <c r="G2375" s="246">
        <v>44450</v>
      </c>
      <c r="H2375" s="246">
        <v>50800</v>
      </c>
      <c r="I2375" s="246">
        <v>57150</v>
      </c>
      <c r="J2375" s="246">
        <v>63500</v>
      </c>
      <c r="K2375" s="246">
        <v>68600</v>
      </c>
      <c r="L2375" s="246">
        <v>73700</v>
      </c>
      <c r="M2375" s="246">
        <v>78750</v>
      </c>
      <c r="N2375" s="246">
        <v>83850</v>
      </c>
    </row>
    <row r="2376" spans="3:14" ht="21.95" customHeight="1" x14ac:dyDescent="0.25">
      <c r="C2376" s="139" t="str">
        <f t="shared" si="53"/>
        <v>TX_BROWNSVILLE-HARLINGEN, TX MSA</v>
      </c>
      <c r="D2376" s="136" t="s">
        <v>63</v>
      </c>
      <c r="E2376" s="262" t="s">
        <v>4897</v>
      </c>
      <c r="F2376" s="136" t="s">
        <v>183</v>
      </c>
      <c r="G2376" s="246">
        <v>44450</v>
      </c>
      <c r="H2376" s="246">
        <v>50800</v>
      </c>
      <c r="I2376" s="246">
        <v>57150</v>
      </c>
      <c r="J2376" s="246">
        <v>63500</v>
      </c>
      <c r="K2376" s="246">
        <v>68600</v>
      </c>
      <c r="L2376" s="246">
        <v>73700</v>
      </c>
      <c r="M2376" s="246">
        <v>78750</v>
      </c>
      <c r="N2376" s="246">
        <v>83850</v>
      </c>
    </row>
    <row r="2377" spans="3:14" ht="21.95" customHeight="1" x14ac:dyDescent="0.25">
      <c r="C2377" s="139" t="str">
        <f t="shared" si="53"/>
        <v>TX_BURNET COUNTY, TX</v>
      </c>
      <c r="D2377" s="136" t="s">
        <v>63</v>
      </c>
      <c r="E2377" s="262" t="s">
        <v>4898</v>
      </c>
      <c r="F2377" s="136" t="s">
        <v>183</v>
      </c>
      <c r="G2377" s="246">
        <v>56000</v>
      </c>
      <c r="H2377" s="246">
        <v>64000</v>
      </c>
      <c r="I2377" s="246">
        <v>72000</v>
      </c>
      <c r="J2377" s="246">
        <v>80000</v>
      </c>
      <c r="K2377" s="246">
        <v>86400</v>
      </c>
      <c r="L2377" s="246">
        <v>92800</v>
      </c>
      <c r="M2377" s="246">
        <v>99200</v>
      </c>
      <c r="N2377" s="246">
        <v>105600</v>
      </c>
    </row>
    <row r="2378" spans="3:14" ht="21.95" customHeight="1" x14ac:dyDescent="0.25">
      <c r="C2378" s="139" t="str">
        <f t="shared" si="53"/>
        <v>TX_CALHOUN COUNTY, TX</v>
      </c>
      <c r="D2378" s="136" t="s">
        <v>63</v>
      </c>
      <c r="E2378" s="262" t="s">
        <v>4899</v>
      </c>
      <c r="F2378" s="136" t="s">
        <v>183</v>
      </c>
      <c r="G2378" s="246">
        <v>51350</v>
      </c>
      <c r="H2378" s="246">
        <v>58650</v>
      </c>
      <c r="I2378" s="246">
        <v>66000</v>
      </c>
      <c r="J2378" s="246">
        <v>73300</v>
      </c>
      <c r="K2378" s="246">
        <v>79200</v>
      </c>
      <c r="L2378" s="246">
        <v>85050</v>
      </c>
      <c r="M2378" s="246">
        <v>90900</v>
      </c>
      <c r="N2378" s="246">
        <v>96800</v>
      </c>
    </row>
    <row r="2379" spans="3:14" ht="21.95" customHeight="1" x14ac:dyDescent="0.25">
      <c r="C2379" s="139" t="str">
        <f t="shared" si="53"/>
        <v>TX_CAMP COUNTY, TX</v>
      </c>
      <c r="D2379" s="136" t="s">
        <v>63</v>
      </c>
      <c r="E2379" s="262" t="s">
        <v>4900</v>
      </c>
      <c r="F2379" s="136" t="s">
        <v>183</v>
      </c>
      <c r="G2379" s="246">
        <v>44450</v>
      </c>
      <c r="H2379" s="246">
        <v>50800</v>
      </c>
      <c r="I2379" s="246">
        <v>57150</v>
      </c>
      <c r="J2379" s="246">
        <v>63500</v>
      </c>
      <c r="K2379" s="246">
        <v>68600</v>
      </c>
      <c r="L2379" s="246">
        <v>73700</v>
      </c>
      <c r="M2379" s="246">
        <v>78750</v>
      </c>
      <c r="N2379" s="246">
        <v>83850</v>
      </c>
    </row>
    <row r="2380" spans="3:14" ht="21.95" customHeight="1" x14ac:dyDescent="0.25">
      <c r="C2380" s="139" t="str">
        <f t="shared" si="53"/>
        <v>TX_CASS COUNTY, TX</v>
      </c>
      <c r="D2380" s="136" t="s">
        <v>63</v>
      </c>
      <c r="E2380" s="262" t="s">
        <v>4901</v>
      </c>
      <c r="F2380" s="136" t="s">
        <v>183</v>
      </c>
      <c r="G2380" s="246">
        <v>44450</v>
      </c>
      <c r="H2380" s="246">
        <v>50800</v>
      </c>
      <c r="I2380" s="246">
        <v>57150</v>
      </c>
      <c r="J2380" s="246">
        <v>63500</v>
      </c>
      <c r="K2380" s="246">
        <v>68600</v>
      </c>
      <c r="L2380" s="246">
        <v>73700</v>
      </c>
      <c r="M2380" s="246">
        <v>78750</v>
      </c>
      <c r="N2380" s="246">
        <v>83850</v>
      </c>
    </row>
    <row r="2381" spans="3:14" ht="21.95" customHeight="1" x14ac:dyDescent="0.25">
      <c r="C2381" s="139" t="str">
        <f t="shared" si="53"/>
        <v>TX_CASTRO COUNTY, TX</v>
      </c>
      <c r="D2381" s="136" t="s">
        <v>63</v>
      </c>
      <c r="E2381" s="262" t="s">
        <v>4902</v>
      </c>
      <c r="F2381" s="136" t="s">
        <v>183</v>
      </c>
      <c r="G2381" s="246">
        <v>44450</v>
      </c>
      <c r="H2381" s="246">
        <v>50800</v>
      </c>
      <c r="I2381" s="246">
        <v>57150</v>
      </c>
      <c r="J2381" s="246">
        <v>63500</v>
      </c>
      <c r="K2381" s="246">
        <v>68600</v>
      </c>
      <c r="L2381" s="246">
        <v>73700</v>
      </c>
      <c r="M2381" s="246">
        <v>78750</v>
      </c>
      <c r="N2381" s="246">
        <v>83850</v>
      </c>
    </row>
    <row r="2382" spans="3:14" ht="21.95" customHeight="1" x14ac:dyDescent="0.25">
      <c r="C2382" s="139" t="str">
        <f t="shared" si="53"/>
        <v>TX_CHEROKEE COUNTY, TX</v>
      </c>
      <c r="D2382" s="136" t="s">
        <v>63</v>
      </c>
      <c r="E2382" s="262" t="s">
        <v>4903</v>
      </c>
      <c r="F2382" s="136" t="s">
        <v>183</v>
      </c>
      <c r="G2382" s="246">
        <v>44450</v>
      </c>
      <c r="H2382" s="246">
        <v>50800</v>
      </c>
      <c r="I2382" s="246">
        <v>57150</v>
      </c>
      <c r="J2382" s="246">
        <v>63500</v>
      </c>
      <c r="K2382" s="246">
        <v>68600</v>
      </c>
      <c r="L2382" s="246">
        <v>73700</v>
      </c>
      <c r="M2382" s="246">
        <v>78750</v>
      </c>
      <c r="N2382" s="246">
        <v>83850</v>
      </c>
    </row>
    <row r="2383" spans="3:14" ht="21.95" customHeight="1" x14ac:dyDescent="0.25">
      <c r="C2383" s="139" t="str">
        <f t="shared" si="53"/>
        <v>TX_CHILDRESS COUNTY, TX</v>
      </c>
      <c r="D2383" s="136" t="s">
        <v>63</v>
      </c>
      <c r="E2383" s="262" t="s">
        <v>4904</v>
      </c>
      <c r="F2383" s="136" t="s">
        <v>183</v>
      </c>
      <c r="G2383" s="246">
        <v>44450</v>
      </c>
      <c r="H2383" s="246">
        <v>50800</v>
      </c>
      <c r="I2383" s="246">
        <v>57150</v>
      </c>
      <c r="J2383" s="246">
        <v>63500</v>
      </c>
      <c r="K2383" s="246">
        <v>68600</v>
      </c>
      <c r="L2383" s="246">
        <v>73700</v>
      </c>
      <c r="M2383" s="246">
        <v>78750</v>
      </c>
      <c r="N2383" s="246">
        <v>83850</v>
      </c>
    </row>
    <row r="2384" spans="3:14" ht="21.95" customHeight="1" x14ac:dyDescent="0.25">
      <c r="C2384" s="139" t="str">
        <f t="shared" si="53"/>
        <v>TX_COCHRAN COUNTY, TX HUD METRO FMR AREA</v>
      </c>
      <c r="D2384" s="136" t="s">
        <v>63</v>
      </c>
      <c r="E2384" s="262" t="s">
        <v>9263</v>
      </c>
      <c r="F2384" s="136" t="s">
        <v>183</v>
      </c>
      <c r="G2384" s="246">
        <v>44450</v>
      </c>
      <c r="H2384" s="246">
        <v>50800</v>
      </c>
      <c r="I2384" s="246">
        <v>57150</v>
      </c>
      <c r="J2384" s="246">
        <v>63500</v>
      </c>
      <c r="K2384" s="246">
        <v>68600</v>
      </c>
      <c r="L2384" s="246">
        <v>73700</v>
      </c>
      <c r="M2384" s="246">
        <v>78750</v>
      </c>
      <c r="N2384" s="246">
        <v>83850</v>
      </c>
    </row>
    <row r="2385" spans="3:14" ht="21.95" customHeight="1" x14ac:dyDescent="0.25">
      <c r="C2385" s="139" t="str">
        <f t="shared" si="53"/>
        <v>TX_COKE COUNTY, TX</v>
      </c>
      <c r="D2385" s="136" t="s">
        <v>63</v>
      </c>
      <c r="E2385" s="262" t="s">
        <v>4905</v>
      </c>
      <c r="F2385" s="136" t="s">
        <v>183</v>
      </c>
      <c r="G2385" s="246">
        <v>44450</v>
      </c>
      <c r="H2385" s="246">
        <v>50800</v>
      </c>
      <c r="I2385" s="246">
        <v>57150</v>
      </c>
      <c r="J2385" s="246">
        <v>63500</v>
      </c>
      <c r="K2385" s="246">
        <v>68600</v>
      </c>
      <c r="L2385" s="246">
        <v>73700</v>
      </c>
      <c r="M2385" s="246">
        <v>78750</v>
      </c>
      <c r="N2385" s="246">
        <v>83850</v>
      </c>
    </row>
    <row r="2386" spans="3:14" ht="21.95" customHeight="1" x14ac:dyDescent="0.25">
      <c r="C2386" s="139" t="str">
        <f t="shared" si="53"/>
        <v>TX_COLEMAN COUNTY, TX</v>
      </c>
      <c r="D2386" s="136" t="s">
        <v>63</v>
      </c>
      <c r="E2386" s="262" t="s">
        <v>4906</v>
      </c>
      <c r="F2386" s="136" t="s">
        <v>183</v>
      </c>
      <c r="G2386" s="246">
        <v>44450</v>
      </c>
      <c r="H2386" s="246">
        <v>50800</v>
      </c>
      <c r="I2386" s="246">
        <v>57150</v>
      </c>
      <c r="J2386" s="246">
        <v>63500</v>
      </c>
      <c r="K2386" s="246">
        <v>68600</v>
      </c>
      <c r="L2386" s="246">
        <v>73700</v>
      </c>
      <c r="M2386" s="246">
        <v>78750</v>
      </c>
      <c r="N2386" s="246">
        <v>83850</v>
      </c>
    </row>
    <row r="2387" spans="3:14" ht="21.95" customHeight="1" x14ac:dyDescent="0.25">
      <c r="C2387" s="139" t="str">
        <f t="shared" si="53"/>
        <v>TX_COLLEGE STATION-BRYAN, TX MSA</v>
      </c>
      <c r="D2387" s="136" t="s">
        <v>63</v>
      </c>
      <c r="E2387" s="262" t="s">
        <v>4907</v>
      </c>
      <c r="F2387" s="136" t="s">
        <v>183</v>
      </c>
      <c r="G2387" s="246">
        <v>49600</v>
      </c>
      <c r="H2387" s="246">
        <v>56650</v>
      </c>
      <c r="I2387" s="246">
        <v>63750</v>
      </c>
      <c r="J2387" s="246">
        <v>70800</v>
      </c>
      <c r="K2387" s="246">
        <v>76500</v>
      </c>
      <c r="L2387" s="246">
        <v>82150</v>
      </c>
      <c r="M2387" s="246">
        <v>87800</v>
      </c>
      <c r="N2387" s="246">
        <v>93500</v>
      </c>
    </row>
    <row r="2388" spans="3:14" ht="21.95" customHeight="1" x14ac:dyDescent="0.25">
      <c r="C2388" s="139" t="str">
        <f t="shared" si="53"/>
        <v>TX_COLLINGSWORTH COUNTY, TX</v>
      </c>
      <c r="D2388" s="136" t="s">
        <v>63</v>
      </c>
      <c r="E2388" s="262" t="s">
        <v>4908</v>
      </c>
      <c r="F2388" s="136" t="s">
        <v>183</v>
      </c>
      <c r="G2388" s="246">
        <v>44450</v>
      </c>
      <c r="H2388" s="246">
        <v>50800</v>
      </c>
      <c r="I2388" s="246">
        <v>57150</v>
      </c>
      <c r="J2388" s="246">
        <v>63500</v>
      </c>
      <c r="K2388" s="246">
        <v>68600</v>
      </c>
      <c r="L2388" s="246">
        <v>73700</v>
      </c>
      <c r="M2388" s="246">
        <v>78750</v>
      </c>
      <c r="N2388" s="246">
        <v>83850</v>
      </c>
    </row>
    <row r="2389" spans="3:14" ht="21.95" customHeight="1" x14ac:dyDescent="0.25">
      <c r="C2389" s="139" t="str">
        <f t="shared" si="53"/>
        <v>TX_COLORADO COUNTY, TX</v>
      </c>
      <c r="D2389" s="136" t="s">
        <v>63</v>
      </c>
      <c r="E2389" s="262" t="s">
        <v>4909</v>
      </c>
      <c r="F2389" s="136" t="s">
        <v>183</v>
      </c>
      <c r="G2389" s="246">
        <v>47800</v>
      </c>
      <c r="H2389" s="246">
        <v>54600</v>
      </c>
      <c r="I2389" s="246">
        <v>61450</v>
      </c>
      <c r="J2389" s="246">
        <v>68250</v>
      </c>
      <c r="K2389" s="246">
        <v>73750</v>
      </c>
      <c r="L2389" s="246">
        <v>79200</v>
      </c>
      <c r="M2389" s="246">
        <v>84650</v>
      </c>
      <c r="N2389" s="246">
        <v>90100</v>
      </c>
    </row>
    <row r="2390" spans="3:14" ht="21.95" customHeight="1" x14ac:dyDescent="0.25">
      <c r="C2390" s="139" t="str">
        <f t="shared" si="53"/>
        <v>TX_COMANCHE COUNTY, TX</v>
      </c>
      <c r="D2390" s="136" t="s">
        <v>63</v>
      </c>
      <c r="E2390" s="262" t="s">
        <v>4910</v>
      </c>
      <c r="F2390" s="136" t="s">
        <v>183</v>
      </c>
      <c r="G2390" s="246">
        <v>48500</v>
      </c>
      <c r="H2390" s="246">
        <v>55400</v>
      </c>
      <c r="I2390" s="246">
        <v>62350</v>
      </c>
      <c r="J2390" s="246">
        <v>69250</v>
      </c>
      <c r="K2390" s="246">
        <v>74800</v>
      </c>
      <c r="L2390" s="246">
        <v>80350</v>
      </c>
      <c r="M2390" s="246">
        <v>85900</v>
      </c>
      <c r="N2390" s="246">
        <v>91450</v>
      </c>
    </row>
    <row r="2391" spans="3:14" ht="21.95" customHeight="1" x14ac:dyDescent="0.25">
      <c r="C2391" s="139" t="str">
        <f t="shared" si="53"/>
        <v>TX_CONCHO COUNTY, TX</v>
      </c>
      <c r="D2391" s="136" t="s">
        <v>63</v>
      </c>
      <c r="E2391" s="262" t="s">
        <v>4911</v>
      </c>
      <c r="F2391" s="136" t="s">
        <v>183</v>
      </c>
      <c r="G2391" s="246">
        <v>44450</v>
      </c>
      <c r="H2391" s="246">
        <v>50800</v>
      </c>
      <c r="I2391" s="246">
        <v>57150</v>
      </c>
      <c r="J2391" s="246">
        <v>63500</v>
      </c>
      <c r="K2391" s="246">
        <v>68600</v>
      </c>
      <c r="L2391" s="246">
        <v>73700</v>
      </c>
      <c r="M2391" s="246">
        <v>78750</v>
      </c>
      <c r="N2391" s="246">
        <v>83850</v>
      </c>
    </row>
    <row r="2392" spans="3:14" ht="21.95" customHeight="1" x14ac:dyDescent="0.25">
      <c r="C2392" s="139" t="str">
        <f t="shared" si="53"/>
        <v>TX_COOKE COUNTY, TX</v>
      </c>
      <c r="D2392" s="136" t="s">
        <v>63</v>
      </c>
      <c r="E2392" s="262" t="s">
        <v>4912</v>
      </c>
      <c r="F2392" s="136" t="s">
        <v>183</v>
      </c>
      <c r="G2392" s="246">
        <v>55200</v>
      </c>
      <c r="H2392" s="246">
        <v>63050</v>
      </c>
      <c r="I2392" s="246">
        <v>70950</v>
      </c>
      <c r="J2392" s="246">
        <v>78800</v>
      </c>
      <c r="K2392" s="246">
        <v>85150</v>
      </c>
      <c r="L2392" s="246">
        <v>91450</v>
      </c>
      <c r="M2392" s="246">
        <v>97750</v>
      </c>
      <c r="N2392" s="246">
        <v>104050</v>
      </c>
    </row>
    <row r="2393" spans="3:14" ht="21.95" customHeight="1" x14ac:dyDescent="0.25">
      <c r="C2393" s="139" t="str">
        <f t="shared" si="53"/>
        <v>TX_CORPUS CHRISTI, TX HUD METRO FMR AREA</v>
      </c>
      <c r="D2393" s="136" t="s">
        <v>63</v>
      </c>
      <c r="E2393" s="262" t="s">
        <v>9268</v>
      </c>
      <c r="F2393" s="136" t="s">
        <v>183</v>
      </c>
      <c r="G2393" s="246">
        <v>46350</v>
      </c>
      <c r="H2393" s="246">
        <v>52950</v>
      </c>
      <c r="I2393" s="246">
        <v>59550</v>
      </c>
      <c r="J2393" s="246">
        <v>66150</v>
      </c>
      <c r="K2393" s="246">
        <v>71450</v>
      </c>
      <c r="L2393" s="246">
        <v>76750</v>
      </c>
      <c r="M2393" s="246">
        <v>82050</v>
      </c>
      <c r="N2393" s="246">
        <v>87350</v>
      </c>
    </row>
    <row r="2394" spans="3:14" ht="21.95" customHeight="1" x14ac:dyDescent="0.25">
      <c r="C2394" s="139" t="str">
        <f t="shared" si="53"/>
        <v>TX_COTTLE COUNTY, TX</v>
      </c>
      <c r="D2394" s="136" t="s">
        <v>63</v>
      </c>
      <c r="E2394" s="262" t="s">
        <v>4913</v>
      </c>
      <c r="F2394" s="136" t="s">
        <v>183</v>
      </c>
      <c r="G2394" s="246">
        <v>44450</v>
      </c>
      <c r="H2394" s="246">
        <v>50800</v>
      </c>
      <c r="I2394" s="246">
        <v>57150</v>
      </c>
      <c r="J2394" s="246">
        <v>63500</v>
      </c>
      <c r="K2394" s="246">
        <v>68600</v>
      </c>
      <c r="L2394" s="246">
        <v>73700</v>
      </c>
      <c r="M2394" s="246">
        <v>78750</v>
      </c>
      <c r="N2394" s="246">
        <v>83850</v>
      </c>
    </row>
    <row r="2395" spans="3:14" ht="21.95" customHeight="1" x14ac:dyDescent="0.25">
      <c r="C2395" s="139" t="str">
        <f t="shared" si="53"/>
        <v>TX_CRANE COUNTY, TX</v>
      </c>
      <c r="D2395" s="136" t="s">
        <v>63</v>
      </c>
      <c r="E2395" s="262" t="s">
        <v>4914</v>
      </c>
      <c r="F2395" s="136" t="s">
        <v>183</v>
      </c>
      <c r="G2395" s="246">
        <v>50250</v>
      </c>
      <c r="H2395" s="246">
        <v>57400</v>
      </c>
      <c r="I2395" s="246">
        <v>64600</v>
      </c>
      <c r="J2395" s="246">
        <v>71750</v>
      </c>
      <c r="K2395" s="246">
        <v>77500</v>
      </c>
      <c r="L2395" s="246">
        <v>83250</v>
      </c>
      <c r="M2395" s="246">
        <v>89000</v>
      </c>
      <c r="N2395" s="246">
        <v>94750</v>
      </c>
    </row>
    <row r="2396" spans="3:14" ht="21.95" customHeight="1" x14ac:dyDescent="0.25">
      <c r="C2396" s="139" t="str">
        <f t="shared" si="53"/>
        <v>TX_CROCKETT COUNTY, TX</v>
      </c>
      <c r="D2396" s="136" t="s">
        <v>63</v>
      </c>
      <c r="E2396" s="262" t="s">
        <v>4915</v>
      </c>
      <c r="F2396" s="136" t="s">
        <v>183</v>
      </c>
      <c r="G2396" s="246">
        <v>44450</v>
      </c>
      <c r="H2396" s="246">
        <v>50800</v>
      </c>
      <c r="I2396" s="246">
        <v>57150</v>
      </c>
      <c r="J2396" s="246">
        <v>63500</v>
      </c>
      <c r="K2396" s="246">
        <v>68600</v>
      </c>
      <c r="L2396" s="246">
        <v>73700</v>
      </c>
      <c r="M2396" s="246">
        <v>78750</v>
      </c>
      <c r="N2396" s="246">
        <v>83850</v>
      </c>
    </row>
    <row r="2397" spans="3:14" ht="21.95" customHeight="1" x14ac:dyDescent="0.25">
      <c r="C2397" s="139" t="str">
        <f t="shared" si="53"/>
        <v>TX_CULBERSON COUNTY, TX</v>
      </c>
      <c r="D2397" s="136" t="s">
        <v>63</v>
      </c>
      <c r="E2397" s="262" t="s">
        <v>4916</v>
      </c>
      <c r="F2397" s="136" t="s">
        <v>183</v>
      </c>
      <c r="G2397" s="246">
        <v>44450</v>
      </c>
      <c r="H2397" s="246">
        <v>50800</v>
      </c>
      <c r="I2397" s="246">
        <v>57150</v>
      </c>
      <c r="J2397" s="246">
        <v>63500</v>
      </c>
      <c r="K2397" s="246">
        <v>68600</v>
      </c>
      <c r="L2397" s="246">
        <v>73700</v>
      </c>
      <c r="M2397" s="246">
        <v>78750</v>
      </c>
      <c r="N2397" s="246">
        <v>83850</v>
      </c>
    </row>
    <row r="2398" spans="3:14" ht="21.95" customHeight="1" x14ac:dyDescent="0.25">
      <c r="C2398" s="139" t="str">
        <f t="shared" si="53"/>
        <v>TX_DALLAM COUNTY, TX</v>
      </c>
      <c r="D2398" s="136" t="s">
        <v>63</v>
      </c>
      <c r="E2398" s="262" t="s">
        <v>4917</v>
      </c>
      <c r="F2398" s="136" t="s">
        <v>183</v>
      </c>
      <c r="G2398" s="246">
        <v>49150</v>
      </c>
      <c r="H2398" s="246">
        <v>56200</v>
      </c>
      <c r="I2398" s="246">
        <v>63200</v>
      </c>
      <c r="J2398" s="246">
        <v>70200</v>
      </c>
      <c r="K2398" s="246">
        <v>75850</v>
      </c>
      <c r="L2398" s="246">
        <v>81450</v>
      </c>
      <c r="M2398" s="246">
        <v>87050</v>
      </c>
      <c r="N2398" s="246">
        <v>92700</v>
      </c>
    </row>
    <row r="2399" spans="3:14" ht="21.95" customHeight="1" x14ac:dyDescent="0.25">
      <c r="C2399" s="139" t="str">
        <f t="shared" si="53"/>
        <v>TX_DALLAS, TX HUD METRO FMR AREA</v>
      </c>
      <c r="D2399" s="136" t="s">
        <v>63</v>
      </c>
      <c r="E2399" s="262" t="s">
        <v>4918</v>
      </c>
      <c r="F2399" s="136" t="s">
        <v>183</v>
      </c>
      <c r="G2399" s="246">
        <v>65700</v>
      </c>
      <c r="H2399" s="246">
        <v>75100</v>
      </c>
      <c r="I2399" s="246">
        <v>84500</v>
      </c>
      <c r="J2399" s="246">
        <v>93850</v>
      </c>
      <c r="K2399" s="246">
        <v>101400</v>
      </c>
      <c r="L2399" s="246">
        <v>108900</v>
      </c>
      <c r="M2399" s="246">
        <v>116400</v>
      </c>
      <c r="N2399" s="246">
        <v>123900</v>
      </c>
    </row>
    <row r="2400" spans="3:14" ht="21.95" customHeight="1" x14ac:dyDescent="0.25">
      <c r="C2400" s="139" t="str">
        <f t="shared" si="53"/>
        <v>TX_DAWSON COUNTY, TX</v>
      </c>
      <c r="D2400" s="136" t="s">
        <v>63</v>
      </c>
      <c r="E2400" s="262" t="s">
        <v>4919</v>
      </c>
      <c r="F2400" s="136" t="s">
        <v>183</v>
      </c>
      <c r="G2400" s="246">
        <v>44450</v>
      </c>
      <c r="H2400" s="246">
        <v>50800</v>
      </c>
      <c r="I2400" s="246">
        <v>57150</v>
      </c>
      <c r="J2400" s="246">
        <v>63500</v>
      </c>
      <c r="K2400" s="246">
        <v>68600</v>
      </c>
      <c r="L2400" s="246">
        <v>73700</v>
      </c>
      <c r="M2400" s="246">
        <v>78750</v>
      </c>
      <c r="N2400" s="246">
        <v>83850</v>
      </c>
    </row>
    <row r="2401" spans="3:14" ht="21.95" customHeight="1" x14ac:dyDescent="0.25">
      <c r="C2401" s="139" t="str">
        <f t="shared" si="53"/>
        <v>TX_DEAF SMITH COUNTY, TX</v>
      </c>
      <c r="D2401" s="136" t="s">
        <v>63</v>
      </c>
      <c r="E2401" s="262" t="s">
        <v>4920</v>
      </c>
      <c r="F2401" s="136" t="s">
        <v>183</v>
      </c>
      <c r="G2401" s="246">
        <v>44450</v>
      </c>
      <c r="H2401" s="246">
        <v>50800</v>
      </c>
      <c r="I2401" s="246">
        <v>57150</v>
      </c>
      <c r="J2401" s="246">
        <v>63500</v>
      </c>
      <c r="K2401" s="246">
        <v>68600</v>
      </c>
      <c r="L2401" s="246">
        <v>73700</v>
      </c>
      <c r="M2401" s="246">
        <v>78750</v>
      </c>
      <c r="N2401" s="246">
        <v>83850</v>
      </c>
    </row>
    <row r="2402" spans="3:14" ht="21.95" customHeight="1" x14ac:dyDescent="0.25">
      <c r="C2402" s="139" t="str">
        <f t="shared" si="53"/>
        <v>TX_DELTA COUNTY, TX</v>
      </c>
      <c r="D2402" s="136" t="s">
        <v>63</v>
      </c>
      <c r="E2402" s="262" t="s">
        <v>4921</v>
      </c>
      <c r="F2402" s="136" t="s">
        <v>183</v>
      </c>
      <c r="G2402" s="246">
        <v>48500</v>
      </c>
      <c r="H2402" s="246">
        <v>55400</v>
      </c>
      <c r="I2402" s="246">
        <v>62350</v>
      </c>
      <c r="J2402" s="246">
        <v>69250</v>
      </c>
      <c r="K2402" s="246">
        <v>74800</v>
      </c>
      <c r="L2402" s="246">
        <v>80350</v>
      </c>
      <c r="M2402" s="246">
        <v>85900</v>
      </c>
      <c r="N2402" s="246">
        <v>91450</v>
      </c>
    </row>
    <row r="2403" spans="3:14" ht="21.95" customHeight="1" x14ac:dyDescent="0.25">
      <c r="C2403" s="139" t="str">
        <f t="shared" si="53"/>
        <v>TX_DEWITT COUNTY, TX</v>
      </c>
      <c r="D2403" s="136" t="s">
        <v>63</v>
      </c>
      <c r="E2403" s="262" t="s">
        <v>4922</v>
      </c>
      <c r="F2403" s="136" t="s">
        <v>183</v>
      </c>
      <c r="G2403" s="246">
        <v>44450</v>
      </c>
      <c r="H2403" s="246">
        <v>50800</v>
      </c>
      <c r="I2403" s="246">
        <v>57150</v>
      </c>
      <c r="J2403" s="246">
        <v>63500</v>
      </c>
      <c r="K2403" s="246">
        <v>68600</v>
      </c>
      <c r="L2403" s="246">
        <v>73700</v>
      </c>
      <c r="M2403" s="246">
        <v>78750</v>
      </c>
      <c r="N2403" s="246">
        <v>83850</v>
      </c>
    </row>
    <row r="2404" spans="3:14" ht="21.95" customHeight="1" x14ac:dyDescent="0.25">
      <c r="C2404" s="139" t="str">
        <f t="shared" si="53"/>
        <v>TX_DICKENS COUNTY, TX</v>
      </c>
      <c r="D2404" s="136" t="s">
        <v>63</v>
      </c>
      <c r="E2404" s="262" t="s">
        <v>4923</v>
      </c>
      <c r="F2404" s="136" t="s">
        <v>183</v>
      </c>
      <c r="G2404" s="246">
        <v>44450</v>
      </c>
      <c r="H2404" s="246">
        <v>50800</v>
      </c>
      <c r="I2404" s="246">
        <v>57150</v>
      </c>
      <c r="J2404" s="246">
        <v>63500</v>
      </c>
      <c r="K2404" s="246">
        <v>68600</v>
      </c>
      <c r="L2404" s="246">
        <v>73700</v>
      </c>
      <c r="M2404" s="246">
        <v>78750</v>
      </c>
      <c r="N2404" s="246">
        <v>83850</v>
      </c>
    </row>
    <row r="2405" spans="3:14" ht="21.95" customHeight="1" x14ac:dyDescent="0.25">
      <c r="C2405" s="139" t="str">
        <f t="shared" si="53"/>
        <v>TX_DIMMIT COUNTY, TX</v>
      </c>
      <c r="D2405" s="136" t="s">
        <v>63</v>
      </c>
      <c r="E2405" s="262" t="s">
        <v>4924</v>
      </c>
      <c r="F2405" s="136" t="s">
        <v>183</v>
      </c>
      <c r="G2405" s="246">
        <v>44450</v>
      </c>
      <c r="H2405" s="246">
        <v>50800</v>
      </c>
      <c r="I2405" s="246">
        <v>57150</v>
      </c>
      <c r="J2405" s="246">
        <v>63500</v>
      </c>
      <c r="K2405" s="246">
        <v>68600</v>
      </c>
      <c r="L2405" s="246">
        <v>73700</v>
      </c>
      <c r="M2405" s="246">
        <v>78750</v>
      </c>
      <c r="N2405" s="246">
        <v>83850</v>
      </c>
    </row>
    <row r="2406" spans="3:14" ht="21.95" customHeight="1" x14ac:dyDescent="0.25">
      <c r="C2406" s="139" t="str">
        <f t="shared" si="53"/>
        <v>TX_DONLEY COUNTY, TX</v>
      </c>
      <c r="D2406" s="136" t="s">
        <v>63</v>
      </c>
      <c r="E2406" s="262" t="s">
        <v>4925</v>
      </c>
      <c r="F2406" s="136" t="s">
        <v>183</v>
      </c>
      <c r="G2406" s="246">
        <v>47250</v>
      </c>
      <c r="H2406" s="246">
        <v>54000</v>
      </c>
      <c r="I2406" s="246">
        <v>60750</v>
      </c>
      <c r="J2406" s="246">
        <v>67500</v>
      </c>
      <c r="K2406" s="246">
        <v>72900</v>
      </c>
      <c r="L2406" s="246">
        <v>78300</v>
      </c>
      <c r="M2406" s="246">
        <v>83700</v>
      </c>
      <c r="N2406" s="246">
        <v>89100</v>
      </c>
    </row>
    <row r="2407" spans="3:14" ht="21.95" customHeight="1" x14ac:dyDescent="0.25">
      <c r="C2407" s="139" t="str">
        <f t="shared" si="53"/>
        <v>TX_DUVAL COUNTY, TX</v>
      </c>
      <c r="D2407" s="136" t="s">
        <v>63</v>
      </c>
      <c r="E2407" s="262" t="s">
        <v>4926</v>
      </c>
      <c r="F2407" s="136" t="s">
        <v>183</v>
      </c>
      <c r="G2407" s="246">
        <v>44450</v>
      </c>
      <c r="H2407" s="246">
        <v>50800</v>
      </c>
      <c r="I2407" s="246">
        <v>57150</v>
      </c>
      <c r="J2407" s="246">
        <v>63500</v>
      </c>
      <c r="K2407" s="246">
        <v>68600</v>
      </c>
      <c r="L2407" s="246">
        <v>73700</v>
      </c>
      <c r="M2407" s="246">
        <v>78750</v>
      </c>
      <c r="N2407" s="246">
        <v>83850</v>
      </c>
    </row>
    <row r="2408" spans="3:14" ht="21.95" customHeight="1" x14ac:dyDescent="0.25">
      <c r="C2408" s="139" t="str">
        <f t="shared" si="53"/>
        <v>TX_EAGLE PASS, TX MSA</v>
      </c>
      <c r="D2408" s="136" t="s">
        <v>63</v>
      </c>
      <c r="E2408" s="262" t="s">
        <v>9267</v>
      </c>
      <c r="F2408" s="136" t="s">
        <v>183</v>
      </c>
      <c r="G2408" s="246">
        <v>44450</v>
      </c>
      <c r="H2408" s="246">
        <v>50800</v>
      </c>
      <c r="I2408" s="246">
        <v>57150</v>
      </c>
      <c r="J2408" s="246">
        <v>63500</v>
      </c>
      <c r="K2408" s="246">
        <v>68600</v>
      </c>
      <c r="L2408" s="246">
        <v>73700</v>
      </c>
      <c r="M2408" s="246">
        <v>78750</v>
      </c>
      <c r="N2408" s="246">
        <v>83850</v>
      </c>
    </row>
    <row r="2409" spans="3:14" ht="21.95" customHeight="1" x14ac:dyDescent="0.25">
      <c r="C2409" s="139" t="str">
        <f t="shared" si="53"/>
        <v>TX_EASTLAND COUNTY, TX</v>
      </c>
      <c r="D2409" s="136" t="s">
        <v>63</v>
      </c>
      <c r="E2409" s="262" t="s">
        <v>4927</v>
      </c>
      <c r="F2409" s="136" t="s">
        <v>183</v>
      </c>
      <c r="G2409" s="246">
        <v>44450</v>
      </c>
      <c r="H2409" s="246">
        <v>50800</v>
      </c>
      <c r="I2409" s="246">
        <v>57150</v>
      </c>
      <c r="J2409" s="246">
        <v>63500</v>
      </c>
      <c r="K2409" s="246">
        <v>68600</v>
      </c>
      <c r="L2409" s="246">
        <v>73700</v>
      </c>
      <c r="M2409" s="246">
        <v>78750</v>
      </c>
      <c r="N2409" s="246">
        <v>83850</v>
      </c>
    </row>
    <row r="2410" spans="3:14" ht="21.95" customHeight="1" x14ac:dyDescent="0.25">
      <c r="C2410" s="139" t="str">
        <f t="shared" si="53"/>
        <v>TX_EDWARDS COUNTY, TX</v>
      </c>
      <c r="D2410" s="136" t="s">
        <v>63</v>
      </c>
      <c r="E2410" s="262" t="s">
        <v>4928</v>
      </c>
      <c r="F2410" s="136" t="s">
        <v>183</v>
      </c>
      <c r="G2410" s="246">
        <v>44450</v>
      </c>
      <c r="H2410" s="246">
        <v>50800</v>
      </c>
      <c r="I2410" s="246">
        <v>57150</v>
      </c>
      <c r="J2410" s="246">
        <v>63500</v>
      </c>
      <c r="K2410" s="246">
        <v>68600</v>
      </c>
      <c r="L2410" s="246">
        <v>73700</v>
      </c>
      <c r="M2410" s="246">
        <v>78750</v>
      </c>
      <c r="N2410" s="246">
        <v>83850</v>
      </c>
    </row>
    <row r="2411" spans="3:14" ht="21.95" customHeight="1" x14ac:dyDescent="0.25">
      <c r="C2411" s="139" t="str">
        <f t="shared" si="53"/>
        <v>TX_EL PASO, TX HUD METRO FMR AREA</v>
      </c>
      <c r="D2411" s="136" t="s">
        <v>63</v>
      </c>
      <c r="E2411" s="262" t="s">
        <v>4929</v>
      </c>
      <c r="F2411" s="136" t="s">
        <v>183</v>
      </c>
      <c r="G2411" s="246">
        <v>44450</v>
      </c>
      <c r="H2411" s="246">
        <v>50800</v>
      </c>
      <c r="I2411" s="246">
        <v>57150</v>
      </c>
      <c r="J2411" s="246">
        <v>63500</v>
      </c>
      <c r="K2411" s="246">
        <v>68600</v>
      </c>
      <c r="L2411" s="246">
        <v>73700</v>
      </c>
      <c r="M2411" s="246">
        <v>78750</v>
      </c>
      <c r="N2411" s="246">
        <v>83850</v>
      </c>
    </row>
    <row r="2412" spans="3:14" ht="21.95" customHeight="1" x14ac:dyDescent="0.25">
      <c r="C2412" s="139" t="str">
        <f t="shared" si="53"/>
        <v>TX_ERATH COUNTY, TX</v>
      </c>
      <c r="D2412" s="136" t="s">
        <v>63</v>
      </c>
      <c r="E2412" s="262" t="s">
        <v>4930</v>
      </c>
      <c r="F2412" s="136" t="s">
        <v>183</v>
      </c>
      <c r="G2412" s="246">
        <v>51650</v>
      </c>
      <c r="H2412" s="246">
        <v>59000</v>
      </c>
      <c r="I2412" s="246">
        <v>66400</v>
      </c>
      <c r="J2412" s="246">
        <v>73750</v>
      </c>
      <c r="K2412" s="246">
        <v>79650</v>
      </c>
      <c r="L2412" s="246">
        <v>85550</v>
      </c>
      <c r="M2412" s="246">
        <v>91450</v>
      </c>
      <c r="N2412" s="246">
        <v>97350</v>
      </c>
    </row>
    <row r="2413" spans="3:14" ht="21.95" customHeight="1" x14ac:dyDescent="0.25">
      <c r="C2413" s="139" t="str">
        <f t="shared" si="53"/>
        <v>TX_FALLS COUNTY, TX HUD METRO FMR AREA</v>
      </c>
      <c r="D2413" s="136" t="s">
        <v>63</v>
      </c>
      <c r="E2413" s="262" t="s">
        <v>4931</v>
      </c>
      <c r="F2413" s="136" t="s">
        <v>183</v>
      </c>
      <c r="G2413" s="246">
        <v>44450</v>
      </c>
      <c r="H2413" s="246">
        <v>50800</v>
      </c>
      <c r="I2413" s="246">
        <v>57150</v>
      </c>
      <c r="J2413" s="246">
        <v>63500</v>
      </c>
      <c r="K2413" s="246">
        <v>68600</v>
      </c>
      <c r="L2413" s="246">
        <v>73700</v>
      </c>
      <c r="M2413" s="246">
        <v>78750</v>
      </c>
      <c r="N2413" s="246">
        <v>83850</v>
      </c>
    </row>
    <row r="2414" spans="3:14" ht="21.95" customHeight="1" x14ac:dyDescent="0.25">
      <c r="C2414" s="139" t="str">
        <f t="shared" si="53"/>
        <v>TX_FANNIN COUNTY, TX</v>
      </c>
      <c r="D2414" s="136" t="s">
        <v>63</v>
      </c>
      <c r="E2414" s="262" t="s">
        <v>4932</v>
      </c>
      <c r="F2414" s="136" t="s">
        <v>183</v>
      </c>
      <c r="G2414" s="246">
        <v>50650</v>
      </c>
      <c r="H2414" s="246">
        <v>57850</v>
      </c>
      <c r="I2414" s="246">
        <v>65100</v>
      </c>
      <c r="J2414" s="246">
        <v>72300</v>
      </c>
      <c r="K2414" s="246">
        <v>78100</v>
      </c>
      <c r="L2414" s="246">
        <v>83900</v>
      </c>
      <c r="M2414" s="246">
        <v>89700</v>
      </c>
      <c r="N2414" s="246">
        <v>95450</v>
      </c>
    </row>
    <row r="2415" spans="3:14" ht="21.95" customHeight="1" x14ac:dyDescent="0.25">
      <c r="C2415" s="139" t="str">
        <f t="shared" si="53"/>
        <v>TX_FAYETTE COUNTY, TX</v>
      </c>
      <c r="D2415" s="136" t="s">
        <v>63</v>
      </c>
      <c r="E2415" s="262" t="s">
        <v>4933</v>
      </c>
      <c r="F2415" s="136" t="s">
        <v>183</v>
      </c>
      <c r="G2415" s="246">
        <v>57200</v>
      </c>
      <c r="H2415" s="246">
        <v>65400</v>
      </c>
      <c r="I2415" s="246">
        <v>73550</v>
      </c>
      <c r="J2415" s="246">
        <v>81700</v>
      </c>
      <c r="K2415" s="246">
        <v>88250</v>
      </c>
      <c r="L2415" s="246">
        <v>94800</v>
      </c>
      <c r="M2415" s="246">
        <v>101350</v>
      </c>
      <c r="N2415" s="246">
        <v>107850</v>
      </c>
    </row>
    <row r="2416" spans="3:14" ht="21.95" customHeight="1" x14ac:dyDescent="0.25">
      <c r="C2416" s="139" t="str">
        <f t="shared" si="53"/>
        <v>TX_FISHER COUNTY, TX</v>
      </c>
      <c r="D2416" s="136" t="s">
        <v>63</v>
      </c>
      <c r="E2416" s="262" t="s">
        <v>4934</v>
      </c>
      <c r="F2416" s="136" t="s">
        <v>183</v>
      </c>
      <c r="G2416" s="246">
        <v>45850</v>
      </c>
      <c r="H2416" s="246">
        <v>52400</v>
      </c>
      <c r="I2416" s="246">
        <v>58950</v>
      </c>
      <c r="J2416" s="246">
        <v>65500</v>
      </c>
      <c r="K2416" s="246">
        <v>70750</v>
      </c>
      <c r="L2416" s="246">
        <v>76000</v>
      </c>
      <c r="M2416" s="246">
        <v>81250</v>
      </c>
      <c r="N2416" s="246">
        <v>86500</v>
      </c>
    </row>
    <row r="2417" spans="3:14" ht="21.95" customHeight="1" x14ac:dyDescent="0.25">
      <c r="C2417" s="139" t="str">
        <f t="shared" si="53"/>
        <v>TX_FLOYD COUNTY, TX</v>
      </c>
      <c r="D2417" s="136" t="s">
        <v>63</v>
      </c>
      <c r="E2417" s="262" t="s">
        <v>4935</v>
      </c>
      <c r="F2417" s="136" t="s">
        <v>183</v>
      </c>
      <c r="G2417" s="246">
        <v>44450</v>
      </c>
      <c r="H2417" s="246">
        <v>50800</v>
      </c>
      <c r="I2417" s="246">
        <v>57150</v>
      </c>
      <c r="J2417" s="246">
        <v>63500</v>
      </c>
      <c r="K2417" s="246">
        <v>68600</v>
      </c>
      <c r="L2417" s="246">
        <v>73700</v>
      </c>
      <c r="M2417" s="246">
        <v>78750</v>
      </c>
      <c r="N2417" s="246">
        <v>83850</v>
      </c>
    </row>
    <row r="2418" spans="3:14" ht="21.95" customHeight="1" x14ac:dyDescent="0.25">
      <c r="C2418" s="139" t="str">
        <f t="shared" si="53"/>
        <v>TX_FOARD COUNTY, TX</v>
      </c>
      <c r="D2418" s="136" t="s">
        <v>63</v>
      </c>
      <c r="E2418" s="262" t="s">
        <v>4936</v>
      </c>
      <c r="F2418" s="136" t="s">
        <v>183</v>
      </c>
      <c r="G2418" s="246">
        <v>44450</v>
      </c>
      <c r="H2418" s="246">
        <v>50800</v>
      </c>
      <c r="I2418" s="246">
        <v>57150</v>
      </c>
      <c r="J2418" s="246">
        <v>63500</v>
      </c>
      <c r="K2418" s="246">
        <v>68600</v>
      </c>
      <c r="L2418" s="246">
        <v>73700</v>
      </c>
      <c r="M2418" s="246">
        <v>78750</v>
      </c>
      <c r="N2418" s="246">
        <v>83850</v>
      </c>
    </row>
    <row r="2419" spans="3:14" ht="21.95" customHeight="1" x14ac:dyDescent="0.25">
      <c r="C2419" s="139" t="str">
        <f t="shared" si="53"/>
        <v>TX_FORT WORTH-ARLINGTON, TX HUD METRO FMR AREA</v>
      </c>
      <c r="D2419" s="136" t="s">
        <v>63</v>
      </c>
      <c r="E2419" s="262" t="s">
        <v>4937</v>
      </c>
      <c r="F2419" s="136" t="s">
        <v>183</v>
      </c>
      <c r="G2419" s="246">
        <v>59750</v>
      </c>
      <c r="H2419" s="246">
        <v>68300</v>
      </c>
      <c r="I2419" s="246">
        <v>76850</v>
      </c>
      <c r="J2419" s="246">
        <v>85350</v>
      </c>
      <c r="K2419" s="246">
        <v>92200</v>
      </c>
      <c r="L2419" s="246">
        <v>99050</v>
      </c>
      <c r="M2419" s="246">
        <v>105850</v>
      </c>
      <c r="N2419" s="246">
        <v>112700</v>
      </c>
    </row>
    <row r="2420" spans="3:14" ht="21.95" customHeight="1" x14ac:dyDescent="0.25">
      <c r="C2420" s="139" t="str">
        <f t="shared" si="53"/>
        <v>TX_FRANKLIN COUNTY, TX</v>
      </c>
      <c r="D2420" s="136" t="s">
        <v>63</v>
      </c>
      <c r="E2420" s="262" t="s">
        <v>4938</v>
      </c>
      <c r="F2420" s="136" t="s">
        <v>183</v>
      </c>
      <c r="G2420" s="246">
        <v>46100</v>
      </c>
      <c r="H2420" s="246">
        <v>52700</v>
      </c>
      <c r="I2420" s="246">
        <v>59300</v>
      </c>
      <c r="J2420" s="246">
        <v>65850</v>
      </c>
      <c r="K2420" s="246">
        <v>71150</v>
      </c>
      <c r="L2420" s="246">
        <v>76400</v>
      </c>
      <c r="M2420" s="246">
        <v>81700</v>
      </c>
      <c r="N2420" s="246">
        <v>86950</v>
      </c>
    </row>
    <row r="2421" spans="3:14" ht="21.95" customHeight="1" x14ac:dyDescent="0.25">
      <c r="C2421" s="139" t="str">
        <f t="shared" si="53"/>
        <v>TX_FREESTONE COUNTY, TX</v>
      </c>
      <c r="D2421" s="136" t="s">
        <v>63</v>
      </c>
      <c r="E2421" s="262" t="s">
        <v>4939</v>
      </c>
      <c r="F2421" s="136" t="s">
        <v>183</v>
      </c>
      <c r="G2421" s="246">
        <v>49100</v>
      </c>
      <c r="H2421" s="246">
        <v>56100</v>
      </c>
      <c r="I2421" s="246">
        <v>63100</v>
      </c>
      <c r="J2421" s="246">
        <v>70100</v>
      </c>
      <c r="K2421" s="246">
        <v>75750</v>
      </c>
      <c r="L2421" s="246">
        <v>81350</v>
      </c>
      <c r="M2421" s="246">
        <v>86950</v>
      </c>
      <c r="N2421" s="246">
        <v>92550</v>
      </c>
    </row>
    <row r="2422" spans="3:14" ht="21.95" customHeight="1" x14ac:dyDescent="0.25">
      <c r="C2422" s="139" t="str">
        <f t="shared" si="53"/>
        <v>TX_FRIO COUNTY, TX</v>
      </c>
      <c r="D2422" s="136" t="s">
        <v>63</v>
      </c>
      <c r="E2422" s="262" t="s">
        <v>4940</v>
      </c>
      <c r="F2422" s="136" t="s">
        <v>183</v>
      </c>
      <c r="G2422" s="246">
        <v>44450</v>
      </c>
      <c r="H2422" s="246">
        <v>50800</v>
      </c>
      <c r="I2422" s="246">
        <v>57150</v>
      </c>
      <c r="J2422" s="246">
        <v>63500</v>
      </c>
      <c r="K2422" s="246">
        <v>68600</v>
      </c>
      <c r="L2422" s="246">
        <v>73700</v>
      </c>
      <c r="M2422" s="246">
        <v>78750</v>
      </c>
      <c r="N2422" s="246">
        <v>83850</v>
      </c>
    </row>
    <row r="2423" spans="3:14" ht="21.95" customHeight="1" x14ac:dyDescent="0.25">
      <c r="C2423" s="139" t="str">
        <f t="shared" si="53"/>
        <v>TX_GAINES COUNTY, TX</v>
      </c>
      <c r="D2423" s="136" t="s">
        <v>63</v>
      </c>
      <c r="E2423" s="262" t="s">
        <v>4941</v>
      </c>
      <c r="F2423" s="136" t="s">
        <v>183</v>
      </c>
      <c r="G2423" s="246">
        <v>54000</v>
      </c>
      <c r="H2423" s="246">
        <v>61700</v>
      </c>
      <c r="I2423" s="246">
        <v>69400</v>
      </c>
      <c r="J2423" s="246">
        <v>77100</v>
      </c>
      <c r="K2423" s="246">
        <v>83300</v>
      </c>
      <c r="L2423" s="246">
        <v>89450</v>
      </c>
      <c r="M2423" s="246">
        <v>95650</v>
      </c>
      <c r="N2423" s="246">
        <v>101800</v>
      </c>
    </row>
    <row r="2424" spans="3:14" ht="21.95" customHeight="1" x14ac:dyDescent="0.25">
      <c r="C2424" s="139" t="str">
        <f t="shared" si="53"/>
        <v>TX_GARZA COUNTY, TX HUD METRO FMR AREA</v>
      </c>
      <c r="D2424" s="136" t="s">
        <v>63</v>
      </c>
      <c r="E2424" s="262" t="s">
        <v>9264</v>
      </c>
      <c r="F2424" s="136" t="s">
        <v>183</v>
      </c>
      <c r="G2424" s="246">
        <v>50050</v>
      </c>
      <c r="H2424" s="246">
        <v>57200</v>
      </c>
      <c r="I2424" s="246">
        <v>64350</v>
      </c>
      <c r="J2424" s="246">
        <v>71450</v>
      </c>
      <c r="K2424" s="246">
        <v>77200</v>
      </c>
      <c r="L2424" s="246">
        <v>82900</v>
      </c>
      <c r="M2424" s="246">
        <v>88600</v>
      </c>
      <c r="N2424" s="246">
        <v>94350</v>
      </c>
    </row>
    <row r="2425" spans="3:14" ht="21.95" customHeight="1" x14ac:dyDescent="0.25">
      <c r="C2425" s="139" t="str">
        <f t="shared" si="53"/>
        <v>TX_GILLESPIE COUNTY, TX</v>
      </c>
      <c r="D2425" s="136" t="s">
        <v>63</v>
      </c>
      <c r="E2425" s="262" t="s">
        <v>4942</v>
      </c>
      <c r="F2425" s="136" t="s">
        <v>183</v>
      </c>
      <c r="G2425" s="246">
        <v>56650</v>
      </c>
      <c r="H2425" s="246">
        <v>64750</v>
      </c>
      <c r="I2425" s="246">
        <v>72850</v>
      </c>
      <c r="J2425" s="246">
        <v>80900</v>
      </c>
      <c r="K2425" s="246">
        <v>87400</v>
      </c>
      <c r="L2425" s="246">
        <v>93850</v>
      </c>
      <c r="M2425" s="246">
        <v>100350</v>
      </c>
      <c r="N2425" s="246">
        <v>106800</v>
      </c>
    </row>
    <row r="2426" spans="3:14" ht="21.95" customHeight="1" x14ac:dyDescent="0.25">
      <c r="C2426" s="139" t="str">
        <f t="shared" si="53"/>
        <v>TX_GLASSCOCK COUNTY, TX</v>
      </c>
      <c r="D2426" s="136" t="s">
        <v>63</v>
      </c>
      <c r="E2426" s="262" t="s">
        <v>4943</v>
      </c>
      <c r="F2426" s="136" t="s">
        <v>183</v>
      </c>
      <c r="G2426" s="246">
        <v>61950</v>
      </c>
      <c r="H2426" s="246">
        <v>70800</v>
      </c>
      <c r="I2426" s="246">
        <v>79650</v>
      </c>
      <c r="J2426" s="246">
        <v>88500</v>
      </c>
      <c r="K2426" s="246">
        <v>95600</v>
      </c>
      <c r="L2426" s="246">
        <v>102700</v>
      </c>
      <c r="M2426" s="246">
        <v>109750</v>
      </c>
      <c r="N2426" s="246">
        <v>116850</v>
      </c>
    </row>
    <row r="2427" spans="3:14" ht="21.95" customHeight="1" x14ac:dyDescent="0.25">
      <c r="C2427" s="139" t="str">
        <f t="shared" si="53"/>
        <v>TX_GONZALES COUNTY, TX</v>
      </c>
      <c r="D2427" s="136" t="s">
        <v>63</v>
      </c>
      <c r="E2427" s="262" t="s">
        <v>4944</v>
      </c>
      <c r="F2427" s="136" t="s">
        <v>183</v>
      </c>
      <c r="G2427" s="246">
        <v>44450</v>
      </c>
      <c r="H2427" s="246">
        <v>50800</v>
      </c>
      <c r="I2427" s="246">
        <v>57150</v>
      </c>
      <c r="J2427" s="246">
        <v>63500</v>
      </c>
      <c r="K2427" s="246">
        <v>68600</v>
      </c>
      <c r="L2427" s="246">
        <v>73700</v>
      </c>
      <c r="M2427" s="246">
        <v>78750</v>
      </c>
      <c r="N2427" s="246">
        <v>83850</v>
      </c>
    </row>
    <row r="2428" spans="3:14" ht="21.95" customHeight="1" x14ac:dyDescent="0.25">
      <c r="C2428" s="139" t="str">
        <f t="shared" si="53"/>
        <v>TX_GRAY COUNTY, TX</v>
      </c>
      <c r="D2428" s="136" t="s">
        <v>63</v>
      </c>
      <c r="E2428" s="262" t="s">
        <v>4945</v>
      </c>
      <c r="F2428" s="136" t="s">
        <v>183</v>
      </c>
      <c r="G2428" s="246">
        <v>44450</v>
      </c>
      <c r="H2428" s="246">
        <v>50800</v>
      </c>
      <c r="I2428" s="246">
        <v>57150</v>
      </c>
      <c r="J2428" s="246">
        <v>63500</v>
      </c>
      <c r="K2428" s="246">
        <v>68600</v>
      </c>
      <c r="L2428" s="246">
        <v>73700</v>
      </c>
      <c r="M2428" s="246">
        <v>78750</v>
      </c>
      <c r="N2428" s="246">
        <v>83850</v>
      </c>
    </row>
    <row r="2429" spans="3:14" ht="21.95" customHeight="1" x14ac:dyDescent="0.25">
      <c r="C2429" s="139" t="str">
        <f t="shared" si="53"/>
        <v>TX_GRIMES COUNTY, TX</v>
      </c>
      <c r="D2429" s="136" t="s">
        <v>63</v>
      </c>
      <c r="E2429" s="262" t="s">
        <v>4946</v>
      </c>
      <c r="F2429" s="136" t="s">
        <v>183</v>
      </c>
      <c r="G2429" s="246">
        <v>48900</v>
      </c>
      <c r="H2429" s="246">
        <v>55900</v>
      </c>
      <c r="I2429" s="246">
        <v>62900</v>
      </c>
      <c r="J2429" s="246">
        <v>69850</v>
      </c>
      <c r="K2429" s="246">
        <v>75450</v>
      </c>
      <c r="L2429" s="246">
        <v>81050</v>
      </c>
      <c r="M2429" s="246">
        <v>86650</v>
      </c>
      <c r="N2429" s="246">
        <v>92250</v>
      </c>
    </row>
    <row r="2430" spans="3:14" ht="21.95" customHeight="1" x14ac:dyDescent="0.25">
      <c r="C2430" s="139" t="str">
        <f t="shared" si="53"/>
        <v>TX_HALE COUNTY, TX</v>
      </c>
      <c r="D2430" s="136" t="s">
        <v>63</v>
      </c>
      <c r="E2430" s="262" t="s">
        <v>4947</v>
      </c>
      <c r="F2430" s="136" t="s">
        <v>183</v>
      </c>
      <c r="G2430" s="246">
        <v>44450</v>
      </c>
      <c r="H2430" s="246">
        <v>50800</v>
      </c>
      <c r="I2430" s="246">
        <v>57150</v>
      </c>
      <c r="J2430" s="246">
        <v>63500</v>
      </c>
      <c r="K2430" s="246">
        <v>68600</v>
      </c>
      <c r="L2430" s="246">
        <v>73700</v>
      </c>
      <c r="M2430" s="246">
        <v>78750</v>
      </c>
      <c r="N2430" s="246">
        <v>83850</v>
      </c>
    </row>
    <row r="2431" spans="3:14" ht="21.95" customHeight="1" x14ac:dyDescent="0.25">
      <c r="C2431" s="139" t="str">
        <f t="shared" si="53"/>
        <v>TX_HALL COUNTY, TX</v>
      </c>
      <c r="D2431" s="136" t="s">
        <v>63</v>
      </c>
      <c r="E2431" s="262" t="s">
        <v>4948</v>
      </c>
      <c r="F2431" s="136" t="s">
        <v>183</v>
      </c>
      <c r="G2431" s="246">
        <v>44450</v>
      </c>
      <c r="H2431" s="246">
        <v>50800</v>
      </c>
      <c r="I2431" s="246">
        <v>57150</v>
      </c>
      <c r="J2431" s="246">
        <v>63500</v>
      </c>
      <c r="K2431" s="246">
        <v>68600</v>
      </c>
      <c r="L2431" s="246">
        <v>73700</v>
      </c>
      <c r="M2431" s="246">
        <v>78750</v>
      </c>
      <c r="N2431" s="246">
        <v>83850</v>
      </c>
    </row>
    <row r="2432" spans="3:14" ht="21.95" customHeight="1" x14ac:dyDescent="0.25">
      <c r="C2432" s="139" t="str">
        <f t="shared" ref="C2432:C2495" si="54">TRIM(UPPER(D2432))&amp;"_"&amp;TRIM(UPPER(E2432))</f>
        <v>TX_HAMILTON COUNTY, TX</v>
      </c>
      <c r="D2432" s="136" t="s">
        <v>63</v>
      </c>
      <c r="E2432" s="262" t="s">
        <v>4949</v>
      </c>
      <c r="F2432" s="136" t="s">
        <v>183</v>
      </c>
      <c r="G2432" s="246">
        <v>46850</v>
      </c>
      <c r="H2432" s="246">
        <v>53550</v>
      </c>
      <c r="I2432" s="246">
        <v>60250</v>
      </c>
      <c r="J2432" s="246">
        <v>66900</v>
      </c>
      <c r="K2432" s="246">
        <v>72300</v>
      </c>
      <c r="L2432" s="246">
        <v>77650</v>
      </c>
      <c r="M2432" s="246">
        <v>83000</v>
      </c>
      <c r="N2432" s="246">
        <v>88350</v>
      </c>
    </row>
    <row r="2433" spans="3:14" ht="21.95" customHeight="1" x14ac:dyDescent="0.25">
      <c r="C2433" s="139" t="str">
        <f t="shared" si="54"/>
        <v>TX_HANSFORD COUNTY, TX</v>
      </c>
      <c r="D2433" s="136" t="s">
        <v>63</v>
      </c>
      <c r="E2433" s="262" t="s">
        <v>4950</v>
      </c>
      <c r="F2433" s="136" t="s">
        <v>183</v>
      </c>
      <c r="G2433" s="246">
        <v>48500</v>
      </c>
      <c r="H2433" s="246">
        <v>55400</v>
      </c>
      <c r="I2433" s="246">
        <v>62350</v>
      </c>
      <c r="J2433" s="246">
        <v>69250</v>
      </c>
      <c r="K2433" s="246">
        <v>74800</v>
      </c>
      <c r="L2433" s="246">
        <v>80350</v>
      </c>
      <c r="M2433" s="246">
        <v>85900</v>
      </c>
      <c r="N2433" s="246">
        <v>91450</v>
      </c>
    </row>
    <row r="2434" spans="3:14" ht="21.95" customHeight="1" x14ac:dyDescent="0.25">
      <c r="C2434" s="139" t="str">
        <f t="shared" si="54"/>
        <v>TX_HARDEMAN COUNTY, TX</v>
      </c>
      <c r="D2434" s="136" t="s">
        <v>63</v>
      </c>
      <c r="E2434" s="262" t="s">
        <v>4951</v>
      </c>
      <c r="F2434" s="136" t="s">
        <v>183</v>
      </c>
      <c r="G2434" s="246">
        <v>44450</v>
      </c>
      <c r="H2434" s="246">
        <v>50800</v>
      </c>
      <c r="I2434" s="246">
        <v>57150</v>
      </c>
      <c r="J2434" s="246">
        <v>63500</v>
      </c>
      <c r="K2434" s="246">
        <v>68600</v>
      </c>
      <c r="L2434" s="246">
        <v>73700</v>
      </c>
      <c r="M2434" s="246">
        <v>78750</v>
      </c>
      <c r="N2434" s="246">
        <v>83850</v>
      </c>
    </row>
    <row r="2435" spans="3:14" ht="21.95" customHeight="1" x14ac:dyDescent="0.25">
      <c r="C2435" s="139" t="str">
        <f t="shared" si="54"/>
        <v>TX_HARRISON COUNTY, TX HUD METRO FMR AREA</v>
      </c>
      <c r="D2435" s="136" t="s">
        <v>63</v>
      </c>
      <c r="E2435" s="262" t="s">
        <v>4952</v>
      </c>
      <c r="F2435" s="136" t="s">
        <v>183</v>
      </c>
      <c r="G2435" s="246">
        <v>52750</v>
      </c>
      <c r="H2435" s="246">
        <v>60250</v>
      </c>
      <c r="I2435" s="246">
        <v>67800</v>
      </c>
      <c r="J2435" s="246">
        <v>75300</v>
      </c>
      <c r="K2435" s="246">
        <v>81350</v>
      </c>
      <c r="L2435" s="246">
        <v>87350</v>
      </c>
      <c r="M2435" s="246">
        <v>93400</v>
      </c>
      <c r="N2435" s="246">
        <v>99400</v>
      </c>
    </row>
    <row r="2436" spans="3:14" ht="21.95" customHeight="1" x14ac:dyDescent="0.25">
      <c r="C2436" s="139" t="str">
        <f t="shared" si="54"/>
        <v>TX_HARTLEY COUNTY, TX</v>
      </c>
      <c r="D2436" s="136" t="s">
        <v>63</v>
      </c>
      <c r="E2436" s="262" t="s">
        <v>4953</v>
      </c>
      <c r="F2436" s="136" t="s">
        <v>183</v>
      </c>
      <c r="G2436" s="246">
        <v>53800</v>
      </c>
      <c r="H2436" s="246">
        <v>61500</v>
      </c>
      <c r="I2436" s="246">
        <v>69200</v>
      </c>
      <c r="J2436" s="246">
        <v>76850</v>
      </c>
      <c r="K2436" s="246">
        <v>83000</v>
      </c>
      <c r="L2436" s="246">
        <v>89150</v>
      </c>
      <c r="M2436" s="246">
        <v>95300</v>
      </c>
      <c r="N2436" s="246">
        <v>101450</v>
      </c>
    </row>
    <row r="2437" spans="3:14" ht="21.95" customHeight="1" x14ac:dyDescent="0.25">
      <c r="C2437" s="139" t="str">
        <f t="shared" si="54"/>
        <v>TX_HASKELL COUNTY, TX</v>
      </c>
      <c r="D2437" s="136" t="s">
        <v>63</v>
      </c>
      <c r="E2437" s="262" t="s">
        <v>4954</v>
      </c>
      <c r="F2437" s="136" t="s">
        <v>183</v>
      </c>
      <c r="G2437" s="246">
        <v>44450</v>
      </c>
      <c r="H2437" s="246">
        <v>50800</v>
      </c>
      <c r="I2437" s="246">
        <v>57150</v>
      </c>
      <c r="J2437" s="246">
        <v>63500</v>
      </c>
      <c r="K2437" s="246">
        <v>68600</v>
      </c>
      <c r="L2437" s="246">
        <v>73700</v>
      </c>
      <c r="M2437" s="246">
        <v>78750</v>
      </c>
      <c r="N2437" s="246">
        <v>83850</v>
      </c>
    </row>
    <row r="2438" spans="3:14" ht="21.95" customHeight="1" x14ac:dyDescent="0.25">
      <c r="C2438" s="139" t="str">
        <f t="shared" si="54"/>
        <v>TX_HEMPHILL COUNTY, TX</v>
      </c>
      <c r="D2438" s="136" t="s">
        <v>63</v>
      </c>
      <c r="E2438" s="262" t="s">
        <v>4955</v>
      </c>
      <c r="F2438" s="136" t="s">
        <v>183</v>
      </c>
      <c r="G2438" s="246">
        <v>58250</v>
      </c>
      <c r="H2438" s="246">
        <v>66600</v>
      </c>
      <c r="I2438" s="246">
        <v>74900</v>
      </c>
      <c r="J2438" s="246">
        <v>83200</v>
      </c>
      <c r="K2438" s="246">
        <v>89900</v>
      </c>
      <c r="L2438" s="246">
        <v>96550</v>
      </c>
      <c r="M2438" s="246">
        <v>103200</v>
      </c>
      <c r="N2438" s="246">
        <v>109850</v>
      </c>
    </row>
    <row r="2439" spans="3:14" ht="21.95" customHeight="1" x14ac:dyDescent="0.25">
      <c r="C2439" s="139" t="str">
        <f t="shared" si="54"/>
        <v>TX_HENDERSON COUNTY, TX</v>
      </c>
      <c r="D2439" s="136" t="s">
        <v>63</v>
      </c>
      <c r="E2439" s="262" t="s">
        <v>4956</v>
      </c>
      <c r="F2439" s="136" t="s">
        <v>183</v>
      </c>
      <c r="G2439" s="246">
        <v>48500</v>
      </c>
      <c r="H2439" s="246">
        <v>55400</v>
      </c>
      <c r="I2439" s="246">
        <v>62350</v>
      </c>
      <c r="J2439" s="246">
        <v>69250</v>
      </c>
      <c r="K2439" s="246">
        <v>74800</v>
      </c>
      <c r="L2439" s="246">
        <v>80350</v>
      </c>
      <c r="M2439" s="246">
        <v>85900</v>
      </c>
      <c r="N2439" s="246">
        <v>91450</v>
      </c>
    </row>
    <row r="2440" spans="3:14" ht="21.95" customHeight="1" x14ac:dyDescent="0.25">
      <c r="C2440" s="139" t="str">
        <f t="shared" si="54"/>
        <v>TX_HILL COUNTY, TX</v>
      </c>
      <c r="D2440" s="136" t="s">
        <v>63</v>
      </c>
      <c r="E2440" s="262" t="s">
        <v>4957</v>
      </c>
      <c r="F2440" s="136" t="s">
        <v>183</v>
      </c>
      <c r="G2440" s="246">
        <v>47500</v>
      </c>
      <c r="H2440" s="246">
        <v>54300</v>
      </c>
      <c r="I2440" s="246">
        <v>61100</v>
      </c>
      <c r="J2440" s="246">
        <v>67850</v>
      </c>
      <c r="K2440" s="246">
        <v>73300</v>
      </c>
      <c r="L2440" s="246">
        <v>78750</v>
      </c>
      <c r="M2440" s="246">
        <v>84150</v>
      </c>
      <c r="N2440" s="246">
        <v>89600</v>
      </c>
    </row>
    <row r="2441" spans="3:14" ht="21.95" customHeight="1" x14ac:dyDescent="0.25">
      <c r="C2441" s="139" t="str">
        <f t="shared" si="54"/>
        <v>TX_HOCKLEY COUNTY, TX HUD METRO FMR AREA</v>
      </c>
      <c r="D2441" s="136" t="s">
        <v>63</v>
      </c>
      <c r="E2441" s="262" t="s">
        <v>9265</v>
      </c>
      <c r="F2441" s="136" t="s">
        <v>183</v>
      </c>
      <c r="G2441" s="246">
        <v>44450</v>
      </c>
      <c r="H2441" s="246">
        <v>50800</v>
      </c>
      <c r="I2441" s="246">
        <v>57150</v>
      </c>
      <c r="J2441" s="246">
        <v>63500</v>
      </c>
      <c r="K2441" s="246">
        <v>68600</v>
      </c>
      <c r="L2441" s="246">
        <v>73700</v>
      </c>
      <c r="M2441" s="246">
        <v>78750</v>
      </c>
      <c r="N2441" s="246">
        <v>83850</v>
      </c>
    </row>
    <row r="2442" spans="3:14" ht="21.95" customHeight="1" x14ac:dyDescent="0.25">
      <c r="C2442" s="139" t="str">
        <f t="shared" si="54"/>
        <v>TX_HOOD COUNTY, TX</v>
      </c>
      <c r="D2442" s="136" t="s">
        <v>63</v>
      </c>
      <c r="E2442" s="262" t="s">
        <v>4958</v>
      </c>
      <c r="F2442" s="136" t="s">
        <v>183</v>
      </c>
      <c r="G2442" s="246">
        <v>54000</v>
      </c>
      <c r="H2442" s="246">
        <v>61700</v>
      </c>
      <c r="I2442" s="246">
        <v>69400</v>
      </c>
      <c r="J2442" s="246">
        <v>77100</v>
      </c>
      <c r="K2442" s="246">
        <v>83300</v>
      </c>
      <c r="L2442" s="246">
        <v>89450</v>
      </c>
      <c r="M2442" s="246">
        <v>95650</v>
      </c>
      <c r="N2442" s="246">
        <v>101800</v>
      </c>
    </row>
    <row r="2443" spans="3:14" ht="21.95" customHeight="1" x14ac:dyDescent="0.25">
      <c r="C2443" s="139" t="str">
        <f t="shared" si="54"/>
        <v>TX_HOPKINS COUNTY, TX</v>
      </c>
      <c r="D2443" s="136" t="s">
        <v>63</v>
      </c>
      <c r="E2443" s="262" t="s">
        <v>4959</v>
      </c>
      <c r="F2443" s="136" t="s">
        <v>183</v>
      </c>
      <c r="G2443" s="246">
        <v>47800</v>
      </c>
      <c r="H2443" s="246">
        <v>54600</v>
      </c>
      <c r="I2443" s="246">
        <v>61450</v>
      </c>
      <c r="J2443" s="246">
        <v>68250</v>
      </c>
      <c r="K2443" s="246">
        <v>73750</v>
      </c>
      <c r="L2443" s="246">
        <v>79200</v>
      </c>
      <c r="M2443" s="246">
        <v>84650</v>
      </c>
      <c r="N2443" s="246">
        <v>90100</v>
      </c>
    </row>
    <row r="2444" spans="3:14" ht="21.95" customHeight="1" x14ac:dyDescent="0.25">
      <c r="C2444" s="139" t="str">
        <f t="shared" si="54"/>
        <v>TX_HOUSTON COUNTY, TX</v>
      </c>
      <c r="D2444" s="136" t="s">
        <v>63</v>
      </c>
      <c r="E2444" s="262" t="s">
        <v>4960</v>
      </c>
      <c r="F2444" s="136" t="s">
        <v>183</v>
      </c>
      <c r="G2444" s="246">
        <v>44450</v>
      </c>
      <c r="H2444" s="246">
        <v>50800</v>
      </c>
      <c r="I2444" s="246">
        <v>57150</v>
      </c>
      <c r="J2444" s="246">
        <v>63500</v>
      </c>
      <c r="K2444" s="246">
        <v>68600</v>
      </c>
      <c r="L2444" s="246">
        <v>73700</v>
      </c>
      <c r="M2444" s="246">
        <v>78750</v>
      </c>
      <c r="N2444" s="246">
        <v>83850</v>
      </c>
    </row>
    <row r="2445" spans="3:14" ht="21.95" customHeight="1" x14ac:dyDescent="0.25">
      <c r="C2445" s="139" t="str">
        <f t="shared" si="54"/>
        <v>TX_HOUSTON-THE WOODLANDS-SUGAR LAND, TX HUD METRO FMR AREA</v>
      </c>
      <c r="D2445" s="136" t="s">
        <v>63</v>
      </c>
      <c r="E2445" s="262" t="s">
        <v>4961</v>
      </c>
      <c r="F2445" s="136" t="s">
        <v>183</v>
      </c>
      <c r="G2445" s="246">
        <v>56650</v>
      </c>
      <c r="H2445" s="246">
        <v>64750</v>
      </c>
      <c r="I2445" s="246">
        <v>72850</v>
      </c>
      <c r="J2445" s="246">
        <v>80900</v>
      </c>
      <c r="K2445" s="246">
        <v>87400</v>
      </c>
      <c r="L2445" s="246">
        <v>93850</v>
      </c>
      <c r="M2445" s="246">
        <v>100350</v>
      </c>
      <c r="N2445" s="246">
        <v>106800</v>
      </c>
    </row>
    <row r="2446" spans="3:14" ht="21.95" customHeight="1" x14ac:dyDescent="0.25">
      <c r="C2446" s="139" t="str">
        <f t="shared" si="54"/>
        <v>TX_HOWARD COUNTY, TX</v>
      </c>
      <c r="D2446" s="136" t="s">
        <v>63</v>
      </c>
      <c r="E2446" s="262" t="s">
        <v>4962</v>
      </c>
      <c r="F2446" s="136" t="s">
        <v>183</v>
      </c>
      <c r="G2446" s="246">
        <v>50450</v>
      </c>
      <c r="H2446" s="246">
        <v>57650</v>
      </c>
      <c r="I2446" s="246">
        <v>64850</v>
      </c>
      <c r="J2446" s="246">
        <v>72050</v>
      </c>
      <c r="K2446" s="246">
        <v>77850</v>
      </c>
      <c r="L2446" s="246">
        <v>83600</v>
      </c>
      <c r="M2446" s="246">
        <v>89350</v>
      </c>
      <c r="N2446" s="246">
        <v>95150</v>
      </c>
    </row>
    <row r="2447" spans="3:14" ht="21.95" customHeight="1" x14ac:dyDescent="0.25">
      <c r="C2447" s="139" t="str">
        <f t="shared" si="54"/>
        <v>TX_HUDSPETH COUNTY, TX HUD METRO FMR AREA</v>
      </c>
      <c r="D2447" s="136" t="s">
        <v>63</v>
      </c>
      <c r="E2447" s="262" t="s">
        <v>4963</v>
      </c>
      <c r="F2447" s="136" t="s">
        <v>183</v>
      </c>
      <c r="G2447" s="246">
        <v>44450</v>
      </c>
      <c r="H2447" s="246">
        <v>50800</v>
      </c>
      <c r="I2447" s="246">
        <v>57150</v>
      </c>
      <c r="J2447" s="246">
        <v>63500</v>
      </c>
      <c r="K2447" s="246">
        <v>68600</v>
      </c>
      <c r="L2447" s="246">
        <v>73700</v>
      </c>
      <c r="M2447" s="246">
        <v>78750</v>
      </c>
      <c r="N2447" s="246">
        <v>83850</v>
      </c>
    </row>
    <row r="2448" spans="3:14" ht="21.95" customHeight="1" x14ac:dyDescent="0.25">
      <c r="C2448" s="139" t="str">
        <f t="shared" si="54"/>
        <v>TX_HUTCHINSON COUNTY, TX</v>
      </c>
      <c r="D2448" s="136" t="s">
        <v>63</v>
      </c>
      <c r="E2448" s="262" t="s">
        <v>4964</v>
      </c>
      <c r="F2448" s="136" t="s">
        <v>183</v>
      </c>
      <c r="G2448" s="246">
        <v>50050</v>
      </c>
      <c r="H2448" s="246">
        <v>57200</v>
      </c>
      <c r="I2448" s="246">
        <v>64350</v>
      </c>
      <c r="J2448" s="246">
        <v>71450</v>
      </c>
      <c r="K2448" s="246">
        <v>77200</v>
      </c>
      <c r="L2448" s="246">
        <v>82900</v>
      </c>
      <c r="M2448" s="246">
        <v>88600</v>
      </c>
      <c r="N2448" s="246">
        <v>94350</v>
      </c>
    </row>
    <row r="2449" spans="3:14" ht="21.95" customHeight="1" x14ac:dyDescent="0.25">
      <c r="C2449" s="139" t="str">
        <f t="shared" si="54"/>
        <v>TX_JACK COUNTY, TX</v>
      </c>
      <c r="D2449" s="136" t="s">
        <v>63</v>
      </c>
      <c r="E2449" s="262" t="s">
        <v>4965</v>
      </c>
      <c r="F2449" s="136" t="s">
        <v>183</v>
      </c>
      <c r="G2449" s="246">
        <v>45400</v>
      </c>
      <c r="H2449" s="246">
        <v>51850</v>
      </c>
      <c r="I2449" s="246">
        <v>58350</v>
      </c>
      <c r="J2449" s="246">
        <v>64800</v>
      </c>
      <c r="K2449" s="246">
        <v>70000</v>
      </c>
      <c r="L2449" s="246">
        <v>75200</v>
      </c>
      <c r="M2449" s="246">
        <v>80400</v>
      </c>
      <c r="N2449" s="246">
        <v>85550</v>
      </c>
    </row>
    <row r="2450" spans="3:14" ht="21.95" customHeight="1" x14ac:dyDescent="0.25">
      <c r="C2450" s="139" t="str">
        <f t="shared" si="54"/>
        <v>TX_JACKSON COUNTY, TX</v>
      </c>
      <c r="D2450" s="136" t="s">
        <v>63</v>
      </c>
      <c r="E2450" s="262" t="s">
        <v>4966</v>
      </c>
      <c r="F2450" s="136" t="s">
        <v>183</v>
      </c>
      <c r="G2450" s="246">
        <v>45150</v>
      </c>
      <c r="H2450" s="246">
        <v>51600</v>
      </c>
      <c r="I2450" s="246">
        <v>58050</v>
      </c>
      <c r="J2450" s="246">
        <v>64500</v>
      </c>
      <c r="K2450" s="246">
        <v>69700</v>
      </c>
      <c r="L2450" s="246">
        <v>74850</v>
      </c>
      <c r="M2450" s="246">
        <v>80000</v>
      </c>
      <c r="N2450" s="246">
        <v>85150</v>
      </c>
    </row>
    <row r="2451" spans="3:14" ht="21.95" customHeight="1" x14ac:dyDescent="0.25">
      <c r="C2451" s="139" t="str">
        <f t="shared" si="54"/>
        <v>TX_JASPER COUNTY, TX</v>
      </c>
      <c r="D2451" s="136" t="s">
        <v>63</v>
      </c>
      <c r="E2451" s="262" t="s">
        <v>4967</v>
      </c>
      <c r="F2451" s="136" t="s">
        <v>183</v>
      </c>
      <c r="G2451" s="246">
        <v>44450</v>
      </c>
      <c r="H2451" s="246">
        <v>50800</v>
      </c>
      <c r="I2451" s="246">
        <v>57150</v>
      </c>
      <c r="J2451" s="246">
        <v>63500</v>
      </c>
      <c r="K2451" s="246">
        <v>68600</v>
      </c>
      <c r="L2451" s="246">
        <v>73700</v>
      </c>
      <c r="M2451" s="246">
        <v>78750</v>
      </c>
      <c r="N2451" s="246">
        <v>83850</v>
      </c>
    </row>
    <row r="2452" spans="3:14" ht="21.95" customHeight="1" x14ac:dyDescent="0.25">
      <c r="C2452" s="139" t="str">
        <f t="shared" si="54"/>
        <v>TX_JEFF DAVIS COUNTY, TX</v>
      </c>
      <c r="D2452" s="136" t="s">
        <v>63</v>
      </c>
      <c r="E2452" s="262" t="s">
        <v>4968</v>
      </c>
      <c r="F2452" s="136" t="s">
        <v>183</v>
      </c>
      <c r="G2452" s="246">
        <v>44450</v>
      </c>
      <c r="H2452" s="246">
        <v>50800</v>
      </c>
      <c r="I2452" s="246">
        <v>57150</v>
      </c>
      <c r="J2452" s="246">
        <v>63500</v>
      </c>
      <c r="K2452" s="246">
        <v>68600</v>
      </c>
      <c r="L2452" s="246">
        <v>73700</v>
      </c>
      <c r="M2452" s="246">
        <v>78750</v>
      </c>
      <c r="N2452" s="246">
        <v>83850</v>
      </c>
    </row>
    <row r="2453" spans="3:14" ht="21.95" customHeight="1" x14ac:dyDescent="0.25">
      <c r="C2453" s="139" t="str">
        <f t="shared" si="54"/>
        <v>TX_JIM HOGG COUNTY, TX</v>
      </c>
      <c r="D2453" s="136" t="s">
        <v>63</v>
      </c>
      <c r="E2453" s="262" t="s">
        <v>4969</v>
      </c>
      <c r="F2453" s="136" t="s">
        <v>183</v>
      </c>
      <c r="G2453" s="246">
        <v>44450</v>
      </c>
      <c r="H2453" s="246">
        <v>50800</v>
      </c>
      <c r="I2453" s="246">
        <v>57150</v>
      </c>
      <c r="J2453" s="246">
        <v>63500</v>
      </c>
      <c r="K2453" s="246">
        <v>68600</v>
      </c>
      <c r="L2453" s="246">
        <v>73700</v>
      </c>
      <c r="M2453" s="246">
        <v>78750</v>
      </c>
      <c r="N2453" s="246">
        <v>83850</v>
      </c>
    </row>
    <row r="2454" spans="3:14" ht="21.95" customHeight="1" x14ac:dyDescent="0.25">
      <c r="C2454" s="139" t="str">
        <f t="shared" si="54"/>
        <v>TX_JIM WELLS COUNTY, TX</v>
      </c>
      <c r="D2454" s="136" t="s">
        <v>63</v>
      </c>
      <c r="E2454" s="262" t="s">
        <v>4970</v>
      </c>
      <c r="F2454" s="136" t="s">
        <v>183</v>
      </c>
      <c r="G2454" s="246">
        <v>44450</v>
      </c>
      <c r="H2454" s="246">
        <v>50800</v>
      </c>
      <c r="I2454" s="246">
        <v>57150</v>
      </c>
      <c r="J2454" s="246">
        <v>63500</v>
      </c>
      <c r="K2454" s="246">
        <v>68600</v>
      </c>
      <c r="L2454" s="246">
        <v>73700</v>
      </c>
      <c r="M2454" s="246">
        <v>78750</v>
      </c>
      <c r="N2454" s="246">
        <v>83850</v>
      </c>
    </row>
    <row r="2455" spans="3:14" ht="21.95" customHeight="1" x14ac:dyDescent="0.25">
      <c r="C2455" s="139" t="str">
        <f t="shared" si="54"/>
        <v>TX_KARNES COUNTY, TX</v>
      </c>
      <c r="D2455" s="136" t="s">
        <v>63</v>
      </c>
      <c r="E2455" s="262" t="s">
        <v>4971</v>
      </c>
      <c r="F2455" s="136" t="s">
        <v>183</v>
      </c>
      <c r="G2455" s="246">
        <v>44450</v>
      </c>
      <c r="H2455" s="246">
        <v>50800</v>
      </c>
      <c r="I2455" s="246">
        <v>57150</v>
      </c>
      <c r="J2455" s="246">
        <v>63500</v>
      </c>
      <c r="K2455" s="246">
        <v>68600</v>
      </c>
      <c r="L2455" s="246">
        <v>73700</v>
      </c>
      <c r="M2455" s="246">
        <v>78750</v>
      </c>
      <c r="N2455" s="246">
        <v>83850</v>
      </c>
    </row>
    <row r="2456" spans="3:14" ht="21.95" customHeight="1" x14ac:dyDescent="0.25">
      <c r="C2456" s="139" t="str">
        <f t="shared" si="54"/>
        <v>TX_KENDALL COUNTY, TX HUD METRO FMR AREA</v>
      </c>
      <c r="D2456" s="136" t="s">
        <v>63</v>
      </c>
      <c r="E2456" s="262" t="s">
        <v>4972</v>
      </c>
      <c r="F2456" s="136" t="s">
        <v>183</v>
      </c>
      <c r="G2456" s="246">
        <v>72950</v>
      </c>
      <c r="H2456" s="246">
        <v>83400</v>
      </c>
      <c r="I2456" s="246">
        <v>93800</v>
      </c>
      <c r="J2456" s="246">
        <v>104200</v>
      </c>
      <c r="K2456" s="246">
        <v>112550</v>
      </c>
      <c r="L2456" s="246">
        <v>120900</v>
      </c>
      <c r="M2456" s="246">
        <v>129250</v>
      </c>
      <c r="N2456" s="246">
        <v>137550</v>
      </c>
    </row>
    <row r="2457" spans="3:14" ht="21.95" customHeight="1" x14ac:dyDescent="0.25">
      <c r="C2457" s="139" t="str">
        <f t="shared" si="54"/>
        <v>TX_KENEDY COUNTY, TX</v>
      </c>
      <c r="D2457" s="136" t="s">
        <v>63</v>
      </c>
      <c r="E2457" s="262" t="s">
        <v>4973</v>
      </c>
      <c r="F2457" s="136" t="s">
        <v>183</v>
      </c>
      <c r="G2457" s="246">
        <v>44450</v>
      </c>
      <c r="H2457" s="246">
        <v>50800</v>
      </c>
      <c r="I2457" s="246">
        <v>57150</v>
      </c>
      <c r="J2457" s="246">
        <v>63500</v>
      </c>
      <c r="K2457" s="246">
        <v>68600</v>
      </c>
      <c r="L2457" s="246">
        <v>73700</v>
      </c>
      <c r="M2457" s="246">
        <v>78750</v>
      </c>
      <c r="N2457" s="246">
        <v>83850</v>
      </c>
    </row>
    <row r="2458" spans="3:14" ht="21.95" customHeight="1" x14ac:dyDescent="0.25">
      <c r="C2458" s="139" t="str">
        <f t="shared" si="54"/>
        <v>TX_KENT COUNTY, TX</v>
      </c>
      <c r="D2458" s="136" t="s">
        <v>63</v>
      </c>
      <c r="E2458" s="262" t="s">
        <v>4974</v>
      </c>
      <c r="F2458" s="136" t="s">
        <v>183</v>
      </c>
      <c r="G2458" s="246">
        <v>51850</v>
      </c>
      <c r="H2458" s="246">
        <v>59250</v>
      </c>
      <c r="I2458" s="246">
        <v>66650</v>
      </c>
      <c r="J2458" s="246">
        <v>74050</v>
      </c>
      <c r="K2458" s="246">
        <v>80000</v>
      </c>
      <c r="L2458" s="246">
        <v>85900</v>
      </c>
      <c r="M2458" s="246">
        <v>91850</v>
      </c>
      <c r="N2458" s="246">
        <v>97750</v>
      </c>
    </row>
    <row r="2459" spans="3:14" ht="21.95" customHeight="1" x14ac:dyDescent="0.25">
      <c r="C2459" s="139" t="str">
        <f t="shared" si="54"/>
        <v>TX_KERR COUNTY, TX</v>
      </c>
      <c r="D2459" s="136" t="s">
        <v>63</v>
      </c>
      <c r="E2459" s="262" t="s">
        <v>4975</v>
      </c>
      <c r="F2459" s="136" t="s">
        <v>183</v>
      </c>
      <c r="G2459" s="246">
        <v>51350</v>
      </c>
      <c r="H2459" s="246">
        <v>58650</v>
      </c>
      <c r="I2459" s="246">
        <v>66000</v>
      </c>
      <c r="J2459" s="246">
        <v>73300</v>
      </c>
      <c r="K2459" s="246">
        <v>79200</v>
      </c>
      <c r="L2459" s="246">
        <v>85050</v>
      </c>
      <c r="M2459" s="246">
        <v>90900</v>
      </c>
      <c r="N2459" s="246">
        <v>96800</v>
      </c>
    </row>
    <row r="2460" spans="3:14" ht="21.95" customHeight="1" x14ac:dyDescent="0.25">
      <c r="C2460" s="139" t="str">
        <f t="shared" si="54"/>
        <v>TX_KILLEEN-TEMPLE, TX HUD METRO FMR AREA</v>
      </c>
      <c r="D2460" s="136" t="s">
        <v>63</v>
      </c>
      <c r="E2460" s="262" t="s">
        <v>4976</v>
      </c>
      <c r="F2460" s="136" t="s">
        <v>183</v>
      </c>
      <c r="G2460" s="246">
        <v>46050</v>
      </c>
      <c r="H2460" s="246">
        <v>52600</v>
      </c>
      <c r="I2460" s="246">
        <v>59200</v>
      </c>
      <c r="J2460" s="246">
        <v>65750</v>
      </c>
      <c r="K2460" s="246">
        <v>71050</v>
      </c>
      <c r="L2460" s="246">
        <v>76300</v>
      </c>
      <c r="M2460" s="246">
        <v>81550</v>
      </c>
      <c r="N2460" s="246">
        <v>86800</v>
      </c>
    </row>
    <row r="2461" spans="3:14" ht="21.95" customHeight="1" x14ac:dyDescent="0.25">
      <c r="C2461" s="139" t="str">
        <f t="shared" si="54"/>
        <v>TX_KIMBLE COUNTY, TX</v>
      </c>
      <c r="D2461" s="136" t="s">
        <v>63</v>
      </c>
      <c r="E2461" s="262" t="s">
        <v>4977</v>
      </c>
      <c r="F2461" s="136" t="s">
        <v>183</v>
      </c>
      <c r="G2461" s="246">
        <v>48500</v>
      </c>
      <c r="H2461" s="246">
        <v>55400</v>
      </c>
      <c r="I2461" s="246">
        <v>62350</v>
      </c>
      <c r="J2461" s="246">
        <v>69250</v>
      </c>
      <c r="K2461" s="246">
        <v>74800</v>
      </c>
      <c r="L2461" s="246">
        <v>80350</v>
      </c>
      <c r="M2461" s="246">
        <v>85900</v>
      </c>
      <c r="N2461" s="246">
        <v>91450</v>
      </c>
    </row>
    <row r="2462" spans="3:14" ht="21.95" customHeight="1" x14ac:dyDescent="0.25">
      <c r="C2462" s="139" t="str">
        <f t="shared" si="54"/>
        <v>TX_KING COUNTY, TX</v>
      </c>
      <c r="D2462" s="136" t="s">
        <v>63</v>
      </c>
      <c r="E2462" s="262" t="s">
        <v>4978</v>
      </c>
      <c r="F2462" s="136" t="s">
        <v>183</v>
      </c>
      <c r="G2462" s="246">
        <v>44450</v>
      </c>
      <c r="H2462" s="246">
        <v>50800</v>
      </c>
      <c r="I2462" s="246">
        <v>57150</v>
      </c>
      <c r="J2462" s="246">
        <v>63500</v>
      </c>
      <c r="K2462" s="246">
        <v>68600</v>
      </c>
      <c r="L2462" s="246">
        <v>73700</v>
      </c>
      <c r="M2462" s="246">
        <v>78750</v>
      </c>
      <c r="N2462" s="246">
        <v>83850</v>
      </c>
    </row>
    <row r="2463" spans="3:14" ht="21.95" customHeight="1" x14ac:dyDescent="0.25">
      <c r="C2463" s="139" t="str">
        <f t="shared" si="54"/>
        <v>TX_KINNEY COUNTY, TX</v>
      </c>
      <c r="D2463" s="136" t="s">
        <v>63</v>
      </c>
      <c r="E2463" s="262" t="s">
        <v>4979</v>
      </c>
      <c r="F2463" s="136" t="s">
        <v>183</v>
      </c>
      <c r="G2463" s="246">
        <v>44450</v>
      </c>
      <c r="H2463" s="246">
        <v>50800</v>
      </c>
      <c r="I2463" s="246">
        <v>57150</v>
      </c>
      <c r="J2463" s="246">
        <v>63500</v>
      </c>
      <c r="K2463" s="246">
        <v>68600</v>
      </c>
      <c r="L2463" s="246">
        <v>73700</v>
      </c>
      <c r="M2463" s="246">
        <v>78750</v>
      </c>
      <c r="N2463" s="246">
        <v>83850</v>
      </c>
    </row>
    <row r="2464" spans="3:14" ht="21.95" customHeight="1" x14ac:dyDescent="0.25">
      <c r="C2464" s="139" t="str">
        <f t="shared" si="54"/>
        <v>TX_KLEBERG COUNTY, TX</v>
      </c>
      <c r="D2464" s="136" t="s">
        <v>63</v>
      </c>
      <c r="E2464" s="262" t="s">
        <v>4980</v>
      </c>
      <c r="F2464" s="136" t="s">
        <v>183</v>
      </c>
      <c r="G2464" s="246">
        <v>44450</v>
      </c>
      <c r="H2464" s="246">
        <v>50800</v>
      </c>
      <c r="I2464" s="246">
        <v>57150</v>
      </c>
      <c r="J2464" s="246">
        <v>63500</v>
      </c>
      <c r="K2464" s="246">
        <v>68600</v>
      </c>
      <c r="L2464" s="246">
        <v>73700</v>
      </c>
      <c r="M2464" s="246">
        <v>78750</v>
      </c>
      <c r="N2464" s="246">
        <v>83850</v>
      </c>
    </row>
    <row r="2465" spans="3:14" ht="21.95" customHeight="1" x14ac:dyDescent="0.25">
      <c r="C2465" s="139" t="str">
        <f t="shared" si="54"/>
        <v>TX_KNOX COUNTY, TX</v>
      </c>
      <c r="D2465" s="136" t="s">
        <v>63</v>
      </c>
      <c r="E2465" s="262" t="s">
        <v>4981</v>
      </c>
      <c r="F2465" s="136" t="s">
        <v>183</v>
      </c>
      <c r="G2465" s="246">
        <v>44450</v>
      </c>
      <c r="H2465" s="246">
        <v>50800</v>
      </c>
      <c r="I2465" s="246">
        <v>57150</v>
      </c>
      <c r="J2465" s="246">
        <v>63500</v>
      </c>
      <c r="K2465" s="246">
        <v>68600</v>
      </c>
      <c r="L2465" s="246">
        <v>73700</v>
      </c>
      <c r="M2465" s="246">
        <v>78750</v>
      </c>
      <c r="N2465" s="246">
        <v>83850</v>
      </c>
    </row>
    <row r="2466" spans="3:14" ht="21.95" customHeight="1" x14ac:dyDescent="0.25">
      <c r="C2466" s="139" t="str">
        <f t="shared" si="54"/>
        <v>TX_LAMAR COUNTY, TX</v>
      </c>
      <c r="D2466" s="136" t="s">
        <v>63</v>
      </c>
      <c r="E2466" s="262" t="s">
        <v>4983</v>
      </c>
      <c r="F2466" s="136" t="s">
        <v>183</v>
      </c>
      <c r="G2466" s="246">
        <v>45450</v>
      </c>
      <c r="H2466" s="246">
        <v>51950</v>
      </c>
      <c r="I2466" s="246">
        <v>58450</v>
      </c>
      <c r="J2466" s="246">
        <v>64900</v>
      </c>
      <c r="K2466" s="246">
        <v>70100</v>
      </c>
      <c r="L2466" s="246">
        <v>75300</v>
      </c>
      <c r="M2466" s="246">
        <v>80500</v>
      </c>
      <c r="N2466" s="246">
        <v>85700</v>
      </c>
    </row>
    <row r="2467" spans="3:14" ht="21.95" customHeight="1" x14ac:dyDescent="0.25">
      <c r="C2467" s="139" t="str">
        <f t="shared" si="54"/>
        <v>TX_LAMB COUNTY, TX</v>
      </c>
      <c r="D2467" s="136" t="s">
        <v>63</v>
      </c>
      <c r="E2467" s="262" t="s">
        <v>4984</v>
      </c>
      <c r="F2467" s="136" t="s">
        <v>183</v>
      </c>
      <c r="G2467" s="246">
        <v>44450</v>
      </c>
      <c r="H2467" s="246">
        <v>50800</v>
      </c>
      <c r="I2467" s="246">
        <v>57150</v>
      </c>
      <c r="J2467" s="246">
        <v>63500</v>
      </c>
      <c r="K2467" s="246">
        <v>68600</v>
      </c>
      <c r="L2467" s="246">
        <v>73700</v>
      </c>
      <c r="M2467" s="246">
        <v>78750</v>
      </c>
      <c r="N2467" s="246">
        <v>83850</v>
      </c>
    </row>
    <row r="2468" spans="3:14" ht="21.95" customHeight="1" x14ac:dyDescent="0.25">
      <c r="C2468" s="139" t="str">
        <f t="shared" si="54"/>
        <v>TX_LAMPASAS COUNTY, TX HUD METRO FMR AREA</v>
      </c>
      <c r="D2468" s="136" t="s">
        <v>63</v>
      </c>
      <c r="E2468" s="262" t="s">
        <v>4985</v>
      </c>
      <c r="F2468" s="136" t="s">
        <v>183</v>
      </c>
      <c r="G2468" s="246">
        <v>57300</v>
      </c>
      <c r="H2468" s="246">
        <v>65500</v>
      </c>
      <c r="I2468" s="246">
        <v>73700</v>
      </c>
      <c r="J2468" s="246">
        <v>81850</v>
      </c>
      <c r="K2468" s="246">
        <v>88400</v>
      </c>
      <c r="L2468" s="246">
        <v>94950</v>
      </c>
      <c r="M2468" s="246">
        <v>101500</v>
      </c>
      <c r="N2468" s="246">
        <v>108050</v>
      </c>
    </row>
    <row r="2469" spans="3:14" ht="21.95" customHeight="1" x14ac:dyDescent="0.25">
      <c r="C2469" s="139" t="str">
        <f t="shared" si="54"/>
        <v>TX_LAREDO, TX MSA</v>
      </c>
      <c r="D2469" s="136" t="s">
        <v>63</v>
      </c>
      <c r="E2469" s="262" t="s">
        <v>4986</v>
      </c>
      <c r="F2469" s="136" t="s">
        <v>183</v>
      </c>
      <c r="G2469" s="246">
        <v>44450</v>
      </c>
      <c r="H2469" s="246">
        <v>50800</v>
      </c>
      <c r="I2469" s="246">
        <v>57150</v>
      </c>
      <c r="J2469" s="246">
        <v>63500</v>
      </c>
      <c r="K2469" s="246">
        <v>68600</v>
      </c>
      <c r="L2469" s="246">
        <v>73700</v>
      </c>
      <c r="M2469" s="246">
        <v>78750</v>
      </c>
      <c r="N2469" s="246">
        <v>83850</v>
      </c>
    </row>
    <row r="2470" spans="3:14" ht="21.95" customHeight="1" x14ac:dyDescent="0.25">
      <c r="C2470" s="139" t="str">
        <f t="shared" si="54"/>
        <v>TX_LA SALLE COUNTY, TX</v>
      </c>
      <c r="D2470" s="136" t="s">
        <v>63</v>
      </c>
      <c r="E2470" s="262" t="s">
        <v>4982</v>
      </c>
      <c r="F2470" s="136" t="s">
        <v>183</v>
      </c>
      <c r="G2470" s="246">
        <v>44450</v>
      </c>
      <c r="H2470" s="246">
        <v>50800</v>
      </c>
      <c r="I2470" s="246">
        <v>57150</v>
      </c>
      <c r="J2470" s="246">
        <v>63500</v>
      </c>
      <c r="K2470" s="246">
        <v>68600</v>
      </c>
      <c r="L2470" s="246">
        <v>73700</v>
      </c>
      <c r="M2470" s="246">
        <v>78750</v>
      </c>
      <c r="N2470" s="246">
        <v>83850</v>
      </c>
    </row>
    <row r="2471" spans="3:14" ht="21.95" customHeight="1" x14ac:dyDescent="0.25">
      <c r="C2471" s="139" t="str">
        <f t="shared" si="54"/>
        <v>TX_LAVACA COUNTY, TX</v>
      </c>
      <c r="D2471" s="136" t="s">
        <v>63</v>
      </c>
      <c r="E2471" s="262" t="s">
        <v>4987</v>
      </c>
      <c r="F2471" s="136" t="s">
        <v>183</v>
      </c>
      <c r="G2471" s="246">
        <v>52500</v>
      </c>
      <c r="H2471" s="246">
        <v>60000</v>
      </c>
      <c r="I2471" s="246">
        <v>67500</v>
      </c>
      <c r="J2471" s="246">
        <v>74950</v>
      </c>
      <c r="K2471" s="246">
        <v>80950</v>
      </c>
      <c r="L2471" s="246">
        <v>86950</v>
      </c>
      <c r="M2471" s="246">
        <v>92950</v>
      </c>
      <c r="N2471" s="246">
        <v>98950</v>
      </c>
    </row>
    <row r="2472" spans="3:14" ht="21.95" customHeight="1" x14ac:dyDescent="0.25">
      <c r="C2472" s="139" t="str">
        <f t="shared" si="54"/>
        <v>TX_LEE COUNTY, TX</v>
      </c>
      <c r="D2472" s="136" t="s">
        <v>63</v>
      </c>
      <c r="E2472" s="262" t="s">
        <v>4988</v>
      </c>
      <c r="F2472" s="136" t="s">
        <v>183</v>
      </c>
      <c r="G2472" s="246">
        <v>45750</v>
      </c>
      <c r="H2472" s="246">
        <v>52300</v>
      </c>
      <c r="I2472" s="246">
        <v>58850</v>
      </c>
      <c r="J2472" s="246">
        <v>65350</v>
      </c>
      <c r="K2472" s="246">
        <v>70600</v>
      </c>
      <c r="L2472" s="246">
        <v>75850</v>
      </c>
      <c r="M2472" s="246">
        <v>81050</v>
      </c>
      <c r="N2472" s="246">
        <v>86300</v>
      </c>
    </row>
    <row r="2473" spans="3:14" ht="21.95" customHeight="1" x14ac:dyDescent="0.25">
      <c r="C2473" s="139" t="str">
        <f t="shared" si="54"/>
        <v>TX_LEON COUNTY, TX</v>
      </c>
      <c r="D2473" s="136" t="s">
        <v>63</v>
      </c>
      <c r="E2473" s="262" t="s">
        <v>4989</v>
      </c>
      <c r="F2473" s="136" t="s">
        <v>183</v>
      </c>
      <c r="G2473" s="246">
        <v>45600</v>
      </c>
      <c r="H2473" s="246">
        <v>52100</v>
      </c>
      <c r="I2473" s="246">
        <v>58600</v>
      </c>
      <c r="J2473" s="246">
        <v>65100</v>
      </c>
      <c r="K2473" s="246">
        <v>70350</v>
      </c>
      <c r="L2473" s="246">
        <v>75550</v>
      </c>
      <c r="M2473" s="246">
        <v>80750</v>
      </c>
      <c r="N2473" s="246">
        <v>85950</v>
      </c>
    </row>
    <row r="2474" spans="3:14" ht="21.95" customHeight="1" x14ac:dyDescent="0.25">
      <c r="C2474" s="139" t="str">
        <f t="shared" si="54"/>
        <v>TX_LIMESTONE COUNTY, TX</v>
      </c>
      <c r="D2474" s="136" t="s">
        <v>63</v>
      </c>
      <c r="E2474" s="262" t="s">
        <v>4990</v>
      </c>
      <c r="F2474" s="136" t="s">
        <v>183</v>
      </c>
      <c r="G2474" s="246">
        <v>44450</v>
      </c>
      <c r="H2474" s="246">
        <v>50800</v>
      </c>
      <c r="I2474" s="246">
        <v>57150</v>
      </c>
      <c r="J2474" s="246">
        <v>63500</v>
      </c>
      <c r="K2474" s="246">
        <v>68600</v>
      </c>
      <c r="L2474" s="246">
        <v>73700</v>
      </c>
      <c r="M2474" s="246">
        <v>78750</v>
      </c>
      <c r="N2474" s="246">
        <v>83850</v>
      </c>
    </row>
    <row r="2475" spans="3:14" ht="21.95" customHeight="1" x14ac:dyDescent="0.25">
      <c r="C2475" s="139" t="str">
        <f t="shared" si="54"/>
        <v>TX_LIPSCOMB COUNTY, TX</v>
      </c>
      <c r="D2475" s="136" t="s">
        <v>63</v>
      </c>
      <c r="E2475" s="262" t="s">
        <v>4991</v>
      </c>
      <c r="F2475" s="136" t="s">
        <v>183</v>
      </c>
      <c r="G2475" s="246">
        <v>49850</v>
      </c>
      <c r="H2475" s="246">
        <v>57000</v>
      </c>
      <c r="I2475" s="246">
        <v>64100</v>
      </c>
      <c r="J2475" s="246">
        <v>71200</v>
      </c>
      <c r="K2475" s="246">
        <v>76900</v>
      </c>
      <c r="L2475" s="246">
        <v>82600</v>
      </c>
      <c r="M2475" s="246">
        <v>88300</v>
      </c>
      <c r="N2475" s="246">
        <v>94000</v>
      </c>
    </row>
    <row r="2476" spans="3:14" ht="21.95" customHeight="1" x14ac:dyDescent="0.25">
      <c r="C2476" s="139" t="str">
        <f t="shared" si="54"/>
        <v>TX_LIVE OAK COUNTY, TX</v>
      </c>
      <c r="D2476" s="136" t="s">
        <v>63</v>
      </c>
      <c r="E2476" s="262" t="s">
        <v>4992</v>
      </c>
      <c r="F2476" s="136" t="s">
        <v>183</v>
      </c>
      <c r="G2476" s="246">
        <v>44450</v>
      </c>
      <c r="H2476" s="246">
        <v>50800</v>
      </c>
      <c r="I2476" s="246">
        <v>57150</v>
      </c>
      <c r="J2476" s="246">
        <v>63500</v>
      </c>
      <c r="K2476" s="246">
        <v>68600</v>
      </c>
      <c r="L2476" s="246">
        <v>73700</v>
      </c>
      <c r="M2476" s="246">
        <v>78750</v>
      </c>
      <c r="N2476" s="246">
        <v>83850</v>
      </c>
    </row>
    <row r="2477" spans="3:14" ht="21.95" customHeight="1" x14ac:dyDescent="0.25">
      <c r="C2477" s="139" t="str">
        <f t="shared" si="54"/>
        <v>TX_LLANO COUNTY, TX</v>
      </c>
      <c r="D2477" s="136" t="s">
        <v>63</v>
      </c>
      <c r="E2477" s="262" t="s">
        <v>4993</v>
      </c>
      <c r="F2477" s="136" t="s">
        <v>183</v>
      </c>
      <c r="G2477" s="246">
        <v>49200</v>
      </c>
      <c r="H2477" s="246">
        <v>56200</v>
      </c>
      <c r="I2477" s="246">
        <v>63250</v>
      </c>
      <c r="J2477" s="246">
        <v>70250</v>
      </c>
      <c r="K2477" s="246">
        <v>75900</v>
      </c>
      <c r="L2477" s="246">
        <v>81500</v>
      </c>
      <c r="M2477" s="246">
        <v>87150</v>
      </c>
      <c r="N2477" s="246">
        <v>92750</v>
      </c>
    </row>
    <row r="2478" spans="3:14" ht="21.95" customHeight="1" x14ac:dyDescent="0.25">
      <c r="C2478" s="139" t="str">
        <f t="shared" si="54"/>
        <v>TX_LONGVIEW, TX HUD METRO FMR AREA</v>
      </c>
      <c r="D2478" s="136" t="s">
        <v>63</v>
      </c>
      <c r="E2478" s="262" t="s">
        <v>4994</v>
      </c>
      <c r="F2478" s="136" t="s">
        <v>183</v>
      </c>
      <c r="G2478" s="246">
        <v>47600</v>
      </c>
      <c r="H2478" s="246">
        <v>54400</v>
      </c>
      <c r="I2478" s="246">
        <v>61200</v>
      </c>
      <c r="J2478" s="246">
        <v>68000</v>
      </c>
      <c r="K2478" s="246">
        <v>73450</v>
      </c>
      <c r="L2478" s="246">
        <v>78900</v>
      </c>
      <c r="M2478" s="246">
        <v>84350</v>
      </c>
      <c r="N2478" s="246">
        <v>89800</v>
      </c>
    </row>
    <row r="2479" spans="3:14" ht="21.95" customHeight="1" x14ac:dyDescent="0.25">
      <c r="C2479" s="139" t="str">
        <f t="shared" si="54"/>
        <v>TX_LOVING COUNTY, TX</v>
      </c>
      <c r="D2479" s="136" t="s">
        <v>63</v>
      </c>
      <c r="E2479" s="262" t="s">
        <v>4995</v>
      </c>
      <c r="F2479" s="136" t="s">
        <v>183</v>
      </c>
      <c r="G2479" s="246">
        <v>49800</v>
      </c>
      <c r="H2479" s="246">
        <v>56900</v>
      </c>
      <c r="I2479" s="246">
        <v>64000</v>
      </c>
      <c r="J2479" s="246">
        <v>71100</v>
      </c>
      <c r="K2479" s="246">
        <v>76800</v>
      </c>
      <c r="L2479" s="246">
        <v>82500</v>
      </c>
      <c r="M2479" s="246">
        <v>88200</v>
      </c>
      <c r="N2479" s="246">
        <v>93900</v>
      </c>
    </row>
    <row r="2480" spans="3:14" ht="21.95" customHeight="1" x14ac:dyDescent="0.25">
      <c r="C2480" s="139" t="str">
        <f t="shared" si="54"/>
        <v>TX_LUBBOCK, TX HUD METRO FMR AREA</v>
      </c>
      <c r="D2480" s="136" t="s">
        <v>63</v>
      </c>
      <c r="E2480" s="262" t="s">
        <v>4996</v>
      </c>
      <c r="F2480" s="136" t="s">
        <v>183</v>
      </c>
      <c r="G2480" s="246">
        <v>45650</v>
      </c>
      <c r="H2480" s="246">
        <v>52200</v>
      </c>
      <c r="I2480" s="246">
        <v>58700</v>
      </c>
      <c r="J2480" s="246">
        <v>65200</v>
      </c>
      <c r="K2480" s="246">
        <v>70450</v>
      </c>
      <c r="L2480" s="246">
        <v>75650</v>
      </c>
      <c r="M2480" s="246">
        <v>80850</v>
      </c>
      <c r="N2480" s="246">
        <v>86100</v>
      </c>
    </row>
    <row r="2481" spans="3:14" ht="21.95" customHeight="1" x14ac:dyDescent="0.25">
      <c r="C2481" s="139" t="str">
        <f t="shared" si="54"/>
        <v>TX_LYNN COUNTY, TX HUD METRO FMR AREA</v>
      </c>
      <c r="D2481" s="136" t="s">
        <v>63</v>
      </c>
      <c r="E2481" s="262" t="s">
        <v>4997</v>
      </c>
      <c r="F2481" s="136" t="s">
        <v>183</v>
      </c>
      <c r="G2481" s="246">
        <v>45650</v>
      </c>
      <c r="H2481" s="246">
        <v>52200</v>
      </c>
      <c r="I2481" s="246">
        <v>58700</v>
      </c>
      <c r="J2481" s="246">
        <v>65200</v>
      </c>
      <c r="K2481" s="246">
        <v>70450</v>
      </c>
      <c r="L2481" s="246">
        <v>75650</v>
      </c>
      <c r="M2481" s="246">
        <v>80850</v>
      </c>
      <c r="N2481" s="246">
        <v>86100</v>
      </c>
    </row>
    <row r="2482" spans="3:14" ht="21.95" customHeight="1" x14ac:dyDescent="0.25">
      <c r="C2482" s="139" t="str">
        <f t="shared" si="54"/>
        <v>TX_MADISON COUNTY, TX</v>
      </c>
      <c r="D2482" s="136" t="s">
        <v>63</v>
      </c>
      <c r="E2482" s="262" t="s">
        <v>4998</v>
      </c>
      <c r="F2482" s="136" t="s">
        <v>183</v>
      </c>
      <c r="G2482" s="246">
        <v>47050</v>
      </c>
      <c r="H2482" s="246">
        <v>53800</v>
      </c>
      <c r="I2482" s="246">
        <v>60500</v>
      </c>
      <c r="J2482" s="246">
        <v>67200</v>
      </c>
      <c r="K2482" s="246">
        <v>72600</v>
      </c>
      <c r="L2482" s="246">
        <v>78000</v>
      </c>
      <c r="M2482" s="246">
        <v>83350</v>
      </c>
      <c r="N2482" s="246">
        <v>88750</v>
      </c>
    </row>
    <row r="2483" spans="3:14" ht="21.95" customHeight="1" x14ac:dyDescent="0.25">
      <c r="C2483" s="139" t="str">
        <f t="shared" si="54"/>
        <v>TX_MARION COUNTY, TX</v>
      </c>
      <c r="D2483" s="136" t="s">
        <v>63</v>
      </c>
      <c r="E2483" s="262" t="s">
        <v>4999</v>
      </c>
      <c r="F2483" s="136" t="s">
        <v>183</v>
      </c>
      <c r="G2483" s="246">
        <v>44450</v>
      </c>
      <c r="H2483" s="246">
        <v>50800</v>
      </c>
      <c r="I2483" s="246">
        <v>57150</v>
      </c>
      <c r="J2483" s="246">
        <v>63500</v>
      </c>
      <c r="K2483" s="246">
        <v>68600</v>
      </c>
      <c r="L2483" s="246">
        <v>73700</v>
      </c>
      <c r="M2483" s="246">
        <v>78750</v>
      </c>
      <c r="N2483" s="246">
        <v>83850</v>
      </c>
    </row>
    <row r="2484" spans="3:14" ht="21.95" customHeight="1" x14ac:dyDescent="0.25">
      <c r="C2484" s="139" t="str">
        <f t="shared" si="54"/>
        <v>TX_MARTIN COUNTY, TX HUD METRO FMR AREA</v>
      </c>
      <c r="D2484" s="136" t="s">
        <v>63</v>
      </c>
      <c r="E2484" s="262" t="s">
        <v>5000</v>
      </c>
      <c r="F2484" s="136" t="s">
        <v>183</v>
      </c>
      <c r="G2484" s="246">
        <v>55950</v>
      </c>
      <c r="H2484" s="246">
        <v>63950</v>
      </c>
      <c r="I2484" s="246">
        <v>71950</v>
      </c>
      <c r="J2484" s="246">
        <v>79900</v>
      </c>
      <c r="K2484" s="246">
        <v>86300</v>
      </c>
      <c r="L2484" s="246">
        <v>92700</v>
      </c>
      <c r="M2484" s="246">
        <v>99100</v>
      </c>
      <c r="N2484" s="246">
        <v>105500</v>
      </c>
    </row>
    <row r="2485" spans="3:14" ht="21.95" customHeight="1" x14ac:dyDescent="0.25">
      <c r="C2485" s="139" t="str">
        <f t="shared" si="54"/>
        <v>TX_MASON COUNTY, TX</v>
      </c>
      <c r="D2485" s="136" t="s">
        <v>63</v>
      </c>
      <c r="E2485" s="262" t="s">
        <v>5001</v>
      </c>
      <c r="F2485" s="136" t="s">
        <v>183</v>
      </c>
      <c r="G2485" s="246">
        <v>48500</v>
      </c>
      <c r="H2485" s="246">
        <v>55400</v>
      </c>
      <c r="I2485" s="246">
        <v>62350</v>
      </c>
      <c r="J2485" s="246">
        <v>69250</v>
      </c>
      <c r="K2485" s="246">
        <v>74800</v>
      </c>
      <c r="L2485" s="246">
        <v>80350</v>
      </c>
      <c r="M2485" s="246">
        <v>85900</v>
      </c>
      <c r="N2485" s="246">
        <v>91450</v>
      </c>
    </row>
    <row r="2486" spans="3:14" ht="21.95" customHeight="1" x14ac:dyDescent="0.25">
      <c r="C2486" s="139" t="str">
        <f t="shared" si="54"/>
        <v>TX_MATAGORDA COUNTY, TX</v>
      </c>
      <c r="D2486" s="136" t="s">
        <v>63</v>
      </c>
      <c r="E2486" s="262" t="s">
        <v>5002</v>
      </c>
      <c r="F2486" s="136" t="s">
        <v>183</v>
      </c>
      <c r="G2486" s="246">
        <v>44450</v>
      </c>
      <c r="H2486" s="246">
        <v>50800</v>
      </c>
      <c r="I2486" s="246">
        <v>57150</v>
      </c>
      <c r="J2486" s="246">
        <v>63500</v>
      </c>
      <c r="K2486" s="246">
        <v>68600</v>
      </c>
      <c r="L2486" s="246">
        <v>73700</v>
      </c>
      <c r="M2486" s="246">
        <v>78750</v>
      </c>
      <c r="N2486" s="246">
        <v>83850</v>
      </c>
    </row>
    <row r="2487" spans="3:14" ht="21.95" customHeight="1" x14ac:dyDescent="0.25">
      <c r="C2487" s="139" t="str">
        <f t="shared" si="54"/>
        <v>TX_MCALLEN-EDINBURG-MISSION, TX MSA</v>
      </c>
      <c r="D2487" s="136" t="s">
        <v>63</v>
      </c>
      <c r="E2487" s="262" t="s">
        <v>5003</v>
      </c>
      <c r="F2487" s="136" t="s">
        <v>183</v>
      </c>
      <c r="G2487" s="246">
        <v>44450</v>
      </c>
      <c r="H2487" s="246">
        <v>50800</v>
      </c>
      <c r="I2487" s="246">
        <v>57150</v>
      </c>
      <c r="J2487" s="246">
        <v>63500</v>
      </c>
      <c r="K2487" s="246">
        <v>68600</v>
      </c>
      <c r="L2487" s="246">
        <v>73700</v>
      </c>
      <c r="M2487" s="246">
        <v>78750</v>
      </c>
      <c r="N2487" s="246">
        <v>83850</v>
      </c>
    </row>
    <row r="2488" spans="3:14" ht="21.95" customHeight="1" x14ac:dyDescent="0.25">
      <c r="C2488" s="139" t="str">
        <f t="shared" si="54"/>
        <v>TX_MCCULLOCH COUNTY, TX</v>
      </c>
      <c r="D2488" s="136" t="s">
        <v>63</v>
      </c>
      <c r="E2488" s="262" t="s">
        <v>5004</v>
      </c>
      <c r="F2488" s="136" t="s">
        <v>183</v>
      </c>
      <c r="G2488" s="246">
        <v>45600</v>
      </c>
      <c r="H2488" s="246">
        <v>52100</v>
      </c>
      <c r="I2488" s="246">
        <v>58600</v>
      </c>
      <c r="J2488" s="246">
        <v>65100</v>
      </c>
      <c r="K2488" s="246">
        <v>70350</v>
      </c>
      <c r="L2488" s="246">
        <v>75550</v>
      </c>
      <c r="M2488" s="246">
        <v>80750</v>
      </c>
      <c r="N2488" s="246">
        <v>85950</v>
      </c>
    </row>
    <row r="2489" spans="3:14" ht="21.95" customHeight="1" x14ac:dyDescent="0.25">
      <c r="C2489" s="139" t="str">
        <f t="shared" si="54"/>
        <v>TX_MCMULLEN COUNTY, TX</v>
      </c>
      <c r="D2489" s="136" t="s">
        <v>63</v>
      </c>
      <c r="E2489" s="262" t="s">
        <v>5005</v>
      </c>
      <c r="F2489" s="136" t="s">
        <v>183</v>
      </c>
      <c r="G2489" s="246">
        <v>44450</v>
      </c>
      <c r="H2489" s="246">
        <v>50800</v>
      </c>
      <c r="I2489" s="246">
        <v>57150</v>
      </c>
      <c r="J2489" s="246">
        <v>63500</v>
      </c>
      <c r="K2489" s="246">
        <v>68600</v>
      </c>
      <c r="L2489" s="246">
        <v>73700</v>
      </c>
      <c r="M2489" s="246">
        <v>78750</v>
      </c>
      <c r="N2489" s="246">
        <v>83850</v>
      </c>
    </row>
    <row r="2490" spans="3:14" ht="21.95" customHeight="1" x14ac:dyDescent="0.25">
      <c r="C2490" s="139" t="str">
        <f t="shared" si="54"/>
        <v>TX_MEDINA COUNTY, TX HUD METRO FMR AREA</v>
      </c>
      <c r="D2490" s="136" t="s">
        <v>63</v>
      </c>
      <c r="E2490" s="262" t="s">
        <v>5006</v>
      </c>
      <c r="F2490" s="136" t="s">
        <v>183</v>
      </c>
      <c r="G2490" s="246">
        <v>54450</v>
      </c>
      <c r="H2490" s="246">
        <v>62200</v>
      </c>
      <c r="I2490" s="246">
        <v>70000</v>
      </c>
      <c r="J2490" s="246">
        <v>77750</v>
      </c>
      <c r="K2490" s="246">
        <v>84000</v>
      </c>
      <c r="L2490" s="246">
        <v>90200</v>
      </c>
      <c r="M2490" s="246">
        <v>96450</v>
      </c>
      <c r="N2490" s="246">
        <v>102650</v>
      </c>
    </row>
    <row r="2491" spans="3:14" ht="21.95" customHeight="1" x14ac:dyDescent="0.25">
      <c r="C2491" s="139" t="str">
        <f t="shared" si="54"/>
        <v>TX_MENARD COUNTY, TX</v>
      </c>
      <c r="D2491" s="136" t="s">
        <v>63</v>
      </c>
      <c r="E2491" s="262" t="s">
        <v>5007</v>
      </c>
      <c r="F2491" s="136" t="s">
        <v>183</v>
      </c>
      <c r="G2491" s="246">
        <v>48500</v>
      </c>
      <c r="H2491" s="246">
        <v>55400</v>
      </c>
      <c r="I2491" s="246">
        <v>62350</v>
      </c>
      <c r="J2491" s="246">
        <v>69250</v>
      </c>
      <c r="K2491" s="246">
        <v>74800</v>
      </c>
      <c r="L2491" s="246">
        <v>80350</v>
      </c>
      <c r="M2491" s="246">
        <v>85900</v>
      </c>
      <c r="N2491" s="246">
        <v>91450</v>
      </c>
    </row>
    <row r="2492" spans="3:14" ht="21.95" customHeight="1" x14ac:dyDescent="0.25">
      <c r="C2492" s="139" t="str">
        <f t="shared" si="54"/>
        <v>TX_MIDLAND, TX HUD METRO FMR AREA</v>
      </c>
      <c r="D2492" s="136" t="s">
        <v>63</v>
      </c>
      <c r="E2492" s="262" t="s">
        <v>5008</v>
      </c>
      <c r="F2492" s="136" t="s">
        <v>183</v>
      </c>
      <c r="G2492" s="246">
        <v>61850</v>
      </c>
      <c r="H2492" s="246">
        <v>70650</v>
      </c>
      <c r="I2492" s="246">
        <v>79500</v>
      </c>
      <c r="J2492" s="246">
        <v>88300</v>
      </c>
      <c r="K2492" s="246">
        <v>95400</v>
      </c>
      <c r="L2492" s="246">
        <v>102450</v>
      </c>
      <c r="M2492" s="246">
        <v>109500</v>
      </c>
      <c r="N2492" s="246">
        <v>116600</v>
      </c>
    </row>
    <row r="2493" spans="3:14" ht="21.95" customHeight="1" x14ac:dyDescent="0.25">
      <c r="C2493" s="139" t="str">
        <f t="shared" si="54"/>
        <v>TX_MILAM COUNTY, TX</v>
      </c>
      <c r="D2493" s="136" t="s">
        <v>63</v>
      </c>
      <c r="E2493" s="262" t="s">
        <v>5009</v>
      </c>
      <c r="F2493" s="136" t="s">
        <v>183</v>
      </c>
      <c r="G2493" s="246">
        <v>46300</v>
      </c>
      <c r="H2493" s="246">
        <v>52900</v>
      </c>
      <c r="I2493" s="246">
        <v>59500</v>
      </c>
      <c r="J2493" s="246">
        <v>66100</v>
      </c>
      <c r="K2493" s="246">
        <v>71400</v>
      </c>
      <c r="L2493" s="246">
        <v>76700</v>
      </c>
      <c r="M2493" s="246">
        <v>82000</v>
      </c>
      <c r="N2493" s="246">
        <v>87300</v>
      </c>
    </row>
    <row r="2494" spans="3:14" ht="21.95" customHeight="1" x14ac:dyDescent="0.25">
      <c r="C2494" s="139" t="str">
        <f t="shared" si="54"/>
        <v>TX_MILLS COUNTY, TX</v>
      </c>
      <c r="D2494" s="136" t="s">
        <v>63</v>
      </c>
      <c r="E2494" s="262" t="s">
        <v>5010</v>
      </c>
      <c r="F2494" s="136" t="s">
        <v>183</v>
      </c>
      <c r="G2494" s="246">
        <v>47250</v>
      </c>
      <c r="H2494" s="246">
        <v>54000</v>
      </c>
      <c r="I2494" s="246">
        <v>60750</v>
      </c>
      <c r="J2494" s="246">
        <v>67500</v>
      </c>
      <c r="K2494" s="246">
        <v>72900</v>
      </c>
      <c r="L2494" s="246">
        <v>78300</v>
      </c>
      <c r="M2494" s="246">
        <v>83700</v>
      </c>
      <c r="N2494" s="246">
        <v>89100</v>
      </c>
    </row>
    <row r="2495" spans="3:14" ht="21.95" customHeight="1" x14ac:dyDescent="0.25">
      <c r="C2495" s="139" t="str">
        <f t="shared" si="54"/>
        <v>TX_MITCHELL COUNTY, TX</v>
      </c>
      <c r="D2495" s="136" t="s">
        <v>63</v>
      </c>
      <c r="E2495" s="262" t="s">
        <v>5011</v>
      </c>
      <c r="F2495" s="136" t="s">
        <v>183</v>
      </c>
      <c r="G2495" s="246">
        <v>57800</v>
      </c>
      <c r="H2495" s="246">
        <v>66050</v>
      </c>
      <c r="I2495" s="246">
        <v>74300</v>
      </c>
      <c r="J2495" s="246">
        <v>82550</v>
      </c>
      <c r="K2495" s="246">
        <v>89200</v>
      </c>
      <c r="L2495" s="246">
        <v>95800</v>
      </c>
      <c r="M2495" s="246">
        <v>102400</v>
      </c>
      <c r="N2495" s="246">
        <v>109000</v>
      </c>
    </row>
    <row r="2496" spans="3:14" ht="21.95" customHeight="1" x14ac:dyDescent="0.25">
      <c r="C2496" s="139" t="str">
        <f t="shared" ref="C2496:C2559" si="55">TRIM(UPPER(D2496))&amp;"_"&amp;TRIM(UPPER(E2496))</f>
        <v>TX_MONTAGUE COUNTY, TX</v>
      </c>
      <c r="D2496" s="136" t="s">
        <v>63</v>
      </c>
      <c r="E2496" s="262" t="s">
        <v>5012</v>
      </c>
      <c r="F2496" s="136" t="s">
        <v>183</v>
      </c>
      <c r="G2496" s="246">
        <v>47900</v>
      </c>
      <c r="H2496" s="246">
        <v>54750</v>
      </c>
      <c r="I2496" s="246">
        <v>61600</v>
      </c>
      <c r="J2496" s="246">
        <v>68400</v>
      </c>
      <c r="K2496" s="246">
        <v>73900</v>
      </c>
      <c r="L2496" s="246">
        <v>79350</v>
      </c>
      <c r="M2496" s="246">
        <v>84850</v>
      </c>
      <c r="N2496" s="246">
        <v>90300</v>
      </c>
    </row>
    <row r="2497" spans="3:14" ht="21.95" customHeight="1" x14ac:dyDescent="0.25">
      <c r="C2497" s="139" t="str">
        <f t="shared" si="55"/>
        <v>TX_MOORE COUNTY, TX</v>
      </c>
      <c r="D2497" s="136" t="s">
        <v>63</v>
      </c>
      <c r="E2497" s="262" t="s">
        <v>5013</v>
      </c>
      <c r="F2497" s="136" t="s">
        <v>183</v>
      </c>
      <c r="G2497" s="246">
        <v>44450</v>
      </c>
      <c r="H2497" s="246">
        <v>50800</v>
      </c>
      <c r="I2497" s="246">
        <v>57150</v>
      </c>
      <c r="J2497" s="246">
        <v>63500</v>
      </c>
      <c r="K2497" s="246">
        <v>68600</v>
      </c>
      <c r="L2497" s="246">
        <v>73700</v>
      </c>
      <c r="M2497" s="246">
        <v>78750</v>
      </c>
      <c r="N2497" s="246">
        <v>83850</v>
      </c>
    </row>
    <row r="2498" spans="3:14" ht="21.95" customHeight="1" x14ac:dyDescent="0.25">
      <c r="C2498" s="139" t="str">
        <f t="shared" si="55"/>
        <v>TX_MORRIS COUNTY, TX</v>
      </c>
      <c r="D2498" s="136" t="s">
        <v>63</v>
      </c>
      <c r="E2498" s="262" t="s">
        <v>5014</v>
      </c>
      <c r="F2498" s="136" t="s">
        <v>183</v>
      </c>
      <c r="G2498" s="246">
        <v>44450</v>
      </c>
      <c r="H2498" s="246">
        <v>50800</v>
      </c>
      <c r="I2498" s="246">
        <v>57150</v>
      </c>
      <c r="J2498" s="246">
        <v>63500</v>
      </c>
      <c r="K2498" s="246">
        <v>68600</v>
      </c>
      <c r="L2498" s="246">
        <v>73700</v>
      </c>
      <c r="M2498" s="246">
        <v>78750</v>
      </c>
      <c r="N2498" s="246">
        <v>83850</v>
      </c>
    </row>
    <row r="2499" spans="3:14" ht="21.95" customHeight="1" x14ac:dyDescent="0.25">
      <c r="C2499" s="139" t="str">
        <f t="shared" si="55"/>
        <v>TX_MOTLEY COUNTY, TX</v>
      </c>
      <c r="D2499" s="136" t="s">
        <v>63</v>
      </c>
      <c r="E2499" s="262" t="s">
        <v>5015</v>
      </c>
      <c r="F2499" s="136" t="s">
        <v>183</v>
      </c>
      <c r="G2499" s="246">
        <v>44650</v>
      </c>
      <c r="H2499" s="246">
        <v>51000</v>
      </c>
      <c r="I2499" s="246">
        <v>57400</v>
      </c>
      <c r="J2499" s="246">
        <v>63750</v>
      </c>
      <c r="K2499" s="246">
        <v>68850</v>
      </c>
      <c r="L2499" s="246">
        <v>73950</v>
      </c>
      <c r="M2499" s="246">
        <v>79050</v>
      </c>
      <c r="N2499" s="246">
        <v>84150</v>
      </c>
    </row>
    <row r="2500" spans="3:14" ht="21.95" customHeight="1" x14ac:dyDescent="0.25">
      <c r="C2500" s="139" t="str">
        <f t="shared" si="55"/>
        <v>TX_NACOGDOCHES COUNTY, TX</v>
      </c>
      <c r="D2500" s="136" t="s">
        <v>63</v>
      </c>
      <c r="E2500" s="262" t="s">
        <v>5016</v>
      </c>
      <c r="F2500" s="136" t="s">
        <v>183</v>
      </c>
      <c r="G2500" s="246">
        <v>44700</v>
      </c>
      <c r="H2500" s="246">
        <v>51100</v>
      </c>
      <c r="I2500" s="246">
        <v>57500</v>
      </c>
      <c r="J2500" s="246">
        <v>63850</v>
      </c>
      <c r="K2500" s="246">
        <v>69000</v>
      </c>
      <c r="L2500" s="246">
        <v>74100</v>
      </c>
      <c r="M2500" s="246">
        <v>79200</v>
      </c>
      <c r="N2500" s="246">
        <v>84300</v>
      </c>
    </row>
    <row r="2501" spans="3:14" ht="21.95" customHeight="1" x14ac:dyDescent="0.25">
      <c r="C2501" s="139" t="str">
        <f t="shared" si="55"/>
        <v>TX_NAVARRO COUNTY, TX</v>
      </c>
      <c r="D2501" s="136" t="s">
        <v>63</v>
      </c>
      <c r="E2501" s="262" t="s">
        <v>5017</v>
      </c>
      <c r="F2501" s="136" t="s">
        <v>183</v>
      </c>
      <c r="G2501" s="246">
        <v>45500</v>
      </c>
      <c r="H2501" s="246">
        <v>52000</v>
      </c>
      <c r="I2501" s="246">
        <v>58500</v>
      </c>
      <c r="J2501" s="246">
        <v>64950</v>
      </c>
      <c r="K2501" s="246">
        <v>70150</v>
      </c>
      <c r="L2501" s="246">
        <v>75350</v>
      </c>
      <c r="M2501" s="246">
        <v>80550</v>
      </c>
      <c r="N2501" s="246">
        <v>85750</v>
      </c>
    </row>
    <row r="2502" spans="3:14" ht="21.95" customHeight="1" x14ac:dyDescent="0.25">
      <c r="C2502" s="139" t="str">
        <f t="shared" si="55"/>
        <v>TX_NEWTON COUNTY, TX</v>
      </c>
      <c r="D2502" s="136" t="s">
        <v>63</v>
      </c>
      <c r="E2502" s="262" t="s">
        <v>5018</v>
      </c>
      <c r="F2502" s="136" t="s">
        <v>183</v>
      </c>
      <c r="G2502" s="246">
        <v>44450</v>
      </c>
      <c r="H2502" s="246">
        <v>50800</v>
      </c>
      <c r="I2502" s="246">
        <v>57150</v>
      </c>
      <c r="J2502" s="246">
        <v>63500</v>
      </c>
      <c r="K2502" s="246">
        <v>68600</v>
      </c>
      <c r="L2502" s="246">
        <v>73700</v>
      </c>
      <c r="M2502" s="246">
        <v>78750</v>
      </c>
      <c r="N2502" s="246">
        <v>83850</v>
      </c>
    </row>
    <row r="2503" spans="3:14" ht="21.95" customHeight="1" x14ac:dyDescent="0.25">
      <c r="C2503" s="139" t="str">
        <f t="shared" si="55"/>
        <v>TX_NOLAN COUNTY, TX</v>
      </c>
      <c r="D2503" s="136" t="s">
        <v>63</v>
      </c>
      <c r="E2503" s="262" t="s">
        <v>5019</v>
      </c>
      <c r="F2503" s="136" t="s">
        <v>183</v>
      </c>
      <c r="G2503" s="246">
        <v>44450</v>
      </c>
      <c r="H2503" s="246">
        <v>50800</v>
      </c>
      <c r="I2503" s="246">
        <v>57150</v>
      </c>
      <c r="J2503" s="246">
        <v>63500</v>
      </c>
      <c r="K2503" s="246">
        <v>68600</v>
      </c>
      <c r="L2503" s="246">
        <v>73700</v>
      </c>
      <c r="M2503" s="246">
        <v>78750</v>
      </c>
      <c r="N2503" s="246">
        <v>83850</v>
      </c>
    </row>
    <row r="2504" spans="3:14" ht="21.95" customHeight="1" x14ac:dyDescent="0.25">
      <c r="C2504" s="139" t="str">
        <f t="shared" si="55"/>
        <v>TX_OCHILTREE COUNTY, TX</v>
      </c>
      <c r="D2504" s="136" t="s">
        <v>63</v>
      </c>
      <c r="E2504" s="262" t="s">
        <v>5020</v>
      </c>
      <c r="F2504" s="136" t="s">
        <v>183</v>
      </c>
      <c r="G2504" s="246">
        <v>48900</v>
      </c>
      <c r="H2504" s="246">
        <v>55900</v>
      </c>
      <c r="I2504" s="246">
        <v>62900</v>
      </c>
      <c r="J2504" s="246">
        <v>69850</v>
      </c>
      <c r="K2504" s="246">
        <v>75450</v>
      </c>
      <c r="L2504" s="246">
        <v>81050</v>
      </c>
      <c r="M2504" s="246">
        <v>86650</v>
      </c>
      <c r="N2504" s="246">
        <v>92250</v>
      </c>
    </row>
    <row r="2505" spans="3:14" ht="21.95" customHeight="1" x14ac:dyDescent="0.25">
      <c r="C2505" s="139" t="str">
        <f t="shared" si="55"/>
        <v>TX_ODESSA, TX MSA</v>
      </c>
      <c r="D2505" s="136" t="s">
        <v>63</v>
      </c>
      <c r="E2505" s="262" t="s">
        <v>5021</v>
      </c>
      <c r="F2505" s="136" t="s">
        <v>183</v>
      </c>
      <c r="G2505" s="246">
        <v>52750</v>
      </c>
      <c r="H2505" s="246">
        <v>60250</v>
      </c>
      <c r="I2505" s="246">
        <v>67800</v>
      </c>
      <c r="J2505" s="246">
        <v>75300</v>
      </c>
      <c r="K2505" s="246">
        <v>81350</v>
      </c>
      <c r="L2505" s="246">
        <v>87350</v>
      </c>
      <c r="M2505" s="246">
        <v>93400</v>
      </c>
      <c r="N2505" s="246">
        <v>99400</v>
      </c>
    </row>
    <row r="2506" spans="3:14" ht="21.95" customHeight="1" x14ac:dyDescent="0.25">
      <c r="C2506" s="139" t="str">
        <f t="shared" si="55"/>
        <v>TX_OLDHAM COUNTY, TX HUD METRO FMR AREA</v>
      </c>
      <c r="D2506" s="136" t="s">
        <v>63</v>
      </c>
      <c r="E2506" s="262" t="s">
        <v>5022</v>
      </c>
      <c r="F2506" s="136" t="s">
        <v>183</v>
      </c>
      <c r="G2506" s="246">
        <v>49050</v>
      </c>
      <c r="H2506" s="246">
        <v>56050</v>
      </c>
      <c r="I2506" s="246">
        <v>63050</v>
      </c>
      <c r="J2506" s="246">
        <v>70050</v>
      </c>
      <c r="K2506" s="246">
        <v>75700</v>
      </c>
      <c r="L2506" s="246">
        <v>81300</v>
      </c>
      <c r="M2506" s="246">
        <v>86900</v>
      </c>
      <c r="N2506" s="246">
        <v>92500</v>
      </c>
    </row>
    <row r="2507" spans="3:14" ht="21.95" customHeight="1" x14ac:dyDescent="0.25">
      <c r="C2507" s="139" t="str">
        <f t="shared" si="55"/>
        <v>TX_PALO PINTO COUNTY, TX</v>
      </c>
      <c r="D2507" s="136" t="s">
        <v>63</v>
      </c>
      <c r="E2507" s="262" t="s">
        <v>5023</v>
      </c>
      <c r="F2507" s="136" t="s">
        <v>183</v>
      </c>
      <c r="G2507" s="246">
        <v>45850</v>
      </c>
      <c r="H2507" s="246">
        <v>52400</v>
      </c>
      <c r="I2507" s="246">
        <v>58950</v>
      </c>
      <c r="J2507" s="246">
        <v>65450</v>
      </c>
      <c r="K2507" s="246">
        <v>70700</v>
      </c>
      <c r="L2507" s="246">
        <v>75950</v>
      </c>
      <c r="M2507" s="246">
        <v>81200</v>
      </c>
      <c r="N2507" s="246">
        <v>86400</v>
      </c>
    </row>
    <row r="2508" spans="3:14" ht="21.95" customHeight="1" x14ac:dyDescent="0.25">
      <c r="C2508" s="139" t="str">
        <f t="shared" si="55"/>
        <v>TX_PANOLA COUNTY, TX</v>
      </c>
      <c r="D2508" s="136" t="s">
        <v>63</v>
      </c>
      <c r="E2508" s="262" t="s">
        <v>5024</v>
      </c>
      <c r="F2508" s="136" t="s">
        <v>183</v>
      </c>
      <c r="G2508" s="246">
        <v>48500</v>
      </c>
      <c r="H2508" s="246">
        <v>55400</v>
      </c>
      <c r="I2508" s="246">
        <v>62350</v>
      </c>
      <c r="J2508" s="246">
        <v>69250</v>
      </c>
      <c r="K2508" s="246">
        <v>74800</v>
      </c>
      <c r="L2508" s="246">
        <v>80350</v>
      </c>
      <c r="M2508" s="246">
        <v>85900</v>
      </c>
      <c r="N2508" s="246">
        <v>91450</v>
      </c>
    </row>
    <row r="2509" spans="3:14" ht="21.95" customHeight="1" x14ac:dyDescent="0.25">
      <c r="C2509" s="139" t="str">
        <f t="shared" si="55"/>
        <v>TX_PARMER COUNTY, TX</v>
      </c>
      <c r="D2509" s="136" t="s">
        <v>63</v>
      </c>
      <c r="E2509" s="262" t="s">
        <v>5025</v>
      </c>
      <c r="F2509" s="136" t="s">
        <v>183</v>
      </c>
      <c r="G2509" s="246">
        <v>48850</v>
      </c>
      <c r="H2509" s="246">
        <v>55800</v>
      </c>
      <c r="I2509" s="246">
        <v>62800</v>
      </c>
      <c r="J2509" s="246">
        <v>69750</v>
      </c>
      <c r="K2509" s="246">
        <v>75350</v>
      </c>
      <c r="L2509" s="246">
        <v>80950</v>
      </c>
      <c r="M2509" s="246">
        <v>86500</v>
      </c>
      <c r="N2509" s="246">
        <v>92100</v>
      </c>
    </row>
    <row r="2510" spans="3:14" ht="21.95" customHeight="1" x14ac:dyDescent="0.25">
      <c r="C2510" s="139" t="str">
        <f t="shared" si="55"/>
        <v>TX_PECOS COUNTY, TX</v>
      </c>
      <c r="D2510" s="136" t="s">
        <v>63</v>
      </c>
      <c r="E2510" s="262" t="s">
        <v>5026</v>
      </c>
      <c r="F2510" s="136" t="s">
        <v>183</v>
      </c>
      <c r="G2510" s="246">
        <v>45850</v>
      </c>
      <c r="H2510" s="246">
        <v>52400</v>
      </c>
      <c r="I2510" s="246">
        <v>58950</v>
      </c>
      <c r="J2510" s="246">
        <v>65500</v>
      </c>
      <c r="K2510" s="246">
        <v>70750</v>
      </c>
      <c r="L2510" s="246">
        <v>76000</v>
      </c>
      <c r="M2510" s="246">
        <v>81250</v>
      </c>
      <c r="N2510" s="246">
        <v>86500</v>
      </c>
    </row>
    <row r="2511" spans="3:14" ht="21.95" customHeight="1" x14ac:dyDescent="0.25">
      <c r="C2511" s="139" t="str">
        <f t="shared" si="55"/>
        <v>TX_POLK COUNTY, TX</v>
      </c>
      <c r="D2511" s="136" t="s">
        <v>63</v>
      </c>
      <c r="E2511" s="262" t="s">
        <v>5027</v>
      </c>
      <c r="F2511" s="136" t="s">
        <v>183</v>
      </c>
      <c r="G2511" s="246">
        <v>44450</v>
      </c>
      <c r="H2511" s="246">
        <v>50800</v>
      </c>
      <c r="I2511" s="246">
        <v>57150</v>
      </c>
      <c r="J2511" s="246">
        <v>63500</v>
      </c>
      <c r="K2511" s="246">
        <v>68600</v>
      </c>
      <c r="L2511" s="246">
        <v>73700</v>
      </c>
      <c r="M2511" s="246">
        <v>78750</v>
      </c>
      <c r="N2511" s="246">
        <v>83850</v>
      </c>
    </row>
    <row r="2512" spans="3:14" ht="21.95" customHeight="1" x14ac:dyDescent="0.25">
      <c r="C2512" s="139" t="str">
        <f t="shared" si="55"/>
        <v>TX_PRESIDIO COUNTY, TX</v>
      </c>
      <c r="D2512" s="136" t="s">
        <v>63</v>
      </c>
      <c r="E2512" s="262" t="s">
        <v>5028</v>
      </c>
      <c r="F2512" s="136" t="s">
        <v>183</v>
      </c>
      <c r="G2512" s="246">
        <v>44450</v>
      </c>
      <c r="H2512" s="246">
        <v>50800</v>
      </c>
      <c r="I2512" s="246">
        <v>57150</v>
      </c>
      <c r="J2512" s="246">
        <v>63500</v>
      </c>
      <c r="K2512" s="246">
        <v>68600</v>
      </c>
      <c r="L2512" s="246">
        <v>73700</v>
      </c>
      <c r="M2512" s="246">
        <v>78750</v>
      </c>
      <c r="N2512" s="246">
        <v>83850</v>
      </c>
    </row>
    <row r="2513" spans="3:14" ht="21.95" customHeight="1" x14ac:dyDescent="0.25">
      <c r="C2513" s="139" t="str">
        <f t="shared" si="55"/>
        <v>TX_RAINS COUNTY, TX</v>
      </c>
      <c r="D2513" s="136" t="s">
        <v>63</v>
      </c>
      <c r="E2513" s="262" t="s">
        <v>5029</v>
      </c>
      <c r="F2513" s="136" t="s">
        <v>183</v>
      </c>
      <c r="G2513" s="246">
        <v>46850</v>
      </c>
      <c r="H2513" s="246">
        <v>53550</v>
      </c>
      <c r="I2513" s="246">
        <v>60250</v>
      </c>
      <c r="J2513" s="246">
        <v>66900</v>
      </c>
      <c r="K2513" s="246">
        <v>72300</v>
      </c>
      <c r="L2513" s="246">
        <v>77650</v>
      </c>
      <c r="M2513" s="246">
        <v>83000</v>
      </c>
      <c r="N2513" s="246">
        <v>88350</v>
      </c>
    </row>
    <row r="2514" spans="3:14" ht="21.95" customHeight="1" x14ac:dyDescent="0.25">
      <c r="C2514" s="139" t="str">
        <f t="shared" si="55"/>
        <v>TX_REAGAN COUNTY, TX</v>
      </c>
      <c r="D2514" s="136" t="s">
        <v>63</v>
      </c>
      <c r="E2514" s="262" t="s">
        <v>5030</v>
      </c>
      <c r="F2514" s="136" t="s">
        <v>183</v>
      </c>
      <c r="G2514" s="246">
        <v>48650</v>
      </c>
      <c r="H2514" s="246">
        <v>55600</v>
      </c>
      <c r="I2514" s="246">
        <v>62550</v>
      </c>
      <c r="J2514" s="246">
        <v>69450</v>
      </c>
      <c r="K2514" s="246">
        <v>75050</v>
      </c>
      <c r="L2514" s="246">
        <v>80600</v>
      </c>
      <c r="M2514" s="246">
        <v>86150</v>
      </c>
      <c r="N2514" s="246">
        <v>91700</v>
      </c>
    </row>
    <row r="2515" spans="3:14" ht="21.95" customHeight="1" x14ac:dyDescent="0.25">
      <c r="C2515" s="139" t="str">
        <f t="shared" si="55"/>
        <v>TX_REAL COUNTY, TX</v>
      </c>
      <c r="D2515" s="136" t="s">
        <v>63</v>
      </c>
      <c r="E2515" s="262" t="s">
        <v>5031</v>
      </c>
      <c r="F2515" s="136" t="s">
        <v>183</v>
      </c>
      <c r="G2515" s="246">
        <v>44450</v>
      </c>
      <c r="H2515" s="246">
        <v>50800</v>
      </c>
      <c r="I2515" s="246">
        <v>57150</v>
      </c>
      <c r="J2515" s="246">
        <v>63500</v>
      </c>
      <c r="K2515" s="246">
        <v>68600</v>
      </c>
      <c r="L2515" s="246">
        <v>73700</v>
      </c>
      <c r="M2515" s="246">
        <v>78750</v>
      </c>
      <c r="N2515" s="246">
        <v>83850</v>
      </c>
    </row>
    <row r="2516" spans="3:14" ht="21.95" customHeight="1" x14ac:dyDescent="0.25">
      <c r="C2516" s="139" t="str">
        <f t="shared" si="55"/>
        <v>TX_RED RIVER COUNTY, TX</v>
      </c>
      <c r="D2516" s="136" t="s">
        <v>63</v>
      </c>
      <c r="E2516" s="262" t="s">
        <v>5032</v>
      </c>
      <c r="F2516" s="136" t="s">
        <v>183</v>
      </c>
      <c r="G2516" s="246">
        <v>44450</v>
      </c>
      <c r="H2516" s="246">
        <v>50800</v>
      </c>
      <c r="I2516" s="246">
        <v>57150</v>
      </c>
      <c r="J2516" s="246">
        <v>63500</v>
      </c>
      <c r="K2516" s="246">
        <v>68600</v>
      </c>
      <c r="L2516" s="246">
        <v>73700</v>
      </c>
      <c r="M2516" s="246">
        <v>78750</v>
      </c>
      <c r="N2516" s="246">
        <v>83850</v>
      </c>
    </row>
    <row r="2517" spans="3:14" ht="21.95" customHeight="1" x14ac:dyDescent="0.25">
      <c r="C2517" s="139" t="str">
        <f t="shared" si="55"/>
        <v>TX_REEVES COUNTY, TX</v>
      </c>
      <c r="D2517" s="136" t="s">
        <v>63</v>
      </c>
      <c r="E2517" s="262" t="s">
        <v>5033</v>
      </c>
      <c r="F2517" s="136" t="s">
        <v>183</v>
      </c>
      <c r="G2517" s="246">
        <v>44450</v>
      </c>
      <c r="H2517" s="246">
        <v>50800</v>
      </c>
      <c r="I2517" s="246">
        <v>57150</v>
      </c>
      <c r="J2517" s="246">
        <v>63500</v>
      </c>
      <c r="K2517" s="246">
        <v>68600</v>
      </c>
      <c r="L2517" s="246">
        <v>73700</v>
      </c>
      <c r="M2517" s="246">
        <v>78750</v>
      </c>
      <c r="N2517" s="246">
        <v>83850</v>
      </c>
    </row>
    <row r="2518" spans="3:14" ht="21.95" customHeight="1" x14ac:dyDescent="0.25">
      <c r="C2518" s="139" t="str">
        <f t="shared" si="55"/>
        <v>TX_REFUGIO COUNTY, TX</v>
      </c>
      <c r="D2518" s="136" t="s">
        <v>63</v>
      </c>
      <c r="E2518" s="262" t="s">
        <v>5034</v>
      </c>
      <c r="F2518" s="136" t="s">
        <v>183</v>
      </c>
      <c r="G2518" s="246">
        <v>44450</v>
      </c>
      <c r="H2518" s="246">
        <v>50800</v>
      </c>
      <c r="I2518" s="246">
        <v>57150</v>
      </c>
      <c r="J2518" s="246">
        <v>63500</v>
      </c>
      <c r="K2518" s="246">
        <v>68600</v>
      </c>
      <c r="L2518" s="246">
        <v>73700</v>
      </c>
      <c r="M2518" s="246">
        <v>78750</v>
      </c>
      <c r="N2518" s="246">
        <v>83850</v>
      </c>
    </row>
    <row r="2519" spans="3:14" ht="21.95" customHeight="1" x14ac:dyDescent="0.25">
      <c r="C2519" s="139" t="str">
        <f t="shared" si="55"/>
        <v>TX_ROBERTS COUNTY, TX</v>
      </c>
      <c r="D2519" s="136" t="s">
        <v>63</v>
      </c>
      <c r="E2519" s="262" t="s">
        <v>5035</v>
      </c>
      <c r="F2519" s="136" t="s">
        <v>183</v>
      </c>
      <c r="G2519" s="246">
        <v>45650</v>
      </c>
      <c r="H2519" s="246">
        <v>52200</v>
      </c>
      <c r="I2519" s="246">
        <v>58700</v>
      </c>
      <c r="J2519" s="246">
        <v>65200</v>
      </c>
      <c r="K2519" s="246">
        <v>70450</v>
      </c>
      <c r="L2519" s="246">
        <v>75650</v>
      </c>
      <c r="M2519" s="246">
        <v>80850</v>
      </c>
      <c r="N2519" s="246">
        <v>86100</v>
      </c>
    </row>
    <row r="2520" spans="3:14" ht="21.95" customHeight="1" x14ac:dyDescent="0.25">
      <c r="C2520" s="139" t="str">
        <f t="shared" si="55"/>
        <v>TX_RUNNELS COUNTY, TX</v>
      </c>
      <c r="D2520" s="136" t="s">
        <v>63</v>
      </c>
      <c r="E2520" s="262" t="s">
        <v>5036</v>
      </c>
      <c r="F2520" s="136" t="s">
        <v>183</v>
      </c>
      <c r="G2520" s="246">
        <v>44450</v>
      </c>
      <c r="H2520" s="246">
        <v>50800</v>
      </c>
      <c r="I2520" s="246">
        <v>57150</v>
      </c>
      <c r="J2520" s="246">
        <v>63500</v>
      </c>
      <c r="K2520" s="246">
        <v>68600</v>
      </c>
      <c r="L2520" s="246">
        <v>73700</v>
      </c>
      <c r="M2520" s="246">
        <v>78750</v>
      </c>
      <c r="N2520" s="246">
        <v>83850</v>
      </c>
    </row>
    <row r="2521" spans="3:14" ht="21.95" customHeight="1" x14ac:dyDescent="0.25">
      <c r="C2521" s="139" t="str">
        <f t="shared" si="55"/>
        <v>TX_RUSK COUNTY, TX HUD METRO FMR AREA</v>
      </c>
      <c r="D2521" s="136" t="s">
        <v>63</v>
      </c>
      <c r="E2521" s="262" t="s">
        <v>5037</v>
      </c>
      <c r="F2521" s="136" t="s">
        <v>183</v>
      </c>
      <c r="G2521" s="246">
        <v>48550</v>
      </c>
      <c r="H2521" s="246">
        <v>55450</v>
      </c>
      <c r="I2521" s="246">
        <v>62400</v>
      </c>
      <c r="J2521" s="246">
        <v>69300</v>
      </c>
      <c r="K2521" s="246">
        <v>74850</v>
      </c>
      <c r="L2521" s="246">
        <v>80400</v>
      </c>
      <c r="M2521" s="246">
        <v>85950</v>
      </c>
      <c r="N2521" s="246">
        <v>91500</v>
      </c>
    </row>
    <row r="2522" spans="3:14" ht="21.95" customHeight="1" x14ac:dyDescent="0.25">
      <c r="C2522" s="139" t="str">
        <f t="shared" si="55"/>
        <v>TX_SABINE COUNTY, TX</v>
      </c>
      <c r="D2522" s="136" t="s">
        <v>63</v>
      </c>
      <c r="E2522" s="262" t="s">
        <v>5038</v>
      </c>
      <c r="F2522" s="136" t="s">
        <v>183</v>
      </c>
      <c r="G2522" s="246">
        <v>44450</v>
      </c>
      <c r="H2522" s="246">
        <v>50800</v>
      </c>
      <c r="I2522" s="246">
        <v>57150</v>
      </c>
      <c r="J2522" s="246">
        <v>63500</v>
      </c>
      <c r="K2522" s="246">
        <v>68600</v>
      </c>
      <c r="L2522" s="246">
        <v>73700</v>
      </c>
      <c r="M2522" s="246">
        <v>78750</v>
      </c>
      <c r="N2522" s="246">
        <v>83850</v>
      </c>
    </row>
    <row r="2523" spans="3:14" ht="21.95" customHeight="1" x14ac:dyDescent="0.25">
      <c r="C2523" s="139" t="str">
        <f t="shared" si="55"/>
        <v>TX_SAN ANGELO, TX MSA</v>
      </c>
      <c r="D2523" s="136" t="s">
        <v>63</v>
      </c>
      <c r="E2523" s="262" t="s">
        <v>9266</v>
      </c>
      <c r="F2523" s="136" t="s">
        <v>183</v>
      </c>
      <c r="G2523" s="246">
        <v>45850</v>
      </c>
      <c r="H2523" s="246">
        <v>52400</v>
      </c>
      <c r="I2523" s="246">
        <v>58950</v>
      </c>
      <c r="J2523" s="246">
        <v>65450</v>
      </c>
      <c r="K2523" s="246">
        <v>70700</v>
      </c>
      <c r="L2523" s="246">
        <v>75950</v>
      </c>
      <c r="M2523" s="246">
        <v>81200</v>
      </c>
      <c r="N2523" s="246">
        <v>86400</v>
      </c>
    </row>
    <row r="2524" spans="3:14" ht="21.95" customHeight="1" x14ac:dyDescent="0.25">
      <c r="C2524" s="139" t="str">
        <f t="shared" si="55"/>
        <v>TX_SAN ANTONIO-NEW BRAUNFELS, TX HUD METRO FMR AREA</v>
      </c>
      <c r="D2524" s="136" t="s">
        <v>63</v>
      </c>
      <c r="E2524" s="262" t="s">
        <v>5039</v>
      </c>
      <c r="F2524" s="136" t="s">
        <v>183</v>
      </c>
      <c r="G2524" s="246">
        <v>54150</v>
      </c>
      <c r="H2524" s="246">
        <v>61850</v>
      </c>
      <c r="I2524" s="246">
        <v>69600</v>
      </c>
      <c r="J2524" s="246">
        <v>77300</v>
      </c>
      <c r="K2524" s="246">
        <v>83500</v>
      </c>
      <c r="L2524" s="246">
        <v>89700</v>
      </c>
      <c r="M2524" s="246">
        <v>95900</v>
      </c>
      <c r="N2524" s="246">
        <v>102050</v>
      </c>
    </row>
    <row r="2525" spans="3:14" ht="21.95" customHeight="1" x14ac:dyDescent="0.25">
      <c r="C2525" s="139" t="str">
        <f t="shared" si="55"/>
        <v>TX_SAN AUGUSTINE COUNTY, TX</v>
      </c>
      <c r="D2525" s="136" t="s">
        <v>63</v>
      </c>
      <c r="E2525" s="262" t="s">
        <v>5040</v>
      </c>
      <c r="F2525" s="136" t="s">
        <v>183</v>
      </c>
      <c r="G2525" s="246">
        <v>44450</v>
      </c>
      <c r="H2525" s="246">
        <v>50800</v>
      </c>
      <c r="I2525" s="246">
        <v>57150</v>
      </c>
      <c r="J2525" s="246">
        <v>63500</v>
      </c>
      <c r="K2525" s="246">
        <v>68600</v>
      </c>
      <c r="L2525" s="246">
        <v>73700</v>
      </c>
      <c r="M2525" s="246">
        <v>78750</v>
      </c>
      <c r="N2525" s="246">
        <v>83850</v>
      </c>
    </row>
    <row r="2526" spans="3:14" ht="21.95" customHeight="1" x14ac:dyDescent="0.25">
      <c r="C2526" s="139" t="str">
        <f t="shared" si="55"/>
        <v>TX_SAN JACINTO COUNTY, TX HUD METRO FMR AREA</v>
      </c>
      <c r="D2526" s="136" t="s">
        <v>63</v>
      </c>
      <c r="E2526" s="262" t="s">
        <v>9269</v>
      </c>
      <c r="F2526" s="136" t="s">
        <v>183</v>
      </c>
      <c r="G2526" s="246">
        <v>44550</v>
      </c>
      <c r="H2526" s="246">
        <v>50900</v>
      </c>
      <c r="I2526" s="246">
        <v>57250</v>
      </c>
      <c r="J2526" s="246">
        <v>63600</v>
      </c>
      <c r="K2526" s="246">
        <v>68700</v>
      </c>
      <c r="L2526" s="246">
        <v>73800</v>
      </c>
      <c r="M2526" s="246">
        <v>78900</v>
      </c>
      <c r="N2526" s="246">
        <v>84000</v>
      </c>
    </row>
    <row r="2527" spans="3:14" ht="21.95" customHeight="1" x14ac:dyDescent="0.25">
      <c r="C2527" s="139" t="str">
        <f t="shared" si="55"/>
        <v>TX_SAN SABA COUNTY, TX</v>
      </c>
      <c r="D2527" s="136" t="s">
        <v>63</v>
      </c>
      <c r="E2527" s="262" t="s">
        <v>5041</v>
      </c>
      <c r="F2527" s="136" t="s">
        <v>183</v>
      </c>
      <c r="G2527" s="246">
        <v>44450</v>
      </c>
      <c r="H2527" s="246">
        <v>50800</v>
      </c>
      <c r="I2527" s="246">
        <v>57150</v>
      </c>
      <c r="J2527" s="246">
        <v>63500</v>
      </c>
      <c r="K2527" s="246">
        <v>68600</v>
      </c>
      <c r="L2527" s="246">
        <v>73700</v>
      </c>
      <c r="M2527" s="246">
        <v>78750</v>
      </c>
      <c r="N2527" s="246">
        <v>83850</v>
      </c>
    </row>
    <row r="2528" spans="3:14" ht="21.95" customHeight="1" x14ac:dyDescent="0.25">
      <c r="C2528" s="139" t="str">
        <f t="shared" si="55"/>
        <v>TX_SCHLEICHER COUNTY, TX</v>
      </c>
      <c r="D2528" s="136" t="s">
        <v>63</v>
      </c>
      <c r="E2528" s="262" t="s">
        <v>5042</v>
      </c>
      <c r="F2528" s="136" t="s">
        <v>183</v>
      </c>
      <c r="G2528" s="246">
        <v>51800</v>
      </c>
      <c r="H2528" s="246">
        <v>59200</v>
      </c>
      <c r="I2528" s="246">
        <v>66600</v>
      </c>
      <c r="J2528" s="246">
        <v>74000</v>
      </c>
      <c r="K2528" s="246">
        <v>79950</v>
      </c>
      <c r="L2528" s="246">
        <v>85850</v>
      </c>
      <c r="M2528" s="246">
        <v>91800</v>
      </c>
      <c r="N2528" s="246">
        <v>97700</v>
      </c>
    </row>
    <row r="2529" spans="3:14" ht="21.95" customHeight="1" x14ac:dyDescent="0.25">
      <c r="C2529" s="139" t="str">
        <f t="shared" si="55"/>
        <v>TX_SCURRY COUNTY, TX</v>
      </c>
      <c r="D2529" s="136" t="s">
        <v>63</v>
      </c>
      <c r="E2529" s="262" t="s">
        <v>5043</v>
      </c>
      <c r="F2529" s="136" t="s">
        <v>183</v>
      </c>
      <c r="G2529" s="246">
        <v>49500</v>
      </c>
      <c r="H2529" s="246">
        <v>56550</v>
      </c>
      <c r="I2529" s="246">
        <v>63600</v>
      </c>
      <c r="J2529" s="246">
        <v>70650</v>
      </c>
      <c r="K2529" s="246">
        <v>76350</v>
      </c>
      <c r="L2529" s="246">
        <v>82000</v>
      </c>
      <c r="M2529" s="246">
        <v>87650</v>
      </c>
      <c r="N2529" s="246">
        <v>93300</v>
      </c>
    </row>
    <row r="2530" spans="3:14" ht="21.95" customHeight="1" x14ac:dyDescent="0.25">
      <c r="C2530" s="139" t="str">
        <f t="shared" si="55"/>
        <v>TX_SHACKELFORD COUNTY, TX</v>
      </c>
      <c r="D2530" s="136" t="s">
        <v>63</v>
      </c>
      <c r="E2530" s="262" t="s">
        <v>5044</v>
      </c>
      <c r="F2530" s="136" t="s">
        <v>183</v>
      </c>
      <c r="G2530" s="246">
        <v>48450</v>
      </c>
      <c r="H2530" s="246">
        <v>55350</v>
      </c>
      <c r="I2530" s="246">
        <v>62250</v>
      </c>
      <c r="J2530" s="246">
        <v>69150</v>
      </c>
      <c r="K2530" s="246">
        <v>74700</v>
      </c>
      <c r="L2530" s="246">
        <v>80250</v>
      </c>
      <c r="M2530" s="246">
        <v>85750</v>
      </c>
      <c r="N2530" s="246">
        <v>91300</v>
      </c>
    </row>
    <row r="2531" spans="3:14" ht="21.95" customHeight="1" x14ac:dyDescent="0.25">
      <c r="C2531" s="139" t="str">
        <f t="shared" si="55"/>
        <v>TX_SHELBY COUNTY, TX</v>
      </c>
      <c r="D2531" s="136" t="s">
        <v>63</v>
      </c>
      <c r="E2531" s="262" t="s">
        <v>5045</v>
      </c>
      <c r="F2531" s="136" t="s">
        <v>183</v>
      </c>
      <c r="G2531" s="246">
        <v>44450</v>
      </c>
      <c r="H2531" s="246">
        <v>50800</v>
      </c>
      <c r="I2531" s="246">
        <v>57150</v>
      </c>
      <c r="J2531" s="246">
        <v>63500</v>
      </c>
      <c r="K2531" s="246">
        <v>68600</v>
      </c>
      <c r="L2531" s="246">
        <v>73700</v>
      </c>
      <c r="M2531" s="246">
        <v>78750</v>
      </c>
      <c r="N2531" s="246">
        <v>83850</v>
      </c>
    </row>
    <row r="2532" spans="3:14" ht="21.95" customHeight="1" x14ac:dyDescent="0.25">
      <c r="C2532" s="139" t="str">
        <f t="shared" si="55"/>
        <v>TX_SHERMAN COUNTY, TX</v>
      </c>
      <c r="D2532" s="136" t="s">
        <v>63</v>
      </c>
      <c r="E2532" s="262" t="s">
        <v>5046</v>
      </c>
      <c r="F2532" s="136" t="s">
        <v>183</v>
      </c>
      <c r="G2532" s="246">
        <v>47850</v>
      </c>
      <c r="H2532" s="246">
        <v>54650</v>
      </c>
      <c r="I2532" s="246">
        <v>61500</v>
      </c>
      <c r="J2532" s="246">
        <v>68300</v>
      </c>
      <c r="K2532" s="246">
        <v>73800</v>
      </c>
      <c r="L2532" s="246">
        <v>79250</v>
      </c>
      <c r="M2532" s="246">
        <v>84700</v>
      </c>
      <c r="N2532" s="246">
        <v>90200</v>
      </c>
    </row>
    <row r="2533" spans="3:14" ht="21.95" customHeight="1" x14ac:dyDescent="0.25">
      <c r="C2533" s="139" t="str">
        <f t="shared" si="55"/>
        <v>TX_SHERMAN-DENISON, TX MSA</v>
      </c>
      <c r="D2533" s="136" t="s">
        <v>63</v>
      </c>
      <c r="E2533" s="262" t="s">
        <v>5047</v>
      </c>
      <c r="F2533" s="136" t="s">
        <v>183</v>
      </c>
      <c r="G2533" s="246">
        <v>55100</v>
      </c>
      <c r="H2533" s="246">
        <v>62950</v>
      </c>
      <c r="I2533" s="246">
        <v>70800</v>
      </c>
      <c r="J2533" s="246">
        <v>78650</v>
      </c>
      <c r="K2533" s="246">
        <v>84950</v>
      </c>
      <c r="L2533" s="246">
        <v>91250</v>
      </c>
      <c r="M2533" s="246">
        <v>97550</v>
      </c>
      <c r="N2533" s="246">
        <v>103850</v>
      </c>
    </row>
    <row r="2534" spans="3:14" ht="21.95" customHeight="1" x14ac:dyDescent="0.25">
      <c r="C2534" s="139" t="str">
        <f t="shared" si="55"/>
        <v>TX_SOMERVELL COUNTY, TX</v>
      </c>
      <c r="D2534" s="136" t="s">
        <v>63</v>
      </c>
      <c r="E2534" s="262" t="s">
        <v>5048</v>
      </c>
      <c r="F2534" s="136" t="s">
        <v>183</v>
      </c>
      <c r="G2534" s="246">
        <v>48650</v>
      </c>
      <c r="H2534" s="246">
        <v>55600</v>
      </c>
      <c r="I2534" s="246">
        <v>62550</v>
      </c>
      <c r="J2534" s="246">
        <v>69450</v>
      </c>
      <c r="K2534" s="246">
        <v>75050</v>
      </c>
      <c r="L2534" s="246">
        <v>80600</v>
      </c>
      <c r="M2534" s="246">
        <v>86150</v>
      </c>
      <c r="N2534" s="246">
        <v>91700</v>
      </c>
    </row>
    <row r="2535" spans="3:14" ht="21.95" customHeight="1" x14ac:dyDescent="0.25">
      <c r="C2535" s="139" t="str">
        <f t="shared" si="55"/>
        <v>TX_STARR COUNTY, TX</v>
      </c>
      <c r="D2535" s="136" t="s">
        <v>63</v>
      </c>
      <c r="E2535" s="262" t="s">
        <v>5049</v>
      </c>
      <c r="F2535" s="136" t="s">
        <v>183</v>
      </c>
      <c r="G2535" s="246">
        <v>44450</v>
      </c>
      <c r="H2535" s="246">
        <v>50800</v>
      </c>
      <c r="I2535" s="246">
        <v>57150</v>
      </c>
      <c r="J2535" s="246">
        <v>63500</v>
      </c>
      <c r="K2535" s="246">
        <v>68600</v>
      </c>
      <c r="L2535" s="246">
        <v>73700</v>
      </c>
      <c r="M2535" s="246">
        <v>78750</v>
      </c>
      <c r="N2535" s="246">
        <v>83850</v>
      </c>
    </row>
    <row r="2536" spans="3:14" ht="21.95" customHeight="1" x14ac:dyDescent="0.25">
      <c r="C2536" s="139" t="str">
        <f t="shared" si="55"/>
        <v>TX_STEPHENS COUNTY, TX</v>
      </c>
      <c r="D2536" s="136" t="s">
        <v>63</v>
      </c>
      <c r="E2536" s="262" t="s">
        <v>5050</v>
      </c>
      <c r="F2536" s="136" t="s">
        <v>183</v>
      </c>
      <c r="G2536" s="246">
        <v>44450</v>
      </c>
      <c r="H2536" s="246">
        <v>50800</v>
      </c>
      <c r="I2536" s="246">
        <v>57150</v>
      </c>
      <c r="J2536" s="246">
        <v>63500</v>
      </c>
      <c r="K2536" s="246">
        <v>68600</v>
      </c>
      <c r="L2536" s="246">
        <v>73700</v>
      </c>
      <c r="M2536" s="246">
        <v>78750</v>
      </c>
      <c r="N2536" s="246">
        <v>83850</v>
      </c>
    </row>
    <row r="2537" spans="3:14" ht="21.95" customHeight="1" x14ac:dyDescent="0.25">
      <c r="C2537" s="139" t="str">
        <f t="shared" si="55"/>
        <v>TX_STERLING COUNTY, TX</v>
      </c>
      <c r="D2537" s="136" t="s">
        <v>63</v>
      </c>
      <c r="E2537" s="262" t="s">
        <v>9270</v>
      </c>
      <c r="F2537" s="136" t="s">
        <v>183</v>
      </c>
      <c r="G2537" s="246">
        <v>45850</v>
      </c>
      <c r="H2537" s="246">
        <v>52400</v>
      </c>
      <c r="I2537" s="246">
        <v>58950</v>
      </c>
      <c r="J2537" s="246">
        <v>65500</v>
      </c>
      <c r="K2537" s="246">
        <v>70750</v>
      </c>
      <c r="L2537" s="246">
        <v>76000</v>
      </c>
      <c r="M2537" s="246">
        <v>81250</v>
      </c>
      <c r="N2537" s="246">
        <v>86500</v>
      </c>
    </row>
    <row r="2538" spans="3:14" ht="21.95" customHeight="1" x14ac:dyDescent="0.25">
      <c r="C2538" s="139" t="str">
        <f t="shared" si="55"/>
        <v>TX_STONEWALL COUNTY, TX</v>
      </c>
      <c r="D2538" s="136" t="s">
        <v>63</v>
      </c>
      <c r="E2538" s="262" t="s">
        <v>5051</v>
      </c>
      <c r="F2538" s="136" t="s">
        <v>183</v>
      </c>
      <c r="G2538" s="246">
        <v>52650</v>
      </c>
      <c r="H2538" s="246">
        <v>60200</v>
      </c>
      <c r="I2538" s="246">
        <v>67700</v>
      </c>
      <c r="J2538" s="246">
        <v>75200</v>
      </c>
      <c r="K2538" s="246">
        <v>81250</v>
      </c>
      <c r="L2538" s="246">
        <v>87250</v>
      </c>
      <c r="M2538" s="246">
        <v>93250</v>
      </c>
      <c r="N2538" s="246">
        <v>99300</v>
      </c>
    </row>
    <row r="2539" spans="3:14" ht="21.95" customHeight="1" x14ac:dyDescent="0.25">
      <c r="C2539" s="139" t="str">
        <f t="shared" si="55"/>
        <v>TX_SUTTON COUNTY, TX</v>
      </c>
      <c r="D2539" s="136" t="s">
        <v>63</v>
      </c>
      <c r="E2539" s="262" t="s">
        <v>5052</v>
      </c>
      <c r="F2539" s="136" t="s">
        <v>183</v>
      </c>
      <c r="G2539" s="246">
        <v>44450</v>
      </c>
      <c r="H2539" s="246">
        <v>50800</v>
      </c>
      <c r="I2539" s="246">
        <v>57150</v>
      </c>
      <c r="J2539" s="246">
        <v>63500</v>
      </c>
      <c r="K2539" s="246">
        <v>68600</v>
      </c>
      <c r="L2539" s="246">
        <v>73700</v>
      </c>
      <c r="M2539" s="246">
        <v>78750</v>
      </c>
      <c r="N2539" s="246">
        <v>83850</v>
      </c>
    </row>
    <row r="2540" spans="3:14" ht="21.95" customHeight="1" x14ac:dyDescent="0.25">
      <c r="C2540" s="139" t="str">
        <f t="shared" si="55"/>
        <v>TX_SWISHER COUNTY, TX</v>
      </c>
      <c r="D2540" s="136" t="s">
        <v>63</v>
      </c>
      <c r="E2540" s="262" t="s">
        <v>5053</v>
      </c>
      <c r="F2540" s="136" t="s">
        <v>183</v>
      </c>
      <c r="G2540" s="246">
        <v>44450</v>
      </c>
      <c r="H2540" s="246">
        <v>50800</v>
      </c>
      <c r="I2540" s="246">
        <v>57150</v>
      </c>
      <c r="J2540" s="246">
        <v>63500</v>
      </c>
      <c r="K2540" s="246">
        <v>68600</v>
      </c>
      <c r="L2540" s="246">
        <v>73700</v>
      </c>
      <c r="M2540" s="246">
        <v>78750</v>
      </c>
      <c r="N2540" s="246">
        <v>83850</v>
      </c>
    </row>
    <row r="2541" spans="3:14" ht="21.95" customHeight="1" x14ac:dyDescent="0.25">
      <c r="C2541" s="139" t="str">
        <f t="shared" si="55"/>
        <v>TX_TERRELL COUNTY, TX</v>
      </c>
      <c r="D2541" s="136" t="s">
        <v>63</v>
      </c>
      <c r="E2541" s="262" t="s">
        <v>5054</v>
      </c>
      <c r="F2541" s="136" t="s">
        <v>183</v>
      </c>
      <c r="G2541" s="246">
        <v>44450</v>
      </c>
      <c r="H2541" s="246">
        <v>50800</v>
      </c>
      <c r="I2541" s="246">
        <v>57150</v>
      </c>
      <c r="J2541" s="246">
        <v>63500</v>
      </c>
      <c r="K2541" s="246">
        <v>68600</v>
      </c>
      <c r="L2541" s="246">
        <v>73700</v>
      </c>
      <c r="M2541" s="246">
        <v>78750</v>
      </c>
      <c r="N2541" s="246">
        <v>83850</v>
      </c>
    </row>
    <row r="2542" spans="3:14" ht="21.95" customHeight="1" x14ac:dyDescent="0.25">
      <c r="C2542" s="139" t="str">
        <f t="shared" si="55"/>
        <v>TX_TERRY COUNTY, TX</v>
      </c>
      <c r="D2542" s="136" t="s">
        <v>63</v>
      </c>
      <c r="E2542" s="262" t="s">
        <v>5055</v>
      </c>
      <c r="F2542" s="136" t="s">
        <v>183</v>
      </c>
      <c r="G2542" s="246">
        <v>44450</v>
      </c>
      <c r="H2542" s="246">
        <v>50800</v>
      </c>
      <c r="I2542" s="246">
        <v>57150</v>
      </c>
      <c r="J2542" s="246">
        <v>63500</v>
      </c>
      <c r="K2542" s="246">
        <v>68600</v>
      </c>
      <c r="L2542" s="246">
        <v>73700</v>
      </c>
      <c r="M2542" s="246">
        <v>78750</v>
      </c>
      <c r="N2542" s="246">
        <v>83850</v>
      </c>
    </row>
    <row r="2543" spans="3:14" ht="21.95" customHeight="1" x14ac:dyDescent="0.25">
      <c r="C2543" s="139" t="str">
        <f t="shared" si="55"/>
        <v>TX_TEXARKANA, TX-TEXARKANA, AR HUD METRO FMR AREA</v>
      </c>
      <c r="D2543" s="136" t="s">
        <v>63</v>
      </c>
      <c r="E2543" s="262" t="s">
        <v>3094</v>
      </c>
      <c r="F2543" s="136" t="s">
        <v>183</v>
      </c>
      <c r="G2543" s="246">
        <v>44450</v>
      </c>
      <c r="H2543" s="246">
        <v>50800</v>
      </c>
      <c r="I2543" s="246">
        <v>57150</v>
      </c>
      <c r="J2543" s="246">
        <v>63500</v>
      </c>
      <c r="K2543" s="246">
        <v>68600</v>
      </c>
      <c r="L2543" s="246">
        <v>73700</v>
      </c>
      <c r="M2543" s="246">
        <v>78750</v>
      </c>
      <c r="N2543" s="246">
        <v>83850</v>
      </c>
    </row>
    <row r="2544" spans="3:14" ht="21.95" customHeight="1" x14ac:dyDescent="0.25">
      <c r="C2544" s="139" t="str">
        <f t="shared" si="55"/>
        <v>TX_THROCKMORTON COUNTY, TX</v>
      </c>
      <c r="D2544" s="136" t="s">
        <v>63</v>
      </c>
      <c r="E2544" s="262" t="s">
        <v>5056</v>
      </c>
      <c r="F2544" s="136" t="s">
        <v>183</v>
      </c>
      <c r="G2544" s="246">
        <v>44450</v>
      </c>
      <c r="H2544" s="246">
        <v>50800</v>
      </c>
      <c r="I2544" s="246">
        <v>57150</v>
      </c>
      <c r="J2544" s="246">
        <v>63500</v>
      </c>
      <c r="K2544" s="246">
        <v>68600</v>
      </c>
      <c r="L2544" s="246">
        <v>73700</v>
      </c>
      <c r="M2544" s="246">
        <v>78750</v>
      </c>
      <c r="N2544" s="246">
        <v>83850</v>
      </c>
    </row>
    <row r="2545" spans="3:14" ht="21.95" customHeight="1" x14ac:dyDescent="0.25">
      <c r="C2545" s="139" t="str">
        <f t="shared" si="55"/>
        <v>TX_TITUS COUNTY, TX</v>
      </c>
      <c r="D2545" s="136" t="s">
        <v>63</v>
      </c>
      <c r="E2545" s="262" t="s">
        <v>5057</v>
      </c>
      <c r="F2545" s="136" t="s">
        <v>183</v>
      </c>
      <c r="G2545" s="246">
        <v>44450</v>
      </c>
      <c r="H2545" s="246">
        <v>50800</v>
      </c>
      <c r="I2545" s="246">
        <v>57150</v>
      </c>
      <c r="J2545" s="246">
        <v>63500</v>
      </c>
      <c r="K2545" s="246">
        <v>68600</v>
      </c>
      <c r="L2545" s="246">
        <v>73700</v>
      </c>
      <c r="M2545" s="246">
        <v>78750</v>
      </c>
      <c r="N2545" s="246">
        <v>83850</v>
      </c>
    </row>
    <row r="2546" spans="3:14" ht="21.95" customHeight="1" x14ac:dyDescent="0.25">
      <c r="C2546" s="139" t="str">
        <f t="shared" si="55"/>
        <v>TX_TRINITY COUNTY, TX</v>
      </c>
      <c r="D2546" s="136" t="s">
        <v>63</v>
      </c>
      <c r="E2546" s="262" t="s">
        <v>5058</v>
      </c>
      <c r="F2546" s="136" t="s">
        <v>183</v>
      </c>
      <c r="G2546" s="246">
        <v>44450</v>
      </c>
      <c r="H2546" s="246">
        <v>50800</v>
      </c>
      <c r="I2546" s="246">
        <v>57150</v>
      </c>
      <c r="J2546" s="246">
        <v>63500</v>
      </c>
      <c r="K2546" s="246">
        <v>68600</v>
      </c>
      <c r="L2546" s="246">
        <v>73700</v>
      </c>
      <c r="M2546" s="246">
        <v>78750</v>
      </c>
      <c r="N2546" s="246">
        <v>83850</v>
      </c>
    </row>
    <row r="2547" spans="3:14" ht="21.95" customHeight="1" x14ac:dyDescent="0.25">
      <c r="C2547" s="139" t="str">
        <f t="shared" si="55"/>
        <v>TX_TYLER COUNTY, TX</v>
      </c>
      <c r="D2547" s="136" t="s">
        <v>63</v>
      </c>
      <c r="E2547" s="262" t="s">
        <v>5059</v>
      </c>
      <c r="F2547" s="136" t="s">
        <v>183</v>
      </c>
      <c r="G2547" s="246">
        <v>44450</v>
      </c>
      <c r="H2547" s="246">
        <v>50800</v>
      </c>
      <c r="I2547" s="246">
        <v>57150</v>
      </c>
      <c r="J2547" s="246">
        <v>63500</v>
      </c>
      <c r="K2547" s="246">
        <v>68600</v>
      </c>
      <c r="L2547" s="246">
        <v>73700</v>
      </c>
      <c r="M2547" s="246">
        <v>78750</v>
      </c>
      <c r="N2547" s="246">
        <v>83850</v>
      </c>
    </row>
    <row r="2548" spans="3:14" ht="21.95" customHeight="1" x14ac:dyDescent="0.25">
      <c r="C2548" s="139" t="str">
        <f t="shared" si="55"/>
        <v>TX_TYLER, TX MSA</v>
      </c>
      <c r="D2548" s="136" t="s">
        <v>63</v>
      </c>
      <c r="E2548" s="262" t="s">
        <v>5060</v>
      </c>
      <c r="F2548" s="136" t="s">
        <v>183</v>
      </c>
      <c r="G2548" s="246">
        <v>52100</v>
      </c>
      <c r="H2548" s="246">
        <v>59550</v>
      </c>
      <c r="I2548" s="246">
        <v>67000</v>
      </c>
      <c r="J2548" s="246">
        <v>74400</v>
      </c>
      <c r="K2548" s="246">
        <v>80400</v>
      </c>
      <c r="L2548" s="246">
        <v>86350</v>
      </c>
      <c r="M2548" s="246">
        <v>92300</v>
      </c>
      <c r="N2548" s="246">
        <v>98250</v>
      </c>
    </row>
    <row r="2549" spans="3:14" ht="21.95" customHeight="1" x14ac:dyDescent="0.25">
      <c r="C2549" s="139" t="str">
        <f t="shared" si="55"/>
        <v>TX_UPTON COUNTY, TX</v>
      </c>
      <c r="D2549" s="136" t="s">
        <v>63</v>
      </c>
      <c r="E2549" s="262" t="s">
        <v>5061</v>
      </c>
      <c r="F2549" s="136" t="s">
        <v>183</v>
      </c>
      <c r="G2549" s="246">
        <v>46400</v>
      </c>
      <c r="H2549" s="246">
        <v>53000</v>
      </c>
      <c r="I2549" s="246">
        <v>59650</v>
      </c>
      <c r="J2549" s="246">
        <v>66250</v>
      </c>
      <c r="K2549" s="246">
        <v>71550</v>
      </c>
      <c r="L2549" s="246">
        <v>76850</v>
      </c>
      <c r="M2549" s="246">
        <v>82150</v>
      </c>
      <c r="N2549" s="246">
        <v>87450</v>
      </c>
    </row>
    <row r="2550" spans="3:14" ht="21.95" customHeight="1" x14ac:dyDescent="0.25">
      <c r="C2550" s="139" t="str">
        <f t="shared" si="55"/>
        <v>TX_UVALDE COUNTY, TX</v>
      </c>
      <c r="D2550" s="136" t="s">
        <v>63</v>
      </c>
      <c r="E2550" s="262" t="s">
        <v>5062</v>
      </c>
      <c r="F2550" s="136" t="s">
        <v>183</v>
      </c>
      <c r="G2550" s="246">
        <v>44450</v>
      </c>
      <c r="H2550" s="246">
        <v>50800</v>
      </c>
      <c r="I2550" s="246">
        <v>57150</v>
      </c>
      <c r="J2550" s="246">
        <v>63500</v>
      </c>
      <c r="K2550" s="246">
        <v>68600</v>
      </c>
      <c r="L2550" s="246">
        <v>73700</v>
      </c>
      <c r="M2550" s="246">
        <v>78750</v>
      </c>
      <c r="N2550" s="246">
        <v>83850</v>
      </c>
    </row>
    <row r="2551" spans="3:14" ht="21.95" customHeight="1" x14ac:dyDescent="0.25">
      <c r="C2551" s="139" t="str">
        <f t="shared" si="55"/>
        <v>TX_VAL VERDE COUNTY, TX</v>
      </c>
      <c r="D2551" s="136" t="s">
        <v>63</v>
      </c>
      <c r="E2551" s="262" t="s">
        <v>5063</v>
      </c>
      <c r="F2551" s="136" t="s">
        <v>183</v>
      </c>
      <c r="G2551" s="246">
        <v>44450</v>
      </c>
      <c r="H2551" s="246">
        <v>50800</v>
      </c>
      <c r="I2551" s="246">
        <v>57150</v>
      </c>
      <c r="J2551" s="246">
        <v>63500</v>
      </c>
      <c r="K2551" s="246">
        <v>68600</v>
      </c>
      <c r="L2551" s="246">
        <v>73700</v>
      </c>
      <c r="M2551" s="246">
        <v>78750</v>
      </c>
      <c r="N2551" s="246">
        <v>83850</v>
      </c>
    </row>
    <row r="2552" spans="3:14" ht="21.95" customHeight="1" x14ac:dyDescent="0.25">
      <c r="C2552" s="139" t="str">
        <f t="shared" si="55"/>
        <v>TX_VAN ZANDT COUNTY, TX</v>
      </c>
      <c r="D2552" s="136" t="s">
        <v>63</v>
      </c>
      <c r="E2552" s="262" t="s">
        <v>5064</v>
      </c>
      <c r="F2552" s="136" t="s">
        <v>183</v>
      </c>
      <c r="G2552" s="246">
        <v>48900</v>
      </c>
      <c r="H2552" s="246">
        <v>55900</v>
      </c>
      <c r="I2552" s="246">
        <v>62900</v>
      </c>
      <c r="J2552" s="246">
        <v>69850</v>
      </c>
      <c r="K2552" s="246">
        <v>75450</v>
      </c>
      <c r="L2552" s="246">
        <v>81050</v>
      </c>
      <c r="M2552" s="246">
        <v>86650</v>
      </c>
      <c r="N2552" s="246">
        <v>92250</v>
      </c>
    </row>
    <row r="2553" spans="3:14" ht="21.95" customHeight="1" x14ac:dyDescent="0.25">
      <c r="C2553" s="139" t="str">
        <f t="shared" si="55"/>
        <v>TX_VICTORIA, TX MSA</v>
      </c>
      <c r="D2553" s="136" t="s">
        <v>63</v>
      </c>
      <c r="E2553" s="262" t="s">
        <v>5065</v>
      </c>
      <c r="F2553" s="136" t="s">
        <v>183</v>
      </c>
      <c r="G2553" s="246">
        <v>48650</v>
      </c>
      <c r="H2553" s="246">
        <v>55600</v>
      </c>
      <c r="I2553" s="246">
        <v>62550</v>
      </c>
      <c r="J2553" s="246">
        <v>69450</v>
      </c>
      <c r="K2553" s="246">
        <v>75050</v>
      </c>
      <c r="L2553" s="246">
        <v>80600</v>
      </c>
      <c r="M2553" s="246">
        <v>86150</v>
      </c>
      <c r="N2553" s="246">
        <v>91700</v>
      </c>
    </row>
    <row r="2554" spans="3:14" ht="21.95" customHeight="1" x14ac:dyDescent="0.25">
      <c r="C2554" s="139" t="str">
        <f t="shared" si="55"/>
        <v>TX_WACO, TX HUD METRO FMR AREA</v>
      </c>
      <c r="D2554" s="136" t="s">
        <v>63</v>
      </c>
      <c r="E2554" s="262" t="s">
        <v>5066</v>
      </c>
      <c r="F2554" s="136" t="s">
        <v>183</v>
      </c>
      <c r="G2554" s="246">
        <v>49800</v>
      </c>
      <c r="H2554" s="246">
        <v>56900</v>
      </c>
      <c r="I2554" s="246">
        <v>64000</v>
      </c>
      <c r="J2554" s="246">
        <v>71100</v>
      </c>
      <c r="K2554" s="246">
        <v>76800</v>
      </c>
      <c r="L2554" s="246">
        <v>82500</v>
      </c>
      <c r="M2554" s="246">
        <v>88200</v>
      </c>
      <c r="N2554" s="246">
        <v>93900</v>
      </c>
    </row>
    <row r="2555" spans="3:14" ht="21.95" customHeight="1" x14ac:dyDescent="0.25">
      <c r="C2555" s="139" t="str">
        <f t="shared" si="55"/>
        <v>TX_WALKER COUNTY, TX</v>
      </c>
      <c r="D2555" s="136" t="s">
        <v>63</v>
      </c>
      <c r="E2555" s="262" t="s">
        <v>5067</v>
      </c>
      <c r="F2555" s="136" t="s">
        <v>183</v>
      </c>
      <c r="G2555" s="246">
        <v>44450</v>
      </c>
      <c r="H2555" s="246">
        <v>50800</v>
      </c>
      <c r="I2555" s="246">
        <v>57150</v>
      </c>
      <c r="J2555" s="246">
        <v>63500</v>
      </c>
      <c r="K2555" s="246">
        <v>68600</v>
      </c>
      <c r="L2555" s="246">
        <v>73700</v>
      </c>
      <c r="M2555" s="246">
        <v>78750</v>
      </c>
      <c r="N2555" s="246">
        <v>83850</v>
      </c>
    </row>
    <row r="2556" spans="3:14" ht="21.95" customHeight="1" x14ac:dyDescent="0.25">
      <c r="C2556" s="139" t="str">
        <f t="shared" si="55"/>
        <v>TX_WARD COUNTY, TX</v>
      </c>
      <c r="D2556" s="136" t="s">
        <v>63</v>
      </c>
      <c r="E2556" s="262" t="s">
        <v>5068</v>
      </c>
      <c r="F2556" s="136" t="s">
        <v>183</v>
      </c>
      <c r="G2556" s="246">
        <v>44650</v>
      </c>
      <c r="H2556" s="246">
        <v>51000</v>
      </c>
      <c r="I2556" s="246">
        <v>57400</v>
      </c>
      <c r="J2556" s="246">
        <v>63750</v>
      </c>
      <c r="K2556" s="246">
        <v>68850</v>
      </c>
      <c r="L2556" s="246">
        <v>73950</v>
      </c>
      <c r="M2556" s="246">
        <v>79050</v>
      </c>
      <c r="N2556" s="246">
        <v>84150</v>
      </c>
    </row>
    <row r="2557" spans="3:14" ht="21.95" customHeight="1" x14ac:dyDescent="0.25">
      <c r="C2557" s="139" t="str">
        <f t="shared" si="55"/>
        <v>TX_WASHINGTON COUNTY, TX</v>
      </c>
      <c r="D2557" s="136" t="s">
        <v>63</v>
      </c>
      <c r="E2557" s="262" t="s">
        <v>5069</v>
      </c>
      <c r="F2557" s="136" t="s">
        <v>183</v>
      </c>
      <c r="G2557" s="246">
        <v>55800</v>
      </c>
      <c r="H2557" s="246">
        <v>63800</v>
      </c>
      <c r="I2557" s="246">
        <v>71750</v>
      </c>
      <c r="J2557" s="246">
        <v>79700</v>
      </c>
      <c r="K2557" s="246">
        <v>86100</v>
      </c>
      <c r="L2557" s="246">
        <v>92500</v>
      </c>
      <c r="M2557" s="246">
        <v>98850</v>
      </c>
      <c r="N2557" s="246">
        <v>105250</v>
      </c>
    </row>
    <row r="2558" spans="3:14" ht="21.95" customHeight="1" x14ac:dyDescent="0.25">
      <c r="C2558" s="139" t="str">
        <f t="shared" si="55"/>
        <v>TX_WHARTON COUNTY, TX</v>
      </c>
      <c r="D2558" s="136" t="s">
        <v>63</v>
      </c>
      <c r="E2558" s="262" t="s">
        <v>5070</v>
      </c>
      <c r="F2558" s="136" t="s">
        <v>183</v>
      </c>
      <c r="G2558" s="246">
        <v>46550</v>
      </c>
      <c r="H2558" s="246">
        <v>53200</v>
      </c>
      <c r="I2558" s="246">
        <v>59850</v>
      </c>
      <c r="J2558" s="246">
        <v>66500</v>
      </c>
      <c r="K2558" s="246">
        <v>71850</v>
      </c>
      <c r="L2558" s="246">
        <v>77150</v>
      </c>
      <c r="M2558" s="246">
        <v>82500</v>
      </c>
      <c r="N2558" s="246">
        <v>87800</v>
      </c>
    </row>
    <row r="2559" spans="3:14" ht="21.95" customHeight="1" x14ac:dyDescent="0.25">
      <c r="C2559" s="139" t="str">
        <f t="shared" si="55"/>
        <v>TX_WHEELER COUNTY, TX</v>
      </c>
      <c r="D2559" s="136" t="s">
        <v>63</v>
      </c>
      <c r="E2559" s="262" t="s">
        <v>5071</v>
      </c>
      <c r="F2559" s="136" t="s">
        <v>183</v>
      </c>
      <c r="G2559" s="246">
        <v>44450</v>
      </c>
      <c r="H2559" s="246">
        <v>50800</v>
      </c>
      <c r="I2559" s="246">
        <v>57150</v>
      </c>
      <c r="J2559" s="246">
        <v>63500</v>
      </c>
      <c r="K2559" s="246">
        <v>68600</v>
      </c>
      <c r="L2559" s="246">
        <v>73700</v>
      </c>
      <c r="M2559" s="246">
        <v>78750</v>
      </c>
      <c r="N2559" s="246">
        <v>83850</v>
      </c>
    </row>
    <row r="2560" spans="3:14" ht="21.95" customHeight="1" x14ac:dyDescent="0.25">
      <c r="C2560" s="139" t="str">
        <f t="shared" ref="C2560:C2623" si="56">TRIM(UPPER(D2560))&amp;"_"&amp;TRIM(UPPER(E2560))</f>
        <v>TX_WICHITA FALLS, TX MSA</v>
      </c>
      <c r="D2560" s="136" t="s">
        <v>63</v>
      </c>
      <c r="E2560" s="262" t="s">
        <v>5072</v>
      </c>
      <c r="F2560" s="136" t="s">
        <v>183</v>
      </c>
      <c r="G2560" s="246">
        <v>49800</v>
      </c>
      <c r="H2560" s="246">
        <v>56900</v>
      </c>
      <c r="I2560" s="246">
        <v>64000</v>
      </c>
      <c r="J2560" s="246">
        <v>71100</v>
      </c>
      <c r="K2560" s="246">
        <v>76800</v>
      </c>
      <c r="L2560" s="246">
        <v>82500</v>
      </c>
      <c r="M2560" s="246">
        <v>88200</v>
      </c>
      <c r="N2560" s="246">
        <v>93900</v>
      </c>
    </row>
    <row r="2561" spans="3:14" ht="21.95" customHeight="1" x14ac:dyDescent="0.25">
      <c r="C2561" s="139" t="str">
        <f t="shared" si="56"/>
        <v>TX_WILBARGER COUNTY, TX</v>
      </c>
      <c r="D2561" s="136" t="s">
        <v>63</v>
      </c>
      <c r="E2561" s="262" t="s">
        <v>5073</v>
      </c>
      <c r="F2561" s="136" t="s">
        <v>183</v>
      </c>
      <c r="G2561" s="246">
        <v>45600</v>
      </c>
      <c r="H2561" s="246">
        <v>52100</v>
      </c>
      <c r="I2561" s="246">
        <v>58600</v>
      </c>
      <c r="J2561" s="246">
        <v>65100</v>
      </c>
      <c r="K2561" s="246">
        <v>70350</v>
      </c>
      <c r="L2561" s="246">
        <v>75550</v>
      </c>
      <c r="M2561" s="246">
        <v>80750</v>
      </c>
      <c r="N2561" s="246">
        <v>85950</v>
      </c>
    </row>
    <row r="2562" spans="3:14" ht="21.95" customHeight="1" x14ac:dyDescent="0.25">
      <c r="C2562" s="139" t="str">
        <f t="shared" si="56"/>
        <v>TX_WILLACY COUNTY, TX</v>
      </c>
      <c r="D2562" s="136" t="s">
        <v>63</v>
      </c>
      <c r="E2562" s="262" t="s">
        <v>5074</v>
      </c>
      <c r="F2562" s="136" t="s">
        <v>183</v>
      </c>
      <c r="G2562" s="246">
        <v>44450</v>
      </c>
      <c r="H2562" s="246">
        <v>50800</v>
      </c>
      <c r="I2562" s="246">
        <v>57150</v>
      </c>
      <c r="J2562" s="246">
        <v>63500</v>
      </c>
      <c r="K2562" s="246">
        <v>68600</v>
      </c>
      <c r="L2562" s="246">
        <v>73700</v>
      </c>
      <c r="M2562" s="246">
        <v>78750</v>
      </c>
      <c r="N2562" s="246">
        <v>83850</v>
      </c>
    </row>
    <row r="2563" spans="3:14" ht="21.95" customHeight="1" x14ac:dyDescent="0.25">
      <c r="C2563" s="139" t="str">
        <f t="shared" si="56"/>
        <v>TX_WINKLER COUNTY, TX</v>
      </c>
      <c r="D2563" s="136" t="s">
        <v>63</v>
      </c>
      <c r="E2563" s="262" t="s">
        <v>5075</v>
      </c>
      <c r="F2563" s="136" t="s">
        <v>183</v>
      </c>
      <c r="G2563" s="246">
        <v>49850</v>
      </c>
      <c r="H2563" s="246">
        <v>57000</v>
      </c>
      <c r="I2563" s="246">
        <v>64100</v>
      </c>
      <c r="J2563" s="246">
        <v>71200</v>
      </c>
      <c r="K2563" s="246">
        <v>76900</v>
      </c>
      <c r="L2563" s="246">
        <v>82600</v>
      </c>
      <c r="M2563" s="246">
        <v>88300</v>
      </c>
      <c r="N2563" s="246">
        <v>94000</v>
      </c>
    </row>
    <row r="2564" spans="3:14" ht="21.95" customHeight="1" x14ac:dyDescent="0.25">
      <c r="C2564" s="139" t="str">
        <f t="shared" si="56"/>
        <v>TX_WISE COUNTY, TX HUD METRO FMR AREA</v>
      </c>
      <c r="D2564" s="136" t="s">
        <v>63</v>
      </c>
      <c r="E2564" s="262" t="s">
        <v>5076</v>
      </c>
      <c r="F2564" s="136" t="s">
        <v>183</v>
      </c>
      <c r="G2564" s="246">
        <v>59150</v>
      </c>
      <c r="H2564" s="246">
        <v>67600</v>
      </c>
      <c r="I2564" s="246">
        <v>76050</v>
      </c>
      <c r="J2564" s="246">
        <v>84500</v>
      </c>
      <c r="K2564" s="246">
        <v>91300</v>
      </c>
      <c r="L2564" s="246">
        <v>98050</v>
      </c>
      <c r="M2564" s="246">
        <v>104800</v>
      </c>
      <c r="N2564" s="246">
        <v>111550</v>
      </c>
    </row>
    <row r="2565" spans="3:14" ht="21.95" customHeight="1" x14ac:dyDescent="0.25">
      <c r="C2565" s="139" t="str">
        <f t="shared" si="56"/>
        <v>TX_WOOD COUNTY, TX</v>
      </c>
      <c r="D2565" s="136" t="s">
        <v>63</v>
      </c>
      <c r="E2565" s="262" t="s">
        <v>5077</v>
      </c>
      <c r="F2565" s="136" t="s">
        <v>183</v>
      </c>
      <c r="G2565" s="246">
        <v>48550</v>
      </c>
      <c r="H2565" s="246">
        <v>55450</v>
      </c>
      <c r="I2565" s="246">
        <v>62400</v>
      </c>
      <c r="J2565" s="246">
        <v>69300</v>
      </c>
      <c r="K2565" s="246">
        <v>74850</v>
      </c>
      <c r="L2565" s="246">
        <v>80400</v>
      </c>
      <c r="M2565" s="246">
        <v>85950</v>
      </c>
      <c r="N2565" s="246">
        <v>91500</v>
      </c>
    </row>
    <row r="2566" spans="3:14" ht="21.95" customHeight="1" x14ac:dyDescent="0.25">
      <c r="C2566" s="139" t="str">
        <f t="shared" si="56"/>
        <v>TX_YOAKUM COUNTY, TX</v>
      </c>
      <c r="D2566" s="136" t="s">
        <v>63</v>
      </c>
      <c r="E2566" s="262" t="s">
        <v>5078</v>
      </c>
      <c r="F2566" s="136" t="s">
        <v>183</v>
      </c>
      <c r="G2566" s="246">
        <v>55100</v>
      </c>
      <c r="H2566" s="246">
        <v>63000</v>
      </c>
      <c r="I2566" s="246">
        <v>70850</v>
      </c>
      <c r="J2566" s="246">
        <v>78700</v>
      </c>
      <c r="K2566" s="246">
        <v>85000</v>
      </c>
      <c r="L2566" s="246">
        <v>91300</v>
      </c>
      <c r="M2566" s="246">
        <v>97600</v>
      </c>
      <c r="N2566" s="246">
        <v>103900</v>
      </c>
    </row>
    <row r="2567" spans="3:14" ht="21.95" customHeight="1" x14ac:dyDescent="0.25">
      <c r="C2567" s="139" t="str">
        <f t="shared" si="56"/>
        <v>TX_YOUNG COUNTY, TX</v>
      </c>
      <c r="D2567" s="136" t="s">
        <v>63</v>
      </c>
      <c r="E2567" s="262" t="s">
        <v>5079</v>
      </c>
      <c r="F2567" s="136" t="s">
        <v>183</v>
      </c>
      <c r="G2567" s="246">
        <v>49400</v>
      </c>
      <c r="H2567" s="246">
        <v>56450</v>
      </c>
      <c r="I2567" s="246">
        <v>63500</v>
      </c>
      <c r="J2567" s="246">
        <v>70550</v>
      </c>
      <c r="K2567" s="246">
        <v>76200</v>
      </c>
      <c r="L2567" s="246">
        <v>81850</v>
      </c>
      <c r="M2567" s="246">
        <v>87500</v>
      </c>
      <c r="N2567" s="246">
        <v>93150</v>
      </c>
    </row>
    <row r="2568" spans="3:14" ht="21.95" customHeight="1" x14ac:dyDescent="0.25">
      <c r="C2568" s="139" t="str">
        <f t="shared" si="56"/>
        <v>TX_ZAPATA COUNTY, TX</v>
      </c>
      <c r="D2568" s="136" t="s">
        <v>63</v>
      </c>
      <c r="E2568" s="262" t="s">
        <v>5080</v>
      </c>
      <c r="F2568" s="136" t="s">
        <v>183</v>
      </c>
      <c r="G2568" s="246">
        <v>44450</v>
      </c>
      <c r="H2568" s="246">
        <v>50800</v>
      </c>
      <c r="I2568" s="246">
        <v>57150</v>
      </c>
      <c r="J2568" s="246">
        <v>63500</v>
      </c>
      <c r="K2568" s="246">
        <v>68600</v>
      </c>
      <c r="L2568" s="246">
        <v>73700</v>
      </c>
      <c r="M2568" s="246">
        <v>78750</v>
      </c>
      <c r="N2568" s="246">
        <v>83850</v>
      </c>
    </row>
    <row r="2569" spans="3:14" ht="21.95" customHeight="1" x14ac:dyDescent="0.25">
      <c r="C2569" s="139" t="str">
        <f t="shared" si="56"/>
        <v>TX_ZAVALA COUNTY, TX</v>
      </c>
      <c r="D2569" s="136" t="s">
        <v>63</v>
      </c>
      <c r="E2569" s="262" t="s">
        <v>5081</v>
      </c>
      <c r="F2569" s="136" t="s">
        <v>183</v>
      </c>
      <c r="G2569" s="246">
        <v>44450</v>
      </c>
      <c r="H2569" s="246">
        <v>50800</v>
      </c>
      <c r="I2569" s="246">
        <v>57150</v>
      </c>
      <c r="J2569" s="246">
        <v>63500</v>
      </c>
      <c r="K2569" s="246">
        <v>68600</v>
      </c>
      <c r="L2569" s="246">
        <v>73700</v>
      </c>
      <c r="M2569" s="246">
        <v>78750</v>
      </c>
      <c r="N2569" s="246">
        <v>83850</v>
      </c>
    </row>
    <row r="2570" spans="3:14" ht="21.95" customHeight="1" x14ac:dyDescent="0.25">
      <c r="C2570" s="139" t="str">
        <f t="shared" si="56"/>
        <v>UT_BEAVER COUNTY, UT</v>
      </c>
      <c r="D2570" s="136" t="s">
        <v>62</v>
      </c>
      <c r="E2570" s="262" t="s">
        <v>5082</v>
      </c>
      <c r="F2570" s="136" t="s">
        <v>183</v>
      </c>
      <c r="G2570" s="246">
        <v>56200</v>
      </c>
      <c r="H2570" s="246">
        <v>64200</v>
      </c>
      <c r="I2570" s="246">
        <v>72250</v>
      </c>
      <c r="J2570" s="246">
        <v>80250</v>
      </c>
      <c r="K2570" s="246">
        <v>86700</v>
      </c>
      <c r="L2570" s="246">
        <v>93100</v>
      </c>
      <c r="M2570" s="246">
        <v>99550</v>
      </c>
      <c r="N2570" s="246">
        <v>105950</v>
      </c>
    </row>
    <row r="2571" spans="3:14" ht="21.95" customHeight="1" x14ac:dyDescent="0.25">
      <c r="C2571" s="139" t="str">
        <f t="shared" si="56"/>
        <v>UT_BOX ELDER COUNTY, UT</v>
      </c>
      <c r="D2571" s="136" t="s">
        <v>62</v>
      </c>
      <c r="E2571" s="262" t="s">
        <v>9271</v>
      </c>
      <c r="F2571" s="136" t="s">
        <v>183</v>
      </c>
      <c r="G2571" s="246">
        <v>56100</v>
      </c>
      <c r="H2571" s="246">
        <v>64100</v>
      </c>
      <c r="I2571" s="246">
        <v>72100</v>
      </c>
      <c r="J2571" s="246">
        <v>80100</v>
      </c>
      <c r="K2571" s="246">
        <v>86550</v>
      </c>
      <c r="L2571" s="246">
        <v>92950</v>
      </c>
      <c r="M2571" s="246">
        <v>99350</v>
      </c>
      <c r="N2571" s="246">
        <v>105750</v>
      </c>
    </row>
    <row r="2572" spans="3:14" ht="21.95" customHeight="1" x14ac:dyDescent="0.25">
      <c r="C2572" s="139" t="str">
        <f t="shared" si="56"/>
        <v>UT_CARBON COUNTY, UT</v>
      </c>
      <c r="D2572" s="136" t="s">
        <v>62</v>
      </c>
      <c r="E2572" s="262" t="s">
        <v>5083</v>
      </c>
      <c r="F2572" s="136" t="s">
        <v>183</v>
      </c>
      <c r="G2572" s="246">
        <v>56000</v>
      </c>
      <c r="H2572" s="246">
        <v>64000</v>
      </c>
      <c r="I2572" s="246">
        <v>72000</v>
      </c>
      <c r="J2572" s="246">
        <v>80000</v>
      </c>
      <c r="K2572" s="246">
        <v>86400</v>
      </c>
      <c r="L2572" s="246">
        <v>92800</v>
      </c>
      <c r="M2572" s="246">
        <v>99200</v>
      </c>
      <c r="N2572" s="246">
        <v>105600</v>
      </c>
    </row>
    <row r="2573" spans="3:14" ht="21.95" customHeight="1" x14ac:dyDescent="0.25">
      <c r="C2573" s="139" t="str">
        <f t="shared" si="56"/>
        <v>UT_DAGGETT COUNTY, UT</v>
      </c>
      <c r="D2573" s="136" t="s">
        <v>62</v>
      </c>
      <c r="E2573" s="262" t="s">
        <v>5084</v>
      </c>
      <c r="F2573" s="136" t="s">
        <v>183</v>
      </c>
      <c r="G2573" s="246">
        <v>56100</v>
      </c>
      <c r="H2573" s="246">
        <v>64100</v>
      </c>
      <c r="I2573" s="246">
        <v>72100</v>
      </c>
      <c r="J2573" s="246">
        <v>80100</v>
      </c>
      <c r="K2573" s="246">
        <v>86550</v>
      </c>
      <c r="L2573" s="246">
        <v>92950</v>
      </c>
      <c r="M2573" s="246">
        <v>99350</v>
      </c>
      <c r="N2573" s="246">
        <v>105750</v>
      </c>
    </row>
    <row r="2574" spans="3:14" ht="21.95" customHeight="1" x14ac:dyDescent="0.25">
      <c r="C2574" s="139" t="str">
        <f t="shared" si="56"/>
        <v>UT_DUCHESNE COUNTY, UT</v>
      </c>
      <c r="D2574" s="136" t="s">
        <v>62</v>
      </c>
      <c r="E2574" s="262" t="s">
        <v>5085</v>
      </c>
      <c r="F2574" s="136" t="s">
        <v>183</v>
      </c>
      <c r="G2574" s="246">
        <v>56000</v>
      </c>
      <c r="H2574" s="246">
        <v>64000</v>
      </c>
      <c r="I2574" s="246">
        <v>72000</v>
      </c>
      <c r="J2574" s="246">
        <v>80000</v>
      </c>
      <c r="K2574" s="246">
        <v>86400</v>
      </c>
      <c r="L2574" s="246">
        <v>92800</v>
      </c>
      <c r="M2574" s="246">
        <v>99200</v>
      </c>
      <c r="N2574" s="246">
        <v>105600</v>
      </c>
    </row>
    <row r="2575" spans="3:14" ht="21.95" customHeight="1" x14ac:dyDescent="0.25">
      <c r="C2575" s="139" t="str">
        <f t="shared" si="56"/>
        <v>UT_EMERY COUNTY, UT</v>
      </c>
      <c r="D2575" s="136" t="s">
        <v>62</v>
      </c>
      <c r="E2575" s="262" t="s">
        <v>5086</v>
      </c>
      <c r="F2575" s="136" t="s">
        <v>183</v>
      </c>
      <c r="G2575" s="246">
        <v>56000</v>
      </c>
      <c r="H2575" s="246">
        <v>64000</v>
      </c>
      <c r="I2575" s="246">
        <v>72000</v>
      </c>
      <c r="J2575" s="246">
        <v>80000</v>
      </c>
      <c r="K2575" s="246">
        <v>86400</v>
      </c>
      <c r="L2575" s="246">
        <v>92800</v>
      </c>
      <c r="M2575" s="246">
        <v>99200</v>
      </c>
      <c r="N2575" s="246">
        <v>105600</v>
      </c>
    </row>
    <row r="2576" spans="3:14" ht="21.95" customHeight="1" x14ac:dyDescent="0.25">
      <c r="C2576" s="139" t="str">
        <f t="shared" si="56"/>
        <v>UT_GARFIELD COUNTY, UT</v>
      </c>
      <c r="D2576" s="136" t="s">
        <v>62</v>
      </c>
      <c r="E2576" s="262" t="s">
        <v>5087</v>
      </c>
      <c r="F2576" s="136" t="s">
        <v>183</v>
      </c>
      <c r="G2576" s="246">
        <v>56000</v>
      </c>
      <c r="H2576" s="246">
        <v>64000</v>
      </c>
      <c r="I2576" s="246">
        <v>72000</v>
      </c>
      <c r="J2576" s="246">
        <v>80000</v>
      </c>
      <c r="K2576" s="246">
        <v>86400</v>
      </c>
      <c r="L2576" s="246">
        <v>92800</v>
      </c>
      <c r="M2576" s="246">
        <v>99200</v>
      </c>
      <c r="N2576" s="246">
        <v>105600</v>
      </c>
    </row>
    <row r="2577" spans="3:14" ht="21.95" customHeight="1" x14ac:dyDescent="0.25">
      <c r="C2577" s="139" t="str">
        <f t="shared" si="56"/>
        <v>UT_GRAND COUNTY, UT</v>
      </c>
      <c r="D2577" s="136" t="s">
        <v>62</v>
      </c>
      <c r="E2577" s="262" t="s">
        <v>5088</v>
      </c>
      <c r="F2577" s="136" t="s">
        <v>183</v>
      </c>
      <c r="G2577" s="246">
        <v>56000</v>
      </c>
      <c r="H2577" s="246">
        <v>64000</v>
      </c>
      <c r="I2577" s="246">
        <v>72000</v>
      </c>
      <c r="J2577" s="246">
        <v>80000</v>
      </c>
      <c r="K2577" s="246">
        <v>86400</v>
      </c>
      <c r="L2577" s="246">
        <v>92800</v>
      </c>
      <c r="M2577" s="246">
        <v>99200</v>
      </c>
      <c r="N2577" s="246">
        <v>105600</v>
      </c>
    </row>
    <row r="2578" spans="3:14" ht="21.95" customHeight="1" x14ac:dyDescent="0.25">
      <c r="C2578" s="139" t="str">
        <f t="shared" si="56"/>
        <v>UT_IRON COUNTY, UT</v>
      </c>
      <c r="D2578" s="136" t="s">
        <v>62</v>
      </c>
      <c r="E2578" s="262" t="s">
        <v>5089</v>
      </c>
      <c r="F2578" s="136" t="s">
        <v>183</v>
      </c>
      <c r="G2578" s="246">
        <v>56000</v>
      </c>
      <c r="H2578" s="246">
        <v>64000</v>
      </c>
      <c r="I2578" s="246">
        <v>72000</v>
      </c>
      <c r="J2578" s="246">
        <v>80000</v>
      </c>
      <c r="K2578" s="246">
        <v>86400</v>
      </c>
      <c r="L2578" s="246">
        <v>92800</v>
      </c>
      <c r="M2578" s="246">
        <v>99200</v>
      </c>
      <c r="N2578" s="246">
        <v>105600</v>
      </c>
    </row>
    <row r="2579" spans="3:14" ht="21.95" customHeight="1" x14ac:dyDescent="0.25">
      <c r="C2579" s="139" t="str">
        <f t="shared" si="56"/>
        <v>UT_KANE COUNTY, UT</v>
      </c>
      <c r="D2579" s="136" t="s">
        <v>62</v>
      </c>
      <c r="E2579" s="262" t="s">
        <v>5090</v>
      </c>
      <c r="F2579" s="136" t="s">
        <v>183</v>
      </c>
      <c r="G2579" s="246">
        <v>58750</v>
      </c>
      <c r="H2579" s="246">
        <v>67150</v>
      </c>
      <c r="I2579" s="246">
        <v>75550</v>
      </c>
      <c r="J2579" s="246">
        <v>83900</v>
      </c>
      <c r="K2579" s="246">
        <v>90650</v>
      </c>
      <c r="L2579" s="246">
        <v>97350</v>
      </c>
      <c r="M2579" s="246">
        <v>104050</v>
      </c>
      <c r="N2579" s="246">
        <v>110750</v>
      </c>
    </row>
    <row r="2580" spans="3:14" ht="21.95" customHeight="1" x14ac:dyDescent="0.25">
      <c r="C2580" s="139" t="str">
        <f t="shared" si="56"/>
        <v>UT_LOGAN, UT-ID MSA</v>
      </c>
      <c r="D2580" s="136" t="s">
        <v>62</v>
      </c>
      <c r="E2580" s="262" t="s">
        <v>3491</v>
      </c>
      <c r="F2580" s="136" t="s">
        <v>183</v>
      </c>
      <c r="G2580" s="246">
        <v>57900</v>
      </c>
      <c r="H2580" s="246">
        <v>66200</v>
      </c>
      <c r="I2580" s="246">
        <v>74450</v>
      </c>
      <c r="J2580" s="246">
        <v>82700</v>
      </c>
      <c r="K2580" s="246">
        <v>89350</v>
      </c>
      <c r="L2580" s="246">
        <v>95950</v>
      </c>
      <c r="M2580" s="246">
        <v>102550</v>
      </c>
      <c r="N2580" s="246">
        <v>109200</v>
      </c>
    </row>
    <row r="2581" spans="3:14" ht="21.95" customHeight="1" x14ac:dyDescent="0.25">
      <c r="C2581" s="139" t="str">
        <f t="shared" si="56"/>
        <v>UT_MILLARD COUNTY, UT</v>
      </c>
      <c r="D2581" s="136" t="s">
        <v>62</v>
      </c>
      <c r="E2581" s="262" t="s">
        <v>5091</v>
      </c>
      <c r="F2581" s="136" t="s">
        <v>183</v>
      </c>
      <c r="G2581" s="246">
        <v>56000</v>
      </c>
      <c r="H2581" s="246">
        <v>64000</v>
      </c>
      <c r="I2581" s="246">
        <v>72000</v>
      </c>
      <c r="J2581" s="246">
        <v>80000</v>
      </c>
      <c r="K2581" s="246">
        <v>86400</v>
      </c>
      <c r="L2581" s="246">
        <v>92800</v>
      </c>
      <c r="M2581" s="246">
        <v>99200</v>
      </c>
      <c r="N2581" s="246">
        <v>105600</v>
      </c>
    </row>
    <row r="2582" spans="3:14" ht="21.95" customHeight="1" x14ac:dyDescent="0.25">
      <c r="C2582" s="139" t="str">
        <f t="shared" si="56"/>
        <v>UT_OGDEN, UT MSA</v>
      </c>
      <c r="D2582" s="136" t="s">
        <v>62</v>
      </c>
      <c r="E2582" s="262" t="s">
        <v>9272</v>
      </c>
      <c r="F2582" s="136" t="s">
        <v>183</v>
      </c>
      <c r="G2582" s="246">
        <v>67500</v>
      </c>
      <c r="H2582" s="246">
        <v>77150</v>
      </c>
      <c r="I2582" s="246">
        <v>86800</v>
      </c>
      <c r="J2582" s="246">
        <v>96400</v>
      </c>
      <c r="K2582" s="246">
        <v>104150</v>
      </c>
      <c r="L2582" s="246">
        <v>111850</v>
      </c>
      <c r="M2582" s="246">
        <v>119550</v>
      </c>
      <c r="N2582" s="246">
        <v>127250</v>
      </c>
    </row>
    <row r="2583" spans="3:14" ht="21.95" customHeight="1" x14ac:dyDescent="0.25">
      <c r="C2583" s="139" t="str">
        <f t="shared" si="56"/>
        <v>UT_PIUTE COUNTY, UT</v>
      </c>
      <c r="D2583" s="136" t="s">
        <v>62</v>
      </c>
      <c r="E2583" s="262" t="s">
        <v>5092</v>
      </c>
      <c r="F2583" s="136" t="s">
        <v>183</v>
      </c>
      <c r="G2583" s="246">
        <v>56000</v>
      </c>
      <c r="H2583" s="246">
        <v>64000</v>
      </c>
      <c r="I2583" s="246">
        <v>72000</v>
      </c>
      <c r="J2583" s="246">
        <v>80000</v>
      </c>
      <c r="K2583" s="246">
        <v>86400</v>
      </c>
      <c r="L2583" s="246">
        <v>92800</v>
      </c>
      <c r="M2583" s="246">
        <v>99200</v>
      </c>
      <c r="N2583" s="246">
        <v>105600</v>
      </c>
    </row>
    <row r="2584" spans="3:14" ht="21.95" customHeight="1" x14ac:dyDescent="0.25">
      <c r="C2584" s="139" t="str">
        <f t="shared" si="56"/>
        <v>UT_PROVO-OREM-LEHI, UT MSA</v>
      </c>
      <c r="D2584" s="136" t="s">
        <v>62</v>
      </c>
      <c r="E2584" s="262" t="s">
        <v>9273</v>
      </c>
      <c r="F2584" s="136" t="s">
        <v>183</v>
      </c>
      <c r="G2584" s="246">
        <v>66500</v>
      </c>
      <c r="H2584" s="246">
        <v>76000</v>
      </c>
      <c r="I2584" s="246">
        <v>85500</v>
      </c>
      <c r="J2584" s="246">
        <v>94950</v>
      </c>
      <c r="K2584" s="246">
        <v>102550</v>
      </c>
      <c r="L2584" s="246">
        <v>110150</v>
      </c>
      <c r="M2584" s="246">
        <v>117750</v>
      </c>
      <c r="N2584" s="246">
        <v>125350</v>
      </c>
    </row>
    <row r="2585" spans="3:14" ht="21.95" customHeight="1" x14ac:dyDescent="0.25">
      <c r="C2585" s="139" t="str">
        <f t="shared" si="56"/>
        <v>UT_RICH COUNTY, UT</v>
      </c>
      <c r="D2585" s="136" t="s">
        <v>62</v>
      </c>
      <c r="E2585" s="262" t="s">
        <v>5093</v>
      </c>
      <c r="F2585" s="136" t="s">
        <v>183</v>
      </c>
      <c r="G2585" s="246">
        <v>56000</v>
      </c>
      <c r="H2585" s="246">
        <v>64000</v>
      </c>
      <c r="I2585" s="246">
        <v>72000</v>
      </c>
      <c r="J2585" s="246">
        <v>80000</v>
      </c>
      <c r="K2585" s="246">
        <v>86400</v>
      </c>
      <c r="L2585" s="246">
        <v>92800</v>
      </c>
      <c r="M2585" s="246">
        <v>99200</v>
      </c>
      <c r="N2585" s="246">
        <v>105600</v>
      </c>
    </row>
    <row r="2586" spans="3:14" ht="21.95" customHeight="1" x14ac:dyDescent="0.25">
      <c r="C2586" s="139" t="str">
        <f t="shared" si="56"/>
        <v>UT_SALT LAKE CITY, UT HUD METRO FMR AREA</v>
      </c>
      <c r="D2586" s="136" t="s">
        <v>62</v>
      </c>
      <c r="E2586" s="262" t="s">
        <v>5094</v>
      </c>
      <c r="F2586" s="136" t="s">
        <v>183</v>
      </c>
      <c r="G2586" s="246">
        <v>68750</v>
      </c>
      <c r="H2586" s="246">
        <v>78550</v>
      </c>
      <c r="I2586" s="246">
        <v>88350</v>
      </c>
      <c r="J2586" s="246">
        <v>98150</v>
      </c>
      <c r="K2586" s="246">
        <v>106050</v>
      </c>
      <c r="L2586" s="246">
        <v>113900</v>
      </c>
      <c r="M2586" s="246">
        <v>121750</v>
      </c>
      <c r="N2586" s="246">
        <v>129600</v>
      </c>
    </row>
    <row r="2587" spans="3:14" ht="21.95" customHeight="1" x14ac:dyDescent="0.25">
      <c r="C2587" s="139" t="str">
        <f t="shared" si="56"/>
        <v>UT_SAN JUAN COUNTY, UT</v>
      </c>
      <c r="D2587" s="136" t="s">
        <v>62</v>
      </c>
      <c r="E2587" s="262" t="s">
        <v>5095</v>
      </c>
      <c r="F2587" s="136" t="s">
        <v>183</v>
      </c>
      <c r="G2587" s="246">
        <v>56000</v>
      </c>
      <c r="H2587" s="246">
        <v>64000</v>
      </c>
      <c r="I2587" s="246">
        <v>72000</v>
      </c>
      <c r="J2587" s="246">
        <v>80000</v>
      </c>
      <c r="K2587" s="246">
        <v>86400</v>
      </c>
      <c r="L2587" s="246">
        <v>92800</v>
      </c>
      <c r="M2587" s="246">
        <v>99200</v>
      </c>
      <c r="N2587" s="246">
        <v>105600</v>
      </c>
    </row>
    <row r="2588" spans="3:14" ht="21.95" customHeight="1" x14ac:dyDescent="0.25">
      <c r="C2588" s="139" t="str">
        <f t="shared" si="56"/>
        <v>UT_SANPETE COUNTY, UT</v>
      </c>
      <c r="D2588" s="136" t="s">
        <v>62</v>
      </c>
      <c r="E2588" s="262" t="s">
        <v>5096</v>
      </c>
      <c r="F2588" s="136" t="s">
        <v>183</v>
      </c>
      <c r="G2588" s="246">
        <v>56000</v>
      </c>
      <c r="H2588" s="246">
        <v>64000</v>
      </c>
      <c r="I2588" s="246">
        <v>72000</v>
      </c>
      <c r="J2588" s="246">
        <v>80000</v>
      </c>
      <c r="K2588" s="246">
        <v>86400</v>
      </c>
      <c r="L2588" s="246">
        <v>92800</v>
      </c>
      <c r="M2588" s="246">
        <v>99200</v>
      </c>
      <c r="N2588" s="246">
        <v>105600</v>
      </c>
    </row>
    <row r="2589" spans="3:14" ht="21.95" customHeight="1" x14ac:dyDescent="0.25">
      <c r="C2589" s="139" t="str">
        <f t="shared" si="56"/>
        <v>UT_SEVIER COUNTY, UT</v>
      </c>
      <c r="D2589" s="136" t="s">
        <v>62</v>
      </c>
      <c r="E2589" s="262" t="s">
        <v>5097</v>
      </c>
      <c r="F2589" s="136" t="s">
        <v>183</v>
      </c>
      <c r="G2589" s="246">
        <v>56000</v>
      </c>
      <c r="H2589" s="246">
        <v>64000</v>
      </c>
      <c r="I2589" s="246">
        <v>72000</v>
      </c>
      <c r="J2589" s="246">
        <v>80000</v>
      </c>
      <c r="K2589" s="246">
        <v>86400</v>
      </c>
      <c r="L2589" s="246">
        <v>92800</v>
      </c>
      <c r="M2589" s="246">
        <v>99200</v>
      </c>
      <c r="N2589" s="246">
        <v>105600</v>
      </c>
    </row>
    <row r="2590" spans="3:14" ht="21.95" customHeight="1" x14ac:dyDescent="0.25">
      <c r="C2590" s="139" t="str">
        <f t="shared" si="56"/>
        <v>UT_ST. GEORGE, UT MSA</v>
      </c>
      <c r="D2590" s="136" t="s">
        <v>62</v>
      </c>
      <c r="E2590" s="262" t="s">
        <v>5098</v>
      </c>
      <c r="F2590" s="136" t="s">
        <v>183</v>
      </c>
      <c r="G2590" s="246">
        <v>56400</v>
      </c>
      <c r="H2590" s="246">
        <v>64450</v>
      </c>
      <c r="I2590" s="246">
        <v>72500</v>
      </c>
      <c r="J2590" s="246">
        <v>80550</v>
      </c>
      <c r="K2590" s="246">
        <v>87000</v>
      </c>
      <c r="L2590" s="246">
        <v>93450</v>
      </c>
      <c r="M2590" s="246">
        <v>99900</v>
      </c>
      <c r="N2590" s="246">
        <v>106350</v>
      </c>
    </row>
    <row r="2591" spans="3:14" ht="21.95" customHeight="1" x14ac:dyDescent="0.25">
      <c r="C2591" s="139" t="str">
        <f t="shared" si="56"/>
        <v>UT_SUMMIT COUNTY, UT</v>
      </c>
      <c r="D2591" s="136" t="s">
        <v>62</v>
      </c>
      <c r="E2591" s="262" t="s">
        <v>5099</v>
      </c>
      <c r="F2591" s="136" t="s">
        <v>183</v>
      </c>
      <c r="G2591" s="246">
        <v>72950</v>
      </c>
      <c r="H2591" s="246">
        <v>83400</v>
      </c>
      <c r="I2591" s="246">
        <v>93800</v>
      </c>
      <c r="J2591" s="246">
        <v>104200</v>
      </c>
      <c r="K2591" s="246">
        <v>112550</v>
      </c>
      <c r="L2591" s="246">
        <v>120900</v>
      </c>
      <c r="M2591" s="246">
        <v>129250</v>
      </c>
      <c r="N2591" s="246">
        <v>137550</v>
      </c>
    </row>
    <row r="2592" spans="3:14" ht="21.95" customHeight="1" x14ac:dyDescent="0.25">
      <c r="C2592" s="139" t="str">
        <f t="shared" si="56"/>
        <v>UT_TOOELE COUNTY, UT HUD METRO FMR AREA</v>
      </c>
      <c r="D2592" s="136" t="s">
        <v>62</v>
      </c>
      <c r="E2592" s="262" t="s">
        <v>5100</v>
      </c>
      <c r="F2592" s="136" t="s">
        <v>183</v>
      </c>
      <c r="G2592" s="246">
        <v>61800</v>
      </c>
      <c r="H2592" s="246">
        <v>70600</v>
      </c>
      <c r="I2592" s="246">
        <v>79450</v>
      </c>
      <c r="J2592" s="246">
        <v>88250</v>
      </c>
      <c r="K2592" s="246">
        <v>95350</v>
      </c>
      <c r="L2592" s="246">
        <v>102400</v>
      </c>
      <c r="M2592" s="246">
        <v>109450</v>
      </c>
      <c r="N2592" s="246">
        <v>116500</v>
      </c>
    </row>
    <row r="2593" spans="3:14" ht="21.95" customHeight="1" x14ac:dyDescent="0.25">
      <c r="C2593" s="139" t="str">
        <f t="shared" si="56"/>
        <v>UT_UINTAH COUNTY, UT</v>
      </c>
      <c r="D2593" s="136" t="s">
        <v>62</v>
      </c>
      <c r="E2593" s="262" t="s">
        <v>5101</v>
      </c>
      <c r="F2593" s="136" t="s">
        <v>183</v>
      </c>
      <c r="G2593" s="246">
        <v>56000</v>
      </c>
      <c r="H2593" s="246">
        <v>64000</v>
      </c>
      <c r="I2593" s="246">
        <v>72000</v>
      </c>
      <c r="J2593" s="246">
        <v>80000</v>
      </c>
      <c r="K2593" s="246">
        <v>86400</v>
      </c>
      <c r="L2593" s="246">
        <v>92800</v>
      </c>
      <c r="M2593" s="246">
        <v>99200</v>
      </c>
      <c r="N2593" s="246">
        <v>105600</v>
      </c>
    </row>
    <row r="2594" spans="3:14" ht="21.95" customHeight="1" x14ac:dyDescent="0.25">
      <c r="C2594" s="139" t="str">
        <f t="shared" si="56"/>
        <v>UT_WASATCH COUNTY, UT</v>
      </c>
      <c r="D2594" s="136" t="s">
        <v>62</v>
      </c>
      <c r="E2594" s="262" t="s">
        <v>5102</v>
      </c>
      <c r="F2594" s="136" t="s">
        <v>183</v>
      </c>
      <c r="G2594" s="246">
        <v>72950</v>
      </c>
      <c r="H2594" s="246">
        <v>83400</v>
      </c>
      <c r="I2594" s="246">
        <v>93800</v>
      </c>
      <c r="J2594" s="246">
        <v>104200</v>
      </c>
      <c r="K2594" s="246">
        <v>112550</v>
      </c>
      <c r="L2594" s="246">
        <v>120900</v>
      </c>
      <c r="M2594" s="246">
        <v>129250</v>
      </c>
      <c r="N2594" s="246">
        <v>137550</v>
      </c>
    </row>
    <row r="2595" spans="3:14" ht="21.95" customHeight="1" x14ac:dyDescent="0.25">
      <c r="C2595" s="139" t="str">
        <f t="shared" si="56"/>
        <v>UT_WAYNE COUNTY, UT</v>
      </c>
      <c r="D2595" s="136" t="s">
        <v>62</v>
      </c>
      <c r="E2595" s="262" t="s">
        <v>5103</v>
      </c>
      <c r="F2595" s="136" t="s">
        <v>183</v>
      </c>
      <c r="G2595" s="246">
        <v>56000</v>
      </c>
      <c r="H2595" s="246">
        <v>64000</v>
      </c>
      <c r="I2595" s="246">
        <v>72000</v>
      </c>
      <c r="J2595" s="246">
        <v>80000</v>
      </c>
      <c r="K2595" s="246">
        <v>86400</v>
      </c>
      <c r="L2595" s="246">
        <v>92800</v>
      </c>
      <c r="M2595" s="246">
        <v>99200</v>
      </c>
      <c r="N2595" s="246">
        <v>105600</v>
      </c>
    </row>
    <row r="2596" spans="3:14" ht="21.95" customHeight="1" x14ac:dyDescent="0.25">
      <c r="C2596" s="139" t="str">
        <f t="shared" si="56"/>
        <v>VA_ACCOMACK COUNTY, VA</v>
      </c>
      <c r="D2596" s="136" t="s">
        <v>60</v>
      </c>
      <c r="E2596" s="262" t="s">
        <v>5104</v>
      </c>
      <c r="F2596" s="136" t="s">
        <v>183</v>
      </c>
      <c r="G2596" s="246">
        <v>44050</v>
      </c>
      <c r="H2596" s="246">
        <v>50350</v>
      </c>
      <c r="I2596" s="246">
        <v>56650</v>
      </c>
      <c r="J2596" s="246">
        <v>62900</v>
      </c>
      <c r="K2596" s="246">
        <v>67950</v>
      </c>
      <c r="L2596" s="246">
        <v>73000</v>
      </c>
      <c r="M2596" s="246">
        <v>78000</v>
      </c>
      <c r="N2596" s="246">
        <v>83050</v>
      </c>
    </row>
    <row r="2597" spans="3:14" ht="21.95" customHeight="1" x14ac:dyDescent="0.25">
      <c r="C2597" s="139" t="str">
        <f t="shared" si="56"/>
        <v>VA_ALLEGHANY COUNTY-CLIFTON FORGE CITY-COVINGTON CITY, VA HUD NONMET</v>
      </c>
      <c r="D2597" s="136" t="s">
        <v>60</v>
      </c>
      <c r="E2597" s="262" t="s">
        <v>5105</v>
      </c>
      <c r="F2597" s="136" t="s">
        <v>183</v>
      </c>
      <c r="G2597" s="246">
        <v>43750</v>
      </c>
      <c r="H2597" s="246">
        <v>50000</v>
      </c>
      <c r="I2597" s="246">
        <v>56250</v>
      </c>
      <c r="J2597" s="246">
        <v>62500</v>
      </c>
      <c r="K2597" s="246">
        <v>67500</v>
      </c>
      <c r="L2597" s="246">
        <v>72500</v>
      </c>
      <c r="M2597" s="246">
        <v>77500</v>
      </c>
      <c r="N2597" s="246">
        <v>82500</v>
      </c>
    </row>
    <row r="2598" spans="3:14" ht="21.95" customHeight="1" x14ac:dyDescent="0.25">
      <c r="C2598" s="139" t="str">
        <f t="shared" si="56"/>
        <v>VA_BATH COUNTY, VA</v>
      </c>
      <c r="D2598" s="136" t="s">
        <v>60</v>
      </c>
      <c r="E2598" s="262" t="s">
        <v>5106</v>
      </c>
      <c r="F2598" s="136" t="s">
        <v>183</v>
      </c>
      <c r="G2598" s="246">
        <v>48750</v>
      </c>
      <c r="H2598" s="246">
        <v>55700</v>
      </c>
      <c r="I2598" s="246">
        <v>62650</v>
      </c>
      <c r="J2598" s="246">
        <v>69600</v>
      </c>
      <c r="K2598" s="246">
        <v>75200</v>
      </c>
      <c r="L2598" s="246">
        <v>80750</v>
      </c>
      <c r="M2598" s="246">
        <v>86350</v>
      </c>
      <c r="N2598" s="246">
        <v>91900</v>
      </c>
    </row>
    <row r="2599" spans="3:14" ht="21.95" customHeight="1" x14ac:dyDescent="0.25">
      <c r="C2599" s="139" t="str">
        <f t="shared" si="56"/>
        <v>VA_BLACKSBURG-CHRISTIANSBURG-RADFORD, VA HUD METRO FMR AREA</v>
      </c>
      <c r="D2599" s="136" t="s">
        <v>60</v>
      </c>
      <c r="E2599" s="262" t="s">
        <v>5107</v>
      </c>
      <c r="F2599" s="136" t="s">
        <v>183</v>
      </c>
      <c r="G2599" s="246">
        <v>61400</v>
      </c>
      <c r="H2599" s="246">
        <v>70200</v>
      </c>
      <c r="I2599" s="246">
        <v>78950</v>
      </c>
      <c r="J2599" s="246">
        <v>87700</v>
      </c>
      <c r="K2599" s="246">
        <v>94750</v>
      </c>
      <c r="L2599" s="246">
        <v>101750</v>
      </c>
      <c r="M2599" s="246">
        <v>108750</v>
      </c>
      <c r="N2599" s="246">
        <v>115800</v>
      </c>
    </row>
    <row r="2600" spans="3:14" ht="21.95" customHeight="1" x14ac:dyDescent="0.25">
      <c r="C2600" s="139" t="str">
        <f t="shared" si="56"/>
        <v>VA_BLAND COUNTY, VA</v>
      </c>
      <c r="D2600" s="136" t="s">
        <v>60</v>
      </c>
      <c r="E2600" s="262" t="s">
        <v>5108</v>
      </c>
      <c r="F2600" s="136" t="s">
        <v>183</v>
      </c>
      <c r="G2600" s="246">
        <v>43750</v>
      </c>
      <c r="H2600" s="246">
        <v>50000</v>
      </c>
      <c r="I2600" s="246">
        <v>56250</v>
      </c>
      <c r="J2600" s="246">
        <v>62500</v>
      </c>
      <c r="K2600" s="246">
        <v>67500</v>
      </c>
      <c r="L2600" s="246">
        <v>72500</v>
      </c>
      <c r="M2600" s="246">
        <v>77500</v>
      </c>
      <c r="N2600" s="246">
        <v>82500</v>
      </c>
    </row>
    <row r="2601" spans="3:14" ht="21.95" customHeight="1" x14ac:dyDescent="0.25">
      <c r="C2601" s="139" t="str">
        <f t="shared" si="56"/>
        <v>VA_BRUNSWICK COUNTY, VA</v>
      </c>
      <c r="D2601" s="136" t="s">
        <v>60</v>
      </c>
      <c r="E2601" s="262" t="s">
        <v>5109</v>
      </c>
      <c r="F2601" s="136" t="s">
        <v>183</v>
      </c>
      <c r="G2601" s="246">
        <v>43750</v>
      </c>
      <c r="H2601" s="246">
        <v>50000</v>
      </c>
      <c r="I2601" s="246">
        <v>56250</v>
      </c>
      <c r="J2601" s="246">
        <v>62500</v>
      </c>
      <c r="K2601" s="246">
        <v>67500</v>
      </c>
      <c r="L2601" s="246">
        <v>72500</v>
      </c>
      <c r="M2601" s="246">
        <v>77500</v>
      </c>
      <c r="N2601" s="246">
        <v>82500</v>
      </c>
    </row>
    <row r="2602" spans="3:14" ht="21.95" customHeight="1" x14ac:dyDescent="0.25">
      <c r="C2602" s="139" t="str">
        <f t="shared" si="56"/>
        <v>VA_BUCHANAN COUNTY, VA</v>
      </c>
      <c r="D2602" s="136" t="s">
        <v>60</v>
      </c>
      <c r="E2602" s="262" t="s">
        <v>5110</v>
      </c>
      <c r="F2602" s="136" t="s">
        <v>183</v>
      </c>
      <c r="G2602" s="246">
        <v>43750</v>
      </c>
      <c r="H2602" s="246">
        <v>50000</v>
      </c>
      <c r="I2602" s="246">
        <v>56250</v>
      </c>
      <c r="J2602" s="246">
        <v>62500</v>
      </c>
      <c r="K2602" s="246">
        <v>67500</v>
      </c>
      <c r="L2602" s="246">
        <v>72500</v>
      </c>
      <c r="M2602" s="246">
        <v>77500</v>
      </c>
      <c r="N2602" s="246">
        <v>82500</v>
      </c>
    </row>
    <row r="2603" spans="3:14" ht="21.95" customHeight="1" x14ac:dyDescent="0.25">
      <c r="C2603" s="139" t="str">
        <f t="shared" si="56"/>
        <v>VA_BUCKINGHAM COUNTY, VA</v>
      </c>
      <c r="D2603" s="136" t="s">
        <v>60</v>
      </c>
      <c r="E2603" s="262" t="s">
        <v>5111</v>
      </c>
      <c r="F2603" s="136" t="s">
        <v>183</v>
      </c>
      <c r="G2603" s="246">
        <v>47250</v>
      </c>
      <c r="H2603" s="246">
        <v>54000</v>
      </c>
      <c r="I2603" s="246">
        <v>60750</v>
      </c>
      <c r="J2603" s="246">
        <v>67500</v>
      </c>
      <c r="K2603" s="246">
        <v>72900</v>
      </c>
      <c r="L2603" s="246">
        <v>78300</v>
      </c>
      <c r="M2603" s="246">
        <v>83700</v>
      </c>
      <c r="N2603" s="246">
        <v>89100</v>
      </c>
    </row>
    <row r="2604" spans="3:14" ht="21.95" customHeight="1" x14ac:dyDescent="0.25">
      <c r="C2604" s="139" t="str">
        <f t="shared" si="56"/>
        <v>VA_CAROLINE COUNTY, VA</v>
      </c>
      <c r="D2604" s="136" t="s">
        <v>60</v>
      </c>
      <c r="E2604" s="262" t="s">
        <v>5112</v>
      </c>
      <c r="F2604" s="136" t="s">
        <v>183</v>
      </c>
      <c r="G2604" s="246">
        <v>60600</v>
      </c>
      <c r="H2604" s="246">
        <v>69250</v>
      </c>
      <c r="I2604" s="246">
        <v>77900</v>
      </c>
      <c r="J2604" s="246">
        <v>86550</v>
      </c>
      <c r="K2604" s="246">
        <v>93500</v>
      </c>
      <c r="L2604" s="246">
        <v>100400</v>
      </c>
      <c r="M2604" s="246">
        <v>107350</v>
      </c>
      <c r="N2604" s="246">
        <v>114250</v>
      </c>
    </row>
    <row r="2605" spans="3:14" ht="21.95" customHeight="1" x14ac:dyDescent="0.25">
      <c r="C2605" s="139" t="str">
        <f t="shared" si="56"/>
        <v>VA_CARROLL COUNTY-GALAX CITY, VA HUD NONMETRO FMR AREA</v>
      </c>
      <c r="D2605" s="136" t="s">
        <v>60</v>
      </c>
      <c r="E2605" s="262" t="s">
        <v>5113</v>
      </c>
      <c r="F2605" s="136" t="s">
        <v>183</v>
      </c>
      <c r="G2605" s="246">
        <v>43750</v>
      </c>
      <c r="H2605" s="246">
        <v>50000</v>
      </c>
      <c r="I2605" s="246">
        <v>56250</v>
      </c>
      <c r="J2605" s="246">
        <v>62500</v>
      </c>
      <c r="K2605" s="246">
        <v>67500</v>
      </c>
      <c r="L2605" s="246">
        <v>72500</v>
      </c>
      <c r="M2605" s="246">
        <v>77500</v>
      </c>
      <c r="N2605" s="246">
        <v>82500</v>
      </c>
    </row>
    <row r="2606" spans="3:14" ht="21.95" customHeight="1" x14ac:dyDescent="0.25">
      <c r="C2606" s="139" t="str">
        <f t="shared" si="56"/>
        <v>VA_CHARLOTTE COUNTY, VA</v>
      </c>
      <c r="D2606" s="136" t="s">
        <v>60</v>
      </c>
      <c r="E2606" s="262" t="s">
        <v>5114</v>
      </c>
      <c r="F2606" s="136" t="s">
        <v>183</v>
      </c>
      <c r="G2606" s="246">
        <v>43750</v>
      </c>
      <c r="H2606" s="246">
        <v>50000</v>
      </c>
      <c r="I2606" s="246">
        <v>56250</v>
      </c>
      <c r="J2606" s="246">
        <v>62500</v>
      </c>
      <c r="K2606" s="246">
        <v>67500</v>
      </c>
      <c r="L2606" s="246">
        <v>72500</v>
      </c>
      <c r="M2606" s="246">
        <v>77500</v>
      </c>
      <c r="N2606" s="246">
        <v>82500</v>
      </c>
    </row>
    <row r="2607" spans="3:14" ht="21.95" customHeight="1" x14ac:dyDescent="0.25">
      <c r="C2607" s="139" t="str">
        <f t="shared" si="56"/>
        <v>VA_CHARLOTTESVILLE, VA MSA</v>
      </c>
      <c r="D2607" s="136" t="s">
        <v>60</v>
      </c>
      <c r="E2607" s="262" t="s">
        <v>5115</v>
      </c>
      <c r="F2607" s="136" t="s">
        <v>183</v>
      </c>
      <c r="G2607" s="246">
        <v>70500</v>
      </c>
      <c r="H2607" s="246">
        <v>80550</v>
      </c>
      <c r="I2607" s="246">
        <v>90600</v>
      </c>
      <c r="J2607" s="246">
        <v>100650</v>
      </c>
      <c r="K2607" s="246">
        <v>108750</v>
      </c>
      <c r="L2607" s="246">
        <v>116800</v>
      </c>
      <c r="M2607" s="246">
        <v>124850</v>
      </c>
      <c r="N2607" s="246">
        <v>132900</v>
      </c>
    </row>
    <row r="2608" spans="3:14" ht="21.95" customHeight="1" x14ac:dyDescent="0.25">
      <c r="C2608" s="139" t="str">
        <f t="shared" si="56"/>
        <v>VA_CULPEPER COUNTY, VA HUD METRO FMR AREA</v>
      </c>
      <c r="D2608" s="136" t="s">
        <v>60</v>
      </c>
      <c r="E2608" s="262" t="s">
        <v>5116</v>
      </c>
      <c r="F2608" s="136" t="s">
        <v>183</v>
      </c>
      <c r="G2608" s="246">
        <v>64500</v>
      </c>
      <c r="H2608" s="246">
        <v>73700</v>
      </c>
      <c r="I2608" s="246">
        <v>82900</v>
      </c>
      <c r="J2608" s="246">
        <v>92100</v>
      </c>
      <c r="K2608" s="246">
        <v>99500</v>
      </c>
      <c r="L2608" s="246">
        <v>106850</v>
      </c>
      <c r="M2608" s="246">
        <v>114250</v>
      </c>
      <c r="N2608" s="246">
        <v>121600</v>
      </c>
    </row>
    <row r="2609" spans="3:14" ht="21.95" customHeight="1" x14ac:dyDescent="0.25">
      <c r="C2609" s="139" t="str">
        <f t="shared" si="56"/>
        <v>VA_CUMBERLAND COUNTY, VA</v>
      </c>
      <c r="D2609" s="136" t="s">
        <v>60</v>
      </c>
      <c r="E2609" s="262" t="s">
        <v>5117</v>
      </c>
      <c r="F2609" s="136" t="s">
        <v>183</v>
      </c>
      <c r="G2609" s="246">
        <v>43750</v>
      </c>
      <c r="H2609" s="246">
        <v>50000</v>
      </c>
      <c r="I2609" s="246">
        <v>56250</v>
      </c>
      <c r="J2609" s="246">
        <v>62500</v>
      </c>
      <c r="K2609" s="246">
        <v>67500</v>
      </c>
      <c r="L2609" s="246">
        <v>72500</v>
      </c>
      <c r="M2609" s="246">
        <v>77500</v>
      </c>
      <c r="N2609" s="246">
        <v>82500</v>
      </c>
    </row>
    <row r="2610" spans="3:14" ht="21.95" customHeight="1" x14ac:dyDescent="0.25">
      <c r="C2610" s="139" t="str">
        <f t="shared" si="56"/>
        <v>VA_DICKENSON COUNTY, VA</v>
      </c>
      <c r="D2610" s="136" t="s">
        <v>60</v>
      </c>
      <c r="E2610" s="262" t="s">
        <v>5118</v>
      </c>
      <c r="F2610" s="136" t="s">
        <v>183</v>
      </c>
      <c r="G2610" s="246">
        <v>43750</v>
      </c>
      <c r="H2610" s="246">
        <v>50000</v>
      </c>
      <c r="I2610" s="246">
        <v>56250</v>
      </c>
      <c r="J2610" s="246">
        <v>62500</v>
      </c>
      <c r="K2610" s="246">
        <v>67500</v>
      </c>
      <c r="L2610" s="246">
        <v>72500</v>
      </c>
      <c r="M2610" s="246">
        <v>77500</v>
      </c>
      <c r="N2610" s="246">
        <v>82500</v>
      </c>
    </row>
    <row r="2611" spans="3:14" ht="21.95" customHeight="1" x14ac:dyDescent="0.25">
      <c r="C2611" s="139" t="str">
        <f t="shared" si="56"/>
        <v>VA_ESSEX COUNTY, VA</v>
      </c>
      <c r="D2611" s="136" t="s">
        <v>60</v>
      </c>
      <c r="E2611" s="262" t="s">
        <v>5119</v>
      </c>
      <c r="F2611" s="136" t="s">
        <v>183</v>
      </c>
      <c r="G2611" s="246">
        <v>44200</v>
      </c>
      <c r="H2611" s="246">
        <v>50500</v>
      </c>
      <c r="I2611" s="246">
        <v>56800</v>
      </c>
      <c r="J2611" s="246">
        <v>63100</v>
      </c>
      <c r="K2611" s="246">
        <v>68150</v>
      </c>
      <c r="L2611" s="246">
        <v>73200</v>
      </c>
      <c r="M2611" s="246">
        <v>78250</v>
      </c>
      <c r="N2611" s="246">
        <v>83300</v>
      </c>
    </row>
    <row r="2612" spans="3:14" ht="21.95" customHeight="1" x14ac:dyDescent="0.25">
      <c r="C2612" s="139" t="str">
        <f t="shared" si="56"/>
        <v>VA_FLOYD COUNTY, VA HUD METRO FMR AREA</v>
      </c>
      <c r="D2612" s="136" t="s">
        <v>60</v>
      </c>
      <c r="E2612" s="262" t="s">
        <v>9276</v>
      </c>
      <c r="F2612" s="136" t="s">
        <v>183</v>
      </c>
      <c r="G2612" s="246">
        <v>49400</v>
      </c>
      <c r="H2612" s="246">
        <v>56450</v>
      </c>
      <c r="I2612" s="246">
        <v>63500</v>
      </c>
      <c r="J2612" s="246">
        <v>70550</v>
      </c>
      <c r="K2612" s="246">
        <v>76200</v>
      </c>
      <c r="L2612" s="246">
        <v>81850</v>
      </c>
      <c r="M2612" s="246">
        <v>87500</v>
      </c>
      <c r="N2612" s="246">
        <v>93150</v>
      </c>
    </row>
    <row r="2613" spans="3:14" ht="21.95" customHeight="1" x14ac:dyDescent="0.25">
      <c r="C2613" s="139" t="str">
        <f t="shared" si="56"/>
        <v>VA_FRANKLIN COUNTY, VA HUD METRO FMR AREA</v>
      </c>
      <c r="D2613" s="136" t="s">
        <v>60</v>
      </c>
      <c r="E2613" s="262" t="s">
        <v>5120</v>
      </c>
      <c r="F2613" s="136" t="s">
        <v>183</v>
      </c>
      <c r="G2613" s="246">
        <v>50900</v>
      </c>
      <c r="H2613" s="246">
        <v>58150</v>
      </c>
      <c r="I2613" s="246">
        <v>65400</v>
      </c>
      <c r="J2613" s="246">
        <v>72650</v>
      </c>
      <c r="K2613" s="246">
        <v>78500</v>
      </c>
      <c r="L2613" s="246">
        <v>84300</v>
      </c>
      <c r="M2613" s="246">
        <v>90100</v>
      </c>
      <c r="N2613" s="246">
        <v>95900</v>
      </c>
    </row>
    <row r="2614" spans="3:14" ht="21.95" customHeight="1" x14ac:dyDescent="0.25">
      <c r="C2614" s="139" t="str">
        <f t="shared" si="56"/>
        <v>VA_GILES COUNTY, VA HUD METRO FMR AREA</v>
      </c>
      <c r="D2614" s="136" t="s">
        <v>60</v>
      </c>
      <c r="E2614" s="262" t="s">
        <v>5121</v>
      </c>
      <c r="F2614" s="136" t="s">
        <v>183</v>
      </c>
      <c r="G2614" s="246">
        <v>46100</v>
      </c>
      <c r="H2614" s="246">
        <v>52700</v>
      </c>
      <c r="I2614" s="246">
        <v>59300</v>
      </c>
      <c r="J2614" s="246">
        <v>65850</v>
      </c>
      <c r="K2614" s="246">
        <v>71150</v>
      </c>
      <c r="L2614" s="246">
        <v>76400</v>
      </c>
      <c r="M2614" s="246">
        <v>81700</v>
      </c>
      <c r="N2614" s="246">
        <v>86950</v>
      </c>
    </row>
    <row r="2615" spans="3:14" ht="21.95" customHeight="1" x14ac:dyDescent="0.25">
      <c r="C2615" s="139" t="str">
        <f t="shared" si="56"/>
        <v>VA_GRAYSON COUNTY, VA</v>
      </c>
      <c r="D2615" s="136" t="s">
        <v>60</v>
      </c>
      <c r="E2615" s="262" t="s">
        <v>5122</v>
      </c>
      <c r="F2615" s="136" t="s">
        <v>183</v>
      </c>
      <c r="G2615" s="246">
        <v>43750</v>
      </c>
      <c r="H2615" s="246">
        <v>50000</v>
      </c>
      <c r="I2615" s="246">
        <v>56250</v>
      </c>
      <c r="J2615" s="246">
        <v>62500</v>
      </c>
      <c r="K2615" s="246">
        <v>67500</v>
      </c>
      <c r="L2615" s="246">
        <v>72500</v>
      </c>
      <c r="M2615" s="246">
        <v>77500</v>
      </c>
      <c r="N2615" s="246">
        <v>82500</v>
      </c>
    </row>
    <row r="2616" spans="3:14" ht="21.95" customHeight="1" x14ac:dyDescent="0.25">
      <c r="C2616" s="139" t="str">
        <f t="shared" si="56"/>
        <v>VA_GREENSVILLE COUNTY-EMPORIA CITY, VA HUD NONMETRO FMR AREA</v>
      </c>
      <c r="D2616" s="136" t="s">
        <v>60</v>
      </c>
      <c r="E2616" s="262" t="s">
        <v>5123</v>
      </c>
      <c r="F2616" s="136" t="s">
        <v>183</v>
      </c>
      <c r="G2616" s="246">
        <v>43750</v>
      </c>
      <c r="H2616" s="246">
        <v>50000</v>
      </c>
      <c r="I2616" s="246">
        <v>56250</v>
      </c>
      <c r="J2616" s="246">
        <v>62500</v>
      </c>
      <c r="K2616" s="246">
        <v>67500</v>
      </c>
      <c r="L2616" s="246">
        <v>72500</v>
      </c>
      <c r="M2616" s="246">
        <v>77500</v>
      </c>
      <c r="N2616" s="246">
        <v>82500</v>
      </c>
    </row>
    <row r="2617" spans="3:14" ht="21.95" customHeight="1" x14ac:dyDescent="0.25">
      <c r="C2617" s="139" t="str">
        <f t="shared" si="56"/>
        <v>VA_HALIFAX COUNTY, VA</v>
      </c>
      <c r="D2617" s="136" t="s">
        <v>60</v>
      </c>
      <c r="E2617" s="262" t="s">
        <v>5124</v>
      </c>
      <c r="F2617" s="136" t="s">
        <v>183</v>
      </c>
      <c r="G2617" s="246">
        <v>43750</v>
      </c>
      <c r="H2617" s="246">
        <v>50000</v>
      </c>
      <c r="I2617" s="246">
        <v>56250</v>
      </c>
      <c r="J2617" s="246">
        <v>62500</v>
      </c>
      <c r="K2617" s="246">
        <v>67500</v>
      </c>
      <c r="L2617" s="246">
        <v>72500</v>
      </c>
      <c r="M2617" s="246">
        <v>77500</v>
      </c>
      <c r="N2617" s="246">
        <v>82500</v>
      </c>
    </row>
    <row r="2618" spans="3:14" ht="21.95" customHeight="1" x14ac:dyDescent="0.25">
      <c r="C2618" s="139" t="str">
        <f t="shared" si="56"/>
        <v>VA_HARRISONBURG, VA MSA</v>
      </c>
      <c r="D2618" s="136" t="s">
        <v>60</v>
      </c>
      <c r="E2618" s="262" t="s">
        <v>5125</v>
      </c>
      <c r="F2618" s="136" t="s">
        <v>183</v>
      </c>
      <c r="G2618" s="246">
        <v>54500</v>
      </c>
      <c r="H2618" s="246">
        <v>62250</v>
      </c>
      <c r="I2618" s="246">
        <v>70050</v>
      </c>
      <c r="J2618" s="246">
        <v>77800</v>
      </c>
      <c r="K2618" s="246">
        <v>84050</v>
      </c>
      <c r="L2618" s="246">
        <v>90250</v>
      </c>
      <c r="M2618" s="246">
        <v>96500</v>
      </c>
      <c r="N2618" s="246">
        <v>102700</v>
      </c>
    </row>
    <row r="2619" spans="3:14" ht="21.95" customHeight="1" x14ac:dyDescent="0.25">
      <c r="C2619" s="139" t="str">
        <f t="shared" si="56"/>
        <v>VA_HENRY COUNTY-MARTINSVILLE CITY, VA HUD NONMETRO FMR AREA</v>
      </c>
      <c r="D2619" s="136" t="s">
        <v>60</v>
      </c>
      <c r="E2619" s="262" t="s">
        <v>5126</v>
      </c>
      <c r="F2619" s="136" t="s">
        <v>183</v>
      </c>
      <c r="G2619" s="246">
        <v>43750</v>
      </c>
      <c r="H2619" s="246">
        <v>50000</v>
      </c>
      <c r="I2619" s="246">
        <v>56250</v>
      </c>
      <c r="J2619" s="246">
        <v>62500</v>
      </c>
      <c r="K2619" s="246">
        <v>67500</v>
      </c>
      <c r="L2619" s="246">
        <v>72500</v>
      </c>
      <c r="M2619" s="246">
        <v>77500</v>
      </c>
      <c r="N2619" s="246">
        <v>82500</v>
      </c>
    </row>
    <row r="2620" spans="3:14" ht="21.95" customHeight="1" x14ac:dyDescent="0.25">
      <c r="C2620" s="139" t="str">
        <f t="shared" si="56"/>
        <v>VA_HIGHLAND COUNTY, VA</v>
      </c>
      <c r="D2620" s="136" t="s">
        <v>60</v>
      </c>
      <c r="E2620" s="262" t="s">
        <v>5127</v>
      </c>
      <c r="F2620" s="136" t="s">
        <v>183</v>
      </c>
      <c r="G2620" s="246">
        <v>44800</v>
      </c>
      <c r="H2620" s="246">
        <v>51200</v>
      </c>
      <c r="I2620" s="246">
        <v>57600</v>
      </c>
      <c r="J2620" s="246">
        <v>64000</v>
      </c>
      <c r="K2620" s="246">
        <v>69150</v>
      </c>
      <c r="L2620" s="246">
        <v>74250</v>
      </c>
      <c r="M2620" s="246">
        <v>79400</v>
      </c>
      <c r="N2620" s="246">
        <v>84500</v>
      </c>
    </row>
    <row r="2621" spans="3:14" ht="21.95" customHeight="1" x14ac:dyDescent="0.25">
      <c r="C2621" s="139" t="str">
        <f t="shared" si="56"/>
        <v>VA_KING AND QUEEN COUNTY, VA HUD METRO FMR AREA</v>
      </c>
      <c r="D2621" s="136" t="s">
        <v>60</v>
      </c>
      <c r="E2621" s="262" t="s">
        <v>5128</v>
      </c>
      <c r="F2621" s="136" t="s">
        <v>183</v>
      </c>
      <c r="G2621" s="246">
        <v>50650</v>
      </c>
      <c r="H2621" s="246">
        <v>57850</v>
      </c>
      <c r="I2621" s="246">
        <v>65100</v>
      </c>
      <c r="J2621" s="246">
        <v>72300</v>
      </c>
      <c r="K2621" s="246">
        <v>78100</v>
      </c>
      <c r="L2621" s="246">
        <v>83900</v>
      </c>
      <c r="M2621" s="246">
        <v>89700</v>
      </c>
      <c r="N2621" s="246">
        <v>95450</v>
      </c>
    </row>
    <row r="2622" spans="3:14" ht="21.95" customHeight="1" x14ac:dyDescent="0.25">
      <c r="C2622" s="139" t="str">
        <f t="shared" si="56"/>
        <v>VA_KING GEORGE COUNTY, VA</v>
      </c>
      <c r="D2622" s="136" t="s">
        <v>60</v>
      </c>
      <c r="E2622" s="262" t="s">
        <v>5129</v>
      </c>
      <c r="F2622" s="136" t="s">
        <v>183</v>
      </c>
      <c r="G2622" s="246">
        <v>72950</v>
      </c>
      <c r="H2622" s="246">
        <v>83400</v>
      </c>
      <c r="I2622" s="246">
        <v>93800</v>
      </c>
      <c r="J2622" s="246">
        <v>104200</v>
      </c>
      <c r="K2622" s="246">
        <v>112550</v>
      </c>
      <c r="L2622" s="246">
        <v>120900</v>
      </c>
      <c r="M2622" s="246">
        <v>129250</v>
      </c>
      <c r="N2622" s="246">
        <v>137550</v>
      </c>
    </row>
    <row r="2623" spans="3:14" ht="21.95" customHeight="1" x14ac:dyDescent="0.25">
      <c r="C2623" s="139" t="str">
        <f t="shared" si="56"/>
        <v>VA_KINGSPORT-BRISTOL, TN-VA MSA</v>
      </c>
      <c r="D2623" s="136" t="s">
        <v>60</v>
      </c>
      <c r="E2623" s="262" t="s">
        <v>9258</v>
      </c>
      <c r="F2623" s="136" t="s">
        <v>183</v>
      </c>
      <c r="G2623" s="246">
        <v>42950</v>
      </c>
      <c r="H2623" s="246">
        <v>49100</v>
      </c>
      <c r="I2623" s="246">
        <v>55250</v>
      </c>
      <c r="J2623" s="246">
        <v>61350</v>
      </c>
      <c r="K2623" s="246">
        <v>66300</v>
      </c>
      <c r="L2623" s="246">
        <v>71200</v>
      </c>
      <c r="M2623" s="246">
        <v>76100</v>
      </c>
      <c r="N2623" s="246">
        <v>81000</v>
      </c>
    </row>
    <row r="2624" spans="3:14" ht="21.95" customHeight="1" x14ac:dyDescent="0.25">
      <c r="C2624" s="139" t="str">
        <f t="shared" ref="C2624:C2687" si="57">TRIM(UPPER(D2624))&amp;"_"&amp;TRIM(UPPER(E2624))</f>
        <v>VA_LANCASTER COUNTY, VA</v>
      </c>
      <c r="D2624" s="136" t="s">
        <v>60</v>
      </c>
      <c r="E2624" s="262" t="s">
        <v>5130</v>
      </c>
      <c r="F2624" s="136" t="s">
        <v>183</v>
      </c>
      <c r="G2624" s="246">
        <v>51000</v>
      </c>
      <c r="H2624" s="246">
        <v>58250</v>
      </c>
      <c r="I2624" s="246">
        <v>65550</v>
      </c>
      <c r="J2624" s="246">
        <v>72800</v>
      </c>
      <c r="K2624" s="246">
        <v>78650</v>
      </c>
      <c r="L2624" s="246">
        <v>84450</v>
      </c>
      <c r="M2624" s="246">
        <v>90300</v>
      </c>
      <c r="N2624" s="246">
        <v>96100</v>
      </c>
    </row>
    <row r="2625" spans="3:14" ht="21.95" customHeight="1" x14ac:dyDescent="0.25">
      <c r="C2625" s="139" t="str">
        <f t="shared" si="57"/>
        <v>VA_LEE COUNTY, VA</v>
      </c>
      <c r="D2625" s="136" t="s">
        <v>60</v>
      </c>
      <c r="E2625" s="262" t="s">
        <v>5131</v>
      </c>
      <c r="F2625" s="136" t="s">
        <v>183</v>
      </c>
      <c r="G2625" s="246">
        <v>43750</v>
      </c>
      <c r="H2625" s="246">
        <v>50000</v>
      </c>
      <c r="I2625" s="246">
        <v>56250</v>
      </c>
      <c r="J2625" s="246">
        <v>62500</v>
      </c>
      <c r="K2625" s="246">
        <v>67500</v>
      </c>
      <c r="L2625" s="246">
        <v>72500</v>
      </c>
      <c r="M2625" s="246">
        <v>77500</v>
      </c>
      <c r="N2625" s="246">
        <v>82500</v>
      </c>
    </row>
    <row r="2626" spans="3:14" ht="21.95" customHeight="1" x14ac:dyDescent="0.25">
      <c r="C2626" s="139" t="str">
        <f t="shared" si="57"/>
        <v>VA_LOUISA COUNTY, VA</v>
      </c>
      <c r="D2626" s="136" t="s">
        <v>60</v>
      </c>
      <c r="E2626" s="262" t="s">
        <v>5132</v>
      </c>
      <c r="F2626" s="136" t="s">
        <v>183</v>
      </c>
      <c r="G2626" s="246">
        <v>57750</v>
      </c>
      <c r="H2626" s="246">
        <v>66000</v>
      </c>
      <c r="I2626" s="246">
        <v>74250</v>
      </c>
      <c r="J2626" s="246">
        <v>82450</v>
      </c>
      <c r="K2626" s="246">
        <v>89050</v>
      </c>
      <c r="L2626" s="246">
        <v>95650</v>
      </c>
      <c r="M2626" s="246">
        <v>102250</v>
      </c>
      <c r="N2626" s="246">
        <v>108850</v>
      </c>
    </row>
    <row r="2627" spans="3:14" ht="21.95" customHeight="1" x14ac:dyDescent="0.25">
      <c r="C2627" s="139" t="str">
        <f t="shared" si="57"/>
        <v>VA_LUNENBURG COUNTY, VA</v>
      </c>
      <c r="D2627" s="136" t="s">
        <v>60</v>
      </c>
      <c r="E2627" s="262" t="s">
        <v>5133</v>
      </c>
      <c r="F2627" s="136" t="s">
        <v>183</v>
      </c>
      <c r="G2627" s="246">
        <v>43750</v>
      </c>
      <c r="H2627" s="246">
        <v>50000</v>
      </c>
      <c r="I2627" s="246">
        <v>56250</v>
      </c>
      <c r="J2627" s="246">
        <v>62500</v>
      </c>
      <c r="K2627" s="246">
        <v>67500</v>
      </c>
      <c r="L2627" s="246">
        <v>72500</v>
      </c>
      <c r="M2627" s="246">
        <v>77500</v>
      </c>
      <c r="N2627" s="246">
        <v>82500</v>
      </c>
    </row>
    <row r="2628" spans="3:14" ht="21.95" customHeight="1" x14ac:dyDescent="0.25">
      <c r="C2628" s="139" t="str">
        <f t="shared" si="57"/>
        <v>VA_LYNCHBURG, VA MSA</v>
      </c>
      <c r="D2628" s="136" t="s">
        <v>60</v>
      </c>
      <c r="E2628" s="262" t="s">
        <v>5134</v>
      </c>
      <c r="F2628" s="136" t="s">
        <v>183</v>
      </c>
      <c r="G2628" s="246">
        <v>49600</v>
      </c>
      <c r="H2628" s="246">
        <v>56650</v>
      </c>
      <c r="I2628" s="246">
        <v>63750</v>
      </c>
      <c r="J2628" s="246">
        <v>70800</v>
      </c>
      <c r="K2628" s="246">
        <v>76500</v>
      </c>
      <c r="L2628" s="246">
        <v>82150</v>
      </c>
      <c r="M2628" s="246">
        <v>87800</v>
      </c>
      <c r="N2628" s="246">
        <v>93500</v>
      </c>
    </row>
    <row r="2629" spans="3:14" ht="21.95" customHeight="1" x14ac:dyDescent="0.25">
      <c r="C2629" s="139" t="str">
        <f t="shared" si="57"/>
        <v>VA_MADISON COUNTY, VA</v>
      </c>
      <c r="D2629" s="136" t="s">
        <v>60</v>
      </c>
      <c r="E2629" s="262" t="s">
        <v>9278</v>
      </c>
      <c r="F2629" s="136" t="s">
        <v>183</v>
      </c>
      <c r="G2629" s="246">
        <v>50450</v>
      </c>
      <c r="H2629" s="246">
        <v>57650</v>
      </c>
      <c r="I2629" s="246">
        <v>64850</v>
      </c>
      <c r="J2629" s="246">
        <v>72050</v>
      </c>
      <c r="K2629" s="246">
        <v>77850</v>
      </c>
      <c r="L2629" s="246">
        <v>83600</v>
      </c>
      <c r="M2629" s="246">
        <v>89350</v>
      </c>
      <c r="N2629" s="246">
        <v>95150</v>
      </c>
    </row>
    <row r="2630" spans="3:14" ht="21.95" customHeight="1" x14ac:dyDescent="0.25">
      <c r="C2630" s="139" t="str">
        <f t="shared" si="57"/>
        <v>VA_MECKLENBURG COUNTY, VA</v>
      </c>
      <c r="D2630" s="136" t="s">
        <v>60</v>
      </c>
      <c r="E2630" s="262" t="s">
        <v>5135</v>
      </c>
      <c r="F2630" s="136" t="s">
        <v>183</v>
      </c>
      <c r="G2630" s="246">
        <v>44550</v>
      </c>
      <c r="H2630" s="246">
        <v>50900</v>
      </c>
      <c r="I2630" s="246">
        <v>57250</v>
      </c>
      <c r="J2630" s="246">
        <v>63600</v>
      </c>
      <c r="K2630" s="246">
        <v>68700</v>
      </c>
      <c r="L2630" s="246">
        <v>73800</v>
      </c>
      <c r="M2630" s="246">
        <v>78900</v>
      </c>
      <c r="N2630" s="246">
        <v>84000</v>
      </c>
    </row>
    <row r="2631" spans="3:14" ht="21.95" customHeight="1" x14ac:dyDescent="0.25">
      <c r="C2631" s="139" t="str">
        <f t="shared" si="57"/>
        <v>VA_MIDDLESEX COUNTY, VA</v>
      </c>
      <c r="D2631" s="136" t="s">
        <v>60</v>
      </c>
      <c r="E2631" s="262" t="s">
        <v>5136</v>
      </c>
      <c r="F2631" s="136" t="s">
        <v>183</v>
      </c>
      <c r="G2631" s="246">
        <v>53550</v>
      </c>
      <c r="H2631" s="246">
        <v>61200</v>
      </c>
      <c r="I2631" s="246">
        <v>68850</v>
      </c>
      <c r="J2631" s="246">
        <v>76500</v>
      </c>
      <c r="K2631" s="246">
        <v>82650</v>
      </c>
      <c r="L2631" s="246">
        <v>88750</v>
      </c>
      <c r="M2631" s="246">
        <v>94900</v>
      </c>
      <c r="N2631" s="246">
        <v>101000</v>
      </c>
    </row>
    <row r="2632" spans="3:14" ht="21.95" customHeight="1" x14ac:dyDescent="0.25">
      <c r="C2632" s="139" t="str">
        <f t="shared" si="57"/>
        <v>VA_NORTHAMPTON COUNTY, VA</v>
      </c>
      <c r="D2632" s="136" t="s">
        <v>60</v>
      </c>
      <c r="E2632" s="262" t="s">
        <v>5137</v>
      </c>
      <c r="F2632" s="136" t="s">
        <v>183</v>
      </c>
      <c r="G2632" s="246">
        <v>47850</v>
      </c>
      <c r="H2632" s="246">
        <v>54650</v>
      </c>
      <c r="I2632" s="246">
        <v>61500</v>
      </c>
      <c r="J2632" s="246">
        <v>68300</v>
      </c>
      <c r="K2632" s="246">
        <v>73800</v>
      </c>
      <c r="L2632" s="246">
        <v>79250</v>
      </c>
      <c r="M2632" s="246">
        <v>84700</v>
      </c>
      <c r="N2632" s="246">
        <v>90200</v>
      </c>
    </row>
    <row r="2633" spans="3:14" ht="21.95" customHeight="1" x14ac:dyDescent="0.25">
      <c r="C2633" s="139" t="str">
        <f t="shared" si="57"/>
        <v>VA_NORTHUMBERLAND COUNTY, VA</v>
      </c>
      <c r="D2633" s="136" t="s">
        <v>60</v>
      </c>
      <c r="E2633" s="262" t="s">
        <v>5138</v>
      </c>
      <c r="F2633" s="136" t="s">
        <v>183</v>
      </c>
      <c r="G2633" s="246">
        <v>50700</v>
      </c>
      <c r="H2633" s="246">
        <v>57950</v>
      </c>
      <c r="I2633" s="246">
        <v>65200</v>
      </c>
      <c r="J2633" s="246">
        <v>72400</v>
      </c>
      <c r="K2633" s="246">
        <v>78200</v>
      </c>
      <c r="L2633" s="246">
        <v>84000</v>
      </c>
      <c r="M2633" s="246">
        <v>89800</v>
      </c>
      <c r="N2633" s="246">
        <v>95600</v>
      </c>
    </row>
    <row r="2634" spans="3:14" ht="21.95" customHeight="1" x14ac:dyDescent="0.25">
      <c r="C2634" s="139" t="str">
        <f t="shared" si="57"/>
        <v>VA_NOTTOWAY COUNTY, VA</v>
      </c>
      <c r="D2634" s="136" t="s">
        <v>60</v>
      </c>
      <c r="E2634" s="262" t="s">
        <v>5139</v>
      </c>
      <c r="F2634" s="136" t="s">
        <v>183</v>
      </c>
      <c r="G2634" s="246">
        <v>47450</v>
      </c>
      <c r="H2634" s="246">
        <v>54200</v>
      </c>
      <c r="I2634" s="246">
        <v>61000</v>
      </c>
      <c r="J2634" s="246">
        <v>67750</v>
      </c>
      <c r="K2634" s="246">
        <v>73200</v>
      </c>
      <c r="L2634" s="246">
        <v>78600</v>
      </c>
      <c r="M2634" s="246">
        <v>84050</v>
      </c>
      <c r="N2634" s="246">
        <v>89450</v>
      </c>
    </row>
    <row r="2635" spans="3:14" ht="21.95" customHeight="1" x14ac:dyDescent="0.25">
      <c r="C2635" s="139" t="str">
        <f t="shared" si="57"/>
        <v>VA_ORANGE COUNTY, VA</v>
      </c>
      <c r="D2635" s="136" t="s">
        <v>60</v>
      </c>
      <c r="E2635" s="262" t="s">
        <v>5140</v>
      </c>
      <c r="F2635" s="136" t="s">
        <v>183</v>
      </c>
      <c r="G2635" s="246">
        <v>65250</v>
      </c>
      <c r="H2635" s="246">
        <v>74550</v>
      </c>
      <c r="I2635" s="246">
        <v>83850</v>
      </c>
      <c r="J2635" s="246">
        <v>93150</v>
      </c>
      <c r="K2635" s="246">
        <v>100650</v>
      </c>
      <c r="L2635" s="246">
        <v>108100</v>
      </c>
      <c r="M2635" s="246">
        <v>115550</v>
      </c>
      <c r="N2635" s="246">
        <v>123000</v>
      </c>
    </row>
    <row r="2636" spans="3:14" ht="21.95" customHeight="1" x14ac:dyDescent="0.25">
      <c r="C2636" s="139" t="str">
        <f t="shared" si="57"/>
        <v>VA_PAGE COUNTY, VA</v>
      </c>
      <c r="D2636" s="136" t="s">
        <v>60</v>
      </c>
      <c r="E2636" s="262" t="s">
        <v>5141</v>
      </c>
      <c r="F2636" s="136" t="s">
        <v>183</v>
      </c>
      <c r="G2636" s="246">
        <v>43900</v>
      </c>
      <c r="H2636" s="246">
        <v>50200</v>
      </c>
      <c r="I2636" s="246">
        <v>56450</v>
      </c>
      <c r="J2636" s="246">
        <v>62700</v>
      </c>
      <c r="K2636" s="246">
        <v>67750</v>
      </c>
      <c r="L2636" s="246">
        <v>72750</v>
      </c>
      <c r="M2636" s="246">
        <v>77750</v>
      </c>
      <c r="N2636" s="246">
        <v>82800</v>
      </c>
    </row>
    <row r="2637" spans="3:14" ht="21.95" customHeight="1" x14ac:dyDescent="0.25">
      <c r="C2637" s="139" t="str">
        <f t="shared" si="57"/>
        <v>VA_PATRICK COUNTY, VA</v>
      </c>
      <c r="D2637" s="136" t="s">
        <v>60</v>
      </c>
      <c r="E2637" s="262" t="s">
        <v>5142</v>
      </c>
      <c r="F2637" s="136" t="s">
        <v>183</v>
      </c>
      <c r="G2637" s="246">
        <v>44100</v>
      </c>
      <c r="H2637" s="246">
        <v>50400</v>
      </c>
      <c r="I2637" s="246">
        <v>56700</v>
      </c>
      <c r="J2637" s="246">
        <v>62950</v>
      </c>
      <c r="K2637" s="246">
        <v>68000</v>
      </c>
      <c r="L2637" s="246">
        <v>73050</v>
      </c>
      <c r="M2637" s="246">
        <v>78100</v>
      </c>
      <c r="N2637" s="246">
        <v>83100</v>
      </c>
    </row>
    <row r="2638" spans="3:14" ht="21.95" customHeight="1" x14ac:dyDescent="0.25">
      <c r="C2638" s="139" t="str">
        <f t="shared" si="57"/>
        <v>VA_PITTSYLVANIA COUNTY-DANVILLE CITY, VA HUD NONMETRO FMR AREA</v>
      </c>
      <c r="D2638" s="136" t="s">
        <v>60</v>
      </c>
      <c r="E2638" s="262" t="s">
        <v>5143</v>
      </c>
      <c r="F2638" s="136" t="s">
        <v>183</v>
      </c>
      <c r="G2638" s="246">
        <v>43750</v>
      </c>
      <c r="H2638" s="246">
        <v>50000</v>
      </c>
      <c r="I2638" s="246">
        <v>56250</v>
      </c>
      <c r="J2638" s="246">
        <v>62500</v>
      </c>
      <c r="K2638" s="246">
        <v>67500</v>
      </c>
      <c r="L2638" s="246">
        <v>72500</v>
      </c>
      <c r="M2638" s="246">
        <v>77500</v>
      </c>
      <c r="N2638" s="246">
        <v>82500</v>
      </c>
    </row>
    <row r="2639" spans="3:14" ht="21.95" customHeight="1" x14ac:dyDescent="0.25">
      <c r="C2639" s="139" t="str">
        <f t="shared" si="57"/>
        <v>VA_PRINCE EDWARD COUNTY, VA</v>
      </c>
      <c r="D2639" s="136" t="s">
        <v>60</v>
      </c>
      <c r="E2639" s="262" t="s">
        <v>5144</v>
      </c>
      <c r="F2639" s="136" t="s">
        <v>183</v>
      </c>
      <c r="G2639" s="246">
        <v>46200</v>
      </c>
      <c r="H2639" s="246">
        <v>52800</v>
      </c>
      <c r="I2639" s="246">
        <v>59400</v>
      </c>
      <c r="J2639" s="246">
        <v>66000</v>
      </c>
      <c r="K2639" s="246">
        <v>71300</v>
      </c>
      <c r="L2639" s="246">
        <v>76600</v>
      </c>
      <c r="M2639" s="246">
        <v>81850</v>
      </c>
      <c r="N2639" s="246">
        <v>87150</v>
      </c>
    </row>
    <row r="2640" spans="3:14" ht="21.95" customHeight="1" x14ac:dyDescent="0.25">
      <c r="C2640" s="139" t="str">
        <f t="shared" si="57"/>
        <v>VA_PULASKI COUNTY, VA HUD METRO FMR AREA</v>
      </c>
      <c r="D2640" s="136" t="s">
        <v>60</v>
      </c>
      <c r="E2640" s="262" t="s">
        <v>5145</v>
      </c>
      <c r="F2640" s="136" t="s">
        <v>183</v>
      </c>
      <c r="G2640" s="246">
        <v>48000</v>
      </c>
      <c r="H2640" s="246">
        <v>54850</v>
      </c>
      <c r="I2640" s="246">
        <v>61700</v>
      </c>
      <c r="J2640" s="246">
        <v>68550</v>
      </c>
      <c r="K2640" s="246">
        <v>74050</v>
      </c>
      <c r="L2640" s="246">
        <v>79550</v>
      </c>
      <c r="M2640" s="246">
        <v>85050</v>
      </c>
      <c r="N2640" s="246">
        <v>90500</v>
      </c>
    </row>
    <row r="2641" spans="3:14" ht="21.95" customHeight="1" x14ac:dyDescent="0.25">
      <c r="C2641" s="139" t="str">
        <f t="shared" si="57"/>
        <v>VA_RAPPAHANNOCK COUNTY, VA HUD METRO FMR AREA</v>
      </c>
      <c r="D2641" s="136" t="s">
        <v>60</v>
      </c>
      <c r="E2641" s="262" t="s">
        <v>5146</v>
      </c>
      <c r="F2641" s="136" t="s">
        <v>183</v>
      </c>
      <c r="G2641" s="246">
        <v>60700</v>
      </c>
      <c r="H2641" s="246">
        <v>69350</v>
      </c>
      <c r="I2641" s="246">
        <v>78000</v>
      </c>
      <c r="J2641" s="246">
        <v>86650</v>
      </c>
      <c r="K2641" s="246">
        <v>93600</v>
      </c>
      <c r="L2641" s="246">
        <v>100550</v>
      </c>
      <c r="M2641" s="246">
        <v>107450</v>
      </c>
      <c r="N2641" s="246">
        <v>114400</v>
      </c>
    </row>
    <row r="2642" spans="3:14" ht="21.95" customHeight="1" x14ac:dyDescent="0.25">
      <c r="C2642" s="139" t="str">
        <f t="shared" si="57"/>
        <v>VA_RICHMOND COUNTY, VA</v>
      </c>
      <c r="D2642" s="136" t="s">
        <v>60</v>
      </c>
      <c r="E2642" s="262" t="s">
        <v>5147</v>
      </c>
      <c r="F2642" s="136" t="s">
        <v>183</v>
      </c>
      <c r="G2642" s="246">
        <v>48100</v>
      </c>
      <c r="H2642" s="246">
        <v>55000</v>
      </c>
      <c r="I2642" s="246">
        <v>61850</v>
      </c>
      <c r="J2642" s="246">
        <v>68700</v>
      </c>
      <c r="K2642" s="246">
        <v>74200</v>
      </c>
      <c r="L2642" s="246">
        <v>79700</v>
      </c>
      <c r="M2642" s="246">
        <v>85200</v>
      </c>
      <c r="N2642" s="246">
        <v>90700</v>
      </c>
    </row>
    <row r="2643" spans="3:14" ht="21.95" customHeight="1" x14ac:dyDescent="0.25">
      <c r="C2643" s="139" t="str">
        <f t="shared" si="57"/>
        <v>VA_RICHMOND, VA HUD METRO FMR AREA</v>
      </c>
      <c r="D2643" s="136" t="s">
        <v>60</v>
      </c>
      <c r="E2643" s="262" t="s">
        <v>9274</v>
      </c>
      <c r="F2643" s="136" t="s">
        <v>183</v>
      </c>
      <c r="G2643" s="246">
        <v>63600</v>
      </c>
      <c r="H2643" s="246">
        <v>72650</v>
      </c>
      <c r="I2643" s="246">
        <v>81750</v>
      </c>
      <c r="J2643" s="246">
        <v>90800</v>
      </c>
      <c r="K2643" s="246">
        <v>98100</v>
      </c>
      <c r="L2643" s="246">
        <v>105350</v>
      </c>
      <c r="M2643" s="246">
        <v>112600</v>
      </c>
      <c r="N2643" s="246">
        <v>119900</v>
      </c>
    </row>
    <row r="2644" spans="3:14" ht="21.95" customHeight="1" x14ac:dyDescent="0.25">
      <c r="C2644" s="139" t="str">
        <f t="shared" si="57"/>
        <v>VA_ROANOKE, VA HUD METRO FMR AREA</v>
      </c>
      <c r="D2644" s="136" t="s">
        <v>60</v>
      </c>
      <c r="E2644" s="262" t="s">
        <v>5148</v>
      </c>
      <c r="F2644" s="136" t="s">
        <v>183</v>
      </c>
      <c r="G2644" s="246">
        <v>50750</v>
      </c>
      <c r="H2644" s="246">
        <v>58000</v>
      </c>
      <c r="I2644" s="246">
        <v>65250</v>
      </c>
      <c r="J2644" s="246">
        <v>72500</v>
      </c>
      <c r="K2644" s="246">
        <v>78300</v>
      </c>
      <c r="L2644" s="246">
        <v>84100</v>
      </c>
      <c r="M2644" s="246">
        <v>89900</v>
      </c>
      <c r="N2644" s="246">
        <v>95700</v>
      </c>
    </row>
    <row r="2645" spans="3:14" ht="21.95" customHeight="1" x14ac:dyDescent="0.25">
      <c r="C2645" s="139" t="str">
        <f t="shared" si="57"/>
        <v>VA_ROCKBRIDGE COUNTY-BUENA VISTA CITY-LEXINGTON CITY, VA HUD NONMETR</v>
      </c>
      <c r="D2645" s="136" t="s">
        <v>60</v>
      </c>
      <c r="E2645" s="262" t="s">
        <v>5149</v>
      </c>
      <c r="F2645" s="136" t="s">
        <v>183</v>
      </c>
      <c r="G2645" s="246">
        <v>47750</v>
      </c>
      <c r="H2645" s="246">
        <v>54550</v>
      </c>
      <c r="I2645" s="246">
        <v>61350</v>
      </c>
      <c r="J2645" s="246">
        <v>68150</v>
      </c>
      <c r="K2645" s="246">
        <v>73650</v>
      </c>
      <c r="L2645" s="246">
        <v>79100</v>
      </c>
      <c r="M2645" s="246">
        <v>84550</v>
      </c>
      <c r="N2645" s="246">
        <v>90000</v>
      </c>
    </row>
    <row r="2646" spans="3:14" ht="21.95" customHeight="1" x14ac:dyDescent="0.25">
      <c r="C2646" s="139" t="str">
        <f t="shared" si="57"/>
        <v>VA_RUSSELL COUNTY, VA</v>
      </c>
      <c r="D2646" s="136" t="s">
        <v>60</v>
      </c>
      <c r="E2646" s="262" t="s">
        <v>5150</v>
      </c>
      <c r="F2646" s="136" t="s">
        <v>183</v>
      </c>
      <c r="G2646" s="246">
        <v>43750</v>
      </c>
      <c r="H2646" s="246">
        <v>50000</v>
      </c>
      <c r="I2646" s="246">
        <v>56250</v>
      </c>
      <c r="J2646" s="246">
        <v>62500</v>
      </c>
      <c r="K2646" s="246">
        <v>67500</v>
      </c>
      <c r="L2646" s="246">
        <v>72500</v>
      </c>
      <c r="M2646" s="246">
        <v>77500</v>
      </c>
      <c r="N2646" s="246">
        <v>82500</v>
      </c>
    </row>
    <row r="2647" spans="3:14" ht="21.95" customHeight="1" x14ac:dyDescent="0.25">
      <c r="C2647" s="139" t="str">
        <f t="shared" si="57"/>
        <v>VA_SHENANDOAH COUNTY, VA</v>
      </c>
      <c r="D2647" s="136" t="s">
        <v>60</v>
      </c>
      <c r="E2647" s="262" t="s">
        <v>5151</v>
      </c>
      <c r="F2647" s="136" t="s">
        <v>183</v>
      </c>
      <c r="G2647" s="246">
        <v>49000</v>
      </c>
      <c r="H2647" s="246">
        <v>56000</v>
      </c>
      <c r="I2647" s="246">
        <v>63000</v>
      </c>
      <c r="J2647" s="246">
        <v>70000</v>
      </c>
      <c r="K2647" s="246">
        <v>75600</v>
      </c>
      <c r="L2647" s="246">
        <v>81200</v>
      </c>
      <c r="M2647" s="246">
        <v>86800</v>
      </c>
      <c r="N2647" s="246">
        <v>92400</v>
      </c>
    </row>
    <row r="2648" spans="3:14" ht="21.95" customHeight="1" x14ac:dyDescent="0.25">
      <c r="C2648" s="139" t="str">
        <f t="shared" si="57"/>
        <v>VA_SMYTH COUNTY, VA</v>
      </c>
      <c r="D2648" s="136" t="s">
        <v>60</v>
      </c>
      <c r="E2648" s="262" t="s">
        <v>5152</v>
      </c>
      <c r="F2648" s="136" t="s">
        <v>183</v>
      </c>
      <c r="G2648" s="246">
        <v>43750</v>
      </c>
      <c r="H2648" s="246">
        <v>50000</v>
      </c>
      <c r="I2648" s="246">
        <v>56250</v>
      </c>
      <c r="J2648" s="246">
        <v>62500</v>
      </c>
      <c r="K2648" s="246">
        <v>67500</v>
      </c>
      <c r="L2648" s="246">
        <v>72500</v>
      </c>
      <c r="M2648" s="246">
        <v>77500</v>
      </c>
      <c r="N2648" s="246">
        <v>82500</v>
      </c>
    </row>
    <row r="2649" spans="3:14" ht="21.95" customHeight="1" x14ac:dyDescent="0.25">
      <c r="C2649" s="139" t="str">
        <f t="shared" si="57"/>
        <v>VA_SOUTHAMPTON COUNTY-FRANKLIN CITY, VA HUD NONMETRO FMR AREA</v>
      </c>
      <c r="D2649" s="136" t="s">
        <v>60</v>
      </c>
      <c r="E2649" s="262" t="s">
        <v>9277</v>
      </c>
      <c r="F2649" s="136" t="s">
        <v>183</v>
      </c>
      <c r="G2649" s="246">
        <v>52500</v>
      </c>
      <c r="H2649" s="246">
        <v>60000</v>
      </c>
      <c r="I2649" s="246">
        <v>67500</v>
      </c>
      <c r="J2649" s="246">
        <v>75000</v>
      </c>
      <c r="K2649" s="246">
        <v>81000</v>
      </c>
      <c r="L2649" s="246">
        <v>87000</v>
      </c>
      <c r="M2649" s="246">
        <v>93000</v>
      </c>
      <c r="N2649" s="246">
        <v>99000</v>
      </c>
    </row>
    <row r="2650" spans="3:14" ht="21.95" customHeight="1" x14ac:dyDescent="0.25">
      <c r="C2650" s="139" t="str">
        <f t="shared" si="57"/>
        <v>VA_STAUNTON-STUARTS DRAFT, VA MSA</v>
      </c>
      <c r="D2650" s="136" t="s">
        <v>60</v>
      </c>
      <c r="E2650" s="262" t="s">
        <v>9275</v>
      </c>
      <c r="F2650" s="136" t="s">
        <v>183</v>
      </c>
      <c r="G2650" s="246">
        <v>52850</v>
      </c>
      <c r="H2650" s="246">
        <v>60400</v>
      </c>
      <c r="I2650" s="246">
        <v>67950</v>
      </c>
      <c r="J2650" s="246">
        <v>75500</v>
      </c>
      <c r="K2650" s="246">
        <v>81550</v>
      </c>
      <c r="L2650" s="246">
        <v>87600</v>
      </c>
      <c r="M2650" s="246">
        <v>93650</v>
      </c>
      <c r="N2650" s="246">
        <v>99700</v>
      </c>
    </row>
    <row r="2651" spans="3:14" ht="21.95" customHeight="1" x14ac:dyDescent="0.25">
      <c r="C2651" s="139" t="str">
        <f t="shared" si="57"/>
        <v>VA_SURRY COUNTY, VA HUD METRO FMR AREA</v>
      </c>
      <c r="D2651" s="136" t="s">
        <v>60</v>
      </c>
      <c r="E2651" s="262" t="s">
        <v>9279</v>
      </c>
      <c r="F2651" s="136" t="s">
        <v>183</v>
      </c>
      <c r="G2651" s="246">
        <v>53950</v>
      </c>
      <c r="H2651" s="246">
        <v>61650</v>
      </c>
      <c r="I2651" s="246">
        <v>69350</v>
      </c>
      <c r="J2651" s="246">
        <v>77050</v>
      </c>
      <c r="K2651" s="246">
        <v>83250</v>
      </c>
      <c r="L2651" s="246">
        <v>89400</v>
      </c>
      <c r="M2651" s="246">
        <v>95550</v>
      </c>
      <c r="N2651" s="246">
        <v>101750</v>
      </c>
    </row>
    <row r="2652" spans="3:14" ht="21.95" customHeight="1" x14ac:dyDescent="0.25">
      <c r="C2652" s="139" t="str">
        <f t="shared" si="57"/>
        <v>VA_TAZEWELL COUNTY, VA</v>
      </c>
      <c r="D2652" s="136" t="s">
        <v>60</v>
      </c>
      <c r="E2652" s="262" t="s">
        <v>5153</v>
      </c>
      <c r="F2652" s="136" t="s">
        <v>183</v>
      </c>
      <c r="G2652" s="246">
        <v>43750</v>
      </c>
      <c r="H2652" s="246">
        <v>50000</v>
      </c>
      <c r="I2652" s="246">
        <v>56250</v>
      </c>
      <c r="J2652" s="246">
        <v>62500</v>
      </c>
      <c r="K2652" s="246">
        <v>67500</v>
      </c>
      <c r="L2652" s="246">
        <v>72500</v>
      </c>
      <c r="M2652" s="246">
        <v>77500</v>
      </c>
      <c r="N2652" s="246">
        <v>82500</v>
      </c>
    </row>
    <row r="2653" spans="3:14" ht="21.95" customHeight="1" x14ac:dyDescent="0.25">
      <c r="C2653" s="139" t="str">
        <f t="shared" si="57"/>
        <v>VA_VIRGINIA BEACH-NORFOLK-NEWPORT NEWS, VA-NC HUD METRO FMR AREA</v>
      </c>
      <c r="D2653" s="136" t="s">
        <v>60</v>
      </c>
      <c r="E2653" s="262" t="s">
        <v>4320</v>
      </c>
      <c r="F2653" s="136" t="s">
        <v>183</v>
      </c>
      <c r="G2653" s="246">
        <v>59650</v>
      </c>
      <c r="H2653" s="246">
        <v>68200</v>
      </c>
      <c r="I2653" s="246">
        <v>76700</v>
      </c>
      <c r="J2653" s="246">
        <v>85200</v>
      </c>
      <c r="K2653" s="246">
        <v>92050</v>
      </c>
      <c r="L2653" s="246">
        <v>98850</v>
      </c>
      <c r="M2653" s="246">
        <v>105650</v>
      </c>
      <c r="N2653" s="246">
        <v>112500</v>
      </c>
    </row>
    <row r="2654" spans="3:14" ht="21.95" customHeight="1" x14ac:dyDescent="0.25">
      <c r="C2654" s="139" t="str">
        <f t="shared" si="57"/>
        <v>VA_WARREN COUNTY, VA HUD METRO FMR AREA</v>
      </c>
      <c r="D2654" s="136" t="s">
        <v>60</v>
      </c>
      <c r="E2654" s="262" t="s">
        <v>5154</v>
      </c>
      <c r="F2654" s="136" t="s">
        <v>183</v>
      </c>
      <c r="G2654" s="246">
        <v>58200</v>
      </c>
      <c r="H2654" s="246">
        <v>66500</v>
      </c>
      <c r="I2654" s="246">
        <v>74800</v>
      </c>
      <c r="J2654" s="246">
        <v>83100</v>
      </c>
      <c r="K2654" s="246">
        <v>89750</v>
      </c>
      <c r="L2654" s="246">
        <v>96400</v>
      </c>
      <c r="M2654" s="246">
        <v>103050</v>
      </c>
      <c r="N2654" s="246">
        <v>109700</v>
      </c>
    </row>
    <row r="2655" spans="3:14" ht="21.95" customHeight="1" x14ac:dyDescent="0.25">
      <c r="C2655" s="139" t="str">
        <f t="shared" si="57"/>
        <v>VA_WASHINGTON-ARLINGTON-ALEXANDRIA, DC-VA-MD HUD METRO FMR AREA</v>
      </c>
      <c r="D2655" s="136" t="s">
        <v>60</v>
      </c>
      <c r="E2655" s="262" t="s">
        <v>3210</v>
      </c>
      <c r="F2655" s="136" t="s">
        <v>183</v>
      </c>
      <c r="G2655" s="246">
        <v>74800</v>
      </c>
      <c r="H2655" s="246">
        <v>85450</v>
      </c>
      <c r="I2655" s="246">
        <v>96150</v>
      </c>
      <c r="J2655" s="246">
        <v>106800</v>
      </c>
      <c r="K2655" s="246">
        <v>115350</v>
      </c>
      <c r="L2655" s="246">
        <v>123900</v>
      </c>
      <c r="M2655" s="246">
        <v>132450</v>
      </c>
      <c r="N2655" s="246">
        <v>141000</v>
      </c>
    </row>
    <row r="2656" spans="3:14" ht="21.95" customHeight="1" x14ac:dyDescent="0.25">
      <c r="C2656" s="139" t="str">
        <f t="shared" si="57"/>
        <v>VA_WESTMORELAND COUNTY, VA</v>
      </c>
      <c r="D2656" s="136" t="s">
        <v>60</v>
      </c>
      <c r="E2656" s="262" t="s">
        <v>5155</v>
      </c>
      <c r="F2656" s="136" t="s">
        <v>183</v>
      </c>
      <c r="G2656" s="246">
        <v>50600</v>
      </c>
      <c r="H2656" s="246">
        <v>57800</v>
      </c>
      <c r="I2656" s="246">
        <v>65050</v>
      </c>
      <c r="J2656" s="246">
        <v>72250</v>
      </c>
      <c r="K2656" s="246">
        <v>78050</v>
      </c>
      <c r="L2656" s="246">
        <v>83850</v>
      </c>
      <c r="M2656" s="246">
        <v>89600</v>
      </c>
      <c r="N2656" s="246">
        <v>95400</v>
      </c>
    </row>
    <row r="2657" spans="3:14" ht="21.95" customHeight="1" x14ac:dyDescent="0.25">
      <c r="C2657" s="139" t="str">
        <f t="shared" si="57"/>
        <v>VA_WINCHESTER, VA-WV MSA</v>
      </c>
      <c r="D2657" s="136" t="s">
        <v>60</v>
      </c>
      <c r="E2657" s="262" t="s">
        <v>5156</v>
      </c>
      <c r="F2657" s="136" t="s">
        <v>183</v>
      </c>
      <c r="G2657" s="246">
        <v>63350</v>
      </c>
      <c r="H2657" s="246">
        <v>72400</v>
      </c>
      <c r="I2657" s="246">
        <v>81450</v>
      </c>
      <c r="J2657" s="246">
        <v>90500</v>
      </c>
      <c r="K2657" s="246">
        <v>97750</v>
      </c>
      <c r="L2657" s="246">
        <v>105000</v>
      </c>
      <c r="M2657" s="246">
        <v>112250</v>
      </c>
      <c r="N2657" s="246">
        <v>119500</v>
      </c>
    </row>
    <row r="2658" spans="3:14" ht="21.95" customHeight="1" x14ac:dyDescent="0.25">
      <c r="C2658" s="139" t="str">
        <f t="shared" si="57"/>
        <v>VA_WISE COUNTY-NORTON CITY, VA HUD NONMETRO FMR AREA</v>
      </c>
      <c r="D2658" s="136" t="s">
        <v>60</v>
      </c>
      <c r="E2658" s="262" t="s">
        <v>5157</v>
      </c>
      <c r="F2658" s="136" t="s">
        <v>183</v>
      </c>
      <c r="G2658" s="246">
        <v>43750</v>
      </c>
      <c r="H2658" s="246">
        <v>50000</v>
      </c>
      <c r="I2658" s="246">
        <v>56250</v>
      </c>
      <c r="J2658" s="246">
        <v>62500</v>
      </c>
      <c r="K2658" s="246">
        <v>67500</v>
      </c>
      <c r="L2658" s="246">
        <v>72500</v>
      </c>
      <c r="M2658" s="246">
        <v>77500</v>
      </c>
      <c r="N2658" s="246">
        <v>82500</v>
      </c>
    </row>
    <row r="2659" spans="3:14" ht="21.95" customHeight="1" x14ac:dyDescent="0.25">
      <c r="C2659" s="139" t="str">
        <f t="shared" si="57"/>
        <v>VA_WYTHE COUNTY, VA</v>
      </c>
      <c r="D2659" s="136" t="s">
        <v>60</v>
      </c>
      <c r="E2659" s="262" t="s">
        <v>5158</v>
      </c>
      <c r="F2659" s="136" t="s">
        <v>183</v>
      </c>
      <c r="G2659" s="246">
        <v>46950</v>
      </c>
      <c r="H2659" s="246">
        <v>53650</v>
      </c>
      <c r="I2659" s="246">
        <v>60350</v>
      </c>
      <c r="J2659" s="246">
        <v>67050</v>
      </c>
      <c r="K2659" s="246">
        <v>72450</v>
      </c>
      <c r="L2659" s="246">
        <v>77800</v>
      </c>
      <c r="M2659" s="246">
        <v>83150</v>
      </c>
      <c r="N2659" s="246">
        <v>88550</v>
      </c>
    </row>
    <row r="2660" spans="3:14" ht="21.95" customHeight="1" x14ac:dyDescent="0.25">
      <c r="C2660" s="139" t="str">
        <f t="shared" si="57"/>
        <v>VT_ADDISON COUNTY, VT</v>
      </c>
      <c r="D2660" s="136" t="s">
        <v>61</v>
      </c>
      <c r="E2660" s="262" t="s">
        <v>5159</v>
      </c>
      <c r="F2660" s="136" t="s">
        <v>183</v>
      </c>
      <c r="G2660" s="246">
        <v>65050</v>
      </c>
      <c r="H2660" s="246">
        <v>74350</v>
      </c>
      <c r="I2660" s="246">
        <v>83650</v>
      </c>
      <c r="J2660" s="246">
        <v>92900</v>
      </c>
      <c r="K2660" s="246">
        <v>100350</v>
      </c>
      <c r="L2660" s="246">
        <v>107800</v>
      </c>
      <c r="M2660" s="246">
        <v>115200</v>
      </c>
      <c r="N2660" s="246">
        <v>122650</v>
      </c>
    </row>
    <row r="2661" spans="3:14" ht="21.95" customHeight="1" x14ac:dyDescent="0.25">
      <c r="C2661" s="139" t="str">
        <f t="shared" si="57"/>
        <v>VT_BENNINGTON COUNTY, VT</v>
      </c>
      <c r="D2661" s="136" t="s">
        <v>61</v>
      </c>
      <c r="E2661" s="262" t="s">
        <v>5160</v>
      </c>
      <c r="F2661" s="136" t="s">
        <v>183</v>
      </c>
      <c r="G2661" s="246">
        <v>61000</v>
      </c>
      <c r="H2661" s="246">
        <v>69700</v>
      </c>
      <c r="I2661" s="246">
        <v>78400</v>
      </c>
      <c r="J2661" s="246">
        <v>87100</v>
      </c>
      <c r="K2661" s="246">
        <v>94100</v>
      </c>
      <c r="L2661" s="246">
        <v>101050</v>
      </c>
      <c r="M2661" s="246">
        <v>108050</v>
      </c>
      <c r="N2661" s="246">
        <v>115000</v>
      </c>
    </row>
    <row r="2662" spans="3:14" ht="21.95" customHeight="1" x14ac:dyDescent="0.25">
      <c r="C2662" s="139" t="str">
        <f t="shared" si="57"/>
        <v>VT_BURLINGTON-SOUTH BURLINGTON, VT MSA</v>
      </c>
      <c r="D2662" s="136" t="s">
        <v>61</v>
      </c>
      <c r="E2662" s="262" t="s">
        <v>5161</v>
      </c>
      <c r="F2662" s="136" t="s">
        <v>183</v>
      </c>
      <c r="G2662" s="246">
        <v>72700</v>
      </c>
      <c r="H2662" s="246">
        <v>83100</v>
      </c>
      <c r="I2662" s="246">
        <v>93500</v>
      </c>
      <c r="J2662" s="246">
        <v>103850</v>
      </c>
      <c r="K2662" s="246">
        <v>112200</v>
      </c>
      <c r="L2662" s="246">
        <v>120500</v>
      </c>
      <c r="M2662" s="246">
        <v>128800</v>
      </c>
      <c r="N2662" s="246">
        <v>137100</v>
      </c>
    </row>
    <row r="2663" spans="3:14" ht="21.95" customHeight="1" x14ac:dyDescent="0.25">
      <c r="C2663" s="139" t="str">
        <f t="shared" si="57"/>
        <v>VT_CALEDONIA COUNTY, VT</v>
      </c>
      <c r="D2663" s="136" t="s">
        <v>61</v>
      </c>
      <c r="E2663" s="262" t="s">
        <v>5162</v>
      </c>
      <c r="F2663" s="136" t="s">
        <v>183</v>
      </c>
      <c r="G2663" s="246">
        <v>58100</v>
      </c>
      <c r="H2663" s="246">
        <v>66400</v>
      </c>
      <c r="I2663" s="246">
        <v>74700</v>
      </c>
      <c r="J2663" s="246">
        <v>82950</v>
      </c>
      <c r="K2663" s="246">
        <v>89600</v>
      </c>
      <c r="L2663" s="246">
        <v>96250</v>
      </c>
      <c r="M2663" s="246">
        <v>102900</v>
      </c>
      <c r="N2663" s="246">
        <v>109500</v>
      </c>
    </row>
    <row r="2664" spans="3:14" ht="21.95" customHeight="1" x14ac:dyDescent="0.25">
      <c r="C2664" s="139" t="str">
        <f t="shared" si="57"/>
        <v>VT_ESSEX COUNTY, VT</v>
      </c>
      <c r="D2664" s="136" t="s">
        <v>61</v>
      </c>
      <c r="E2664" s="262" t="s">
        <v>5163</v>
      </c>
      <c r="F2664" s="136" t="s">
        <v>183</v>
      </c>
      <c r="G2664" s="246">
        <v>58100</v>
      </c>
      <c r="H2664" s="246">
        <v>66400</v>
      </c>
      <c r="I2664" s="246">
        <v>74700</v>
      </c>
      <c r="J2664" s="246">
        <v>82950</v>
      </c>
      <c r="K2664" s="246">
        <v>89600</v>
      </c>
      <c r="L2664" s="246">
        <v>96250</v>
      </c>
      <c r="M2664" s="246">
        <v>102900</v>
      </c>
      <c r="N2664" s="246">
        <v>109500</v>
      </c>
    </row>
    <row r="2665" spans="3:14" ht="21.95" customHeight="1" x14ac:dyDescent="0.25">
      <c r="C2665" s="139" t="str">
        <f t="shared" si="57"/>
        <v>VT_LAMOILLE COUNTY, VT</v>
      </c>
      <c r="D2665" s="136" t="s">
        <v>61</v>
      </c>
      <c r="E2665" s="262" t="s">
        <v>5164</v>
      </c>
      <c r="F2665" s="136" t="s">
        <v>183</v>
      </c>
      <c r="G2665" s="246">
        <v>58100</v>
      </c>
      <c r="H2665" s="246">
        <v>66400</v>
      </c>
      <c r="I2665" s="246">
        <v>74700</v>
      </c>
      <c r="J2665" s="246">
        <v>82950</v>
      </c>
      <c r="K2665" s="246">
        <v>89600</v>
      </c>
      <c r="L2665" s="246">
        <v>96250</v>
      </c>
      <c r="M2665" s="246">
        <v>102900</v>
      </c>
      <c r="N2665" s="246">
        <v>109500</v>
      </c>
    </row>
    <row r="2666" spans="3:14" ht="21.95" customHeight="1" x14ac:dyDescent="0.25">
      <c r="C2666" s="139" t="str">
        <f t="shared" si="57"/>
        <v>VT_ORANGE COUNTY, VT</v>
      </c>
      <c r="D2666" s="136" t="s">
        <v>61</v>
      </c>
      <c r="E2666" s="262" t="s">
        <v>5165</v>
      </c>
      <c r="F2666" s="136" t="s">
        <v>183</v>
      </c>
      <c r="G2666" s="246">
        <v>58100</v>
      </c>
      <c r="H2666" s="246">
        <v>66400</v>
      </c>
      <c r="I2666" s="246">
        <v>74700</v>
      </c>
      <c r="J2666" s="246">
        <v>82950</v>
      </c>
      <c r="K2666" s="246">
        <v>89600</v>
      </c>
      <c r="L2666" s="246">
        <v>96250</v>
      </c>
      <c r="M2666" s="246">
        <v>102900</v>
      </c>
      <c r="N2666" s="246">
        <v>109500</v>
      </c>
    </row>
    <row r="2667" spans="3:14" ht="21.95" customHeight="1" x14ac:dyDescent="0.25">
      <c r="C2667" s="139" t="str">
        <f t="shared" si="57"/>
        <v>VT_ORLEANS COUNTY, VT</v>
      </c>
      <c r="D2667" s="136" t="s">
        <v>61</v>
      </c>
      <c r="E2667" s="262" t="s">
        <v>5166</v>
      </c>
      <c r="F2667" s="136" t="s">
        <v>183</v>
      </c>
      <c r="G2667" s="246">
        <v>58100</v>
      </c>
      <c r="H2667" s="246">
        <v>66400</v>
      </c>
      <c r="I2667" s="246">
        <v>74700</v>
      </c>
      <c r="J2667" s="246">
        <v>82950</v>
      </c>
      <c r="K2667" s="246">
        <v>89600</v>
      </c>
      <c r="L2667" s="246">
        <v>96250</v>
      </c>
      <c r="M2667" s="246">
        <v>102900</v>
      </c>
      <c r="N2667" s="246">
        <v>109500</v>
      </c>
    </row>
    <row r="2668" spans="3:14" ht="21.95" customHeight="1" x14ac:dyDescent="0.25">
      <c r="C2668" s="139" t="str">
        <f t="shared" si="57"/>
        <v>VT_RUTLAND COUNTY, VT</v>
      </c>
      <c r="D2668" s="136" t="s">
        <v>61</v>
      </c>
      <c r="E2668" s="262" t="s">
        <v>5167</v>
      </c>
      <c r="F2668" s="136" t="s">
        <v>183</v>
      </c>
      <c r="G2668" s="246">
        <v>58100</v>
      </c>
      <c r="H2668" s="246">
        <v>66400</v>
      </c>
      <c r="I2668" s="246">
        <v>74700</v>
      </c>
      <c r="J2668" s="246">
        <v>82950</v>
      </c>
      <c r="K2668" s="246">
        <v>89600</v>
      </c>
      <c r="L2668" s="246">
        <v>96250</v>
      </c>
      <c r="M2668" s="246">
        <v>102900</v>
      </c>
      <c r="N2668" s="246">
        <v>109500</v>
      </c>
    </row>
    <row r="2669" spans="3:14" ht="21.95" customHeight="1" x14ac:dyDescent="0.25">
      <c r="C2669" s="139" t="str">
        <f t="shared" si="57"/>
        <v>VT_WASHINGTON COUNTY, VT</v>
      </c>
      <c r="D2669" s="136" t="s">
        <v>61</v>
      </c>
      <c r="E2669" s="262" t="s">
        <v>5168</v>
      </c>
      <c r="F2669" s="136" t="s">
        <v>183</v>
      </c>
      <c r="G2669" s="246">
        <v>61850</v>
      </c>
      <c r="H2669" s="246">
        <v>70650</v>
      </c>
      <c r="I2669" s="246">
        <v>79500</v>
      </c>
      <c r="J2669" s="246">
        <v>88300</v>
      </c>
      <c r="K2669" s="246">
        <v>95400</v>
      </c>
      <c r="L2669" s="246">
        <v>102450</v>
      </c>
      <c r="M2669" s="246">
        <v>109500</v>
      </c>
      <c r="N2669" s="246">
        <v>116600</v>
      </c>
    </row>
    <row r="2670" spans="3:14" ht="21.95" customHeight="1" x14ac:dyDescent="0.25">
      <c r="C2670" s="139" t="str">
        <f t="shared" si="57"/>
        <v>VT_WINDHAM COUNTY, VT</v>
      </c>
      <c r="D2670" s="136" t="s">
        <v>61</v>
      </c>
      <c r="E2670" s="262" t="s">
        <v>5169</v>
      </c>
      <c r="F2670" s="136" t="s">
        <v>183</v>
      </c>
      <c r="G2670" s="246">
        <v>58100</v>
      </c>
      <c r="H2670" s="246">
        <v>66400</v>
      </c>
      <c r="I2670" s="246">
        <v>74700</v>
      </c>
      <c r="J2670" s="246">
        <v>82950</v>
      </c>
      <c r="K2670" s="246">
        <v>89600</v>
      </c>
      <c r="L2670" s="246">
        <v>96250</v>
      </c>
      <c r="M2670" s="246">
        <v>102900</v>
      </c>
      <c r="N2670" s="246">
        <v>109500</v>
      </c>
    </row>
    <row r="2671" spans="3:14" ht="21.95" customHeight="1" x14ac:dyDescent="0.25">
      <c r="C2671" s="139" t="str">
        <f t="shared" si="57"/>
        <v>VT_WINDSOR COUNTY, VT</v>
      </c>
      <c r="D2671" s="136" t="s">
        <v>61</v>
      </c>
      <c r="E2671" s="262" t="s">
        <v>5170</v>
      </c>
      <c r="F2671" s="136" t="s">
        <v>183</v>
      </c>
      <c r="G2671" s="246">
        <v>61450</v>
      </c>
      <c r="H2671" s="246">
        <v>70200</v>
      </c>
      <c r="I2671" s="246">
        <v>79000</v>
      </c>
      <c r="J2671" s="246">
        <v>87750</v>
      </c>
      <c r="K2671" s="246">
        <v>94800</v>
      </c>
      <c r="L2671" s="246">
        <v>101800</v>
      </c>
      <c r="M2671" s="246">
        <v>108850</v>
      </c>
      <c r="N2671" s="246">
        <v>115850</v>
      </c>
    </row>
    <row r="2672" spans="3:14" ht="21.95" customHeight="1" x14ac:dyDescent="0.25">
      <c r="C2672" s="139" t="str">
        <f t="shared" si="57"/>
        <v>WA_ADAMS COUNTY, WA</v>
      </c>
      <c r="D2672" s="136" t="s">
        <v>59</v>
      </c>
      <c r="E2672" s="262" t="s">
        <v>5171</v>
      </c>
      <c r="F2672" s="136" t="s">
        <v>183</v>
      </c>
      <c r="G2672" s="246">
        <v>53100</v>
      </c>
      <c r="H2672" s="246">
        <v>60700</v>
      </c>
      <c r="I2672" s="246">
        <v>68300</v>
      </c>
      <c r="J2672" s="246">
        <v>75850</v>
      </c>
      <c r="K2672" s="246">
        <v>81950</v>
      </c>
      <c r="L2672" s="246">
        <v>88000</v>
      </c>
      <c r="M2672" s="246">
        <v>94100</v>
      </c>
      <c r="N2672" s="246">
        <v>100150</v>
      </c>
    </row>
    <row r="2673" spans="3:14" ht="21.95" customHeight="1" x14ac:dyDescent="0.25">
      <c r="C2673" s="139" t="str">
        <f t="shared" si="57"/>
        <v>WA_BELLINGHAM, WA MSA</v>
      </c>
      <c r="D2673" s="136" t="s">
        <v>59</v>
      </c>
      <c r="E2673" s="262" t="s">
        <v>5172</v>
      </c>
      <c r="F2673" s="136" t="s">
        <v>183</v>
      </c>
      <c r="G2673" s="246">
        <v>60700</v>
      </c>
      <c r="H2673" s="246">
        <v>69400</v>
      </c>
      <c r="I2673" s="246">
        <v>78050</v>
      </c>
      <c r="J2673" s="246">
        <v>86700</v>
      </c>
      <c r="K2673" s="246">
        <v>93650</v>
      </c>
      <c r="L2673" s="246">
        <v>100600</v>
      </c>
      <c r="M2673" s="246">
        <v>107550</v>
      </c>
      <c r="N2673" s="246">
        <v>114450</v>
      </c>
    </row>
    <row r="2674" spans="3:14" ht="21.95" customHeight="1" x14ac:dyDescent="0.25">
      <c r="C2674" s="139" t="str">
        <f t="shared" si="57"/>
        <v>WA_BREMERTON-SILVERDALE-PORT ORCHARD, WA MSA</v>
      </c>
      <c r="D2674" s="136" t="s">
        <v>59</v>
      </c>
      <c r="E2674" s="262" t="s">
        <v>9282</v>
      </c>
      <c r="F2674" s="136" t="s">
        <v>183</v>
      </c>
      <c r="G2674" s="246">
        <v>69650</v>
      </c>
      <c r="H2674" s="246">
        <v>79600</v>
      </c>
      <c r="I2674" s="246">
        <v>89550</v>
      </c>
      <c r="J2674" s="246">
        <v>99450</v>
      </c>
      <c r="K2674" s="246">
        <v>107450</v>
      </c>
      <c r="L2674" s="246">
        <v>115400</v>
      </c>
      <c r="M2674" s="246">
        <v>123350</v>
      </c>
      <c r="N2674" s="246">
        <v>131300</v>
      </c>
    </row>
    <row r="2675" spans="3:14" ht="21.95" customHeight="1" x14ac:dyDescent="0.25">
      <c r="C2675" s="139" t="str">
        <f t="shared" si="57"/>
        <v>WA_CLALLAM COUNTY, WA</v>
      </c>
      <c r="D2675" s="136" t="s">
        <v>59</v>
      </c>
      <c r="E2675" s="262" t="s">
        <v>5173</v>
      </c>
      <c r="F2675" s="136" t="s">
        <v>183</v>
      </c>
      <c r="G2675" s="246">
        <v>53100</v>
      </c>
      <c r="H2675" s="246">
        <v>60700</v>
      </c>
      <c r="I2675" s="246">
        <v>68300</v>
      </c>
      <c r="J2675" s="246">
        <v>75850</v>
      </c>
      <c r="K2675" s="246">
        <v>81950</v>
      </c>
      <c r="L2675" s="246">
        <v>88000</v>
      </c>
      <c r="M2675" s="246">
        <v>94100</v>
      </c>
      <c r="N2675" s="246">
        <v>100150</v>
      </c>
    </row>
    <row r="2676" spans="3:14" ht="21.95" customHeight="1" x14ac:dyDescent="0.25">
      <c r="C2676" s="139" t="str">
        <f t="shared" si="57"/>
        <v>WA_COLUMBIA COUNTY, WA</v>
      </c>
      <c r="D2676" s="136" t="s">
        <v>59</v>
      </c>
      <c r="E2676" s="262" t="s">
        <v>5174</v>
      </c>
      <c r="F2676" s="136" t="s">
        <v>183</v>
      </c>
      <c r="G2676" s="246">
        <v>56150</v>
      </c>
      <c r="H2676" s="246">
        <v>64150</v>
      </c>
      <c r="I2676" s="246">
        <v>72150</v>
      </c>
      <c r="J2676" s="246">
        <v>80150</v>
      </c>
      <c r="K2676" s="246">
        <v>86600</v>
      </c>
      <c r="L2676" s="246">
        <v>93000</v>
      </c>
      <c r="M2676" s="246">
        <v>99400</v>
      </c>
      <c r="N2676" s="246">
        <v>105800</v>
      </c>
    </row>
    <row r="2677" spans="3:14" ht="21.95" customHeight="1" x14ac:dyDescent="0.25">
      <c r="C2677" s="139" t="str">
        <f t="shared" si="57"/>
        <v>WA_FERRY COUNTY, WA</v>
      </c>
      <c r="D2677" s="136" t="s">
        <v>59</v>
      </c>
      <c r="E2677" s="262" t="s">
        <v>5175</v>
      </c>
      <c r="F2677" s="136" t="s">
        <v>183</v>
      </c>
      <c r="G2677" s="246">
        <v>53100</v>
      </c>
      <c r="H2677" s="246">
        <v>60700</v>
      </c>
      <c r="I2677" s="246">
        <v>68300</v>
      </c>
      <c r="J2677" s="246">
        <v>75850</v>
      </c>
      <c r="K2677" s="246">
        <v>81950</v>
      </c>
      <c r="L2677" s="246">
        <v>88000</v>
      </c>
      <c r="M2677" s="246">
        <v>94100</v>
      </c>
      <c r="N2677" s="246">
        <v>100150</v>
      </c>
    </row>
    <row r="2678" spans="3:14" ht="21.95" customHeight="1" x14ac:dyDescent="0.25">
      <c r="C2678" s="139" t="str">
        <f t="shared" si="57"/>
        <v>WA_GARFIELD COUNTY, WA</v>
      </c>
      <c r="D2678" s="136" t="s">
        <v>59</v>
      </c>
      <c r="E2678" s="262" t="s">
        <v>5176</v>
      </c>
      <c r="F2678" s="136" t="s">
        <v>183</v>
      </c>
      <c r="G2678" s="246">
        <v>53100</v>
      </c>
      <c r="H2678" s="246">
        <v>60700</v>
      </c>
      <c r="I2678" s="246">
        <v>68300</v>
      </c>
      <c r="J2678" s="246">
        <v>75850</v>
      </c>
      <c r="K2678" s="246">
        <v>81950</v>
      </c>
      <c r="L2678" s="246">
        <v>88000</v>
      </c>
      <c r="M2678" s="246">
        <v>94100</v>
      </c>
      <c r="N2678" s="246">
        <v>100150</v>
      </c>
    </row>
    <row r="2679" spans="3:14" ht="21.95" customHeight="1" x14ac:dyDescent="0.25">
      <c r="C2679" s="139" t="str">
        <f t="shared" si="57"/>
        <v>WA_GRANT COUNTY, WA</v>
      </c>
      <c r="D2679" s="136" t="s">
        <v>59</v>
      </c>
      <c r="E2679" s="262" t="s">
        <v>5177</v>
      </c>
      <c r="F2679" s="136" t="s">
        <v>183</v>
      </c>
      <c r="G2679" s="246">
        <v>53100</v>
      </c>
      <c r="H2679" s="246">
        <v>60700</v>
      </c>
      <c r="I2679" s="246">
        <v>68300</v>
      </c>
      <c r="J2679" s="246">
        <v>75850</v>
      </c>
      <c r="K2679" s="246">
        <v>81950</v>
      </c>
      <c r="L2679" s="246">
        <v>88000</v>
      </c>
      <c r="M2679" s="246">
        <v>94100</v>
      </c>
      <c r="N2679" s="246">
        <v>100150</v>
      </c>
    </row>
    <row r="2680" spans="3:14" ht="21.95" customHeight="1" x14ac:dyDescent="0.25">
      <c r="C2680" s="139" t="str">
        <f t="shared" si="57"/>
        <v>WA_GRAYS HARBOR COUNTY, WA</v>
      </c>
      <c r="D2680" s="136" t="s">
        <v>59</v>
      </c>
      <c r="E2680" s="262" t="s">
        <v>5178</v>
      </c>
      <c r="F2680" s="136" t="s">
        <v>183</v>
      </c>
      <c r="G2680" s="246">
        <v>53100</v>
      </c>
      <c r="H2680" s="246">
        <v>60700</v>
      </c>
      <c r="I2680" s="246">
        <v>68300</v>
      </c>
      <c r="J2680" s="246">
        <v>75850</v>
      </c>
      <c r="K2680" s="246">
        <v>81950</v>
      </c>
      <c r="L2680" s="246">
        <v>88000</v>
      </c>
      <c r="M2680" s="246">
        <v>94100</v>
      </c>
      <c r="N2680" s="246">
        <v>100150</v>
      </c>
    </row>
    <row r="2681" spans="3:14" ht="21.95" customHeight="1" x14ac:dyDescent="0.25">
      <c r="C2681" s="139" t="str">
        <f t="shared" si="57"/>
        <v>WA_ISLAND COUNTY, WA</v>
      </c>
      <c r="D2681" s="136" t="s">
        <v>59</v>
      </c>
      <c r="E2681" s="262" t="s">
        <v>5179</v>
      </c>
      <c r="F2681" s="136" t="s">
        <v>183</v>
      </c>
      <c r="G2681" s="246">
        <v>62400</v>
      </c>
      <c r="H2681" s="246">
        <v>71300</v>
      </c>
      <c r="I2681" s="246">
        <v>80200</v>
      </c>
      <c r="J2681" s="246">
        <v>89100</v>
      </c>
      <c r="K2681" s="246">
        <v>96250</v>
      </c>
      <c r="L2681" s="246">
        <v>103400</v>
      </c>
      <c r="M2681" s="246">
        <v>110500</v>
      </c>
      <c r="N2681" s="246">
        <v>117650</v>
      </c>
    </row>
    <row r="2682" spans="3:14" ht="21.95" customHeight="1" x14ac:dyDescent="0.25">
      <c r="C2682" s="139" t="str">
        <f t="shared" si="57"/>
        <v>WA_JEFFERSON COUNTY, WA</v>
      </c>
      <c r="D2682" s="136" t="s">
        <v>59</v>
      </c>
      <c r="E2682" s="262" t="s">
        <v>5180</v>
      </c>
      <c r="F2682" s="136" t="s">
        <v>183</v>
      </c>
      <c r="G2682" s="246">
        <v>55050</v>
      </c>
      <c r="H2682" s="246">
        <v>62900</v>
      </c>
      <c r="I2682" s="246">
        <v>70750</v>
      </c>
      <c r="J2682" s="246">
        <v>78600</v>
      </c>
      <c r="K2682" s="246">
        <v>84900</v>
      </c>
      <c r="L2682" s="246">
        <v>91200</v>
      </c>
      <c r="M2682" s="246">
        <v>97500</v>
      </c>
      <c r="N2682" s="246">
        <v>103800</v>
      </c>
    </row>
    <row r="2683" spans="3:14" ht="21.95" customHeight="1" x14ac:dyDescent="0.25">
      <c r="C2683" s="139" t="str">
        <f t="shared" si="57"/>
        <v>WA_KENNEWICK-RICHLAND, WA MSA</v>
      </c>
      <c r="D2683" s="136" t="s">
        <v>59</v>
      </c>
      <c r="E2683" s="262" t="s">
        <v>5181</v>
      </c>
      <c r="F2683" s="136" t="s">
        <v>183</v>
      </c>
      <c r="G2683" s="246">
        <v>59150</v>
      </c>
      <c r="H2683" s="246">
        <v>67600</v>
      </c>
      <c r="I2683" s="246">
        <v>76050</v>
      </c>
      <c r="J2683" s="246">
        <v>84500</v>
      </c>
      <c r="K2683" s="246">
        <v>91300</v>
      </c>
      <c r="L2683" s="246">
        <v>98050</v>
      </c>
      <c r="M2683" s="246">
        <v>104800</v>
      </c>
      <c r="N2683" s="246">
        <v>111550</v>
      </c>
    </row>
    <row r="2684" spans="3:14" ht="21.95" customHeight="1" x14ac:dyDescent="0.25">
      <c r="C2684" s="139" t="str">
        <f t="shared" si="57"/>
        <v>WA_KITTITAS COUNTY, WA</v>
      </c>
      <c r="D2684" s="136" t="s">
        <v>59</v>
      </c>
      <c r="E2684" s="262" t="s">
        <v>5182</v>
      </c>
      <c r="F2684" s="136" t="s">
        <v>183</v>
      </c>
      <c r="G2684" s="246">
        <v>60350</v>
      </c>
      <c r="H2684" s="246">
        <v>68950</v>
      </c>
      <c r="I2684" s="246">
        <v>77550</v>
      </c>
      <c r="J2684" s="246">
        <v>86150</v>
      </c>
      <c r="K2684" s="246">
        <v>93050</v>
      </c>
      <c r="L2684" s="246">
        <v>99950</v>
      </c>
      <c r="M2684" s="246">
        <v>106850</v>
      </c>
      <c r="N2684" s="246">
        <v>113750</v>
      </c>
    </row>
    <row r="2685" spans="3:14" ht="21.95" customHeight="1" x14ac:dyDescent="0.25">
      <c r="C2685" s="139" t="str">
        <f t="shared" si="57"/>
        <v>WA_KLICKITAT COUNTY, WA</v>
      </c>
      <c r="D2685" s="136" t="s">
        <v>59</v>
      </c>
      <c r="E2685" s="262" t="s">
        <v>5183</v>
      </c>
      <c r="F2685" s="136" t="s">
        <v>183</v>
      </c>
      <c r="G2685" s="246">
        <v>53100</v>
      </c>
      <c r="H2685" s="246">
        <v>60700</v>
      </c>
      <c r="I2685" s="246">
        <v>68300</v>
      </c>
      <c r="J2685" s="246">
        <v>75850</v>
      </c>
      <c r="K2685" s="246">
        <v>81950</v>
      </c>
      <c r="L2685" s="246">
        <v>88000</v>
      </c>
      <c r="M2685" s="246">
        <v>94100</v>
      </c>
      <c r="N2685" s="246">
        <v>100150</v>
      </c>
    </row>
    <row r="2686" spans="3:14" ht="21.95" customHeight="1" x14ac:dyDescent="0.25">
      <c r="C2686" s="139" t="str">
        <f t="shared" si="57"/>
        <v>WA_LEWIS COUNTY, WA</v>
      </c>
      <c r="D2686" s="136" t="s">
        <v>59</v>
      </c>
      <c r="E2686" s="262" t="s">
        <v>5184</v>
      </c>
      <c r="F2686" s="136" t="s">
        <v>183</v>
      </c>
      <c r="G2686" s="246">
        <v>53100</v>
      </c>
      <c r="H2686" s="246">
        <v>60700</v>
      </c>
      <c r="I2686" s="246">
        <v>68300</v>
      </c>
      <c r="J2686" s="246">
        <v>75850</v>
      </c>
      <c r="K2686" s="246">
        <v>81950</v>
      </c>
      <c r="L2686" s="246">
        <v>88000</v>
      </c>
      <c r="M2686" s="246">
        <v>94100</v>
      </c>
      <c r="N2686" s="246">
        <v>100150</v>
      </c>
    </row>
    <row r="2687" spans="3:14" ht="21.95" customHeight="1" x14ac:dyDescent="0.25">
      <c r="C2687" s="139" t="str">
        <f t="shared" si="57"/>
        <v>WA_LEWISTON, ID-WA MSA</v>
      </c>
      <c r="D2687" s="136" t="s">
        <v>59</v>
      </c>
      <c r="E2687" s="262" t="s">
        <v>3489</v>
      </c>
      <c r="F2687" s="136" t="s">
        <v>183</v>
      </c>
      <c r="G2687" s="246">
        <v>48800</v>
      </c>
      <c r="H2687" s="246">
        <v>55800</v>
      </c>
      <c r="I2687" s="246">
        <v>62750</v>
      </c>
      <c r="J2687" s="246">
        <v>69700</v>
      </c>
      <c r="K2687" s="246">
        <v>75300</v>
      </c>
      <c r="L2687" s="246">
        <v>80900</v>
      </c>
      <c r="M2687" s="246">
        <v>86450</v>
      </c>
      <c r="N2687" s="246">
        <v>92050</v>
      </c>
    </row>
    <row r="2688" spans="3:14" ht="21.95" customHeight="1" x14ac:dyDescent="0.25">
      <c r="C2688" s="139" t="str">
        <f t="shared" ref="C2688:C2751" si="58">TRIM(UPPER(D2688))&amp;"_"&amp;TRIM(UPPER(E2688))</f>
        <v>WA_LINCOLN COUNTY, WA</v>
      </c>
      <c r="D2688" s="136" t="s">
        <v>59</v>
      </c>
      <c r="E2688" s="262" t="s">
        <v>5185</v>
      </c>
      <c r="F2688" s="136" t="s">
        <v>183</v>
      </c>
      <c r="G2688" s="246">
        <v>53100</v>
      </c>
      <c r="H2688" s="246">
        <v>60700</v>
      </c>
      <c r="I2688" s="246">
        <v>68300</v>
      </c>
      <c r="J2688" s="246">
        <v>75850</v>
      </c>
      <c r="K2688" s="246">
        <v>81950</v>
      </c>
      <c r="L2688" s="246">
        <v>88000</v>
      </c>
      <c r="M2688" s="246">
        <v>94100</v>
      </c>
      <c r="N2688" s="246">
        <v>100150</v>
      </c>
    </row>
    <row r="2689" spans="3:14" ht="21.95" customHeight="1" x14ac:dyDescent="0.25">
      <c r="C2689" s="139" t="str">
        <f t="shared" si="58"/>
        <v>WA_LONGVIEW-KELSO, WA MSA</v>
      </c>
      <c r="D2689" s="136" t="s">
        <v>59</v>
      </c>
      <c r="E2689" s="262" t="s">
        <v>9281</v>
      </c>
      <c r="F2689" s="136" t="s">
        <v>183</v>
      </c>
      <c r="G2689" s="246">
        <v>53100</v>
      </c>
      <c r="H2689" s="246">
        <v>60700</v>
      </c>
      <c r="I2689" s="246">
        <v>68300</v>
      </c>
      <c r="J2689" s="246">
        <v>75850</v>
      </c>
      <c r="K2689" s="246">
        <v>81950</v>
      </c>
      <c r="L2689" s="246">
        <v>88000</v>
      </c>
      <c r="M2689" s="246">
        <v>94100</v>
      </c>
      <c r="N2689" s="246">
        <v>100150</v>
      </c>
    </row>
    <row r="2690" spans="3:14" ht="21.95" customHeight="1" x14ac:dyDescent="0.25">
      <c r="C2690" s="139" t="str">
        <f t="shared" si="58"/>
        <v>WA_MASON COUNTY, WA</v>
      </c>
      <c r="D2690" s="136" t="s">
        <v>59</v>
      </c>
      <c r="E2690" s="262" t="s">
        <v>5186</v>
      </c>
      <c r="F2690" s="136" t="s">
        <v>183</v>
      </c>
      <c r="G2690" s="246">
        <v>56150</v>
      </c>
      <c r="H2690" s="246">
        <v>64150</v>
      </c>
      <c r="I2690" s="246">
        <v>72150</v>
      </c>
      <c r="J2690" s="246">
        <v>80150</v>
      </c>
      <c r="K2690" s="246">
        <v>86600</v>
      </c>
      <c r="L2690" s="246">
        <v>93000</v>
      </c>
      <c r="M2690" s="246">
        <v>99400</v>
      </c>
      <c r="N2690" s="246">
        <v>105800</v>
      </c>
    </row>
    <row r="2691" spans="3:14" ht="21.95" customHeight="1" x14ac:dyDescent="0.25">
      <c r="C2691" s="139" t="str">
        <f t="shared" si="58"/>
        <v>WA_MOUNT VERNON-ANACORTES, WA MSA</v>
      </c>
      <c r="D2691" s="136" t="s">
        <v>59</v>
      </c>
      <c r="E2691" s="262" t="s">
        <v>5187</v>
      </c>
      <c r="F2691" s="136" t="s">
        <v>183</v>
      </c>
      <c r="G2691" s="246">
        <v>61250</v>
      </c>
      <c r="H2691" s="246">
        <v>70000</v>
      </c>
      <c r="I2691" s="246">
        <v>78750</v>
      </c>
      <c r="J2691" s="246">
        <v>87500</v>
      </c>
      <c r="K2691" s="246">
        <v>94500</v>
      </c>
      <c r="L2691" s="246">
        <v>101500</v>
      </c>
      <c r="M2691" s="246">
        <v>108500</v>
      </c>
      <c r="N2691" s="246">
        <v>115500</v>
      </c>
    </row>
    <row r="2692" spans="3:14" ht="21.95" customHeight="1" x14ac:dyDescent="0.25">
      <c r="C2692" s="139" t="str">
        <f t="shared" si="58"/>
        <v>WA_OKANOGAN COUNTY, WA</v>
      </c>
      <c r="D2692" s="136" t="s">
        <v>59</v>
      </c>
      <c r="E2692" s="262" t="s">
        <v>5188</v>
      </c>
      <c r="F2692" s="136" t="s">
        <v>183</v>
      </c>
      <c r="G2692" s="246">
        <v>53100</v>
      </c>
      <c r="H2692" s="246">
        <v>60700</v>
      </c>
      <c r="I2692" s="246">
        <v>68300</v>
      </c>
      <c r="J2692" s="246">
        <v>75850</v>
      </c>
      <c r="K2692" s="246">
        <v>81950</v>
      </c>
      <c r="L2692" s="246">
        <v>88000</v>
      </c>
      <c r="M2692" s="246">
        <v>94100</v>
      </c>
      <c r="N2692" s="246">
        <v>100150</v>
      </c>
    </row>
    <row r="2693" spans="3:14" ht="21.95" customHeight="1" x14ac:dyDescent="0.25">
      <c r="C2693" s="139" t="str">
        <f t="shared" si="58"/>
        <v>WA_OLYMPIA-LACEY-TUMWATER, WA MSA</v>
      </c>
      <c r="D2693" s="136" t="s">
        <v>59</v>
      </c>
      <c r="E2693" s="262" t="s">
        <v>9283</v>
      </c>
      <c r="F2693" s="136" t="s">
        <v>183</v>
      </c>
      <c r="G2693" s="246">
        <v>65350</v>
      </c>
      <c r="H2693" s="246">
        <v>74700</v>
      </c>
      <c r="I2693" s="246">
        <v>84050</v>
      </c>
      <c r="J2693" s="246">
        <v>93350</v>
      </c>
      <c r="K2693" s="246">
        <v>100850</v>
      </c>
      <c r="L2693" s="246">
        <v>108300</v>
      </c>
      <c r="M2693" s="246">
        <v>115800</v>
      </c>
      <c r="N2693" s="246">
        <v>123250</v>
      </c>
    </row>
    <row r="2694" spans="3:14" ht="21.95" customHeight="1" x14ac:dyDescent="0.25">
      <c r="C2694" s="139" t="str">
        <f t="shared" si="58"/>
        <v>WA_PACIFIC COUNTY, WA</v>
      </c>
      <c r="D2694" s="136" t="s">
        <v>59</v>
      </c>
      <c r="E2694" s="262" t="s">
        <v>5189</v>
      </c>
      <c r="F2694" s="136" t="s">
        <v>183</v>
      </c>
      <c r="G2694" s="246">
        <v>53100</v>
      </c>
      <c r="H2694" s="246">
        <v>60700</v>
      </c>
      <c r="I2694" s="246">
        <v>68300</v>
      </c>
      <c r="J2694" s="246">
        <v>75850</v>
      </c>
      <c r="K2694" s="246">
        <v>81950</v>
      </c>
      <c r="L2694" s="246">
        <v>88000</v>
      </c>
      <c r="M2694" s="246">
        <v>94100</v>
      </c>
      <c r="N2694" s="246">
        <v>100150</v>
      </c>
    </row>
    <row r="2695" spans="3:14" ht="21.95" customHeight="1" x14ac:dyDescent="0.25">
      <c r="C2695" s="139" t="str">
        <f t="shared" si="58"/>
        <v>WA_PEND OREILLE COUNTY, WA</v>
      </c>
      <c r="D2695" s="136" t="s">
        <v>59</v>
      </c>
      <c r="E2695" s="262" t="s">
        <v>5190</v>
      </c>
      <c r="F2695" s="136" t="s">
        <v>183</v>
      </c>
      <c r="G2695" s="246">
        <v>53100</v>
      </c>
      <c r="H2695" s="246">
        <v>60700</v>
      </c>
      <c r="I2695" s="246">
        <v>68300</v>
      </c>
      <c r="J2695" s="246">
        <v>75850</v>
      </c>
      <c r="K2695" s="246">
        <v>81950</v>
      </c>
      <c r="L2695" s="246">
        <v>88000</v>
      </c>
      <c r="M2695" s="246">
        <v>94100</v>
      </c>
      <c r="N2695" s="246">
        <v>100150</v>
      </c>
    </row>
    <row r="2696" spans="3:14" ht="21.95" customHeight="1" x14ac:dyDescent="0.25">
      <c r="C2696" s="139" t="str">
        <f t="shared" si="58"/>
        <v>WA_PORTLAND-VANCOUVER-HILLSBORO, OR-WA MSA</v>
      </c>
      <c r="D2696" s="136" t="s">
        <v>59</v>
      </c>
      <c r="E2696" s="262" t="s">
        <v>4665</v>
      </c>
      <c r="F2696" s="136" t="s">
        <v>183</v>
      </c>
      <c r="G2696" s="246">
        <v>69550</v>
      </c>
      <c r="H2696" s="246">
        <v>79450</v>
      </c>
      <c r="I2696" s="246">
        <v>89400</v>
      </c>
      <c r="J2696" s="246">
        <v>99300</v>
      </c>
      <c r="K2696" s="246">
        <v>107250</v>
      </c>
      <c r="L2696" s="246">
        <v>115200</v>
      </c>
      <c r="M2696" s="246">
        <v>123150</v>
      </c>
      <c r="N2696" s="246">
        <v>131100</v>
      </c>
    </row>
    <row r="2697" spans="3:14" ht="21.95" customHeight="1" x14ac:dyDescent="0.25">
      <c r="C2697" s="139" t="str">
        <f t="shared" si="58"/>
        <v>WA_SAN JUAN COUNTY, WA</v>
      </c>
      <c r="D2697" s="136" t="s">
        <v>59</v>
      </c>
      <c r="E2697" s="262" t="s">
        <v>5191</v>
      </c>
      <c r="F2697" s="136" t="s">
        <v>183</v>
      </c>
      <c r="G2697" s="246">
        <v>62100</v>
      </c>
      <c r="H2697" s="246">
        <v>70950</v>
      </c>
      <c r="I2697" s="246">
        <v>79800</v>
      </c>
      <c r="J2697" s="246">
        <v>88650</v>
      </c>
      <c r="K2697" s="246">
        <v>95750</v>
      </c>
      <c r="L2697" s="246">
        <v>102850</v>
      </c>
      <c r="M2697" s="246">
        <v>109950</v>
      </c>
      <c r="N2697" s="246">
        <v>117050</v>
      </c>
    </row>
    <row r="2698" spans="3:14" ht="21.95" customHeight="1" x14ac:dyDescent="0.25">
      <c r="C2698" s="139" t="str">
        <f t="shared" si="58"/>
        <v>WA_SEATTLE-BELLEVUE, WA HUD METRO FMR AREA</v>
      </c>
      <c r="D2698" s="136" t="s">
        <v>59</v>
      </c>
      <c r="E2698" s="262" t="s">
        <v>5192</v>
      </c>
      <c r="F2698" s="136" t="s">
        <v>183</v>
      </c>
      <c r="G2698" s="246">
        <v>84850</v>
      </c>
      <c r="H2698" s="246">
        <v>96950</v>
      </c>
      <c r="I2698" s="246">
        <v>109050</v>
      </c>
      <c r="J2698" s="246">
        <v>121150</v>
      </c>
      <c r="K2698" s="246">
        <v>130850</v>
      </c>
      <c r="L2698" s="246">
        <v>140550</v>
      </c>
      <c r="M2698" s="246">
        <v>150250</v>
      </c>
      <c r="N2698" s="246">
        <v>159950</v>
      </c>
    </row>
    <row r="2699" spans="3:14" ht="21.95" customHeight="1" x14ac:dyDescent="0.25">
      <c r="C2699" s="139" t="str">
        <f t="shared" si="58"/>
        <v>WA_SPOKANE, WA HUD METRO FMR AREA</v>
      </c>
      <c r="D2699" s="136" t="s">
        <v>59</v>
      </c>
      <c r="E2699" s="262" t="s">
        <v>5193</v>
      </c>
      <c r="F2699" s="136" t="s">
        <v>183</v>
      </c>
      <c r="G2699" s="246">
        <v>56500</v>
      </c>
      <c r="H2699" s="246">
        <v>64550</v>
      </c>
      <c r="I2699" s="246">
        <v>72600</v>
      </c>
      <c r="J2699" s="246">
        <v>80650</v>
      </c>
      <c r="K2699" s="246">
        <v>87150</v>
      </c>
      <c r="L2699" s="246">
        <v>93600</v>
      </c>
      <c r="M2699" s="246">
        <v>100050</v>
      </c>
      <c r="N2699" s="246">
        <v>106500</v>
      </c>
    </row>
    <row r="2700" spans="3:14" ht="21.95" customHeight="1" x14ac:dyDescent="0.25">
      <c r="C2700" s="139" t="str">
        <f t="shared" si="58"/>
        <v>WA_STEVENS COUNTY, WA HUD METRO FMR AREA</v>
      </c>
      <c r="D2700" s="136" t="s">
        <v>59</v>
      </c>
      <c r="E2700" s="262" t="s">
        <v>5194</v>
      </c>
      <c r="F2700" s="136" t="s">
        <v>183</v>
      </c>
      <c r="G2700" s="246">
        <v>53100</v>
      </c>
      <c r="H2700" s="246">
        <v>60700</v>
      </c>
      <c r="I2700" s="246">
        <v>68300</v>
      </c>
      <c r="J2700" s="246">
        <v>75850</v>
      </c>
      <c r="K2700" s="246">
        <v>81950</v>
      </c>
      <c r="L2700" s="246">
        <v>88000</v>
      </c>
      <c r="M2700" s="246">
        <v>94100</v>
      </c>
      <c r="N2700" s="246">
        <v>100150</v>
      </c>
    </row>
    <row r="2701" spans="3:14" ht="21.95" customHeight="1" x14ac:dyDescent="0.25">
      <c r="C2701" s="139" t="str">
        <f t="shared" si="58"/>
        <v>WA_TACOMA, WA HUD METRO FMR AREA</v>
      </c>
      <c r="D2701" s="136" t="s">
        <v>59</v>
      </c>
      <c r="E2701" s="262" t="s">
        <v>5195</v>
      </c>
      <c r="F2701" s="136" t="s">
        <v>183</v>
      </c>
      <c r="G2701" s="246">
        <v>67700</v>
      </c>
      <c r="H2701" s="246">
        <v>77350</v>
      </c>
      <c r="I2701" s="246">
        <v>87000</v>
      </c>
      <c r="J2701" s="246">
        <v>96650</v>
      </c>
      <c r="K2701" s="246">
        <v>104400</v>
      </c>
      <c r="L2701" s="246">
        <v>112150</v>
      </c>
      <c r="M2701" s="246">
        <v>119850</v>
      </c>
      <c r="N2701" s="246">
        <v>127600</v>
      </c>
    </row>
    <row r="2702" spans="3:14" ht="21.95" customHeight="1" x14ac:dyDescent="0.25">
      <c r="C2702" s="139" t="str">
        <f t="shared" si="58"/>
        <v>WA_WAHKIAKUM COUNTY, WA</v>
      </c>
      <c r="D2702" s="136" t="s">
        <v>59</v>
      </c>
      <c r="E2702" s="262" t="s">
        <v>5196</v>
      </c>
      <c r="F2702" s="136" t="s">
        <v>183</v>
      </c>
      <c r="G2702" s="246">
        <v>53100</v>
      </c>
      <c r="H2702" s="246">
        <v>60700</v>
      </c>
      <c r="I2702" s="246">
        <v>68300</v>
      </c>
      <c r="J2702" s="246">
        <v>75850</v>
      </c>
      <c r="K2702" s="246">
        <v>81950</v>
      </c>
      <c r="L2702" s="246">
        <v>88000</v>
      </c>
      <c r="M2702" s="246">
        <v>94100</v>
      </c>
      <c r="N2702" s="246">
        <v>100150</v>
      </c>
    </row>
    <row r="2703" spans="3:14" ht="21.95" customHeight="1" x14ac:dyDescent="0.25">
      <c r="C2703" s="139" t="str">
        <f t="shared" si="58"/>
        <v>WA_WALLA WALLA, WA MSA</v>
      </c>
      <c r="D2703" s="136" t="s">
        <v>59</v>
      </c>
      <c r="E2703" s="262" t="s">
        <v>5197</v>
      </c>
      <c r="F2703" s="136" t="s">
        <v>183</v>
      </c>
      <c r="G2703" s="246">
        <v>54850</v>
      </c>
      <c r="H2703" s="246">
        <v>62650</v>
      </c>
      <c r="I2703" s="246">
        <v>70500</v>
      </c>
      <c r="J2703" s="246">
        <v>78300</v>
      </c>
      <c r="K2703" s="246">
        <v>84600</v>
      </c>
      <c r="L2703" s="246">
        <v>90850</v>
      </c>
      <c r="M2703" s="246">
        <v>97100</v>
      </c>
      <c r="N2703" s="246">
        <v>103400</v>
      </c>
    </row>
    <row r="2704" spans="3:14" ht="21.95" customHeight="1" x14ac:dyDescent="0.25">
      <c r="C2704" s="139" t="str">
        <f t="shared" si="58"/>
        <v>WA_WENATCHEE-EAST WENATCHEE, WA MSA</v>
      </c>
      <c r="D2704" s="136" t="s">
        <v>59</v>
      </c>
      <c r="E2704" s="262" t="s">
        <v>9280</v>
      </c>
      <c r="F2704" s="136" t="s">
        <v>183</v>
      </c>
      <c r="G2704" s="246">
        <v>54050</v>
      </c>
      <c r="H2704" s="246">
        <v>61800</v>
      </c>
      <c r="I2704" s="246">
        <v>69500</v>
      </c>
      <c r="J2704" s="246">
        <v>77200</v>
      </c>
      <c r="K2704" s="246">
        <v>83400</v>
      </c>
      <c r="L2704" s="246">
        <v>89600</v>
      </c>
      <c r="M2704" s="246">
        <v>95750</v>
      </c>
      <c r="N2704" s="246">
        <v>101950</v>
      </c>
    </row>
    <row r="2705" spans="3:14" ht="21.95" customHeight="1" x14ac:dyDescent="0.25">
      <c r="C2705" s="139" t="str">
        <f t="shared" si="58"/>
        <v>WA_WHITMAN COUNTY, WA</v>
      </c>
      <c r="D2705" s="136" t="s">
        <v>59</v>
      </c>
      <c r="E2705" s="262" t="s">
        <v>5198</v>
      </c>
      <c r="F2705" s="136" t="s">
        <v>183</v>
      </c>
      <c r="G2705" s="246">
        <v>55100</v>
      </c>
      <c r="H2705" s="246">
        <v>62950</v>
      </c>
      <c r="I2705" s="246">
        <v>70800</v>
      </c>
      <c r="J2705" s="246">
        <v>78650</v>
      </c>
      <c r="K2705" s="246">
        <v>84950</v>
      </c>
      <c r="L2705" s="246">
        <v>91250</v>
      </c>
      <c r="M2705" s="246">
        <v>97550</v>
      </c>
      <c r="N2705" s="246">
        <v>103850</v>
      </c>
    </row>
    <row r="2706" spans="3:14" ht="21.95" customHeight="1" x14ac:dyDescent="0.25">
      <c r="C2706" s="139" t="str">
        <f t="shared" si="58"/>
        <v>WA_YAKIMA, WA MSA</v>
      </c>
      <c r="D2706" s="136" t="s">
        <v>59</v>
      </c>
      <c r="E2706" s="262" t="s">
        <v>5199</v>
      </c>
      <c r="F2706" s="136" t="s">
        <v>183</v>
      </c>
      <c r="G2706" s="246">
        <v>53100</v>
      </c>
      <c r="H2706" s="246">
        <v>60700</v>
      </c>
      <c r="I2706" s="246">
        <v>68300</v>
      </c>
      <c r="J2706" s="246">
        <v>75850</v>
      </c>
      <c r="K2706" s="246">
        <v>81950</v>
      </c>
      <c r="L2706" s="246">
        <v>88000</v>
      </c>
      <c r="M2706" s="246">
        <v>94100</v>
      </c>
      <c r="N2706" s="246">
        <v>100150</v>
      </c>
    </row>
    <row r="2707" spans="3:14" ht="21.95" customHeight="1" x14ac:dyDescent="0.25">
      <c r="C2707" s="139" t="str">
        <f t="shared" si="58"/>
        <v>WI_ADAMS COUNTY, WI</v>
      </c>
      <c r="D2707" s="136" t="s">
        <v>57</v>
      </c>
      <c r="E2707" s="262" t="s">
        <v>5200</v>
      </c>
      <c r="F2707" s="136" t="s">
        <v>183</v>
      </c>
      <c r="G2707" s="246">
        <v>52000</v>
      </c>
      <c r="H2707" s="246">
        <v>59400</v>
      </c>
      <c r="I2707" s="246">
        <v>66850</v>
      </c>
      <c r="J2707" s="246">
        <v>74250</v>
      </c>
      <c r="K2707" s="246">
        <v>80200</v>
      </c>
      <c r="L2707" s="246">
        <v>86150</v>
      </c>
      <c r="M2707" s="246">
        <v>92100</v>
      </c>
      <c r="N2707" s="246">
        <v>98050</v>
      </c>
    </row>
    <row r="2708" spans="3:14" ht="21.95" customHeight="1" x14ac:dyDescent="0.25">
      <c r="C2708" s="139" t="str">
        <f t="shared" si="58"/>
        <v>WI_APPLETON, WI MSA</v>
      </c>
      <c r="D2708" s="136" t="s">
        <v>57</v>
      </c>
      <c r="E2708" s="262" t="s">
        <v>5201</v>
      </c>
      <c r="F2708" s="136" t="s">
        <v>183</v>
      </c>
      <c r="G2708" s="246">
        <v>62450</v>
      </c>
      <c r="H2708" s="246">
        <v>71400</v>
      </c>
      <c r="I2708" s="246">
        <v>80300</v>
      </c>
      <c r="J2708" s="246">
        <v>89200</v>
      </c>
      <c r="K2708" s="246">
        <v>96350</v>
      </c>
      <c r="L2708" s="246">
        <v>103500</v>
      </c>
      <c r="M2708" s="246">
        <v>110650</v>
      </c>
      <c r="N2708" s="246">
        <v>117750</v>
      </c>
    </row>
    <row r="2709" spans="3:14" ht="21.95" customHeight="1" x14ac:dyDescent="0.25">
      <c r="C2709" s="139" t="str">
        <f t="shared" si="58"/>
        <v>WI_ASHLAND COUNTY, WI</v>
      </c>
      <c r="D2709" s="136" t="s">
        <v>57</v>
      </c>
      <c r="E2709" s="262" t="s">
        <v>5202</v>
      </c>
      <c r="F2709" s="136" t="s">
        <v>183</v>
      </c>
      <c r="G2709" s="246">
        <v>52000</v>
      </c>
      <c r="H2709" s="246">
        <v>59400</v>
      </c>
      <c r="I2709" s="246">
        <v>66850</v>
      </c>
      <c r="J2709" s="246">
        <v>74250</v>
      </c>
      <c r="K2709" s="246">
        <v>80200</v>
      </c>
      <c r="L2709" s="246">
        <v>86150</v>
      </c>
      <c r="M2709" s="246">
        <v>92100</v>
      </c>
      <c r="N2709" s="246">
        <v>98050</v>
      </c>
    </row>
    <row r="2710" spans="3:14" ht="21.95" customHeight="1" x14ac:dyDescent="0.25">
      <c r="C2710" s="139" t="str">
        <f t="shared" si="58"/>
        <v>WI_BARRON COUNTY, WI</v>
      </c>
      <c r="D2710" s="136" t="s">
        <v>57</v>
      </c>
      <c r="E2710" s="262" t="s">
        <v>5203</v>
      </c>
      <c r="F2710" s="136" t="s">
        <v>183</v>
      </c>
      <c r="G2710" s="246">
        <v>52000</v>
      </c>
      <c r="H2710" s="246">
        <v>59400</v>
      </c>
      <c r="I2710" s="246">
        <v>66850</v>
      </c>
      <c r="J2710" s="246">
        <v>74250</v>
      </c>
      <c r="K2710" s="246">
        <v>80200</v>
      </c>
      <c r="L2710" s="246">
        <v>86150</v>
      </c>
      <c r="M2710" s="246">
        <v>92100</v>
      </c>
      <c r="N2710" s="246">
        <v>98050</v>
      </c>
    </row>
    <row r="2711" spans="3:14" ht="21.95" customHeight="1" x14ac:dyDescent="0.25">
      <c r="C2711" s="139" t="str">
        <f t="shared" si="58"/>
        <v>WI_BAYFIELD COUNTY, WI</v>
      </c>
      <c r="D2711" s="136" t="s">
        <v>57</v>
      </c>
      <c r="E2711" s="262" t="s">
        <v>5204</v>
      </c>
      <c r="F2711" s="136" t="s">
        <v>183</v>
      </c>
      <c r="G2711" s="246">
        <v>52000</v>
      </c>
      <c r="H2711" s="246">
        <v>59400</v>
      </c>
      <c r="I2711" s="246">
        <v>66850</v>
      </c>
      <c r="J2711" s="246">
        <v>74250</v>
      </c>
      <c r="K2711" s="246">
        <v>80200</v>
      </c>
      <c r="L2711" s="246">
        <v>86150</v>
      </c>
      <c r="M2711" s="246">
        <v>92100</v>
      </c>
      <c r="N2711" s="246">
        <v>98050</v>
      </c>
    </row>
    <row r="2712" spans="3:14" ht="21.95" customHeight="1" x14ac:dyDescent="0.25">
      <c r="C2712" s="139" t="str">
        <f t="shared" si="58"/>
        <v>WI_BUFFALO COUNTY, WI</v>
      </c>
      <c r="D2712" s="136" t="s">
        <v>57</v>
      </c>
      <c r="E2712" s="262" t="s">
        <v>5205</v>
      </c>
      <c r="F2712" s="136" t="s">
        <v>183</v>
      </c>
      <c r="G2712" s="246">
        <v>52000</v>
      </c>
      <c r="H2712" s="246">
        <v>59400</v>
      </c>
      <c r="I2712" s="246">
        <v>66850</v>
      </c>
      <c r="J2712" s="246">
        <v>74250</v>
      </c>
      <c r="K2712" s="246">
        <v>80200</v>
      </c>
      <c r="L2712" s="246">
        <v>86150</v>
      </c>
      <c r="M2712" s="246">
        <v>92100</v>
      </c>
      <c r="N2712" s="246">
        <v>98050</v>
      </c>
    </row>
    <row r="2713" spans="3:14" ht="21.95" customHeight="1" x14ac:dyDescent="0.25">
      <c r="C2713" s="139" t="str">
        <f t="shared" si="58"/>
        <v>WI_BURNETT COUNTY, WI</v>
      </c>
      <c r="D2713" s="136" t="s">
        <v>57</v>
      </c>
      <c r="E2713" s="262" t="s">
        <v>5206</v>
      </c>
      <c r="F2713" s="136" t="s">
        <v>183</v>
      </c>
      <c r="G2713" s="246">
        <v>52000</v>
      </c>
      <c r="H2713" s="246">
        <v>59400</v>
      </c>
      <c r="I2713" s="246">
        <v>66850</v>
      </c>
      <c r="J2713" s="246">
        <v>74250</v>
      </c>
      <c r="K2713" s="246">
        <v>80200</v>
      </c>
      <c r="L2713" s="246">
        <v>86150</v>
      </c>
      <c r="M2713" s="246">
        <v>92100</v>
      </c>
      <c r="N2713" s="246">
        <v>98050</v>
      </c>
    </row>
    <row r="2714" spans="3:14" ht="21.95" customHeight="1" x14ac:dyDescent="0.25">
      <c r="C2714" s="139" t="str">
        <f t="shared" si="58"/>
        <v>WI_CLARK COUNTY, WI</v>
      </c>
      <c r="D2714" s="136" t="s">
        <v>57</v>
      </c>
      <c r="E2714" s="262" t="s">
        <v>5207</v>
      </c>
      <c r="F2714" s="136" t="s">
        <v>183</v>
      </c>
      <c r="G2714" s="246">
        <v>52000</v>
      </c>
      <c r="H2714" s="246">
        <v>59400</v>
      </c>
      <c r="I2714" s="246">
        <v>66850</v>
      </c>
      <c r="J2714" s="246">
        <v>74250</v>
      </c>
      <c r="K2714" s="246">
        <v>80200</v>
      </c>
      <c r="L2714" s="246">
        <v>86150</v>
      </c>
      <c r="M2714" s="246">
        <v>92100</v>
      </c>
      <c r="N2714" s="246">
        <v>98050</v>
      </c>
    </row>
    <row r="2715" spans="3:14" ht="21.95" customHeight="1" x14ac:dyDescent="0.25">
      <c r="C2715" s="139" t="str">
        <f t="shared" si="58"/>
        <v>WI_COLUMBIA COUNTY, WI HUD METRO FMR AREA</v>
      </c>
      <c r="D2715" s="136" t="s">
        <v>57</v>
      </c>
      <c r="E2715" s="262" t="s">
        <v>5208</v>
      </c>
      <c r="F2715" s="136" t="s">
        <v>183</v>
      </c>
      <c r="G2715" s="246">
        <v>59450</v>
      </c>
      <c r="H2715" s="246">
        <v>67950</v>
      </c>
      <c r="I2715" s="246">
        <v>76450</v>
      </c>
      <c r="J2715" s="246">
        <v>84900</v>
      </c>
      <c r="K2715" s="246">
        <v>91700</v>
      </c>
      <c r="L2715" s="246">
        <v>98500</v>
      </c>
      <c r="M2715" s="246">
        <v>105300</v>
      </c>
      <c r="N2715" s="246">
        <v>112100</v>
      </c>
    </row>
    <row r="2716" spans="3:14" ht="21.95" customHeight="1" x14ac:dyDescent="0.25">
      <c r="C2716" s="139" t="str">
        <f t="shared" si="58"/>
        <v>WI_CRAWFORD COUNTY, WI</v>
      </c>
      <c r="D2716" s="136" t="s">
        <v>57</v>
      </c>
      <c r="E2716" s="262" t="s">
        <v>5209</v>
      </c>
      <c r="F2716" s="136" t="s">
        <v>183</v>
      </c>
      <c r="G2716" s="246">
        <v>52000</v>
      </c>
      <c r="H2716" s="246">
        <v>59400</v>
      </c>
      <c r="I2716" s="246">
        <v>66850</v>
      </c>
      <c r="J2716" s="246">
        <v>74250</v>
      </c>
      <c r="K2716" s="246">
        <v>80200</v>
      </c>
      <c r="L2716" s="246">
        <v>86150</v>
      </c>
      <c r="M2716" s="246">
        <v>92100</v>
      </c>
      <c r="N2716" s="246">
        <v>98050</v>
      </c>
    </row>
    <row r="2717" spans="3:14" ht="21.95" customHeight="1" x14ac:dyDescent="0.25">
      <c r="C2717" s="139" t="str">
        <f t="shared" si="58"/>
        <v>WI_DODGE COUNTY, WI</v>
      </c>
      <c r="D2717" s="136" t="s">
        <v>57</v>
      </c>
      <c r="E2717" s="262" t="s">
        <v>5210</v>
      </c>
      <c r="F2717" s="136" t="s">
        <v>183</v>
      </c>
      <c r="G2717" s="246">
        <v>55200</v>
      </c>
      <c r="H2717" s="246">
        <v>63050</v>
      </c>
      <c r="I2717" s="246">
        <v>70950</v>
      </c>
      <c r="J2717" s="246">
        <v>78800</v>
      </c>
      <c r="K2717" s="246">
        <v>85150</v>
      </c>
      <c r="L2717" s="246">
        <v>91450</v>
      </c>
      <c r="M2717" s="246">
        <v>97750</v>
      </c>
      <c r="N2717" s="246">
        <v>104050</v>
      </c>
    </row>
    <row r="2718" spans="3:14" ht="21.95" customHeight="1" x14ac:dyDescent="0.25">
      <c r="C2718" s="139" t="str">
        <f t="shared" si="58"/>
        <v>WI_DOOR COUNTY, WI</v>
      </c>
      <c r="D2718" s="136" t="s">
        <v>57</v>
      </c>
      <c r="E2718" s="262" t="s">
        <v>5211</v>
      </c>
      <c r="F2718" s="136" t="s">
        <v>183</v>
      </c>
      <c r="G2718" s="246">
        <v>56500</v>
      </c>
      <c r="H2718" s="246">
        <v>64550</v>
      </c>
      <c r="I2718" s="246">
        <v>72600</v>
      </c>
      <c r="J2718" s="246">
        <v>80650</v>
      </c>
      <c r="K2718" s="246">
        <v>87150</v>
      </c>
      <c r="L2718" s="246">
        <v>93600</v>
      </c>
      <c r="M2718" s="246">
        <v>100050</v>
      </c>
      <c r="N2718" s="246">
        <v>106500</v>
      </c>
    </row>
    <row r="2719" spans="3:14" ht="21.95" customHeight="1" x14ac:dyDescent="0.25">
      <c r="C2719" s="139" t="str">
        <f t="shared" si="58"/>
        <v>WI_DULUTH, MN-WI MSA</v>
      </c>
      <c r="D2719" s="136" t="s">
        <v>57</v>
      </c>
      <c r="E2719" s="262" t="s">
        <v>9206</v>
      </c>
      <c r="F2719" s="136" t="s">
        <v>183</v>
      </c>
      <c r="G2719" s="246">
        <v>56350</v>
      </c>
      <c r="H2719" s="246">
        <v>64400</v>
      </c>
      <c r="I2719" s="246">
        <v>72450</v>
      </c>
      <c r="J2719" s="246">
        <v>80500</v>
      </c>
      <c r="K2719" s="246">
        <v>86950</v>
      </c>
      <c r="L2719" s="246">
        <v>93400</v>
      </c>
      <c r="M2719" s="246">
        <v>99850</v>
      </c>
      <c r="N2719" s="246">
        <v>106300</v>
      </c>
    </row>
    <row r="2720" spans="3:14" ht="21.95" customHeight="1" x14ac:dyDescent="0.25">
      <c r="C2720" s="139" t="str">
        <f t="shared" si="58"/>
        <v>WI_DUNN COUNTY, WI</v>
      </c>
      <c r="D2720" s="136" t="s">
        <v>57</v>
      </c>
      <c r="E2720" s="262" t="s">
        <v>5212</v>
      </c>
      <c r="F2720" s="136" t="s">
        <v>183</v>
      </c>
      <c r="G2720" s="246">
        <v>55350</v>
      </c>
      <c r="H2720" s="246">
        <v>63250</v>
      </c>
      <c r="I2720" s="246">
        <v>71150</v>
      </c>
      <c r="J2720" s="246">
        <v>79050</v>
      </c>
      <c r="K2720" s="246">
        <v>85400</v>
      </c>
      <c r="L2720" s="246">
        <v>91700</v>
      </c>
      <c r="M2720" s="246">
        <v>98050</v>
      </c>
      <c r="N2720" s="246">
        <v>104350</v>
      </c>
    </row>
    <row r="2721" spans="3:14" ht="21.95" customHeight="1" x14ac:dyDescent="0.25">
      <c r="C2721" s="139" t="str">
        <f t="shared" si="58"/>
        <v>WI_EAU CLAIRE, WI MSA</v>
      </c>
      <c r="D2721" s="136" t="s">
        <v>57</v>
      </c>
      <c r="E2721" s="262" t="s">
        <v>5213</v>
      </c>
      <c r="F2721" s="136" t="s">
        <v>183</v>
      </c>
      <c r="G2721" s="246">
        <v>57800</v>
      </c>
      <c r="H2721" s="246">
        <v>66050</v>
      </c>
      <c r="I2721" s="246">
        <v>74300</v>
      </c>
      <c r="J2721" s="246">
        <v>82550</v>
      </c>
      <c r="K2721" s="246">
        <v>89200</v>
      </c>
      <c r="L2721" s="246">
        <v>95800</v>
      </c>
      <c r="M2721" s="246">
        <v>102400</v>
      </c>
      <c r="N2721" s="246">
        <v>109000</v>
      </c>
    </row>
    <row r="2722" spans="3:14" ht="21.95" customHeight="1" x14ac:dyDescent="0.25">
      <c r="C2722" s="139" t="str">
        <f t="shared" si="58"/>
        <v>WI_FLORENCE COUNTY, WI</v>
      </c>
      <c r="D2722" s="136" t="s">
        <v>57</v>
      </c>
      <c r="E2722" s="262" t="s">
        <v>5214</v>
      </c>
      <c r="F2722" s="136" t="s">
        <v>183</v>
      </c>
      <c r="G2722" s="246">
        <v>52000</v>
      </c>
      <c r="H2722" s="246">
        <v>59400</v>
      </c>
      <c r="I2722" s="246">
        <v>66850</v>
      </c>
      <c r="J2722" s="246">
        <v>74250</v>
      </c>
      <c r="K2722" s="246">
        <v>80200</v>
      </c>
      <c r="L2722" s="246">
        <v>86150</v>
      </c>
      <c r="M2722" s="246">
        <v>92100</v>
      </c>
      <c r="N2722" s="246">
        <v>98050</v>
      </c>
    </row>
    <row r="2723" spans="3:14" ht="21.95" customHeight="1" x14ac:dyDescent="0.25">
      <c r="C2723" s="139" t="str">
        <f t="shared" si="58"/>
        <v>WI_FOND DU LAC, WI MSA</v>
      </c>
      <c r="D2723" s="136" t="s">
        <v>57</v>
      </c>
      <c r="E2723" s="262" t="s">
        <v>5215</v>
      </c>
      <c r="F2723" s="136" t="s">
        <v>183</v>
      </c>
      <c r="G2723" s="246">
        <v>54800</v>
      </c>
      <c r="H2723" s="246">
        <v>62600</v>
      </c>
      <c r="I2723" s="246">
        <v>70450</v>
      </c>
      <c r="J2723" s="246">
        <v>78250</v>
      </c>
      <c r="K2723" s="246">
        <v>84550</v>
      </c>
      <c r="L2723" s="246">
        <v>90800</v>
      </c>
      <c r="M2723" s="246">
        <v>97050</v>
      </c>
      <c r="N2723" s="246">
        <v>103300</v>
      </c>
    </row>
    <row r="2724" spans="3:14" ht="21.95" customHeight="1" x14ac:dyDescent="0.25">
      <c r="C2724" s="139" t="str">
        <f t="shared" si="58"/>
        <v>WI_FOREST COUNTY, WI</v>
      </c>
      <c r="D2724" s="136" t="s">
        <v>57</v>
      </c>
      <c r="E2724" s="262" t="s">
        <v>5216</v>
      </c>
      <c r="F2724" s="136" t="s">
        <v>183</v>
      </c>
      <c r="G2724" s="246">
        <v>52000</v>
      </c>
      <c r="H2724" s="246">
        <v>59400</v>
      </c>
      <c r="I2724" s="246">
        <v>66850</v>
      </c>
      <c r="J2724" s="246">
        <v>74250</v>
      </c>
      <c r="K2724" s="246">
        <v>80200</v>
      </c>
      <c r="L2724" s="246">
        <v>86150</v>
      </c>
      <c r="M2724" s="246">
        <v>92100</v>
      </c>
      <c r="N2724" s="246">
        <v>98050</v>
      </c>
    </row>
    <row r="2725" spans="3:14" ht="21.95" customHeight="1" x14ac:dyDescent="0.25">
      <c r="C2725" s="139" t="str">
        <f t="shared" si="58"/>
        <v>WI_GRANT COUNTY, WI</v>
      </c>
      <c r="D2725" s="136" t="s">
        <v>57</v>
      </c>
      <c r="E2725" s="262" t="s">
        <v>5217</v>
      </c>
      <c r="F2725" s="136" t="s">
        <v>183</v>
      </c>
      <c r="G2725" s="246">
        <v>52000</v>
      </c>
      <c r="H2725" s="246">
        <v>59400</v>
      </c>
      <c r="I2725" s="246">
        <v>66850</v>
      </c>
      <c r="J2725" s="246">
        <v>74250</v>
      </c>
      <c r="K2725" s="246">
        <v>80200</v>
      </c>
      <c r="L2725" s="246">
        <v>86150</v>
      </c>
      <c r="M2725" s="246">
        <v>92100</v>
      </c>
      <c r="N2725" s="246">
        <v>98050</v>
      </c>
    </row>
    <row r="2726" spans="3:14" ht="21.95" customHeight="1" x14ac:dyDescent="0.25">
      <c r="C2726" s="139" t="str">
        <f t="shared" si="58"/>
        <v>WI_GREEN BAY, WI HUD METRO FMR AREA</v>
      </c>
      <c r="D2726" s="136" t="s">
        <v>57</v>
      </c>
      <c r="E2726" s="262" t="s">
        <v>5218</v>
      </c>
      <c r="F2726" s="136" t="s">
        <v>183</v>
      </c>
      <c r="G2726" s="246">
        <v>59950</v>
      </c>
      <c r="H2726" s="246">
        <v>68500</v>
      </c>
      <c r="I2726" s="246">
        <v>77050</v>
      </c>
      <c r="J2726" s="246">
        <v>85600</v>
      </c>
      <c r="K2726" s="246">
        <v>92450</v>
      </c>
      <c r="L2726" s="246">
        <v>99300</v>
      </c>
      <c r="M2726" s="246">
        <v>106150</v>
      </c>
      <c r="N2726" s="246">
        <v>113000</v>
      </c>
    </row>
    <row r="2727" spans="3:14" ht="21.95" customHeight="1" x14ac:dyDescent="0.25">
      <c r="C2727" s="139" t="str">
        <f t="shared" si="58"/>
        <v>WI_GREEN COUNTY, WI HUD METRO FMR AREA</v>
      </c>
      <c r="D2727" s="136" t="s">
        <v>57</v>
      </c>
      <c r="E2727" s="262" t="s">
        <v>5219</v>
      </c>
      <c r="F2727" s="136" t="s">
        <v>183</v>
      </c>
      <c r="G2727" s="246">
        <v>59300</v>
      </c>
      <c r="H2727" s="246">
        <v>67750</v>
      </c>
      <c r="I2727" s="246">
        <v>76200</v>
      </c>
      <c r="J2727" s="246">
        <v>84650</v>
      </c>
      <c r="K2727" s="246">
        <v>91450</v>
      </c>
      <c r="L2727" s="246">
        <v>98200</v>
      </c>
      <c r="M2727" s="246">
        <v>105000</v>
      </c>
      <c r="N2727" s="246">
        <v>111750</v>
      </c>
    </row>
    <row r="2728" spans="3:14" ht="21.95" customHeight="1" x14ac:dyDescent="0.25">
      <c r="C2728" s="139" t="str">
        <f t="shared" si="58"/>
        <v>WI_GREEN LAKE COUNTY, WI</v>
      </c>
      <c r="D2728" s="136" t="s">
        <v>57</v>
      </c>
      <c r="E2728" s="262" t="s">
        <v>5220</v>
      </c>
      <c r="F2728" s="136" t="s">
        <v>183</v>
      </c>
      <c r="G2728" s="246">
        <v>52000</v>
      </c>
      <c r="H2728" s="246">
        <v>59400</v>
      </c>
      <c r="I2728" s="246">
        <v>66850</v>
      </c>
      <c r="J2728" s="246">
        <v>74250</v>
      </c>
      <c r="K2728" s="246">
        <v>80200</v>
      </c>
      <c r="L2728" s="246">
        <v>86150</v>
      </c>
      <c r="M2728" s="246">
        <v>92100</v>
      </c>
      <c r="N2728" s="246">
        <v>98050</v>
      </c>
    </row>
    <row r="2729" spans="3:14" ht="21.95" customHeight="1" x14ac:dyDescent="0.25">
      <c r="C2729" s="139" t="str">
        <f t="shared" si="58"/>
        <v>WI_IOWA COUNTY, WI HUD METRO FMR AREA</v>
      </c>
      <c r="D2729" s="136" t="s">
        <v>57</v>
      </c>
      <c r="E2729" s="262" t="s">
        <v>5221</v>
      </c>
      <c r="F2729" s="136" t="s">
        <v>183</v>
      </c>
      <c r="G2729" s="246">
        <v>63500</v>
      </c>
      <c r="H2729" s="246">
        <v>72600</v>
      </c>
      <c r="I2729" s="246">
        <v>81650</v>
      </c>
      <c r="J2729" s="246">
        <v>90700</v>
      </c>
      <c r="K2729" s="246">
        <v>98000</v>
      </c>
      <c r="L2729" s="246">
        <v>105250</v>
      </c>
      <c r="M2729" s="246">
        <v>112500</v>
      </c>
      <c r="N2729" s="246">
        <v>119750</v>
      </c>
    </row>
    <row r="2730" spans="3:14" ht="21.95" customHeight="1" x14ac:dyDescent="0.25">
      <c r="C2730" s="139" t="str">
        <f t="shared" si="58"/>
        <v>WI_IRON COUNTY, WI</v>
      </c>
      <c r="D2730" s="136" t="s">
        <v>57</v>
      </c>
      <c r="E2730" s="262" t="s">
        <v>5222</v>
      </c>
      <c r="F2730" s="136" t="s">
        <v>183</v>
      </c>
      <c r="G2730" s="246">
        <v>52000</v>
      </c>
      <c r="H2730" s="246">
        <v>59400</v>
      </c>
      <c r="I2730" s="246">
        <v>66850</v>
      </c>
      <c r="J2730" s="246">
        <v>74250</v>
      </c>
      <c r="K2730" s="246">
        <v>80200</v>
      </c>
      <c r="L2730" s="246">
        <v>86150</v>
      </c>
      <c r="M2730" s="246">
        <v>92100</v>
      </c>
      <c r="N2730" s="246">
        <v>98050</v>
      </c>
    </row>
    <row r="2731" spans="3:14" ht="21.95" customHeight="1" x14ac:dyDescent="0.25">
      <c r="C2731" s="139" t="str">
        <f t="shared" si="58"/>
        <v>WI_JACKSON COUNTY, WI</v>
      </c>
      <c r="D2731" s="136" t="s">
        <v>57</v>
      </c>
      <c r="E2731" s="262" t="s">
        <v>5223</v>
      </c>
      <c r="F2731" s="136" t="s">
        <v>183</v>
      </c>
      <c r="G2731" s="246">
        <v>52000</v>
      </c>
      <c r="H2731" s="246">
        <v>59400</v>
      </c>
      <c r="I2731" s="246">
        <v>66850</v>
      </c>
      <c r="J2731" s="246">
        <v>74250</v>
      </c>
      <c r="K2731" s="246">
        <v>80200</v>
      </c>
      <c r="L2731" s="246">
        <v>86150</v>
      </c>
      <c r="M2731" s="246">
        <v>92100</v>
      </c>
      <c r="N2731" s="246">
        <v>98050</v>
      </c>
    </row>
    <row r="2732" spans="3:14" ht="21.95" customHeight="1" x14ac:dyDescent="0.25">
      <c r="C2732" s="139" t="str">
        <f t="shared" si="58"/>
        <v>WI_JANESVILLE-BELOIT, WI MSA</v>
      </c>
      <c r="D2732" s="136" t="s">
        <v>57</v>
      </c>
      <c r="E2732" s="262" t="s">
        <v>5224</v>
      </c>
      <c r="F2732" s="136" t="s">
        <v>183</v>
      </c>
      <c r="G2732" s="246">
        <v>52950</v>
      </c>
      <c r="H2732" s="246">
        <v>60500</v>
      </c>
      <c r="I2732" s="246">
        <v>68050</v>
      </c>
      <c r="J2732" s="246">
        <v>75600</v>
      </c>
      <c r="K2732" s="246">
        <v>81650</v>
      </c>
      <c r="L2732" s="246">
        <v>87700</v>
      </c>
      <c r="M2732" s="246">
        <v>93750</v>
      </c>
      <c r="N2732" s="246">
        <v>99800</v>
      </c>
    </row>
    <row r="2733" spans="3:14" ht="21.95" customHeight="1" x14ac:dyDescent="0.25">
      <c r="C2733" s="139" t="str">
        <f t="shared" si="58"/>
        <v>WI_JEFFERSON COUNTY, WI</v>
      </c>
      <c r="D2733" s="136" t="s">
        <v>57</v>
      </c>
      <c r="E2733" s="262" t="s">
        <v>5225</v>
      </c>
      <c r="F2733" s="136" t="s">
        <v>183</v>
      </c>
      <c r="G2733" s="246">
        <v>61400</v>
      </c>
      <c r="H2733" s="246">
        <v>70200</v>
      </c>
      <c r="I2733" s="246">
        <v>78950</v>
      </c>
      <c r="J2733" s="246">
        <v>87700</v>
      </c>
      <c r="K2733" s="246">
        <v>94750</v>
      </c>
      <c r="L2733" s="246">
        <v>101750</v>
      </c>
      <c r="M2733" s="246">
        <v>108750</v>
      </c>
      <c r="N2733" s="246">
        <v>115800</v>
      </c>
    </row>
    <row r="2734" spans="3:14" ht="21.95" customHeight="1" x14ac:dyDescent="0.25">
      <c r="C2734" s="139" t="str">
        <f t="shared" si="58"/>
        <v>WI_JUNEAU COUNTY, WI</v>
      </c>
      <c r="D2734" s="136" t="s">
        <v>57</v>
      </c>
      <c r="E2734" s="262" t="s">
        <v>5226</v>
      </c>
      <c r="F2734" s="136" t="s">
        <v>183</v>
      </c>
      <c r="G2734" s="246">
        <v>52000</v>
      </c>
      <c r="H2734" s="246">
        <v>59400</v>
      </c>
      <c r="I2734" s="246">
        <v>66850</v>
      </c>
      <c r="J2734" s="246">
        <v>74250</v>
      </c>
      <c r="K2734" s="246">
        <v>80200</v>
      </c>
      <c r="L2734" s="246">
        <v>86150</v>
      </c>
      <c r="M2734" s="246">
        <v>92100</v>
      </c>
      <c r="N2734" s="246">
        <v>98050</v>
      </c>
    </row>
    <row r="2735" spans="3:14" ht="21.95" customHeight="1" x14ac:dyDescent="0.25">
      <c r="C2735" s="139" t="str">
        <f t="shared" si="58"/>
        <v>WI_KENOSHA, WI MSA</v>
      </c>
      <c r="D2735" s="136" t="s">
        <v>57</v>
      </c>
      <c r="E2735" s="262" t="s">
        <v>9284</v>
      </c>
      <c r="F2735" s="136" t="s">
        <v>183</v>
      </c>
      <c r="G2735" s="246">
        <v>59850</v>
      </c>
      <c r="H2735" s="246">
        <v>68400</v>
      </c>
      <c r="I2735" s="246">
        <v>76950</v>
      </c>
      <c r="J2735" s="246">
        <v>85450</v>
      </c>
      <c r="K2735" s="246">
        <v>92300</v>
      </c>
      <c r="L2735" s="246">
        <v>99150</v>
      </c>
      <c r="M2735" s="246">
        <v>106000</v>
      </c>
      <c r="N2735" s="246">
        <v>112800</v>
      </c>
    </row>
    <row r="2736" spans="3:14" ht="21.95" customHeight="1" x14ac:dyDescent="0.25">
      <c r="C2736" s="139" t="str">
        <f t="shared" si="58"/>
        <v>WI_LA CROSSE-ONALASKA, WI-MN HUD METRO FMR AREA</v>
      </c>
      <c r="D2736" s="136" t="s">
        <v>57</v>
      </c>
      <c r="E2736" s="262" t="s">
        <v>9207</v>
      </c>
      <c r="F2736" s="136" t="s">
        <v>183</v>
      </c>
      <c r="G2736" s="246">
        <v>60150</v>
      </c>
      <c r="H2736" s="246">
        <v>68750</v>
      </c>
      <c r="I2736" s="246">
        <v>77350</v>
      </c>
      <c r="J2736" s="246">
        <v>85900</v>
      </c>
      <c r="K2736" s="246">
        <v>92800</v>
      </c>
      <c r="L2736" s="246">
        <v>99650</v>
      </c>
      <c r="M2736" s="246">
        <v>106550</v>
      </c>
      <c r="N2736" s="246">
        <v>113400</v>
      </c>
    </row>
    <row r="2737" spans="3:14" ht="21.95" customHeight="1" x14ac:dyDescent="0.25">
      <c r="C2737" s="139" t="str">
        <f t="shared" si="58"/>
        <v>WI_LAFAYETTE COUNTY, WI</v>
      </c>
      <c r="D2737" s="136" t="s">
        <v>57</v>
      </c>
      <c r="E2737" s="262" t="s">
        <v>5227</v>
      </c>
      <c r="F2737" s="136" t="s">
        <v>183</v>
      </c>
      <c r="G2737" s="246">
        <v>52300</v>
      </c>
      <c r="H2737" s="246">
        <v>59750</v>
      </c>
      <c r="I2737" s="246">
        <v>67200</v>
      </c>
      <c r="J2737" s="246">
        <v>74650</v>
      </c>
      <c r="K2737" s="246">
        <v>80650</v>
      </c>
      <c r="L2737" s="246">
        <v>86600</v>
      </c>
      <c r="M2737" s="246">
        <v>92600</v>
      </c>
      <c r="N2737" s="246">
        <v>98550</v>
      </c>
    </row>
    <row r="2738" spans="3:14" ht="21.95" customHeight="1" x14ac:dyDescent="0.25">
      <c r="C2738" s="139" t="str">
        <f t="shared" si="58"/>
        <v>WI_LANGLADE COUNTY, WI</v>
      </c>
      <c r="D2738" s="136" t="s">
        <v>57</v>
      </c>
      <c r="E2738" s="262" t="s">
        <v>5228</v>
      </c>
      <c r="F2738" s="136" t="s">
        <v>183</v>
      </c>
      <c r="G2738" s="246">
        <v>52000</v>
      </c>
      <c r="H2738" s="246">
        <v>59400</v>
      </c>
      <c r="I2738" s="246">
        <v>66850</v>
      </c>
      <c r="J2738" s="246">
        <v>74250</v>
      </c>
      <c r="K2738" s="246">
        <v>80200</v>
      </c>
      <c r="L2738" s="246">
        <v>86150</v>
      </c>
      <c r="M2738" s="246">
        <v>92100</v>
      </c>
      <c r="N2738" s="246">
        <v>98050</v>
      </c>
    </row>
    <row r="2739" spans="3:14" ht="21.95" customHeight="1" x14ac:dyDescent="0.25">
      <c r="C2739" s="139" t="str">
        <f t="shared" si="58"/>
        <v>WI_LINCOLN COUNTY, WI</v>
      </c>
      <c r="D2739" s="136" t="s">
        <v>57</v>
      </c>
      <c r="E2739" s="262" t="s">
        <v>9285</v>
      </c>
      <c r="F2739" s="136" t="s">
        <v>183</v>
      </c>
      <c r="G2739" s="246">
        <v>53200</v>
      </c>
      <c r="H2739" s="246">
        <v>60800</v>
      </c>
      <c r="I2739" s="246">
        <v>68400</v>
      </c>
      <c r="J2739" s="246">
        <v>76000</v>
      </c>
      <c r="K2739" s="246">
        <v>82100</v>
      </c>
      <c r="L2739" s="246">
        <v>88200</v>
      </c>
      <c r="M2739" s="246">
        <v>94250</v>
      </c>
      <c r="N2739" s="246">
        <v>100350</v>
      </c>
    </row>
    <row r="2740" spans="3:14" ht="21.95" customHeight="1" x14ac:dyDescent="0.25">
      <c r="C2740" s="139" t="str">
        <f t="shared" si="58"/>
        <v>WI_MADISON, WI HUD METRO FMR AREA</v>
      </c>
      <c r="D2740" s="136" t="s">
        <v>57</v>
      </c>
      <c r="E2740" s="262" t="s">
        <v>5229</v>
      </c>
      <c r="F2740" s="136" t="s">
        <v>183</v>
      </c>
      <c r="G2740" s="246">
        <v>72700</v>
      </c>
      <c r="H2740" s="246">
        <v>83100</v>
      </c>
      <c r="I2740" s="246">
        <v>93500</v>
      </c>
      <c r="J2740" s="246">
        <v>103850</v>
      </c>
      <c r="K2740" s="246">
        <v>112200</v>
      </c>
      <c r="L2740" s="246">
        <v>120500</v>
      </c>
      <c r="M2740" s="246">
        <v>128800</v>
      </c>
      <c r="N2740" s="246">
        <v>137100</v>
      </c>
    </row>
    <row r="2741" spans="3:14" ht="21.95" customHeight="1" x14ac:dyDescent="0.25">
      <c r="C2741" s="139" t="str">
        <f t="shared" si="58"/>
        <v>WI_MANITOWOC COUNTY, WI</v>
      </c>
      <c r="D2741" s="136" t="s">
        <v>57</v>
      </c>
      <c r="E2741" s="262" t="s">
        <v>5230</v>
      </c>
      <c r="F2741" s="136" t="s">
        <v>183</v>
      </c>
      <c r="G2741" s="246">
        <v>52950</v>
      </c>
      <c r="H2741" s="246">
        <v>60500</v>
      </c>
      <c r="I2741" s="246">
        <v>68050</v>
      </c>
      <c r="J2741" s="246">
        <v>75600</v>
      </c>
      <c r="K2741" s="246">
        <v>81650</v>
      </c>
      <c r="L2741" s="246">
        <v>87700</v>
      </c>
      <c r="M2741" s="246">
        <v>93750</v>
      </c>
      <c r="N2741" s="246">
        <v>99800</v>
      </c>
    </row>
    <row r="2742" spans="3:14" ht="21.95" customHeight="1" x14ac:dyDescent="0.25">
      <c r="C2742" s="139" t="str">
        <f t="shared" si="58"/>
        <v>WI_MARINETTE COUNTY, WI</v>
      </c>
      <c r="D2742" s="136" t="s">
        <v>57</v>
      </c>
      <c r="E2742" s="262" t="s">
        <v>5231</v>
      </c>
      <c r="F2742" s="136" t="s">
        <v>183</v>
      </c>
      <c r="G2742" s="246">
        <v>52000</v>
      </c>
      <c r="H2742" s="246">
        <v>59400</v>
      </c>
      <c r="I2742" s="246">
        <v>66850</v>
      </c>
      <c r="J2742" s="246">
        <v>74250</v>
      </c>
      <c r="K2742" s="246">
        <v>80200</v>
      </c>
      <c r="L2742" s="246">
        <v>86150</v>
      </c>
      <c r="M2742" s="246">
        <v>92100</v>
      </c>
      <c r="N2742" s="246">
        <v>98050</v>
      </c>
    </row>
    <row r="2743" spans="3:14" ht="21.95" customHeight="1" x14ac:dyDescent="0.25">
      <c r="C2743" s="139" t="str">
        <f t="shared" si="58"/>
        <v>WI_MARQUETTE COUNTY, WI</v>
      </c>
      <c r="D2743" s="136" t="s">
        <v>57</v>
      </c>
      <c r="E2743" s="262" t="s">
        <v>5232</v>
      </c>
      <c r="F2743" s="136" t="s">
        <v>183</v>
      </c>
      <c r="G2743" s="246">
        <v>52000</v>
      </c>
      <c r="H2743" s="246">
        <v>59400</v>
      </c>
      <c r="I2743" s="246">
        <v>66850</v>
      </c>
      <c r="J2743" s="246">
        <v>74250</v>
      </c>
      <c r="K2743" s="246">
        <v>80200</v>
      </c>
      <c r="L2743" s="246">
        <v>86150</v>
      </c>
      <c r="M2743" s="246">
        <v>92100</v>
      </c>
      <c r="N2743" s="246">
        <v>98050</v>
      </c>
    </row>
    <row r="2744" spans="3:14" ht="21.95" customHeight="1" x14ac:dyDescent="0.25">
      <c r="C2744" s="139" t="str">
        <f t="shared" si="58"/>
        <v>WI_MENOMINEE COUNTY, WI</v>
      </c>
      <c r="D2744" s="136" t="s">
        <v>57</v>
      </c>
      <c r="E2744" s="262" t="s">
        <v>5233</v>
      </c>
      <c r="F2744" s="136" t="s">
        <v>183</v>
      </c>
      <c r="G2744" s="246">
        <v>52000</v>
      </c>
      <c r="H2744" s="246">
        <v>59400</v>
      </c>
      <c r="I2744" s="246">
        <v>66850</v>
      </c>
      <c r="J2744" s="246">
        <v>74250</v>
      </c>
      <c r="K2744" s="246">
        <v>80200</v>
      </c>
      <c r="L2744" s="246">
        <v>86150</v>
      </c>
      <c r="M2744" s="246">
        <v>92100</v>
      </c>
      <c r="N2744" s="246">
        <v>98050</v>
      </c>
    </row>
    <row r="2745" spans="3:14" ht="21.95" customHeight="1" x14ac:dyDescent="0.25">
      <c r="C2745" s="139" t="str">
        <f t="shared" si="58"/>
        <v>WI_MILWAUKEE-WAUKESHA, WI MSA</v>
      </c>
      <c r="D2745" s="136" t="s">
        <v>57</v>
      </c>
      <c r="E2745" s="262" t="s">
        <v>9287</v>
      </c>
      <c r="F2745" s="136" t="s">
        <v>183</v>
      </c>
      <c r="G2745" s="246">
        <v>62000</v>
      </c>
      <c r="H2745" s="246">
        <v>70850</v>
      </c>
      <c r="I2745" s="246">
        <v>79700</v>
      </c>
      <c r="J2745" s="246">
        <v>88550</v>
      </c>
      <c r="K2745" s="246">
        <v>95650</v>
      </c>
      <c r="L2745" s="246">
        <v>102750</v>
      </c>
      <c r="M2745" s="246">
        <v>109850</v>
      </c>
      <c r="N2745" s="246">
        <v>116900</v>
      </c>
    </row>
    <row r="2746" spans="3:14" ht="21.95" customHeight="1" x14ac:dyDescent="0.25">
      <c r="C2746" s="139" t="str">
        <f t="shared" si="58"/>
        <v>WI_MINNEAPOLIS-ST. PAUL-BLOOMINGTON, MN-WI HUD METRO FMR AREA</v>
      </c>
      <c r="D2746" s="136" t="s">
        <v>57</v>
      </c>
      <c r="E2746" s="262" t="s">
        <v>4013</v>
      </c>
      <c r="F2746" s="136" t="s">
        <v>183</v>
      </c>
      <c r="G2746" s="246">
        <v>72950</v>
      </c>
      <c r="H2746" s="246">
        <v>83400</v>
      </c>
      <c r="I2746" s="246">
        <v>93800</v>
      </c>
      <c r="J2746" s="246">
        <v>104200</v>
      </c>
      <c r="K2746" s="246">
        <v>112550</v>
      </c>
      <c r="L2746" s="246">
        <v>120900</v>
      </c>
      <c r="M2746" s="246">
        <v>129250</v>
      </c>
      <c r="N2746" s="246">
        <v>137550</v>
      </c>
    </row>
    <row r="2747" spans="3:14" ht="21.95" customHeight="1" x14ac:dyDescent="0.25">
      <c r="C2747" s="139" t="str">
        <f t="shared" si="58"/>
        <v>WI_MONROE COUNTY, WI</v>
      </c>
      <c r="D2747" s="136" t="s">
        <v>57</v>
      </c>
      <c r="E2747" s="262" t="s">
        <v>5234</v>
      </c>
      <c r="F2747" s="136" t="s">
        <v>183</v>
      </c>
      <c r="G2747" s="246">
        <v>52000</v>
      </c>
      <c r="H2747" s="246">
        <v>59400</v>
      </c>
      <c r="I2747" s="246">
        <v>66850</v>
      </c>
      <c r="J2747" s="246">
        <v>74250</v>
      </c>
      <c r="K2747" s="246">
        <v>80200</v>
      </c>
      <c r="L2747" s="246">
        <v>86150</v>
      </c>
      <c r="M2747" s="246">
        <v>92100</v>
      </c>
      <c r="N2747" s="246">
        <v>98050</v>
      </c>
    </row>
    <row r="2748" spans="3:14" ht="21.95" customHeight="1" x14ac:dyDescent="0.25">
      <c r="C2748" s="139" t="str">
        <f t="shared" si="58"/>
        <v>WI_OCONTO COUNTY, WI HUD METRO FMR AREA</v>
      </c>
      <c r="D2748" s="136" t="s">
        <v>57</v>
      </c>
      <c r="E2748" s="262" t="s">
        <v>5235</v>
      </c>
      <c r="F2748" s="136" t="s">
        <v>183</v>
      </c>
      <c r="G2748" s="246">
        <v>54850</v>
      </c>
      <c r="H2748" s="246">
        <v>62650</v>
      </c>
      <c r="I2748" s="246">
        <v>70500</v>
      </c>
      <c r="J2748" s="246">
        <v>78300</v>
      </c>
      <c r="K2748" s="246">
        <v>84600</v>
      </c>
      <c r="L2748" s="246">
        <v>90850</v>
      </c>
      <c r="M2748" s="246">
        <v>97100</v>
      </c>
      <c r="N2748" s="246">
        <v>103400</v>
      </c>
    </row>
    <row r="2749" spans="3:14" ht="21.95" customHeight="1" x14ac:dyDescent="0.25">
      <c r="C2749" s="139" t="str">
        <f t="shared" si="58"/>
        <v>WI_ONEIDA COUNTY, WI</v>
      </c>
      <c r="D2749" s="136" t="s">
        <v>57</v>
      </c>
      <c r="E2749" s="262" t="s">
        <v>5236</v>
      </c>
      <c r="F2749" s="136" t="s">
        <v>183</v>
      </c>
      <c r="G2749" s="246">
        <v>53950</v>
      </c>
      <c r="H2749" s="246">
        <v>61650</v>
      </c>
      <c r="I2749" s="246">
        <v>69350</v>
      </c>
      <c r="J2749" s="246">
        <v>77050</v>
      </c>
      <c r="K2749" s="246">
        <v>83250</v>
      </c>
      <c r="L2749" s="246">
        <v>89400</v>
      </c>
      <c r="M2749" s="246">
        <v>95550</v>
      </c>
      <c r="N2749" s="246">
        <v>101750</v>
      </c>
    </row>
    <row r="2750" spans="3:14" ht="21.95" customHeight="1" x14ac:dyDescent="0.25">
      <c r="C2750" s="139" t="str">
        <f t="shared" si="58"/>
        <v>WI_OSHKOSH-NEENAH, WI MSA</v>
      </c>
      <c r="D2750" s="136" t="s">
        <v>57</v>
      </c>
      <c r="E2750" s="262" t="s">
        <v>5237</v>
      </c>
      <c r="F2750" s="136" t="s">
        <v>183</v>
      </c>
      <c r="G2750" s="246">
        <v>58050</v>
      </c>
      <c r="H2750" s="246">
        <v>66350</v>
      </c>
      <c r="I2750" s="246">
        <v>74650</v>
      </c>
      <c r="J2750" s="246">
        <v>82900</v>
      </c>
      <c r="K2750" s="246">
        <v>89550</v>
      </c>
      <c r="L2750" s="246">
        <v>96200</v>
      </c>
      <c r="M2750" s="246">
        <v>102800</v>
      </c>
      <c r="N2750" s="246">
        <v>109450</v>
      </c>
    </row>
    <row r="2751" spans="3:14" ht="21.95" customHeight="1" x14ac:dyDescent="0.25">
      <c r="C2751" s="139" t="str">
        <f t="shared" si="58"/>
        <v>WI_PEPIN COUNTY, WI</v>
      </c>
      <c r="D2751" s="136" t="s">
        <v>57</v>
      </c>
      <c r="E2751" s="262" t="s">
        <v>5238</v>
      </c>
      <c r="F2751" s="136" t="s">
        <v>183</v>
      </c>
      <c r="G2751" s="246">
        <v>52550</v>
      </c>
      <c r="H2751" s="246">
        <v>60050</v>
      </c>
      <c r="I2751" s="246">
        <v>67550</v>
      </c>
      <c r="J2751" s="246">
        <v>75050</v>
      </c>
      <c r="K2751" s="246">
        <v>81100</v>
      </c>
      <c r="L2751" s="246">
        <v>87100</v>
      </c>
      <c r="M2751" s="246">
        <v>93100</v>
      </c>
      <c r="N2751" s="246">
        <v>99100</v>
      </c>
    </row>
    <row r="2752" spans="3:14" ht="21.95" customHeight="1" x14ac:dyDescent="0.25">
      <c r="C2752" s="139" t="str">
        <f t="shared" ref="C2752:C2815" si="59">TRIM(UPPER(D2752))&amp;"_"&amp;TRIM(UPPER(E2752))</f>
        <v>WI_POLK COUNTY, WI</v>
      </c>
      <c r="D2752" s="136" t="s">
        <v>57</v>
      </c>
      <c r="E2752" s="262" t="s">
        <v>5239</v>
      </c>
      <c r="F2752" s="136" t="s">
        <v>183</v>
      </c>
      <c r="G2752" s="246">
        <v>54600</v>
      </c>
      <c r="H2752" s="246">
        <v>62400</v>
      </c>
      <c r="I2752" s="246">
        <v>70200</v>
      </c>
      <c r="J2752" s="246">
        <v>78000</v>
      </c>
      <c r="K2752" s="246">
        <v>84250</v>
      </c>
      <c r="L2752" s="246">
        <v>90500</v>
      </c>
      <c r="M2752" s="246">
        <v>96750</v>
      </c>
      <c r="N2752" s="246">
        <v>103000</v>
      </c>
    </row>
    <row r="2753" spans="3:14" ht="21.95" customHeight="1" x14ac:dyDescent="0.25">
      <c r="C2753" s="139" t="str">
        <f t="shared" si="59"/>
        <v>WI_PORTAGE COUNTY, WI</v>
      </c>
      <c r="D2753" s="136" t="s">
        <v>57</v>
      </c>
      <c r="E2753" s="262" t="s">
        <v>5240</v>
      </c>
      <c r="F2753" s="136" t="s">
        <v>183</v>
      </c>
      <c r="G2753" s="246">
        <v>54800</v>
      </c>
      <c r="H2753" s="246">
        <v>62600</v>
      </c>
      <c r="I2753" s="246">
        <v>70450</v>
      </c>
      <c r="J2753" s="246">
        <v>78250</v>
      </c>
      <c r="K2753" s="246">
        <v>84550</v>
      </c>
      <c r="L2753" s="246">
        <v>90800</v>
      </c>
      <c r="M2753" s="246">
        <v>97050</v>
      </c>
      <c r="N2753" s="246">
        <v>103300</v>
      </c>
    </row>
    <row r="2754" spans="3:14" ht="21.95" customHeight="1" x14ac:dyDescent="0.25">
      <c r="C2754" s="139" t="str">
        <f t="shared" si="59"/>
        <v>WI_PRICE COUNTY, WI</v>
      </c>
      <c r="D2754" s="136" t="s">
        <v>57</v>
      </c>
      <c r="E2754" s="262" t="s">
        <v>5241</v>
      </c>
      <c r="F2754" s="136" t="s">
        <v>183</v>
      </c>
      <c r="G2754" s="246">
        <v>52000</v>
      </c>
      <c r="H2754" s="246">
        <v>59400</v>
      </c>
      <c r="I2754" s="246">
        <v>66850</v>
      </c>
      <c r="J2754" s="246">
        <v>74250</v>
      </c>
      <c r="K2754" s="246">
        <v>80200</v>
      </c>
      <c r="L2754" s="246">
        <v>86150</v>
      </c>
      <c r="M2754" s="246">
        <v>92100</v>
      </c>
      <c r="N2754" s="246">
        <v>98050</v>
      </c>
    </row>
    <row r="2755" spans="3:14" ht="21.95" customHeight="1" x14ac:dyDescent="0.25">
      <c r="C2755" s="139" t="str">
        <f t="shared" si="59"/>
        <v>WI_RACINE-MOUNT PLEASANT, WI MSA</v>
      </c>
      <c r="D2755" s="136" t="s">
        <v>57</v>
      </c>
      <c r="E2755" s="262" t="s">
        <v>9288</v>
      </c>
      <c r="F2755" s="136" t="s">
        <v>183</v>
      </c>
      <c r="G2755" s="246">
        <v>55250</v>
      </c>
      <c r="H2755" s="246">
        <v>63150</v>
      </c>
      <c r="I2755" s="246">
        <v>71050</v>
      </c>
      <c r="J2755" s="246">
        <v>78900</v>
      </c>
      <c r="K2755" s="246">
        <v>85250</v>
      </c>
      <c r="L2755" s="246">
        <v>91550</v>
      </c>
      <c r="M2755" s="246">
        <v>97850</v>
      </c>
      <c r="N2755" s="246">
        <v>104150</v>
      </c>
    </row>
    <row r="2756" spans="3:14" ht="21.95" customHeight="1" x14ac:dyDescent="0.25">
      <c r="C2756" s="139" t="str">
        <f t="shared" si="59"/>
        <v>WI_RICHLAND COUNTY, WI</v>
      </c>
      <c r="D2756" s="136" t="s">
        <v>57</v>
      </c>
      <c r="E2756" s="262" t="s">
        <v>5242</v>
      </c>
      <c r="F2756" s="136" t="s">
        <v>183</v>
      </c>
      <c r="G2756" s="246">
        <v>52000</v>
      </c>
      <c r="H2756" s="246">
        <v>59400</v>
      </c>
      <c r="I2756" s="246">
        <v>66850</v>
      </c>
      <c r="J2756" s="246">
        <v>74250</v>
      </c>
      <c r="K2756" s="246">
        <v>80200</v>
      </c>
      <c r="L2756" s="246">
        <v>86150</v>
      </c>
      <c r="M2756" s="246">
        <v>92100</v>
      </c>
      <c r="N2756" s="246">
        <v>98050</v>
      </c>
    </row>
    <row r="2757" spans="3:14" ht="21.95" customHeight="1" x14ac:dyDescent="0.25">
      <c r="C2757" s="139" t="str">
        <f t="shared" si="59"/>
        <v>WI_RUSK COUNTY, WI</v>
      </c>
      <c r="D2757" s="136" t="s">
        <v>57</v>
      </c>
      <c r="E2757" s="262" t="s">
        <v>5243</v>
      </c>
      <c r="F2757" s="136" t="s">
        <v>183</v>
      </c>
      <c r="G2757" s="246">
        <v>52000</v>
      </c>
      <c r="H2757" s="246">
        <v>59400</v>
      </c>
      <c r="I2757" s="246">
        <v>66850</v>
      </c>
      <c r="J2757" s="246">
        <v>74250</v>
      </c>
      <c r="K2757" s="246">
        <v>80200</v>
      </c>
      <c r="L2757" s="246">
        <v>86150</v>
      </c>
      <c r="M2757" s="246">
        <v>92100</v>
      </c>
      <c r="N2757" s="246">
        <v>98050</v>
      </c>
    </row>
    <row r="2758" spans="3:14" ht="21.95" customHeight="1" x14ac:dyDescent="0.25">
      <c r="C2758" s="139" t="str">
        <f t="shared" si="59"/>
        <v>WI_SAUK COUNTY, WI</v>
      </c>
      <c r="D2758" s="136" t="s">
        <v>57</v>
      </c>
      <c r="E2758" s="262" t="s">
        <v>5244</v>
      </c>
      <c r="F2758" s="136" t="s">
        <v>183</v>
      </c>
      <c r="G2758" s="246">
        <v>57500</v>
      </c>
      <c r="H2758" s="246">
        <v>65700</v>
      </c>
      <c r="I2758" s="246">
        <v>73900</v>
      </c>
      <c r="J2758" s="246">
        <v>82100</v>
      </c>
      <c r="K2758" s="246">
        <v>88700</v>
      </c>
      <c r="L2758" s="246">
        <v>95250</v>
      </c>
      <c r="M2758" s="246">
        <v>101850</v>
      </c>
      <c r="N2758" s="246">
        <v>108400</v>
      </c>
    </row>
    <row r="2759" spans="3:14" ht="21.95" customHeight="1" x14ac:dyDescent="0.25">
      <c r="C2759" s="139" t="str">
        <f t="shared" si="59"/>
        <v>WI_SAWYER COUNTY, WI</v>
      </c>
      <c r="D2759" s="136" t="s">
        <v>57</v>
      </c>
      <c r="E2759" s="262" t="s">
        <v>5245</v>
      </c>
      <c r="F2759" s="136" t="s">
        <v>183</v>
      </c>
      <c r="G2759" s="246">
        <v>52000</v>
      </c>
      <c r="H2759" s="246">
        <v>59400</v>
      </c>
      <c r="I2759" s="246">
        <v>66850</v>
      </c>
      <c r="J2759" s="246">
        <v>74250</v>
      </c>
      <c r="K2759" s="246">
        <v>80200</v>
      </c>
      <c r="L2759" s="246">
        <v>86150</v>
      </c>
      <c r="M2759" s="246">
        <v>92100</v>
      </c>
      <c r="N2759" s="246">
        <v>98050</v>
      </c>
    </row>
    <row r="2760" spans="3:14" ht="21.95" customHeight="1" x14ac:dyDescent="0.25">
      <c r="C2760" s="139" t="str">
        <f t="shared" si="59"/>
        <v>WI_SHAWANO COUNTY, WI</v>
      </c>
      <c r="D2760" s="136" t="s">
        <v>57</v>
      </c>
      <c r="E2760" s="262" t="s">
        <v>5246</v>
      </c>
      <c r="F2760" s="136" t="s">
        <v>183</v>
      </c>
      <c r="G2760" s="246">
        <v>52000</v>
      </c>
      <c r="H2760" s="246">
        <v>59400</v>
      </c>
      <c r="I2760" s="246">
        <v>66850</v>
      </c>
      <c r="J2760" s="246">
        <v>74250</v>
      </c>
      <c r="K2760" s="246">
        <v>80200</v>
      </c>
      <c r="L2760" s="246">
        <v>86150</v>
      </c>
      <c r="M2760" s="246">
        <v>92100</v>
      </c>
      <c r="N2760" s="246">
        <v>98050</v>
      </c>
    </row>
    <row r="2761" spans="3:14" ht="21.95" customHeight="1" x14ac:dyDescent="0.25">
      <c r="C2761" s="139" t="str">
        <f t="shared" si="59"/>
        <v>WI_SHEBOYGAN, WI MSA</v>
      </c>
      <c r="D2761" s="136" t="s">
        <v>57</v>
      </c>
      <c r="E2761" s="262" t="s">
        <v>5247</v>
      </c>
      <c r="F2761" s="136" t="s">
        <v>183</v>
      </c>
      <c r="G2761" s="246">
        <v>53100</v>
      </c>
      <c r="H2761" s="246">
        <v>60700</v>
      </c>
      <c r="I2761" s="246">
        <v>68300</v>
      </c>
      <c r="J2761" s="246">
        <v>75850</v>
      </c>
      <c r="K2761" s="246">
        <v>81950</v>
      </c>
      <c r="L2761" s="246">
        <v>88000</v>
      </c>
      <c r="M2761" s="246">
        <v>94100</v>
      </c>
      <c r="N2761" s="246">
        <v>100150</v>
      </c>
    </row>
    <row r="2762" spans="3:14" ht="21.95" customHeight="1" x14ac:dyDescent="0.25">
      <c r="C2762" s="139" t="str">
        <f t="shared" si="59"/>
        <v>WI_TAYLOR COUNTY, WI</v>
      </c>
      <c r="D2762" s="136" t="s">
        <v>57</v>
      </c>
      <c r="E2762" s="262" t="s">
        <v>5248</v>
      </c>
      <c r="F2762" s="136" t="s">
        <v>183</v>
      </c>
      <c r="G2762" s="246">
        <v>52000</v>
      </c>
      <c r="H2762" s="246">
        <v>59400</v>
      </c>
      <c r="I2762" s="246">
        <v>66850</v>
      </c>
      <c r="J2762" s="246">
        <v>74250</v>
      </c>
      <c r="K2762" s="246">
        <v>80200</v>
      </c>
      <c r="L2762" s="246">
        <v>86150</v>
      </c>
      <c r="M2762" s="246">
        <v>92100</v>
      </c>
      <c r="N2762" s="246">
        <v>98050</v>
      </c>
    </row>
    <row r="2763" spans="3:14" ht="21.95" customHeight="1" x14ac:dyDescent="0.25">
      <c r="C2763" s="139" t="str">
        <f t="shared" si="59"/>
        <v>WI_TREMPEALEAU COUNTY, WI</v>
      </c>
      <c r="D2763" s="136" t="s">
        <v>57</v>
      </c>
      <c r="E2763" s="262" t="s">
        <v>5249</v>
      </c>
      <c r="F2763" s="136" t="s">
        <v>183</v>
      </c>
      <c r="G2763" s="246">
        <v>54750</v>
      </c>
      <c r="H2763" s="246">
        <v>62550</v>
      </c>
      <c r="I2763" s="246">
        <v>70350</v>
      </c>
      <c r="J2763" s="246">
        <v>78150</v>
      </c>
      <c r="K2763" s="246">
        <v>84450</v>
      </c>
      <c r="L2763" s="246">
        <v>90700</v>
      </c>
      <c r="M2763" s="246">
        <v>96950</v>
      </c>
      <c r="N2763" s="246">
        <v>103200</v>
      </c>
    </row>
    <row r="2764" spans="3:14" ht="21.95" customHeight="1" x14ac:dyDescent="0.25">
      <c r="C2764" s="139" t="str">
        <f t="shared" si="59"/>
        <v>WI_VERNON COUNTY, WI HUD METRO FMR AREA</v>
      </c>
      <c r="D2764" s="136" t="s">
        <v>57</v>
      </c>
      <c r="E2764" s="262" t="s">
        <v>9289</v>
      </c>
      <c r="F2764" s="136" t="s">
        <v>183</v>
      </c>
      <c r="G2764" s="246">
        <v>53450</v>
      </c>
      <c r="H2764" s="246">
        <v>61050</v>
      </c>
      <c r="I2764" s="246">
        <v>68700</v>
      </c>
      <c r="J2764" s="246">
        <v>76300</v>
      </c>
      <c r="K2764" s="246">
        <v>82450</v>
      </c>
      <c r="L2764" s="246">
        <v>88550</v>
      </c>
      <c r="M2764" s="246">
        <v>94650</v>
      </c>
      <c r="N2764" s="246">
        <v>100750</v>
      </c>
    </row>
    <row r="2765" spans="3:14" ht="21.95" customHeight="1" x14ac:dyDescent="0.25">
      <c r="C2765" s="139" t="str">
        <f t="shared" si="59"/>
        <v>WI_VILAS COUNTY, WI</v>
      </c>
      <c r="D2765" s="136" t="s">
        <v>57</v>
      </c>
      <c r="E2765" s="262" t="s">
        <v>5250</v>
      </c>
      <c r="F2765" s="136" t="s">
        <v>183</v>
      </c>
      <c r="G2765" s="246">
        <v>52000</v>
      </c>
      <c r="H2765" s="246">
        <v>59400</v>
      </c>
      <c r="I2765" s="246">
        <v>66850</v>
      </c>
      <c r="J2765" s="246">
        <v>74250</v>
      </c>
      <c r="K2765" s="246">
        <v>80200</v>
      </c>
      <c r="L2765" s="246">
        <v>86150</v>
      </c>
      <c r="M2765" s="246">
        <v>92100</v>
      </c>
      <c r="N2765" s="246">
        <v>98050</v>
      </c>
    </row>
    <row r="2766" spans="3:14" ht="21.95" customHeight="1" x14ac:dyDescent="0.25">
      <c r="C2766" s="139" t="str">
        <f t="shared" si="59"/>
        <v>WI_WALWORTH COUNTY, WI</v>
      </c>
      <c r="D2766" s="136" t="s">
        <v>57</v>
      </c>
      <c r="E2766" s="262" t="s">
        <v>5251</v>
      </c>
      <c r="F2766" s="136" t="s">
        <v>183</v>
      </c>
      <c r="G2766" s="246">
        <v>61400</v>
      </c>
      <c r="H2766" s="246">
        <v>70200</v>
      </c>
      <c r="I2766" s="246">
        <v>78950</v>
      </c>
      <c r="J2766" s="246">
        <v>87700</v>
      </c>
      <c r="K2766" s="246">
        <v>94750</v>
      </c>
      <c r="L2766" s="246">
        <v>101750</v>
      </c>
      <c r="M2766" s="246">
        <v>108750</v>
      </c>
      <c r="N2766" s="246">
        <v>115800</v>
      </c>
    </row>
    <row r="2767" spans="3:14" ht="21.95" customHeight="1" x14ac:dyDescent="0.25">
      <c r="C2767" s="139" t="str">
        <f t="shared" si="59"/>
        <v>WI_WASHBURN COUNTY, WI</v>
      </c>
      <c r="D2767" s="136" t="s">
        <v>57</v>
      </c>
      <c r="E2767" s="262" t="s">
        <v>5252</v>
      </c>
      <c r="F2767" s="136" t="s">
        <v>183</v>
      </c>
      <c r="G2767" s="246">
        <v>52000</v>
      </c>
      <c r="H2767" s="246">
        <v>59400</v>
      </c>
      <c r="I2767" s="246">
        <v>66850</v>
      </c>
      <c r="J2767" s="246">
        <v>74250</v>
      </c>
      <c r="K2767" s="246">
        <v>80200</v>
      </c>
      <c r="L2767" s="246">
        <v>86150</v>
      </c>
      <c r="M2767" s="246">
        <v>92100</v>
      </c>
      <c r="N2767" s="246">
        <v>98050</v>
      </c>
    </row>
    <row r="2768" spans="3:14" ht="21.95" customHeight="1" x14ac:dyDescent="0.25">
      <c r="C2768" s="139" t="str">
        <f t="shared" si="59"/>
        <v>WI_WAUPACA COUNTY, WI</v>
      </c>
      <c r="D2768" s="136" t="s">
        <v>57</v>
      </c>
      <c r="E2768" s="262" t="s">
        <v>5253</v>
      </c>
      <c r="F2768" s="136" t="s">
        <v>183</v>
      </c>
      <c r="G2768" s="246">
        <v>53100</v>
      </c>
      <c r="H2768" s="246">
        <v>60700</v>
      </c>
      <c r="I2768" s="246">
        <v>68300</v>
      </c>
      <c r="J2768" s="246">
        <v>75850</v>
      </c>
      <c r="K2768" s="246">
        <v>81950</v>
      </c>
      <c r="L2768" s="246">
        <v>88000</v>
      </c>
      <c r="M2768" s="246">
        <v>94100</v>
      </c>
      <c r="N2768" s="246">
        <v>100150</v>
      </c>
    </row>
    <row r="2769" spans="3:14" ht="21.95" customHeight="1" x14ac:dyDescent="0.25">
      <c r="C2769" s="139" t="str">
        <f t="shared" si="59"/>
        <v>WI_WAUSAU, WI MSA</v>
      </c>
      <c r="D2769" s="136" t="s">
        <v>57</v>
      </c>
      <c r="E2769" s="262" t="s">
        <v>9286</v>
      </c>
      <c r="F2769" s="136" t="s">
        <v>183</v>
      </c>
      <c r="G2769" s="246">
        <v>55350</v>
      </c>
      <c r="H2769" s="246">
        <v>63250</v>
      </c>
      <c r="I2769" s="246">
        <v>71150</v>
      </c>
      <c r="J2769" s="246">
        <v>79050</v>
      </c>
      <c r="K2769" s="246">
        <v>85400</v>
      </c>
      <c r="L2769" s="246">
        <v>91700</v>
      </c>
      <c r="M2769" s="246">
        <v>98050</v>
      </c>
      <c r="N2769" s="246">
        <v>104350</v>
      </c>
    </row>
    <row r="2770" spans="3:14" ht="21.95" customHeight="1" x14ac:dyDescent="0.25">
      <c r="C2770" s="139" t="str">
        <f t="shared" si="59"/>
        <v>WI_WAUSHARA COUNTY, WI</v>
      </c>
      <c r="D2770" s="136" t="s">
        <v>57</v>
      </c>
      <c r="E2770" s="262" t="s">
        <v>5254</v>
      </c>
      <c r="F2770" s="136" t="s">
        <v>183</v>
      </c>
      <c r="G2770" s="246">
        <v>52000</v>
      </c>
      <c r="H2770" s="246">
        <v>59400</v>
      </c>
      <c r="I2770" s="246">
        <v>66850</v>
      </c>
      <c r="J2770" s="246">
        <v>74250</v>
      </c>
      <c r="K2770" s="246">
        <v>80200</v>
      </c>
      <c r="L2770" s="246">
        <v>86150</v>
      </c>
      <c r="M2770" s="246">
        <v>92100</v>
      </c>
      <c r="N2770" s="246">
        <v>98050</v>
      </c>
    </row>
    <row r="2771" spans="3:14" ht="21.95" customHeight="1" x14ac:dyDescent="0.25">
      <c r="C2771" s="139" t="str">
        <f t="shared" si="59"/>
        <v>WI_WOOD COUNTY, WI</v>
      </c>
      <c r="D2771" s="136" t="s">
        <v>57</v>
      </c>
      <c r="E2771" s="262" t="s">
        <v>5255</v>
      </c>
      <c r="F2771" s="136" t="s">
        <v>183</v>
      </c>
      <c r="G2771" s="246">
        <v>52000</v>
      </c>
      <c r="H2771" s="246">
        <v>59400</v>
      </c>
      <c r="I2771" s="246">
        <v>66850</v>
      </c>
      <c r="J2771" s="246">
        <v>74250</v>
      </c>
      <c r="K2771" s="246">
        <v>80200</v>
      </c>
      <c r="L2771" s="246">
        <v>86150</v>
      </c>
      <c r="M2771" s="246">
        <v>92100</v>
      </c>
      <c r="N2771" s="246">
        <v>98050</v>
      </c>
    </row>
    <row r="2772" spans="3:14" ht="21.95" customHeight="1" x14ac:dyDescent="0.25">
      <c r="C2772" s="139" t="str">
        <f t="shared" si="59"/>
        <v>WV_BARBOUR COUNTY, WV</v>
      </c>
      <c r="D2772" s="136" t="s">
        <v>58</v>
      </c>
      <c r="E2772" s="262" t="s">
        <v>5256</v>
      </c>
      <c r="F2772" s="136" t="s">
        <v>183</v>
      </c>
      <c r="G2772" s="246">
        <v>39950</v>
      </c>
      <c r="H2772" s="246">
        <v>45650</v>
      </c>
      <c r="I2772" s="246">
        <v>51350</v>
      </c>
      <c r="J2772" s="246">
        <v>57050</v>
      </c>
      <c r="K2772" s="246">
        <v>61650</v>
      </c>
      <c r="L2772" s="246">
        <v>66200</v>
      </c>
      <c r="M2772" s="246">
        <v>70750</v>
      </c>
      <c r="N2772" s="246">
        <v>75350</v>
      </c>
    </row>
    <row r="2773" spans="3:14" ht="21.95" customHeight="1" x14ac:dyDescent="0.25">
      <c r="C2773" s="139" t="str">
        <f t="shared" si="59"/>
        <v>WV_BOONE COUNTY, WV HUD METRO FMR AREA</v>
      </c>
      <c r="D2773" s="136" t="s">
        <v>58</v>
      </c>
      <c r="E2773" s="262" t="s">
        <v>5257</v>
      </c>
      <c r="F2773" s="136" t="s">
        <v>183</v>
      </c>
      <c r="G2773" s="246">
        <v>42200</v>
      </c>
      <c r="H2773" s="246">
        <v>48200</v>
      </c>
      <c r="I2773" s="246">
        <v>54250</v>
      </c>
      <c r="J2773" s="246">
        <v>60250</v>
      </c>
      <c r="K2773" s="246">
        <v>65100</v>
      </c>
      <c r="L2773" s="246">
        <v>69900</v>
      </c>
      <c r="M2773" s="246">
        <v>74750</v>
      </c>
      <c r="N2773" s="246">
        <v>79550</v>
      </c>
    </row>
    <row r="2774" spans="3:14" ht="21.95" customHeight="1" x14ac:dyDescent="0.25">
      <c r="C2774" s="139" t="str">
        <f t="shared" si="59"/>
        <v>WV_BRAXTON COUNTY, WV</v>
      </c>
      <c r="D2774" s="136" t="s">
        <v>58</v>
      </c>
      <c r="E2774" s="262" t="s">
        <v>5258</v>
      </c>
      <c r="F2774" s="136" t="s">
        <v>183</v>
      </c>
      <c r="G2774" s="246">
        <v>39950</v>
      </c>
      <c r="H2774" s="246">
        <v>45650</v>
      </c>
      <c r="I2774" s="246">
        <v>51350</v>
      </c>
      <c r="J2774" s="246">
        <v>57050</v>
      </c>
      <c r="K2774" s="246">
        <v>61650</v>
      </c>
      <c r="L2774" s="246">
        <v>66200</v>
      </c>
      <c r="M2774" s="246">
        <v>70750</v>
      </c>
      <c r="N2774" s="246">
        <v>75350</v>
      </c>
    </row>
    <row r="2775" spans="3:14" ht="21.95" customHeight="1" x14ac:dyDescent="0.25">
      <c r="C2775" s="139" t="str">
        <f t="shared" si="59"/>
        <v>WV_CALHOUN COUNTY, WV</v>
      </c>
      <c r="D2775" s="136" t="s">
        <v>58</v>
      </c>
      <c r="E2775" s="262" t="s">
        <v>5259</v>
      </c>
      <c r="F2775" s="136" t="s">
        <v>183</v>
      </c>
      <c r="G2775" s="246">
        <v>39950</v>
      </c>
      <c r="H2775" s="246">
        <v>45650</v>
      </c>
      <c r="I2775" s="246">
        <v>51350</v>
      </c>
      <c r="J2775" s="246">
        <v>57050</v>
      </c>
      <c r="K2775" s="246">
        <v>61650</v>
      </c>
      <c r="L2775" s="246">
        <v>66200</v>
      </c>
      <c r="M2775" s="246">
        <v>70750</v>
      </c>
      <c r="N2775" s="246">
        <v>75350</v>
      </c>
    </row>
    <row r="2776" spans="3:14" ht="21.95" customHeight="1" x14ac:dyDescent="0.25">
      <c r="C2776" s="139" t="str">
        <f t="shared" si="59"/>
        <v>WV_CHARLESTON, WV HUD METRO FMR AREA</v>
      </c>
      <c r="D2776" s="136" t="s">
        <v>58</v>
      </c>
      <c r="E2776" s="262" t="s">
        <v>5260</v>
      </c>
      <c r="F2776" s="136" t="s">
        <v>183</v>
      </c>
      <c r="G2776" s="246">
        <v>43050</v>
      </c>
      <c r="H2776" s="246">
        <v>49200</v>
      </c>
      <c r="I2776" s="246">
        <v>55350</v>
      </c>
      <c r="J2776" s="246">
        <v>61450</v>
      </c>
      <c r="K2776" s="246">
        <v>66400</v>
      </c>
      <c r="L2776" s="246">
        <v>71300</v>
      </c>
      <c r="M2776" s="246">
        <v>76200</v>
      </c>
      <c r="N2776" s="246">
        <v>81150</v>
      </c>
    </row>
    <row r="2777" spans="3:14" ht="21.95" customHeight="1" x14ac:dyDescent="0.25">
      <c r="C2777" s="139" t="str">
        <f t="shared" si="59"/>
        <v>WV_DODDRIDGE COUNTY, WV</v>
      </c>
      <c r="D2777" s="136" t="s">
        <v>58</v>
      </c>
      <c r="E2777" s="262" t="s">
        <v>5261</v>
      </c>
      <c r="F2777" s="136" t="s">
        <v>183</v>
      </c>
      <c r="G2777" s="246">
        <v>47250</v>
      </c>
      <c r="H2777" s="246">
        <v>54000</v>
      </c>
      <c r="I2777" s="246">
        <v>60750</v>
      </c>
      <c r="J2777" s="246">
        <v>67500</v>
      </c>
      <c r="K2777" s="246">
        <v>72900</v>
      </c>
      <c r="L2777" s="246">
        <v>78300</v>
      </c>
      <c r="M2777" s="246">
        <v>83700</v>
      </c>
      <c r="N2777" s="246">
        <v>89100</v>
      </c>
    </row>
    <row r="2778" spans="3:14" ht="21.95" customHeight="1" x14ac:dyDescent="0.25">
      <c r="C2778" s="139" t="str">
        <f t="shared" si="59"/>
        <v>WV_FAYETTE COUNTY, WV HUD METRO FMR AREA</v>
      </c>
      <c r="D2778" s="136" t="s">
        <v>58</v>
      </c>
      <c r="E2778" s="262" t="s">
        <v>5262</v>
      </c>
      <c r="F2778" s="136" t="s">
        <v>183</v>
      </c>
      <c r="G2778" s="246">
        <v>40350</v>
      </c>
      <c r="H2778" s="246">
        <v>46100</v>
      </c>
      <c r="I2778" s="246">
        <v>51850</v>
      </c>
      <c r="J2778" s="246">
        <v>57600</v>
      </c>
      <c r="K2778" s="246">
        <v>62250</v>
      </c>
      <c r="L2778" s="246">
        <v>66850</v>
      </c>
      <c r="M2778" s="246">
        <v>71450</v>
      </c>
      <c r="N2778" s="246">
        <v>76050</v>
      </c>
    </row>
    <row r="2779" spans="3:14" ht="21.95" customHeight="1" x14ac:dyDescent="0.25">
      <c r="C2779" s="139" t="str">
        <f t="shared" si="59"/>
        <v>WV_GILMER COUNTY, WV</v>
      </c>
      <c r="D2779" s="136" t="s">
        <v>58</v>
      </c>
      <c r="E2779" s="262" t="s">
        <v>5263</v>
      </c>
      <c r="F2779" s="136" t="s">
        <v>183</v>
      </c>
      <c r="G2779" s="246">
        <v>39950</v>
      </c>
      <c r="H2779" s="246">
        <v>45650</v>
      </c>
      <c r="I2779" s="246">
        <v>51350</v>
      </c>
      <c r="J2779" s="246">
        <v>57050</v>
      </c>
      <c r="K2779" s="246">
        <v>61650</v>
      </c>
      <c r="L2779" s="246">
        <v>66200</v>
      </c>
      <c r="M2779" s="246">
        <v>70750</v>
      </c>
      <c r="N2779" s="246">
        <v>75350</v>
      </c>
    </row>
    <row r="2780" spans="3:14" ht="21.95" customHeight="1" x14ac:dyDescent="0.25">
      <c r="C2780" s="139" t="str">
        <f t="shared" si="59"/>
        <v>WV_GRANT COUNTY, WV</v>
      </c>
      <c r="D2780" s="136" t="s">
        <v>58</v>
      </c>
      <c r="E2780" s="262" t="s">
        <v>5264</v>
      </c>
      <c r="F2780" s="136" t="s">
        <v>183</v>
      </c>
      <c r="G2780" s="246">
        <v>44800</v>
      </c>
      <c r="H2780" s="246">
        <v>51200</v>
      </c>
      <c r="I2780" s="246">
        <v>57600</v>
      </c>
      <c r="J2780" s="246">
        <v>64000</v>
      </c>
      <c r="K2780" s="246">
        <v>69150</v>
      </c>
      <c r="L2780" s="246">
        <v>74250</v>
      </c>
      <c r="M2780" s="246">
        <v>79400</v>
      </c>
      <c r="N2780" s="246">
        <v>84500</v>
      </c>
    </row>
    <row r="2781" spans="3:14" ht="21.95" customHeight="1" x14ac:dyDescent="0.25">
      <c r="C2781" s="139" t="str">
        <f t="shared" si="59"/>
        <v>WV_GREENBRIER COUNTY, WV</v>
      </c>
      <c r="D2781" s="136" t="s">
        <v>58</v>
      </c>
      <c r="E2781" s="262" t="s">
        <v>5265</v>
      </c>
      <c r="F2781" s="136" t="s">
        <v>183</v>
      </c>
      <c r="G2781" s="246">
        <v>40250</v>
      </c>
      <c r="H2781" s="246">
        <v>46000</v>
      </c>
      <c r="I2781" s="246">
        <v>51750</v>
      </c>
      <c r="J2781" s="246">
        <v>57450</v>
      </c>
      <c r="K2781" s="246">
        <v>62050</v>
      </c>
      <c r="L2781" s="246">
        <v>66650</v>
      </c>
      <c r="M2781" s="246">
        <v>71250</v>
      </c>
      <c r="N2781" s="246">
        <v>75850</v>
      </c>
    </row>
    <row r="2782" spans="3:14" ht="21.95" customHeight="1" x14ac:dyDescent="0.25">
      <c r="C2782" s="139" t="str">
        <f t="shared" si="59"/>
        <v>WV_HARDY COUNTY, WV</v>
      </c>
      <c r="D2782" s="136" t="s">
        <v>58</v>
      </c>
      <c r="E2782" s="262" t="s">
        <v>5266</v>
      </c>
      <c r="F2782" s="136" t="s">
        <v>183</v>
      </c>
      <c r="G2782" s="246">
        <v>39950</v>
      </c>
      <c r="H2782" s="246">
        <v>45650</v>
      </c>
      <c r="I2782" s="246">
        <v>51350</v>
      </c>
      <c r="J2782" s="246">
        <v>57050</v>
      </c>
      <c r="K2782" s="246">
        <v>61650</v>
      </c>
      <c r="L2782" s="246">
        <v>66200</v>
      </c>
      <c r="M2782" s="246">
        <v>70750</v>
      </c>
      <c r="N2782" s="246">
        <v>75350</v>
      </c>
    </row>
    <row r="2783" spans="3:14" ht="21.95" customHeight="1" x14ac:dyDescent="0.25">
      <c r="C2783" s="139" t="str">
        <f t="shared" si="59"/>
        <v>WV_HARRISON COUNTY, WV</v>
      </c>
      <c r="D2783" s="136" t="s">
        <v>58</v>
      </c>
      <c r="E2783" s="262" t="s">
        <v>5267</v>
      </c>
      <c r="F2783" s="136" t="s">
        <v>183</v>
      </c>
      <c r="G2783" s="246">
        <v>47450</v>
      </c>
      <c r="H2783" s="246">
        <v>54200</v>
      </c>
      <c r="I2783" s="246">
        <v>61000</v>
      </c>
      <c r="J2783" s="246">
        <v>67750</v>
      </c>
      <c r="K2783" s="246">
        <v>73200</v>
      </c>
      <c r="L2783" s="246">
        <v>78600</v>
      </c>
      <c r="M2783" s="246">
        <v>84050</v>
      </c>
      <c r="N2783" s="246">
        <v>89450</v>
      </c>
    </row>
    <row r="2784" spans="3:14" ht="21.95" customHeight="1" x14ac:dyDescent="0.25">
      <c r="C2784" s="139" t="str">
        <f t="shared" si="59"/>
        <v>WV_HUNTINGTON-ASHLAND, WV-KY-OH HUD METRO FMR AREA</v>
      </c>
      <c r="D2784" s="136" t="s">
        <v>58</v>
      </c>
      <c r="E2784" s="262" t="s">
        <v>3771</v>
      </c>
      <c r="F2784" s="136" t="s">
        <v>183</v>
      </c>
      <c r="G2784" s="246">
        <v>43600</v>
      </c>
      <c r="H2784" s="246">
        <v>49800</v>
      </c>
      <c r="I2784" s="246">
        <v>56050</v>
      </c>
      <c r="J2784" s="246">
        <v>62250</v>
      </c>
      <c r="K2784" s="246">
        <v>67250</v>
      </c>
      <c r="L2784" s="246">
        <v>72250</v>
      </c>
      <c r="M2784" s="246">
        <v>77200</v>
      </c>
      <c r="N2784" s="246">
        <v>82200</v>
      </c>
    </row>
    <row r="2785" spans="3:14" ht="21.95" customHeight="1" x14ac:dyDescent="0.25">
      <c r="C2785" s="139" t="str">
        <f t="shared" si="59"/>
        <v>WV_JACKSON COUNTY, WV</v>
      </c>
      <c r="D2785" s="136" t="s">
        <v>58</v>
      </c>
      <c r="E2785" s="262" t="s">
        <v>9290</v>
      </c>
      <c r="F2785" s="136" t="s">
        <v>183</v>
      </c>
      <c r="G2785" s="246">
        <v>46550</v>
      </c>
      <c r="H2785" s="246">
        <v>53200</v>
      </c>
      <c r="I2785" s="246">
        <v>59850</v>
      </c>
      <c r="J2785" s="246">
        <v>66500</v>
      </c>
      <c r="K2785" s="246">
        <v>71850</v>
      </c>
      <c r="L2785" s="246">
        <v>77150</v>
      </c>
      <c r="M2785" s="246">
        <v>82500</v>
      </c>
      <c r="N2785" s="246">
        <v>87800</v>
      </c>
    </row>
    <row r="2786" spans="3:14" ht="21.95" customHeight="1" x14ac:dyDescent="0.25">
      <c r="C2786" s="139" t="str">
        <f t="shared" si="59"/>
        <v>WV_JEFFERSON COUNTY, WV HUD METRO FMR AREA</v>
      </c>
      <c r="D2786" s="136" t="s">
        <v>58</v>
      </c>
      <c r="E2786" s="262" t="s">
        <v>5268</v>
      </c>
      <c r="F2786" s="136" t="s">
        <v>183</v>
      </c>
      <c r="G2786" s="246">
        <v>71500</v>
      </c>
      <c r="H2786" s="246">
        <v>81700</v>
      </c>
      <c r="I2786" s="246">
        <v>91900</v>
      </c>
      <c r="J2786" s="246">
        <v>102100</v>
      </c>
      <c r="K2786" s="246">
        <v>110300</v>
      </c>
      <c r="L2786" s="246">
        <v>118450</v>
      </c>
      <c r="M2786" s="246">
        <v>126650</v>
      </c>
      <c r="N2786" s="246">
        <v>134800</v>
      </c>
    </row>
    <row r="2787" spans="3:14" ht="21.95" customHeight="1" x14ac:dyDescent="0.25">
      <c r="C2787" s="139" t="str">
        <f t="shared" si="59"/>
        <v>WV_LEWIS COUNTY, WV</v>
      </c>
      <c r="D2787" s="136" t="s">
        <v>58</v>
      </c>
      <c r="E2787" s="262" t="s">
        <v>5269</v>
      </c>
      <c r="F2787" s="136" t="s">
        <v>183</v>
      </c>
      <c r="G2787" s="246">
        <v>42200</v>
      </c>
      <c r="H2787" s="246">
        <v>48200</v>
      </c>
      <c r="I2787" s="246">
        <v>54250</v>
      </c>
      <c r="J2787" s="246">
        <v>60250</v>
      </c>
      <c r="K2787" s="246">
        <v>65100</v>
      </c>
      <c r="L2787" s="246">
        <v>69900</v>
      </c>
      <c r="M2787" s="246">
        <v>74750</v>
      </c>
      <c r="N2787" s="246">
        <v>79550</v>
      </c>
    </row>
    <row r="2788" spans="3:14" ht="21.95" customHeight="1" x14ac:dyDescent="0.25">
      <c r="C2788" s="139" t="str">
        <f t="shared" si="59"/>
        <v>WV_LINCOLN COUNTY, WV</v>
      </c>
      <c r="D2788" s="136" t="s">
        <v>58</v>
      </c>
      <c r="E2788" s="262" t="s">
        <v>9291</v>
      </c>
      <c r="F2788" s="136" t="s">
        <v>183</v>
      </c>
      <c r="G2788" s="246">
        <v>39950</v>
      </c>
      <c r="H2788" s="246">
        <v>45650</v>
      </c>
      <c r="I2788" s="246">
        <v>51350</v>
      </c>
      <c r="J2788" s="246">
        <v>57050</v>
      </c>
      <c r="K2788" s="246">
        <v>61650</v>
      </c>
      <c r="L2788" s="246">
        <v>66200</v>
      </c>
      <c r="M2788" s="246">
        <v>70750</v>
      </c>
      <c r="N2788" s="246">
        <v>75350</v>
      </c>
    </row>
    <row r="2789" spans="3:14" ht="21.95" customHeight="1" x14ac:dyDescent="0.25">
      <c r="C2789" s="139" t="str">
        <f t="shared" si="59"/>
        <v>WV_LOGAN COUNTY, WV</v>
      </c>
      <c r="D2789" s="136" t="s">
        <v>58</v>
      </c>
      <c r="E2789" s="262" t="s">
        <v>5270</v>
      </c>
      <c r="F2789" s="136" t="s">
        <v>183</v>
      </c>
      <c r="G2789" s="246">
        <v>39950</v>
      </c>
      <c r="H2789" s="246">
        <v>45650</v>
      </c>
      <c r="I2789" s="246">
        <v>51350</v>
      </c>
      <c r="J2789" s="246">
        <v>57050</v>
      </c>
      <c r="K2789" s="246">
        <v>61650</v>
      </c>
      <c r="L2789" s="246">
        <v>66200</v>
      </c>
      <c r="M2789" s="246">
        <v>70750</v>
      </c>
      <c r="N2789" s="246">
        <v>75350</v>
      </c>
    </row>
    <row r="2790" spans="3:14" ht="21.95" customHeight="1" x14ac:dyDescent="0.25">
      <c r="C2790" s="139" t="str">
        <f t="shared" si="59"/>
        <v>WV_MARION COUNTY, WV</v>
      </c>
      <c r="D2790" s="136" t="s">
        <v>58</v>
      </c>
      <c r="E2790" s="262" t="s">
        <v>5271</v>
      </c>
      <c r="F2790" s="136" t="s">
        <v>183</v>
      </c>
      <c r="G2790" s="246">
        <v>49800</v>
      </c>
      <c r="H2790" s="246">
        <v>56900</v>
      </c>
      <c r="I2790" s="246">
        <v>64000</v>
      </c>
      <c r="J2790" s="246">
        <v>71100</v>
      </c>
      <c r="K2790" s="246">
        <v>76800</v>
      </c>
      <c r="L2790" s="246">
        <v>82500</v>
      </c>
      <c r="M2790" s="246">
        <v>88200</v>
      </c>
      <c r="N2790" s="246">
        <v>93900</v>
      </c>
    </row>
    <row r="2791" spans="3:14" ht="21.95" customHeight="1" x14ac:dyDescent="0.25">
      <c r="C2791" s="139" t="str">
        <f t="shared" si="59"/>
        <v>WV_MARTINSBURG, WV HUD METRO FMR AREA</v>
      </c>
      <c r="D2791" s="136" t="s">
        <v>58</v>
      </c>
      <c r="E2791" s="262" t="s">
        <v>5272</v>
      </c>
      <c r="F2791" s="136" t="s">
        <v>183</v>
      </c>
      <c r="G2791" s="246">
        <v>50200</v>
      </c>
      <c r="H2791" s="246">
        <v>57400</v>
      </c>
      <c r="I2791" s="246">
        <v>64550</v>
      </c>
      <c r="J2791" s="246">
        <v>71700</v>
      </c>
      <c r="K2791" s="246">
        <v>77450</v>
      </c>
      <c r="L2791" s="246">
        <v>83200</v>
      </c>
      <c r="M2791" s="246">
        <v>88950</v>
      </c>
      <c r="N2791" s="246">
        <v>94650</v>
      </c>
    </row>
    <row r="2792" spans="3:14" ht="21.95" customHeight="1" x14ac:dyDescent="0.25">
      <c r="C2792" s="139" t="str">
        <f t="shared" si="59"/>
        <v>WV_MASON COUNTY, WV</v>
      </c>
      <c r="D2792" s="136" t="s">
        <v>58</v>
      </c>
      <c r="E2792" s="262" t="s">
        <v>5273</v>
      </c>
      <c r="F2792" s="136" t="s">
        <v>183</v>
      </c>
      <c r="G2792" s="246">
        <v>42650</v>
      </c>
      <c r="H2792" s="246">
        <v>48750</v>
      </c>
      <c r="I2792" s="246">
        <v>54850</v>
      </c>
      <c r="J2792" s="246">
        <v>60900</v>
      </c>
      <c r="K2792" s="246">
        <v>65800</v>
      </c>
      <c r="L2792" s="246">
        <v>70650</v>
      </c>
      <c r="M2792" s="246">
        <v>75550</v>
      </c>
      <c r="N2792" s="246">
        <v>80400</v>
      </c>
    </row>
    <row r="2793" spans="3:14" ht="21.95" customHeight="1" x14ac:dyDescent="0.25">
      <c r="C2793" s="139" t="str">
        <f t="shared" si="59"/>
        <v>WV_MCDOWELL COUNTY, WV</v>
      </c>
      <c r="D2793" s="136" t="s">
        <v>58</v>
      </c>
      <c r="E2793" s="262" t="s">
        <v>5274</v>
      </c>
      <c r="F2793" s="136" t="s">
        <v>183</v>
      </c>
      <c r="G2793" s="246">
        <v>39950</v>
      </c>
      <c r="H2793" s="246">
        <v>45650</v>
      </c>
      <c r="I2793" s="246">
        <v>51350</v>
      </c>
      <c r="J2793" s="246">
        <v>57050</v>
      </c>
      <c r="K2793" s="246">
        <v>61650</v>
      </c>
      <c r="L2793" s="246">
        <v>66200</v>
      </c>
      <c r="M2793" s="246">
        <v>70750</v>
      </c>
      <c r="N2793" s="246">
        <v>75350</v>
      </c>
    </row>
    <row r="2794" spans="3:14" ht="21.95" customHeight="1" x14ac:dyDescent="0.25">
      <c r="C2794" s="139" t="str">
        <f t="shared" si="59"/>
        <v>WV_MERCER COUNTY, WV</v>
      </c>
      <c r="D2794" s="136" t="s">
        <v>58</v>
      </c>
      <c r="E2794" s="262" t="s">
        <v>5275</v>
      </c>
      <c r="F2794" s="136" t="s">
        <v>183</v>
      </c>
      <c r="G2794" s="246">
        <v>40000</v>
      </c>
      <c r="H2794" s="246">
        <v>45700</v>
      </c>
      <c r="I2794" s="246">
        <v>51400</v>
      </c>
      <c r="J2794" s="246">
        <v>57100</v>
      </c>
      <c r="K2794" s="246">
        <v>61700</v>
      </c>
      <c r="L2794" s="246">
        <v>66250</v>
      </c>
      <c r="M2794" s="246">
        <v>70850</v>
      </c>
      <c r="N2794" s="246">
        <v>75400</v>
      </c>
    </row>
    <row r="2795" spans="3:14" ht="21.95" customHeight="1" x14ac:dyDescent="0.25">
      <c r="C2795" s="139" t="str">
        <f t="shared" si="59"/>
        <v>WV_MINERAL COUNTY, WV</v>
      </c>
      <c r="D2795" s="136" t="s">
        <v>58</v>
      </c>
      <c r="E2795" s="262" t="s">
        <v>9292</v>
      </c>
      <c r="F2795" s="136" t="s">
        <v>183</v>
      </c>
      <c r="G2795" s="246">
        <v>52000</v>
      </c>
      <c r="H2795" s="246">
        <v>59400</v>
      </c>
      <c r="I2795" s="246">
        <v>66850</v>
      </c>
      <c r="J2795" s="246">
        <v>74250</v>
      </c>
      <c r="K2795" s="246">
        <v>80200</v>
      </c>
      <c r="L2795" s="246">
        <v>86150</v>
      </c>
      <c r="M2795" s="246">
        <v>92100</v>
      </c>
      <c r="N2795" s="246">
        <v>98050</v>
      </c>
    </row>
    <row r="2796" spans="3:14" ht="21.95" customHeight="1" x14ac:dyDescent="0.25">
      <c r="C2796" s="139" t="str">
        <f t="shared" si="59"/>
        <v>WV_MINGO COUNTY, WV</v>
      </c>
      <c r="D2796" s="136" t="s">
        <v>58</v>
      </c>
      <c r="E2796" s="262" t="s">
        <v>5276</v>
      </c>
      <c r="F2796" s="136" t="s">
        <v>183</v>
      </c>
      <c r="G2796" s="246">
        <v>39950</v>
      </c>
      <c r="H2796" s="246">
        <v>45650</v>
      </c>
      <c r="I2796" s="246">
        <v>51350</v>
      </c>
      <c r="J2796" s="246">
        <v>57050</v>
      </c>
      <c r="K2796" s="246">
        <v>61650</v>
      </c>
      <c r="L2796" s="246">
        <v>66200</v>
      </c>
      <c r="M2796" s="246">
        <v>70750</v>
      </c>
      <c r="N2796" s="246">
        <v>75350</v>
      </c>
    </row>
    <row r="2797" spans="3:14" ht="21.95" customHeight="1" x14ac:dyDescent="0.25">
      <c r="C2797" s="139" t="str">
        <f t="shared" si="59"/>
        <v>WV_MONROE COUNTY, WV</v>
      </c>
      <c r="D2797" s="136" t="s">
        <v>58</v>
      </c>
      <c r="E2797" s="262" t="s">
        <v>5277</v>
      </c>
      <c r="F2797" s="136" t="s">
        <v>183</v>
      </c>
      <c r="G2797" s="246">
        <v>41200</v>
      </c>
      <c r="H2797" s="246">
        <v>47050</v>
      </c>
      <c r="I2797" s="246">
        <v>52950</v>
      </c>
      <c r="J2797" s="246">
        <v>58800</v>
      </c>
      <c r="K2797" s="246">
        <v>63550</v>
      </c>
      <c r="L2797" s="246">
        <v>68250</v>
      </c>
      <c r="M2797" s="246">
        <v>72950</v>
      </c>
      <c r="N2797" s="246">
        <v>77650</v>
      </c>
    </row>
    <row r="2798" spans="3:14" ht="21.95" customHeight="1" x14ac:dyDescent="0.25">
      <c r="C2798" s="139" t="str">
        <f t="shared" si="59"/>
        <v>WV_MORGAN COUNTY, WV HUD METRO FMR AREA</v>
      </c>
      <c r="D2798" s="136" t="s">
        <v>58</v>
      </c>
      <c r="E2798" s="262" t="s">
        <v>5278</v>
      </c>
      <c r="F2798" s="136" t="s">
        <v>183</v>
      </c>
      <c r="G2798" s="246">
        <v>46150</v>
      </c>
      <c r="H2798" s="246">
        <v>52750</v>
      </c>
      <c r="I2798" s="246">
        <v>59350</v>
      </c>
      <c r="J2798" s="246">
        <v>65900</v>
      </c>
      <c r="K2798" s="246">
        <v>71200</v>
      </c>
      <c r="L2798" s="246">
        <v>76450</v>
      </c>
      <c r="M2798" s="246">
        <v>81750</v>
      </c>
      <c r="N2798" s="246">
        <v>87000</v>
      </c>
    </row>
    <row r="2799" spans="3:14" ht="21.95" customHeight="1" x14ac:dyDescent="0.25">
      <c r="C2799" s="139" t="str">
        <f t="shared" si="59"/>
        <v>WV_MORGANTOWN, WV MSA</v>
      </c>
      <c r="D2799" s="136" t="s">
        <v>58</v>
      </c>
      <c r="E2799" s="262" t="s">
        <v>5279</v>
      </c>
      <c r="F2799" s="136" t="s">
        <v>183</v>
      </c>
      <c r="G2799" s="246">
        <v>55100</v>
      </c>
      <c r="H2799" s="246">
        <v>63000</v>
      </c>
      <c r="I2799" s="246">
        <v>70850</v>
      </c>
      <c r="J2799" s="246">
        <v>78700</v>
      </c>
      <c r="K2799" s="246">
        <v>85000</v>
      </c>
      <c r="L2799" s="246">
        <v>91300</v>
      </c>
      <c r="M2799" s="246">
        <v>97600</v>
      </c>
      <c r="N2799" s="246">
        <v>103900</v>
      </c>
    </row>
    <row r="2800" spans="3:14" ht="21.95" customHeight="1" x14ac:dyDescent="0.25">
      <c r="C2800" s="139" t="str">
        <f t="shared" si="59"/>
        <v>WV_NICHOLAS COUNTY, WV</v>
      </c>
      <c r="D2800" s="136" t="s">
        <v>58</v>
      </c>
      <c r="E2800" s="262" t="s">
        <v>5280</v>
      </c>
      <c r="F2800" s="136" t="s">
        <v>183</v>
      </c>
      <c r="G2800" s="246">
        <v>42150</v>
      </c>
      <c r="H2800" s="246">
        <v>48150</v>
      </c>
      <c r="I2800" s="246">
        <v>54150</v>
      </c>
      <c r="J2800" s="246">
        <v>60150</v>
      </c>
      <c r="K2800" s="246">
        <v>65000</v>
      </c>
      <c r="L2800" s="246">
        <v>69800</v>
      </c>
      <c r="M2800" s="246">
        <v>74600</v>
      </c>
      <c r="N2800" s="246">
        <v>79400</v>
      </c>
    </row>
    <row r="2801" spans="3:14" ht="21.95" customHeight="1" x14ac:dyDescent="0.25">
      <c r="C2801" s="139" t="str">
        <f t="shared" si="59"/>
        <v>WV_PARKERSBURG-VIENNA, WV MSA</v>
      </c>
      <c r="D2801" s="136" t="s">
        <v>58</v>
      </c>
      <c r="E2801" s="262" t="s">
        <v>5281</v>
      </c>
      <c r="F2801" s="136" t="s">
        <v>183</v>
      </c>
      <c r="G2801" s="246">
        <v>40550</v>
      </c>
      <c r="H2801" s="246">
        <v>46350</v>
      </c>
      <c r="I2801" s="246">
        <v>52150</v>
      </c>
      <c r="J2801" s="246">
        <v>57900</v>
      </c>
      <c r="K2801" s="246">
        <v>62550</v>
      </c>
      <c r="L2801" s="246">
        <v>67200</v>
      </c>
      <c r="M2801" s="246">
        <v>71800</v>
      </c>
      <c r="N2801" s="246">
        <v>76450</v>
      </c>
    </row>
    <row r="2802" spans="3:14" ht="21.95" customHeight="1" x14ac:dyDescent="0.25">
      <c r="C2802" s="139" t="str">
        <f t="shared" si="59"/>
        <v>WV_PENDLETON COUNTY, WV</v>
      </c>
      <c r="D2802" s="136" t="s">
        <v>58</v>
      </c>
      <c r="E2802" s="262" t="s">
        <v>5282</v>
      </c>
      <c r="F2802" s="136" t="s">
        <v>183</v>
      </c>
      <c r="G2802" s="246">
        <v>39950</v>
      </c>
      <c r="H2802" s="246">
        <v>45650</v>
      </c>
      <c r="I2802" s="246">
        <v>51350</v>
      </c>
      <c r="J2802" s="246">
        <v>57050</v>
      </c>
      <c r="K2802" s="246">
        <v>61650</v>
      </c>
      <c r="L2802" s="246">
        <v>66200</v>
      </c>
      <c r="M2802" s="246">
        <v>70750</v>
      </c>
      <c r="N2802" s="246">
        <v>75350</v>
      </c>
    </row>
    <row r="2803" spans="3:14" ht="21.95" customHeight="1" x14ac:dyDescent="0.25">
      <c r="C2803" s="139" t="str">
        <f t="shared" si="59"/>
        <v>WV_PLEASANTS COUNTY, WV</v>
      </c>
      <c r="D2803" s="136" t="s">
        <v>58</v>
      </c>
      <c r="E2803" s="262" t="s">
        <v>5283</v>
      </c>
      <c r="F2803" s="136" t="s">
        <v>183</v>
      </c>
      <c r="G2803" s="246">
        <v>46500</v>
      </c>
      <c r="H2803" s="246">
        <v>53150</v>
      </c>
      <c r="I2803" s="246">
        <v>59800</v>
      </c>
      <c r="J2803" s="246">
        <v>66400</v>
      </c>
      <c r="K2803" s="246">
        <v>71750</v>
      </c>
      <c r="L2803" s="246">
        <v>77050</v>
      </c>
      <c r="M2803" s="246">
        <v>82350</v>
      </c>
      <c r="N2803" s="246">
        <v>87650</v>
      </c>
    </row>
    <row r="2804" spans="3:14" ht="21.95" customHeight="1" x14ac:dyDescent="0.25">
      <c r="C2804" s="139" t="str">
        <f t="shared" si="59"/>
        <v>WV_POCAHONTAS COUNTY, WV</v>
      </c>
      <c r="D2804" s="136" t="s">
        <v>58</v>
      </c>
      <c r="E2804" s="262" t="s">
        <v>5284</v>
      </c>
      <c r="F2804" s="136" t="s">
        <v>183</v>
      </c>
      <c r="G2804" s="246">
        <v>39950</v>
      </c>
      <c r="H2804" s="246">
        <v>45650</v>
      </c>
      <c r="I2804" s="246">
        <v>51350</v>
      </c>
      <c r="J2804" s="246">
        <v>57050</v>
      </c>
      <c r="K2804" s="246">
        <v>61650</v>
      </c>
      <c r="L2804" s="246">
        <v>66200</v>
      </c>
      <c r="M2804" s="246">
        <v>70750</v>
      </c>
      <c r="N2804" s="246">
        <v>75350</v>
      </c>
    </row>
    <row r="2805" spans="3:14" ht="21.95" customHeight="1" x14ac:dyDescent="0.25">
      <c r="C2805" s="139" t="str">
        <f t="shared" si="59"/>
        <v>WV_PUTNAM COUNTY, WV HUD METRO FMR AREA</v>
      </c>
      <c r="D2805" s="136" t="s">
        <v>58</v>
      </c>
      <c r="E2805" s="262" t="s">
        <v>5285</v>
      </c>
      <c r="F2805" s="136" t="s">
        <v>183</v>
      </c>
      <c r="G2805" s="246">
        <v>56850</v>
      </c>
      <c r="H2805" s="246">
        <v>65000</v>
      </c>
      <c r="I2805" s="246">
        <v>73100</v>
      </c>
      <c r="J2805" s="246">
        <v>81200</v>
      </c>
      <c r="K2805" s="246">
        <v>87700</v>
      </c>
      <c r="L2805" s="246">
        <v>94200</v>
      </c>
      <c r="M2805" s="246">
        <v>100700</v>
      </c>
      <c r="N2805" s="246">
        <v>107200</v>
      </c>
    </row>
    <row r="2806" spans="3:14" ht="21.95" customHeight="1" x14ac:dyDescent="0.25">
      <c r="C2806" s="139" t="str">
        <f t="shared" si="59"/>
        <v>WV_RALEIGH COUNTY, WV HUD METRO FMR AREA</v>
      </c>
      <c r="D2806" s="136" t="s">
        <v>58</v>
      </c>
      <c r="E2806" s="262" t="s">
        <v>5286</v>
      </c>
      <c r="F2806" s="136" t="s">
        <v>183</v>
      </c>
      <c r="G2806" s="246">
        <v>40350</v>
      </c>
      <c r="H2806" s="246">
        <v>46100</v>
      </c>
      <c r="I2806" s="246">
        <v>51850</v>
      </c>
      <c r="J2806" s="246">
        <v>57600</v>
      </c>
      <c r="K2806" s="246">
        <v>62250</v>
      </c>
      <c r="L2806" s="246">
        <v>66850</v>
      </c>
      <c r="M2806" s="246">
        <v>71450</v>
      </c>
      <c r="N2806" s="246">
        <v>76050</v>
      </c>
    </row>
    <row r="2807" spans="3:14" ht="21.95" customHeight="1" x14ac:dyDescent="0.25">
      <c r="C2807" s="139" t="str">
        <f t="shared" si="59"/>
        <v>WV_RANDOLPH COUNTY, WV</v>
      </c>
      <c r="D2807" s="136" t="s">
        <v>58</v>
      </c>
      <c r="E2807" s="262" t="s">
        <v>5287</v>
      </c>
      <c r="F2807" s="136" t="s">
        <v>183</v>
      </c>
      <c r="G2807" s="246">
        <v>41550</v>
      </c>
      <c r="H2807" s="246">
        <v>47500</v>
      </c>
      <c r="I2807" s="246">
        <v>53450</v>
      </c>
      <c r="J2807" s="246">
        <v>59350</v>
      </c>
      <c r="K2807" s="246">
        <v>64100</v>
      </c>
      <c r="L2807" s="246">
        <v>68850</v>
      </c>
      <c r="M2807" s="246">
        <v>73600</v>
      </c>
      <c r="N2807" s="246">
        <v>78350</v>
      </c>
    </row>
    <row r="2808" spans="3:14" ht="21.95" customHeight="1" x14ac:dyDescent="0.25">
      <c r="C2808" s="139" t="str">
        <f t="shared" si="59"/>
        <v>WV_RITCHIE COUNTY, WV</v>
      </c>
      <c r="D2808" s="136" t="s">
        <v>58</v>
      </c>
      <c r="E2808" s="262" t="s">
        <v>5288</v>
      </c>
      <c r="F2808" s="136" t="s">
        <v>183</v>
      </c>
      <c r="G2808" s="246">
        <v>39950</v>
      </c>
      <c r="H2808" s="246">
        <v>45650</v>
      </c>
      <c r="I2808" s="246">
        <v>51350</v>
      </c>
      <c r="J2808" s="246">
        <v>57050</v>
      </c>
      <c r="K2808" s="246">
        <v>61650</v>
      </c>
      <c r="L2808" s="246">
        <v>66200</v>
      </c>
      <c r="M2808" s="246">
        <v>70750</v>
      </c>
      <c r="N2808" s="246">
        <v>75350</v>
      </c>
    </row>
    <row r="2809" spans="3:14" ht="21.95" customHeight="1" x14ac:dyDescent="0.25">
      <c r="C2809" s="139" t="str">
        <f t="shared" si="59"/>
        <v>WV_ROANE COUNTY, WV</v>
      </c>
      <c r="D2809" s="136" t="s">
        <v>58</v>
      </c>
      <c r="E2809" s="262" t="s">
        <v>5289</v>
      </c>
      <c r="F2809" s="136" t="s">
        <v>183</v>
      </c>
      <c r="G2809" s="246">
        <v>39950</v>
      </c>
      <c r="H2809" s="246">
        <v>45650</v>
      </c>
      <c r="I2809" s="246">
        <v>51350</v>
      </c>
      <c r="J2809" s="246">
        <v>57050</v>
      </c>
      <c r="K2809" s="246">
        <v>61650</v>
      </c>
      <c r="L2809" s="246">
        <v>66200</v>
      </c>
      <c r="M2809" s="246">
        <v>70750</v>
      </c>
      <c r="N2809" s="246">
        <v>75350</v>
      </c>
    </row>
    <row r="2810" spans="3:14" ht="21.95" customHeight="1" x14ac:dyDescent="0.25">
      <c r="C2810" s="139" t="str">
        <f t="shared" si="59"/>
        <v>WV_SUMMERS COUNTY, WV</v>
      </c>
      <c r="D2810" s="136" t="s">
        <v>58</v>
      </c>
      <c r="E2810" s="262" t="s">
        <v>5290</v>
      </c>
      <c r="F2810" s="136" t="s">
        <v>183</v>
      </c>
      <c r="G2810" s="246">
        <v>39950</v>
      </c>
      <c r="H2810" s="246">
        <v>45650</v>
      </c>
      <c r="I2810" s="246">
        <v>51350</v>
      </c>
      <c r="J2810" s="246">
        <v>57050</v>
      </c>
      <c r="K2810" s="246">
        <v>61650</v>
      </c>
      <c r="L2810" s="246">
        <v>66200</v>
      </c>
      <c r="M2810" s="246">
        <v>70750</v>
      </c>
      <c r="N2810" s="246">
        <v>75350</v>
      </c>
    </row>
    <row r="2811" spans="3:14" ht="21.95" customHeight="1" x14ac:dyDescent="0.25">
      <c r="C2811" s="139" t="str">
        <f t="shared" si="59"/>
        <v>WV_TAYLOR COUNTY, WV</v>
      </c>
      <c r="D2811" s="136" t="s">
        <v>58</v>
      </c>
      <c r="E2811" s="262" t="s">
        <v>5291</v>
      </c>
      <c r="F2811" s="136" t="s">
        <v>183</v>
      </c>
      <c r="G2811" s="246">
        <v>40500</v>
      </c>
      <c r="H2811" s="246">
        <v>46300</v>
      </c>
      <c r="I2811" s="246">
        <v>52100</v>
      </c>
      <c r="J2811" s="246">
        <v>57850</v>
      </c>
      <c r="K2811" s="246">
        <v>62500</v>
      </c>
      <c r="L2811" s="246">
        <v>67150</v>
      </c>
      <c r="M2811" s="246">
        <v>71750</v>
      </c>
      <c r="N2811" s="246">
        <v>76400</v>
      </c>
    </row>
    <row r="2812" spans="3:14" ht="21.95" customHeight="1" x14ac:dyDescent="0.25">
      <c r="C2812" s="139" t="str">
        <f t="shared" si="59"/>
        <v>WV_TUCKER COUNTY, WV</v>
      </c>
      <c r="D2812" s="136" t="s">
        <v>58</v>
      </c>
      <c r="E2812" s="262" t="s">
        <v>5292</v>
      </c>
      <c r="F2812" s="136" t="s">
        <v>183</v>
      </c>
      <c r="G2812" s="246">
        <v>42850</v>
      </c>
      <c r="H2812" s="246">
        <v>49000</v>
      </c>
      <c r="I2812" s="246">
        <v>55100</v>
      </c>
      <c r="J2812" s="246">
        <v>61200</v>
      </c>
      <c r="K2812" s="246">
        <v>66100</v>
      </c>
      <c r="L2812" s="246">
        <v>71000</v>
      </c>
      <c r="M2812" s="246">
        <v>75900</v>
      </c>
      <c r="N2812" s="246">
        <v>80800</v>
      </c>
    </row>
    <row r="2813" spans="3:14" ht="21.95" customHeight="1" x14ac:dyDescent="0.25">
      <c r="C2813" s="139" t="str">
        <f t="shared" si="59"/>
        <v>WV_TYLER COUNTY, WV</v>
      </c>
      <c r="D2813" s="136" t="s">
        <v>58</v>
      </c>
      <c r="E2813" s="262" t="s">
        <v>5293</v>
      </c>
      <c r="F2813" s="136" t="s">
        <v>183</v>
      </c>
      <c r="G2813" s="246">
        <v>45150</v>
      </c>
      <c r="H2813" s="246">
        <v>51600</v>
      </c>
      <c r="I2813" s="246">
        <v>58050</v>
      </c>
      <c r="J2813" s="246">
        <v>64500</v>
      </c>
      <c r="K2813" s="246">
        <v>69700</v>
      </c>
      <c r="L2813" s="246">
        <v>74850</v>
      </c>
      <c r="M2813" s="246">
        <v>80000</v>
      </c>
      <c r="N2813" s="246">
        <v>85150</v>
      </c>
    </row>
    <row r="2814" spans="3:14" ht="21.95" customHeight="1" x14ac:dyDescent="0.25">
      <c r="C2814" s="139" t="str">
        <f t="shared" si="59"/>
        <v>WV_UPSHUR COUNTY, WV</v>
      </c>
      <c r="D2814" s="136" t="s">
        <v>58</v>
      </c>
      <c r="E2814" s="262" t="s">
        <v>5294</v>
      </c>
      <c r="F2814" s="136" t="s">
        <v>183</v>
      </c>
      <c r="G2814" s="246">
        <v>40600</v>
      </c>
      <c r="H2814" s="246">
        <v>46400</v>
      </c>
      <c r="I2814" s="246">
        <v>52200</v>
      </c>
      <c r="J2814" s="246">
        <v>58000</v>
      </c>
      <c r="K2814" s="246">
        <v>62650</v>
      </c>
      <c r="L2814" s="246">
        <v>67300</v>
      </c>
      <c r="M2814" s="246">
        <v>71950</v>
      </c>
      <c r="N2814" s="246">
        <v>76600</v>
      </c>
    </row>
    <row r="2815" spans="3:14" ht="21.95" customHeight="1" x14ac:dyDescent="0.25">
      <c r="C2815" s="139" t="str">
        <f t="shared" si="59"/>
        <v>WV_WEBSTER COUNTY, WV</v>
      </c>
      <c r="D2815" s="136" t="s">
        <v>58</v>
      </c>
      <c r="E2815" s="262" t="s">
        <v>5295</v>
      </c>
      <c r="F2815" s="136" t="s">
        <v>183</v>
      </c>
      <c r="G2815" s="246">
        <v>39950</v>
      </c>
      <c r="H2815" s="246">
        <v>45650</v>
      </c>
      <c r="I2815" s="246">
        <v>51350</v>
      </c>
      <c r="J2815" s="246">
        <v>57050</v>
      </c>
      <c r="K2815" s="246">
        <v>61650</v>
      </c>
      <c r="L2815" s="246">
        <v>66200</v>
      </c>
      <c r="M2815" s="246">
        <v>70750</v>
      </c>
      <c r="N2815" s="246">
        <v>75350</v>
      </c>
    </row>
    <row r="2816" spans="3:14" ht="21.95" customHeight="1" x14ac:dyDescent="0.25">
      <c r="C2816" s="139" t="str">
        <f t="shared" ref="C2816:C2843" si="60">TRIM(UPPER(D2816))&amp;"_"&amp;TRIM(UPPER(E2816))</f>
        <v>WV_WEIRTON-STEUBENVILLE, WV-OH MSA</v>
      </c>
      <c r="D2816" s="136" t="s">
        <v>58</v>
      </c>
      <c r="E2816" s="262" t="s">
        <v>4574</v>
      </c>
      <c r="F2816" s="136" t="s">
        <v>183</v>
      </c>
      <c r="G2816" s="246">
        <v>47750</v>
      </c>
      <c r="H2816" s="246">
        <v>54550</v>
      </c>
      <c r="I2816" s="246">
        <v>61350</v>
      </c>
      <c r="J2816" s="246">
        <v>68150</v>
      </c>
      <c r="K2816" s="246">
        <v>73650</v>
      </c>
      <c r="L2816" s="246">
        <v>79100</v>
      </c>
      <c r="M2816" s="246">
        <v>84550</v>
      </c>
      <c r="N2816" s="246">
        <v>90000</v>
      </c>
    </row>
    <row r="2817" spans="3:14" ht="21.95" customHeight="1" x14ac:dyDescent="0.25">
      <c r="C2817" s="139" t="str">
        <f t="shared" si="60"/>
        <v>WV_WETZEL COUNTY, WV</v>
      </c>
      <c r="D2817" s="136" t="s">
        <v>58</v>
      </c>
      <c r="E2817" s="262" t="s">
        <v>5296</v>
      </c>
      <c r="F2817" s="136" t="s">
        <v>183</v>
      </c>
      <c r="G2817" s="246">
        <v>41800</v>
      </c>
      <c r="H2817" s="246">
        <v>47800</v>
      </c>
      <c r="I2817" s="246">
        <v>53750</v>
      </c>
      <c r="J2817" s="246">
        <v>59700</v>
      </c>
      <c r="K2817" s="246">
        <v>64500</v>
      </c>
      <c r="L2817" s="246">
        <v>69300</v>
      </c>
      <c r="M2817" s="246">
        <v>74050</v>
      </c>
      <c r="N2817" s="246">
        <v>78850</v>
      </c>
    </row>
    <row r="2818" spans="3:14" ht="21.95" customHeight="1" x14ac:dyDescent="0.25">
      <c r="C2818" s="139" t="str">
        <f t="shared" si="60"/>
        <v>WV_WHEELING, WV-OH MSA</v>
      </c>
      <c r="D2818" s="136" t="s">
        <v>58</v>
      </c>
      <c r="E2818" s="262" t="s">
        <v>4575</v>
      </c>
      <c r="F2818" s="136" t="s">
        <v>183</v>
      </c>
      <c r="G2818" s="246">
        <v>46000</v>
      </c>
      <c r="H2818" s="246">
        <v>52600</v>
      </c>
      <c r="I2818" s="246">
        <v>59150</v>
      </c>
      <c r="J2818" s="246">
        <v>65700</v>
      </c>
      <c r="K2818" s="246">
        <v>71000</v>
      </c>
      <c r="L2818" s="246">
        <v>76250</v>
      </c>
      <c r="M2818" s="246">
        <v>81500</v>
      </c>
      <c r="N2818" s="246">
        <v>86750</v>
      </c>
    </row>
    <row r="2819" spans="3:14" ht="21.95" customHeight="1" x14ac:dyDescent="0.25">
      <c r="C2819" s="139" t="str">
        <f t="shared" si="60"/>
        <v>WV_WINCHESTER, VA-WV MSA</v>
      </c>
      <c r="D2819" s="136" t="s">
        <v>58</v>
      </c>
      <c r="E2819" s="262" t="s">
        <v>5156</v>
      </c>
      <c r="F2819" s="136" t="s">
        <v>183</v>
      </c>
      <c r="G2819" s="246">
        <v>63350</v>
      </c>
      <c r="H2819" s="246">
        <v>72400</v>
      </c>
      <c r="I2819" s="246">
        <v>81450</v>
      </c>
      <c r="J2819" s="246">
        <v>90500</v>
      </c>
      <c r="K2819" s="246">
        <v>97750</v>
      </c>
      <c r="L2819" s="246">
        <v>105000</v>
      </c>
      <c r="M2819" s="246">
        <v>112250</v>
      </c>
      <c r="N2819" s="246">
        <v>119500</v>
      </c>
    </row>
    <row r="2820" spans="3:14" ht="21.95" customHeight="1" x14ac:dyDescent="0.25">
      <c r="C2820" s="139" t="str">
        <f t="shared" si="60"/>
        <v>WV_WYOMING COUNTY, WV</v>
      </c>
      <c r="D2820" s="136" t="s">
        <v>58</v>
      </c>
      <c r="E2820" s="262" t="s">
        <v>5297</v>
      </c>
      <c r="F2820" s="136" t="s">
        <v>183</v>
      </c>
      <c r="G2820" s="246">
        <v>39950</v>
      </c>
      <c r="H2820" s="246">
        <v>45650</v>
      </c>
      <c r="I2820" s="246">
        <v>51350</v>
      </c>
      <c r="J2820" s="246">
        <v>57050</v>
      </c>
      <c r="K2820" s="246">
        <v>61650</v>
      </c>
      <c r="L2820" s="246">
        <v>66200</v>
      </c>
      <c r="M2820" s="246">
        <v>70750</v>
      </c>
      <c r="N2820" s="246">
        <v>75350</v>
      </c>
    </row>
    <row r="2821" spans="3:14" ht="21.95" customHeight="1" x14ac:dyDescent="0.25">
      <c r="C2821" s="139" t="str">
        <f t="shared" si="60"/>
        <v>WY_ALBANY COUNTY, WY</v>
      </c>
      <c r="D2821" s="136" t="s">
        <v>56</v>
      </c>
      <c r="E2821" s="262" t="s">
        <v>5298</v>
      </c>
      <c r="F2821" s="136" t="s">
        <v>183</v>
      </c>
      <c r="G2821" s="246">
        <v>58350</v>
      </c>
      <c r="H2821" s="246">
        <v>66650</v>
      </c>
      <c r="I2821" s="246">
        <v>75000</v>
      </c>
      <c r="J2821" s="246">
        <v>83300</v>
      </c>
      <c r="K2821" s="246">
        <v>90000</v>
      </c>
      <c r="L2821" s="246">
        <v>96650</v>
      </c>
      <c r="M2821" s="246">
        <v>103300</v>
      </c>
      <c r="N2821" s="246">
        <v>110000</v>
      </c>
    </row>
    <row r="2822" spans="3:14" ht="21.95" customHeight="1" x14ac:dyDescent="0.25">
      <c r="C2822" s="139" t="str">
        <f t="shared" si="60"/>
        <v>WY_BIG HORN COUNTY, WY</v>
      </c>
      <c r="D2822" s="136" t="s">
        <v>56</v>
      </c>
      <c r="E2822" s="262" t="s">
        <v>5299</v>
      </c>
      <c r="F2822" s="136" t="s">
        <v>183</v>
      </c>
      <c r="G2822" s="246">
        <v>55650</v>
      </c>
      <c r="H2822" s="246">
        <v>63600</v>
      </c>
      <c r="I2822" s="246">
        <v>71550</v>
      </c>
      <c r="J2822" s="246">
        <v>79450</v>
      </c>
      <c r="K2822" s="246">
        <v>85850</v>
      </c>
      <c r="L2822" s="246">
        <v>92200</v>
      </c>
      <c r="M2822" s="246">
        <v>98550</v>
      </c>
      <c r="N2822" s="246">
        <v>104900</v>
      </c>
    </row>
    <row r="2823" spans="3:14" ht="21.95" customHeight="1" x14ac:dyDescent="0.25">
      <c r="C2823" s="139" t="str">
        <f t="shared" si="60"/>
        <v>WY_CAMPBELL COUNTY, WY</v>
      </c>
      <c r="D2823" s="136" t="s">
        <v>56</v>
      </c>
      <c r="E2823" s="262" t="s">
        <v>5300</v>
      </c>
      <c r="F2823" s="136" t="s">
        <v>183</v>
      </c>
      <c r="G2823" s="246">
        <v>63200</v>
      </c>
      <c r="H2823" s="246">
        <v>72200</v>
      </c>
      <c r="I2823" s="246">
        <v>81250</v>
      </c>
      <c r="J2823" s="246">
        <v>90250</v>
      </c>
      <c r="K2823" s="246">
        <v>97500</v>
      </c>
      <c r="L2823" s="246">
        <v>104700</v>
      </c>
      <c r="M2823" s="246">
        <v>111950</v>
      </c>
      <c r="N2823" s="246">
        <v>119150</v>
      </c>
    </row>
    <row r="2824" spans="3:14" ht="21.95" customHeight="1" x14ac:dyDescent="0.25">
      <c r="C2824" s="139" t="str">
        <f t="shared" si="60"/>
        <v>WY_CARBON COUNTY, WY</v>
      </c>
      <c r="D2824" s="136" t="s">
        <v>56</v>
      </c>
      <c r="E2824" s="262" t="s">
        <v>5301</v>
      </c>
      <c r="F2824" s="136" t="s">
        <v>183</v>
      </c>
      <c r="G2824" s="246">
        <v>55650</v>
      </c>
      <c r="H2824" s="246">
        <v>63600</v>
      </c>
      <c r="I2824" s="246">
        <v>71550</v>
      </c>
      <c r="J2824" s="246">
        <v>79450</v>
      </c>
      <c r="K2824" s="246">
        <v>85850</v>
      </c>
      <c r="L2824" s="246">
        <v>92200</v>
      </c>
      <c r="M2824" s="246">
        <v>98550</v>
      </c>
      <c r="N2824" s="246">
        <v>104900</v>
      </c>
    </row>
    <row r="2825" spans="3:14" ht="21.95" customHeight="1" x14ac:dyDescent="0.25">
      <c r="C2825" s="139" t="str">
        <f t="shared" si="60"/>
        <v>WY_CASPER, WY MSA</v>
      </c>
      <c r="D2825" s="136" t="s">
        <v>56</v>
      </c>
      <c r="E2825" s="262" t="s">
        <v>5302</v>
      </c>
      <c r="F2825" s="136" t="s">
        <v>183</v>
      </c>
      <c r="G2825" s="246">
        <v>55650</v>
      </c>
      <c r="H2825" s="246">
        <v>63600</v>
      </c>
      <c r="I2825" s="246">
        <v>71550</v>
      </c>
      <c r="J2825" s="246">
        <v>79450</v>
      </c>
      <c r="K2825" s="246">
        <v>85850</v>
      </c>
      <c r="L2825" s="246">
        <v>92200</v>
      </c>
      <c r="M2825" s="246">
        <v>98550</v>
      </c>
      <c r="N2825" s="246">
        <v>104900</v>
      </c>
    </row>
    <row r="2826" spans="3:14" ht="21.95" customHeight="1" x14ac:dyDescent="0.25">
      <c r="C2826" s="139" t="str">
        <f t="shared" si="60"/>
        <v>WY_CHEYENNE, WY MSA</v>
      </c>
      <c r="D2826" s="136" t="s">
        <v>56</v>
      </c>
      <c r="E2826" s="262" t="s">
        <v>5303</v>
      </c>
      <c r="F2826" s="136" t="s">
        <v>183</v>
      </c>
      <c r="G2826" s="246">
        <v>55650</v>
      </c>
      <c r="H2826" s="246">
        <v>63600</v>
      </c>
      <c r="I2826" s="246">
        <v>71550</v>
      </c>
      <c r="J2826" s="246">
        <v>79450</v>
      </c>
      <c r="K2826" s="246">
        <v>85850</v>
      </c>
      <c r="L2826" s="246">
        <v>92200</v>
      </c>
      <c r="M2826" s="246">
        <v>98550</v>
      </c>
      <c r="N2826" s="246">
        <v>104900</v>
      </c>
    </row>
    <row r="2827" spans="3:14" ht="21.95" customHeight="1" x14ac:dyDescent="0.25">
      <c r="C2827" s="139" t="str">
        <f t="shared" si="60"/>
        <v>WY_CONVERSE COUNTY, WY</v>
      </c>
      <c r="D2827" s="136" t="s">
        <v>56</v>
      </c>
      <c r="E2827" s="262" t="s">
        <v>5304</v>
      </c>
      <c r="F2827" s="136" t="s">
        <v>183</v>
      </c>
      <c r="G2827" s="246">
        <v>57800</v>
      </c>
      <c r="H2827" s="246">
        <v>66050</v>
      </c>
      <c r="I2827" s="246">
        <v>74300</v>
      </c>
      <c r="J2827" s="246">
        <v>82550</v>
      </c>
      <c r="K2827" s="246">
        <v>89200</v>
      </c>
      <c r="L2827" s="246">
        <v>95800</v>
      </c>
      <c r="M2827" s="246">
        <v>102400</v>
      </c>
      <c r="N2827" s="246">
        <v>109000</v>
      </c>
    </row>
    <row r="2828" spans="3:14" ht="21.95" customHeight="1" x14ac:dyDescent="0.25">
      <c r="C2828" s="139" t="str">
        <f t="shared" si="60"/>
        <v>WY_CROOK COUNTY, WY</v>
      </c>
      <c r="D2828" s="136" t="s">
        <v>56</v>
      </c>
      <c r="E2828" s="262" t="s">
        <v>5305</v>
      </c>
      <c r="F2828" s="136" t="s">
        <v>183</v>
      </c>
      <c r="G2828" s="246">
        <v>58700</v>
      </c>
      <c r="H2828" s="246">
        <v>67100</v>
      </c>
      <c r="I2828" s="246">
        <v>75500</v>
      </c>
      <c r="J2828" s="246">
        <v>83850</v>
      </c>
      <c r="K2828" s="246">
        <v>90600</v>
      </c>
      <c r="L2828" s="246">
        <v>97300</v>
      </c>
      <c r="M2828" s="246">
        <v>104000</v>
      </c>
      <c r="N2828" s="246">
        <v>110700</v>
      </c>
    </row>
    <row r="2829" spans="3:14" ht="21.95" customHeight="1" x14ac:dyDescent="0.25">
      <c r="C2829" s="139" t="str">
        <f t="shared" si="60"/>
        <v>WY_FREMONT COUNTY, WY</v>
      </c>
      <c r="D2829" s="136" t="s">
        <v>56</v>
      </c>
      <c r="E2829" s="262" t="s">
        <v>5306</v>
      </c>
      <c r="F2829" s="136" t="s">
        <v>183</v>
      </c>
      <c r="G2829" s="246">
        <v>55650</v>
      </c>
      <c r="H2829" s="246">
        <v>63600</v>
      </c>
      <c r="I2829" s="246">
        <v>71550</v>
      </c>
      <c r="J2829" s="246">
        <v>79450</v>
      </c>
      <c r="K2829" s="246">
        <v>85850</v>
      </c>
      <c r="L2829" s="246">
        <v>92200</v>
      </c>
      <c r="M2829" s="246">
        <v>98550</v>
      </c>
      <c r="N2829" s="246">
        <v>104900</v>
      </c>
    </row>
    <row r="2830" spans="3:14" ht="21.95" customHeight="1" x14ac:dyDescent="0.25">
      <c r="C2830" s="139" t="str">
        <f t="shared" si="60"/>
        <v>WY_GOSHEN COUNTY, WY</v>
      </c>
      <c r="D2830" s="136" t="s">
        <v>56</v>
      </c>
      <c r="E2830" s="262" t="s">
        <v>5307</v>
      </c>
      <c r="F2830" s="136" t="s">
        <v>183</v>
      </c>
      <c r="G2830" s="246">
        <v>55650</v>
      </c>
      <c r="H2830" s="246">
        <v>63600</v>
      </c>
      <c r="I2830" s="246">
        <v>71550</v>
      </c>
      <c r="J2830" s="246">
        <v>79450</v>
      </c>
      <c r="K2830" s="246">
        <v>85850</v>
      </c>
      <c r="L2830" s="246">
        <v>92200</v>
      </c>
      <c r="M2830" s="246">
        <v>98550</v>
      </c>
      <c r="N2830" s="246">
        <v>104900</v>
      </c>
    </row>
    <row r="2831" spans="3:14" ht="21.95" customHeight="1" x14ac:dyDescent="0.25">
      <c r="C2831" s="139" t="str">
        <f t="shared" si="60"/>
        <v>WY_HOT SPRINGS COUNTY, WY</v>
      </c>
      <c r="D2831" s="136" t="s">
        <v>56</v>
      </c>
      <c r="E2831" s="262" t="s">
        <v>5308</v>
      </c>
      <c r="F2831" s="136" t="s">
        <v>183</v>
      </c>
      <c r="G2831" s="246">
        <v>55650</v>
      </c>
      <c r="H2831" s="246">
        <v>63600</v>
      </c>
      <c r="I2831" s="246">
        <v>71550</v>
      </c>
      <c r="J2831" s="246">
        <v>79450</v>
      </c>
      <c r="K2831" s="246">
        <v>85850</v>
      </c>
      <c r="L2831" s="246">
        <v>92200</v>
      </c>
      <c r="M2831" s="246">
        <v>98550</v>
      </c>
      <c r="N2831" s="246">
        <v>104900</v>
      </c>
    </row>
    <row r="2832" spans="3:14" ht="21.95" customHeight="1" x14ac:dyDescent="0.25">
      <c r="C2832" s="139" t="str">
        <f t="shared" si="60"/>
        <v>WY_JOHNSON COUNTY, WY</v>
      </c>
      <c r="D2832" s="136" t="s">
        <v>56</v>
      </c>
      <c r="E2832" s="262" t="s">
        <v>5309</v>
      </c>
      <c r="F2832" s="136" t="s">
        <v>183</v>
      </c>
      <c r="G2832" s="246">
        <v>55650</v>
      </c>
      <c r="H2832" s="246">
        <v>63600</v>
      </c>
      <c r="I2832" s="246">
        <v>71550</v>
      </c>
      <c r="J2832" s="246">
        <v>79450</v>
      </c>
      <c r="K2832" s="246">
        <v>85850</v>
      </c>
      <c r="L2832" s="246">
        <v>92200</v>
      </c>
      <c r="M2832" s="246">
        <v>98550</v>
      </c>
      <c r="N2832" s="246">
        <v>104900</v>
      </c>
    </row>
    <row r="2833" spans="3:14" ht="21.95" customHeight="1" x14ac:dyDescent="0.25">
      <c r="C2833" s="139" t="str">
        <f t="shared" si="60"/>
        <v>WY_LINCOLN COUNTY, WY</v>
      </c>
      <c r="D2833" s="136" t="s">
        <v>56</v>
      </c>
      <c r="E2833" s="262" t="s">
        <v>5310</v>
      </c>
      <c r="F2833" s="136" t="s">
        <v>183</v>
      </c>
      <c r="G2833" s="246">
        <v>64700</v>
      </c>
      <c r="H2833" s="246">
        <v>73950</v>
      </c>
      <c r="I2833" s="246">
        <v>83200</v>
      </c>
      <c r="J2833" s="246">
        <v>92400</v>
      </c>
      <c r="K2833" s="246">
        <v>99800</v>
      </c>
      <c r="L2833" s="246">
        <v>107200</v>
      </c>
      <c r="M2833" s="246">
        <v>114600</v>
      </c>
      <c r="N2833" s="246">
        <v>122000</v>
      </c>
    </row>
    <row r="2834" spans="3:14" ht="21.95" customHeight="1" x14ac:dyDescent="0.25">
      <c r="C2834" s="139" t="str">
        <f t="shared" si="60"/>
        <v>WY_NIOBRARA COUNTY, WY</v>
      </c>
      <c r="D2834" s="136" t="s">
        <v>56</v>
      </c>
      <c r="E2834" s="262" t="s">
        <v>5311</v>
      </c>
      <c r="F2834" s="136" t="s">
        <v>183</v>
      </c>
      <c r="G2834" s="246">
        <v>55650</v>
      </c>
      <c r="H2834" s="246">
        <v>63600</v>
      </c>
      <c r="I2834" s="246">
        <v>71550</v>
      </c>
      <c r="J2834" s="246">
        <v>79450</v>
      </c>
      <c r="K2834" s="246">
        <v>85850</v>
      </c>
      <c r="L2834" s="246">
        <v>92200</v>
      </c>
      <c r="M2834" s="246">
        <v>98550</v>
      </c>
      <c r="N2834" s="246">
        <v>104900</v>
      </c>
    </row>
    <row r="2835" spans="3:14" ht="21.95" customHeight="1" x14ac:dyDescent="0.25">
      <c r="C2835" s="139" t="str">
        <f t="shared" si="60"/>
        <v>WY_PARK COUNTY, WY</v>
      </c>
      <c r="D2835" s="136" t="s">
        <v>56</v>
      </c>
      <c r="E2835" s="262" t="s">
        <v>5312</v>
      </c>
      <c r="F2835" s="136" t="s">
        <v>183</v>
      </c>
      <c r="G2835" s="246">
        <v>55750</v>
      </c>
      <c r="H2835" s="246">
        <v>63700</v>
      </c>
      <c r="I2835" s="246">
        <v>71650</v>
      </c>
      <c r="J2835" s="246">
        <v>79600</v>
      </c>
      <c r="K2835" s="246">
        <v>86000</v>
      </c>
      <c r="L2835" s="246">
        <v>92350</v>
      </c>
      <c r="M2835" s="246">
        <v>98750</v>
      </c>
      <c r="N2835" s="246">
        <v>105100</v>
      </c>
    </row>
    <row r="2836" spans="3:14" ht="21.95" customHeight="1" x14ac:dyDescent="0.25">
      <c r="C2836" s="139" t="str">
        <f t="shared" si="60"/>
        <v>WY_PLATTE COUNTY, WY</v>
      </c>
      <c r="D2836" s="136" t="s">
        <v>56</v>
      </c>
      <c r="E2836" s="262" t="s">
        <v>5313</v>
      </c>
      <c r="F2836" s="136" t="s">
        <v>183</v>
      </c>
      <c r="G2836" s="246">
        <v>55650</v>
      </c>
      <c r="H2836" s="246">
        <v>63600</v>
      </c>
      <c r="I2836" s="246">
        <v>71550</v>
      </c>
      <c r="J2836" s="246">
        <v>79450</v>
      </c>
      <c r="K2836" s="246">
        <v>85850</v>
      </c>
      <c r="L2836" s="246">
        <v>92200</v>
      </c>
      <c r="M2836" s="246">
        <v>98550</v>
      </c>
      <c r="N2836" s="246">
        <v>104900</v>
      </c>
    </row>
    <row r="2837" spans="3:14" ht="21.95" customHeight="1" x14ac:dyDescent="0.25">
      <c r="C2837" s="139" t="str">
        <f t="shared" si="60"/>
        <v>WY_SHERIDAN COUNTY, WY</v>
      </c>
      <c r="D2837" s="136" t="s">
        <v>56</v>
      </c>
      <c r="E2837" s="262" t="s">
        <v>5314</v>
      </c>
      <c r="F2837" s="136" t="s">
        <v>183</v>
      </c>
      <c r="G2837" s="246">
        <v>60500</v>
      </c>
      <c r="H2837" s="246">
        <v>69150</v>
      </c>
      <c r="I2837" s="246">
        <v>77800</v>
      </c>
      <c r="J2837" s="246">
        <v>86400</v>
      </c>
      <c r="K2837" s="246">
        <v>93350</v>
      </c>
      <c r="L2837" s="246">
        <v>100250</v>
      </c>
      <c r="M2837" s="246">
        <v>107150</v>
      </c>
      <c r="N2837" s="246">
        <v>114050</v>
      </c>
    </row>
    <row r="2838" spans="3:14" ht="21.95" customHeight="1" x14ac:dyDescent="0.25">
      <c r="C2838" s="139" t="str">
        <f t="shared" si="60"/>
        <v>WY_SUBLETTE COUNTY, WY</v>
      </c>
      <c r="D2838" s="136" t="s">
        <v>56</v>
      </c>
      <c r="E2838" s="262" t="s">
        <v>5315</v>
      </c>
      <c r="F2838" s="136" t="s">
        <v>183</v>
      </c>
      <c r="G2838" s="246">
        <v>63250</v>
      </c>
      <c r="H2838" s="246">
        <v>72250</v>
      </c>
      <c r="I2838" s="246">
        <v>81300</v>
      </c>
      <c r="J2838" s="246">
        <v>90300</v>
      </c>
      <c r="K2838" s="246">
        <v>97550</v>
      </c>
      <c r="L2838" s="246">
        <v>104750</v>
      </c>
      <c r="M2838" s="246">
        <v>112000</v>
      </c>
      <c r="N2838" s="246">
        <v>119200</v>
      </c>
    </row>
    <row r="2839" spans="3:14" ht="21.95" customHeight="1" x14ac:dyDescent="0.25">
      <c r="C2839" s="139" t="str">
        <f t="shared" si="60"/>
        <v>WY_SWEETWATER COUNTY, WY</v>
      </c>
      <c r="D2839" s="136" t="s">
        <v>56</v>
      </c>
      <c r="E2839" s="262" t="s">
        <v>5316</v>
      </c>
      <c r="F2839" s="136" t="s">
        <v>183</v>
      </c>
      <c r="G2839" s="246">
        <v>60200</v>
      </c>
      <c r="H2839" s="246">
        <v>68800</v>
      </c>
      <c r="I2839" s="246">
        <v>77400</v>
      </c>
      <c r="J2839" s="246">
        <v>86000</v>
      </c>
      <c r="K2839" s="246">
        <v>92900</v>
      </c>
      <c r="L2839" s="246">
        <v>99800</v>
      </c>
      <c r="M2839" s="246">
        <v>106650</v>
      </c>
      <c r="N2839" s="246">
        <v>113550</v>
      </c>
    </row>
    <row r="2840" spans="3:14" ht="21.95" customHeight="1" x14ac:dyDescent="0.25">
      <c r="C2840" s="139" t="str">
        <f t="shared" si="60"/>
        <v>WY_TETON COUNTY, WY</v>
      </c>
      <c r="D2840" s="136" t="s">
        <v>56</v>
      </c>
      <c r="E2840" s="262" t="s">
        <v>5317</v>
      </c>
      <c r="F2840" s="136" t="s">
        <v>183</v>
      </c>
      <c r="G2840" s="246">
        <v>72950</v>
      </c>
      <c r="H2840" s="246">
        <v>83400</v>
      </c>
      <c r="I2840" s="246">
        <v>93800</v>
      </c>
      <c r="J2840" s="246">
        <v>104200</v>
      </c>
      <c r="K2840" s="246">
        <v>112550</v>
      </c>
      <c r="L2840" s="246">
        <v>120900</v>
      </c>
      <c r="M2840" s="246">
        <v>129250</v>
      </c>
      <c r="N2840" s="246">
        <v>137550</v>
      </c>
    </row>
    <row r="2841" spans="3:14" ht="21.95" customHeight="1" x14ac:dyDescent="0.25">
      <c r="C2841" s="139" t="str">
        <f t="shared" si="60"/>
        <v>WY_UINTA COUNTY, WY</v>
      </c>
      <c r="D2841" s="136" t="s">
        <v>56</v>
      </c>
      <c r="E2841" s="262" t="s">
        <v>5318</v>
      </c>
      <c r="F2841" s="136" t="s">
        <v>183</v>
      </c>
      <c r="G2841" s="246">
        <v>58050</v>
      </c>
      <c r="H2841" s="246">
        <v>66350</v>
      </c>
      <c r="I2841" s="246">
        <v>74650</v>
      </c>
      <c r="J2841" s="246">
        <v>82900</v>
      </c>
      <c r="K2841" s="246">
        <v>89550</v>
      </c>
      <c r="L2841" s="246">
        <v>96200</v>
      </c>
      <c r="M2841" s="246">
        <v>102800</v>
      </c>
      <c r="N2841" s="246">
        <v>109450</v>
      </c>
    </row>
    <row r="2842" spans="3:14" ht="21.95" customHeight="1" x14ac:dyDescent="0.25">
      <c r="C2842" s="139" t="str">
        <f t="shared" si="60"/>
        <v>WY_WASHAKIE COUNTY, WY</v>
      </c>
      <c r="D2842" s="136" t="s">
        <v>56</v>
      </c>
      <c r="E2842" s="262" t="s">
        <v>5319</v>
      </c>
      <c r="F2842" s="136" t="s">
        <v>183</v>
      </c>
      <c r="G2842" s="246">
        <v>55650</v>
      </c>
      <c r="H2842" s="246">
        <v>63600</v>
      </c>
      <c r="I2842" s="246">
        <v>71550</v>
      </c>
      <c r="J2842" s="246">
        <v>79450</v>
      </c>
      <c r="K2842" s="246">
        <v>85850</v>
      </c>
      <c r="L2842" s="246">
        <v>92200</v>
      </c>
      <c r="M2842" s="246">
        <v>98550</v>
      </c>
      <c r="N2842" s="246">
        <v>104900</v>
      </c>
    </row>
    <row r="2843" spans="3:14" ht="21.95" customHeight="1" x14ac:dyDescent="0.25">
      <c r="C2843" s="139" t="str">
        <f t="shared" si="60"/>
        <v>WY_WESTON COUNTY, WY</v>
      </c>
      <c r="D2843" s="136" t="s">
        <v>56</v>
      </c>
      <c r="E2843" s="262" t="s">
        <v>5320</v>
      </c>
      <c r="F2843" s="136" t="s">
        <v>183</v>
      </c>
      <c r="G2843" s="246">
        <v>56150</v>
      </c>
      <c r="H2843" s="246">
        <v>64150</v>
      </c>
      <c r="I2843" s="246">
        <v>72150</v>
      </c>
      <c r="J2843" s="246">
        <v>80150</v>
      </c>
      <c r="K2843" s="246">
        <v>86600</v>
      </c>
      <c r="L2843" s="246">
        <v>93000</v>
      </c>
      <c r="M2843" s="246">
        <v>99400</v>
      </c>
      <c r="N2843" s="246">
        <v>105800</v>
      </c>
    </row>
    <row r="2844" spans="3:14" x14ac:dyDescent="0.25"/>
  </sheetData>
  <sheetProtection algorithmName="SHA-512" hashValue="vB1yTbqgC3hQNYi3KresQl4hRi2eHkz8WLkhDE/h77CAEvdlEf08+dJkO4ZhXatfcLZa394F+ZrlSSUGbZczRA==" saltValue="83S4NpGUKRGOZyIbK/MKbQ==" spinCount="100000" sheet="1" objects="1" scenarios="1" selectLockedCells="1" autoFilter="0"/>
  <autoFilter ref="D62:F2807" xr:uid="{00000000-0001-0000-0500-000000000000}"/>
  <dataConsolidate/>
  <mergeCells count="80">
    <mergeCell ref="K10:N10"/>
    <mergeCell ref="M53:N53"/>
    <mergeCell ref="M54:N54"/>
    <mergeCell ref="D40:H40"/>
    <mergeCell ref="G61:N61"/>
    <mergeCell ref="D61:F61"/>
    <mergeCell ref="M55:N55"/>
    <mergeCell ref="M56:N56"/>
    <mergeCell ref="M57:N57"/>
    <mergeCell ref="D46:H46"/>
    <mergeCell ref="D41:H41"/>
    <mergeCell ref="D42:H42"/>
    <mergeCell ref="D44:H44"/>
    <mergeCell ref="D45:H45"/>
    <mergeCell ref="D43:H43"/>
    <mergeCell ref="I46:N46"/>
    <mergeCell ref="I40:N40"/>
    <mergeCell ref="I44:N44"/>
    <mergeCell ref="I45:N45"/>
    <mergeCell ref="I27:J27"/>
    <mergeCell ref="I28:J28"/>
    <mergeCell ref="I29:J29"/>
    <mergeCell ref="K27:L27"/>
    <mergeCell ref="K28:L28"/>
    <mergeCell ref="K29:L29"/>
    <mergeCell ref="D22:H22"/>
    <mergeCell ref="D18:H18"/>
    <mergeCell ref="I41:N41"/>
    <mergeCell ref="I42:N42"/>
    <mergeCell ref="I43:N43"/>
    <mergeCell ref="I20:J20"/>
    <mergeCell ref="I21:J21"/>
    <mergeCell ref="I22:J22"/>
    <mergeCell ref="I23:J23"/>
    <mergeCell ref="I24:J24"/>
    <mergeCell ref="I25:J25"/>
    <mergeCell ref="I26:J26"/>
    <mergeCell ref="K18:L18"/>
    <mergeCell ref="K20:L20"/>
    <mergeCell ref="K21:L21"/>
    <mergeCell ref="D20:H20"/>
    <mergeCell ref="D21:H21"/>
    <mergeCell ref="I18:J18"/>
    <mergeCell ref="D19:H19"/>
    <mergeCell ref="M29:N29"/>
    <mergeCell ref="K22:L22"/>
    <mergeCell ref="K23:L23"/>
    <mergeCell ref="K24:L24"/>
    <mergeCell ref="K25:L25"/>
    <mergeCell ref="K26:L26"/>
    <mergeCell ref="M24:N24"/>
    <mergeCell ref="M25:N25"/>
    <mergeCell ref="M26:N26"/>
    <mergeCell ref="M27:N27"/>
    <mergeCell ref="M28:N28"/>
    <mergeCell ref="M18:N18"/>
    <mergeCell ref="M20:N20"/>
    <mergeCell ref="M21:N21"/>
    <mergeCell ref="M22:N22"/>
    <mergeCell ref="M23:N23"/>
    <mergeCell ref="D35:H35"/>
    <mergeCell ref="K7:N7"/>
    <mergeCell ref="K8:N8"/>
    <mergeCell ref="K11:L11"/>
    <mergeCell ref="M11:N11"/>
    <mergeCell ref="K12:N12"/>
    <mergeCell ref="K13:N13"/>
    <mergeCell ref="K9:N9"/>
    <mergeCell ref="D30:H30"/>
    <mergeCell ref="D31:H31"/>
    <mergeCell ref="D32:H32"/>
    <mergeCell ref="D33:H33"/>
    <mergeCell ref="D34:H34"/>
    <mergeCell ref="D27:H27"/>
    <mergeCell ref="D28:H28"/>
    <mergeCell ref="D29:H29"/>
    <mergeCell ref="D23:H23"/>
    <mergeCell ref="D24:H24"/>
    <mergeCell ref="D25:H25"/>
    <mergeCell ref="D26:H26"/>
  </mergeCells>
  <dataValidations count="7">
    <dataValidation type="date" operator="greaterThanOrEqual" allowBlank="1" showInputMessage="1" showErrorMessage="1" sqref="K12" xr:uid="{00000000-0002-0000-0500-000000000000}">
      <formula1>41275</formula1>
    </dataValidation>
    <dataValidation allowBlank="1" showInputMessage="1" showErrorMessage="1" promptTitle="Instructions" prompt="This value must be incremented when changes are made to the Configuration tab.  Likewise, the new version # must be noted wthin the PMT configuration to allow the PMT to identify outdated versions of the eForm at time of processing." sqref="M11" xr:uid="{00000000-0002-0000-0500-000002000000}"/>
    <dataValidation type="decimal" allowBlank="1" showInputMessage="1" showErrorMessage="1" sqref="I20:I21 I23:I27 J25:J27 N25:N27 K23:K27 L25:L27 K20:K21 M23:M27 M20:M21 K10:N10" xr:uid="{00000000-0002-0000-0500-000003000000}">
      <formula1>0</formula1>
      <formula2>999999999999</formula2>
    </dataValidation>
    <dataValidation type="whole" operator="greaterThanOrEqual" allowBlank="1" showInputMessage="1" showErrorMessage="1" sqref="I22 K22 M22" xr:uid="{00000000-0002-0000-0500-000004000000}">
      <formula1>1</formula1>
    </dataValidation>
    <dataValidation type="whole" allowBlank="1" showInputMessage="1" showErrorMessage="1" sqref="K28:K29 M28:M29 I28:I29" xr:uid="{00000000-0002-0000-0500-000005000000}">
      <formula1>0</formula1>
      <formula2>999999999999</formula2>
    </dataValidation>
    <dataValidation operator="greaterThanOrEqual" allowBlank="1" showInputMessage="1" showErrorMessage="1" sqref="K35:N35 K13 K9" xr:uid="{00000000-0002-0000-0500-000006000000}"/>
    <dataValidation type="decimal" operator="greaterThanOrEqual" allowBlank="1" showInputMessage="1" showErrorMessage="1" sqref="I31:J35 K31:N34" xr:uid="{FAFE0617-44DF-47AE-8614-F1F32CEE3646}">
      <formula1>0</formula1>
    </dataValidation>
  </dataValidations>
  <pageMargins left="0.7" right="0.7" top="0.75" bottom="0.75" header="0.3" footer="0.3"/>
  <pageSetup scale="50" fitToHeight="0" orientation="portrait" r:id="rId1"/>
  <headerFooter>
    <oddFooter>&amp;R&amp;9&amp;P of &amp;N</oddFooter>
  </headerFooter>
  <rowBreaks count="2" manualBreakCount="2">
    <brk id="58" min="2" max="25" man="1"/>
    <brk id="36" min="2" max="25" man="1"/>
  </rowBreaks>
  <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5" tint="0.59999389629810485"/>
  </sheetPr>
  <dimension ref="A1:Z144"/>
  <sheetViews>
    <sheetView zoomScaleNormal="100" workbookViewId="0">
      <selection activeCell="K10" sqref="K10:N10"/>
    </sheetView>
  </sheetViews>
  <sheetFormatPr defaultColWidth="9.140625" defaultRowHeight="12.75" x14ac:dyDescent="0.2"/>
  <cols>
    <col min="1" max="1" width="25" style="1" customWidth="1"/>
    <col min="2" max="2" width="16.7109375" style="1" customWidth="1"/>
    <col min="3" max="3" width="30.42578125" style="1" customWidth="1"/>
    <col min="4" max="4" width="16.5703125" style="1" customWidth="1"/>
    <col min="5" max="5" width="16.85546875" style="16" customWidth="1"/>
    <col min="6" max="6" width="43.42578125" style="1" customWidth="1"/>
    <col min="7" max="7" width="26.5703125" style="1" customWidth="1"/>
    <col min="8" max="8" width="24.140625" style="2" customWidth="1"/>
    <col min="9" max="9" width="21.28515625" style="2" customWidth="1"/>
    <col min="10" max="10" width="22" style="1" customWidth="1"/>
    <col min="11" max="11" width="19" style="1" customWidth="1"/>
    <col min="12" max="12" width="20.85546875" style="1" customWidth="1"/>
    <col min="13" max="13" width="19" style="1" customWidth="1"/>
    <col min="14" max="14" width="17" style="1" customWidth="1"/>
    <col min="15" max="15" width="20.7109375" style="1" customWidth="1"/>
    <col min="16" max="16" width="16.5703125" style="1" customWidth="1"/>
    <col min="17" max="17" width="20" style="1" bestFit="1" customWidth="1"/>
    <col min="18" max="18" width="20.28515625" style="1" bestFit="1" customWidth="1"/>
    <col min="19" max="19" width="22.28515625" style="1" customWidth="1"/>
    <col min="20" max="20" width="13.7109375" style="1" customWidth="1"/>
    <col min="21" max="21" width="12.28515625" style="1" customWidth="1"/>
    <col min="22" max="22" width="31.42578125" style="1" customWidth="1"/>
    <col min="23" max="23" width="31.140625" style="1" customWidth="1"/>
    <col min="24" max="24" width="32.5703125" style="1" bestFit="1" customWidth="1"/>
    <col min="25" max="25" width="23" style="1" customWidth="1"/>
    <col min="26" max="26" width="34.42578125" style="1" customWidth="1"/>
    <col min="27" max="16384" width="9.140625" style="1"/>
  </cols>
  <sheetData>
    <row r="1" spans="1:26" ht="21.75" customHeight="1" x14ac:dyDescent="0.2">
      <c r="A1" s="3" t="s">
        <v>2197</v>
      </c>
      <c r="B1" s="4" t="s">
        <v>2220</v>
      </c>
      <c r="F1" s="4"/>
      <c r="G1" s="4" t="s">
        <v>130</v>
      </c>
      <c r="H1" s="4" t="s">
        <v>48</v>
      </c>
      <c r="K1" s="1" t="s">
        <v>49</v>
      </c>
      <c r="L1" s="8" t="s">
        <v>10</v>
      </c>
      <c r="M1" s="4" t="s">
        <v>163</v>
      </c>
      <c r="W1" s="1" t="s">
        <v>161</v>
      </c>
    </row>
    <row r="2" spans="1:26" x14ac:dyDescent="0.2">
      <c r="A2" s="1" t="s">
        <v>2198</v>
      </c>
      <c r="B2" s="1" t="s">
        <v>35</v>
      </c>
      <c r="C2" s="1" t="s">
        <v>0</v>
      </c>
      <c r="D2" s="1" t="s">
        <v>133</v>
      </c>
      <c r="E2" s="16" t="s">
        <v>4</v>
      </c>
      <c r="F2" s="1" t="s">
        <v>1</v>
      </c>
      <c r="G2" s="2" t="s">
        <v>2</v>
      </c>
      <c r="H2" s="2" t="s">
        <v>47</v>
      </c>
      <c r="I2" s="2" t="s">
        <v>29</v>
      </c>
      <c r="J2" s="2" t="s">
        <v>39</v>
      </c>
      <c r="K2" s="1" t="s">
        <v>30</v>
      </c>
      <c r="L2" s="2" t="s">
        <v>3</v>
      </c>
      <c r="M2" s="1" t="s">
        <v>14</v>
      </c>
      <c r="N2" s="1" t="s">
        <v>15</v>
      </c>
      <c r="O2" s="1" t="s">
        <v>16</v>
      </c>
      <c r="P2" s="1" t="s">
        <v>41</v>
      </c>
      <c r="Q2" s="1" t="s">
        <v>43</v>
      </c>
      <c r="R2" s="1" t="s">
        <v>107</v>
      </c>
      <c r="S2" s="1" t="s">
        <v>42</v>
      </c>
      <c r="T2" s="1" t="s">
        <v>44</v>
      </c>
      <c r="U2" s="1" t="s">
        <v>45</v>
      </c>
      <c r="V2" s="1" t="s">
        <v>46</v>
      </c>
      <c r="W2" s="1" t="s">
        <v>151</v>
      </c>
      <c r="X2" s="1" t="s">
        <v>150</v>
      </c>
      <c r="Y2" s="1" t="s">
        <v>172</v>
      </c>
      <c r="Z2" s="18" t="s">
        <v>139</v>
      </c>
    </row>
    <row r="3" spans="1:26" x14ac:dyDescent="0.2">
      <c r="A3" s="14"/>
      <c r="B3" s="14"/>
      <c r="C3" s="1" t="s">
        <v>2201</v>
      </c>
      <c r="D3" s="14" t="b">
        <v>1</v>
      </c>
      <c r="E3" s="17" t="b">
        <v>1</v>
      </c>
      <c r="F3" s="2" t="s">
        <v>2202</v>
      </c>
      <c r="G3" s="103" t="str">
        <f ca="1">SUBSTITUTE(
UPPER(IF(DATA_EFORM_TYPE_CODE="RES",
CONCATENATE("R",CONFIG_FHC_PROG_ID,TEXT(MOD(LEN(DATA_PRIM_BORW_FULL_NAME)+LEN(G13)+LEN(G43),100),"00"),TEXT(DATA_PROPTY_ZIP_CODE,"00000"),LEFT(SUBSTITUTE(DATA_PROPTY_ADDR," ","X"),6)&amp;REPT("X",MAX(0,6-LEN(DATA_PROPTY_ADDR))),TEXT(LEN(DATA_PROPTY_ADDR),"00"),LEFT(TEXT(INT(IF(DATA_HSEHLD_INC_PCT_MFI="",1,DATA_HSEHLD_INC_PCT_MFI)*1000),"000"),3),TEXT(MOD(IF(DATA_FAMILY_SIZE_NO="",0,DATA_FAMILY_SIZE_NO),10),"0")),
IF(DATA_EFORM_TYPE_CODE="DSB",
CONCATENATE("D",TEXT(DATA_HSEHLD_NO,"000000"),TEXT(IF(DATA_DISBURSEMENT_DATE="",NOW(),DATA_DISBURSEMENT_DATE),"YYYYMMDD"),TEXT(MOD(MAX(0,DATA_FIRST_MTG_LOAN_AMT),10000000),"0000000"),LEFT(TEXT(INT(IF(DATA_LTV="",1,DATA_LTV)*1000),"000"),3)),
CONCATENATE("A",TEXT(DATA_HSEHLD_NO,"000000"),TEXT(LEN(DATA_ADL_DESCRIPTION),"000"),LEFT(SUBSTITUTE(DATA_ADL_DESCRIPTION," ","X"),7)&amp;REPT("X",MAX(0,7-LEN(DATA_ADL_DESCRIPTION))),RIGHT(SUBSTITUTE(DATA_ADL_DESCRIPTION," ","X"),2)&amp;REPT("X",MAX(0,2-LEN(DATA_ADL_DESCRIPTION))),TEXT(DATA_MEMBER_CERTIFICATION_DATE,"#####"),IF(DATA_FHA_LETTER_REQ_FLAG=TRUE,"Y","N"))))),
"'",
"Q")</f>
        <v>A000XXXXXXXXXN</v>
      </c>
      <c r="H3" s="15"/>
      <c r="I3" s="15" t="b">
        <f ca="1">(DB_TBL_DATA_FIELDS[[#This Row],[FIELD_VALUE_RAW]]="")</f>
        <v>0</v>
      </c>
      <c r="J3" s="15" t="s">
        <v>9</v>
      </c>
      <c r="K3" s="14" t="b">
        <f>AND(IF(DB_TBL_DATA_FIELDS[[#This Row],[FIELD_VALID_CUSTOM_LOGIC]]="",TRUE,DB_TBL_DATA_FIELDS[[#This Row],[FIELD_VALID_CUSTOM_LOGIC]]),DB_TBL_DATA_FIELDS[[#This Row],[RANGE_VALIDATION_PASSED_FLAG]])</f>
        <v>1</v>
      </c>
      <c r="L3" s="15"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A000XXXXXXXXXN</v>
      </c>
      <c r="M3" s="14" t="str">
        <f>IF(DB_TBL_DATA_FIELDS[[#This Row],[SHEET_REF_CALC]]="","",IF(DB_TBL_DATA_FIELDS[[#This Row],[FIELD_EMPTY_FLAG]],IF(NOT(DB_TBL_DATA_FIELDS[[#This Row],[FIELD_REQ_FLAG]]),-1,1),IF(NOT(DB_TBL_DATA_FIELDS[[#This Row],[FIELD_VALID_FLAG]]),0,2)))</f>
        <v/>
      </c>
      <c r="N3" s="14" t="str">
        <f>IFERROR(VLOOKUP(DB_TBL_DATA_FIELDS[[#This Row],[FIELD_STATUS_CODE]],DB_TBL_CONFIG_FIELDSTATUSCODES[#All],3,FALSE),"")</f>
        <v/>
      </c>
      <c r="O3" s="14" t="str">
        <f>IFERROR(VLOOKUP(DB_TBL_DATA_FIELDS[[#This Row],[FIELD_STATUS_CODE]],DB_TBL_CONFIG_FIELDSTATUSCODES[#All],4,FALSE),"")</f>
        <v/>
      </c>
      <c r="P3" s="1" t="b">
        <v>1</v>
      </c>
      <c r="Q3" s="14" t="b">
        <v>0</v>
      </c>
      <c r="R3" s="14" t="s">
        <v>9</v>
      </c>
      <c r="S3" s="1">
        <f ca="1">IF(DB_TBL_DATA_FIELDS[[#This Row],[RANGE_VALIDATION_FLAG]]="Text",LEN(DB_TBL_DATA_FIELDS[[#This Row],[FIELD_VALUE_RAW]]),IFERROR(VALUE(DB_TBL_DATA_FIELDS[[#This Row],[FIELD_VALUE_RAW]]),-1))</f>
        <v>14</v>
      </c>
      <c r="T3" s="14">
        <v>1</v>
      </c>
      <c r="U3" s="14">
        <v>23</v>
      </c>
      <c r="V3" s="14" t="b">
        <f>IF(NOT(DB_TBL_DATA_FIELDS[[#This Row],[RANGE_VALIDATION_ON_FLAG]]),TRUE,
AND(DB_TBL_DATA_FIELDS[[#This Row],[RANGE_VALUE_LEN]]&gt;=DB_TBL_DATA_FIELDS[[#This Row],[RANGE_VALIDATION_MIN]],DB_TBL_DATA_FIELDS[[#This Row],[RANGE_VALUE_LEN]]&lt;=DB_TBL_DATA_FIELDS[[#This Row],[RANGE_VALIDATION_MAX]]))</f>
        <v>1</v>
      </c>
      <c r="W3" s="14">
        <v>0</v>
      </c>
      <c r="X3" s="14" t="str">
        <f>IF(DB_TBL_DATA_FIELDS[[#This Row],[PCT_CALC_SHOW_STATUS_CODE]]=1,
DB_TBL_DATA_FIELDS[[#This Row],[FIELD_STATUS_CODE]],
IF(AND(DB_TBL_DATA_FIELDS[[#This Row],[PCT_CALC_SHOW_STATUS_CODE]]=2,DB_TBL_DATA_FIELDS[[#This Row],[FIELD_STATUS_CODE]]=0),
DB_TBL_DATA_FIELDS[[#This Row],[FIELD_STATUS_CODE]],
"")
)</f>
        <v/>
      </c>
      <c r="Y3" s="14"/>
    </row>
    <row r="4" spans="1:26" x14ac:dyDescent="0.2">
      <c r="B4" s="14"/>
      <c r="C4" s="1" t="s">
        <v>108</v>
      </c>
      <c r="D4" s="1" t="b">
        <v>0</v>
      </c>
      <c r="E4" s="16" t="b">
        <v>0</v>
      </c>
      <c r="F4" s="2" t="s">
        <v>2229</v>
      </c>
      <c r="G4" s="19">
        <f ca="1">COUNTIF(DB_TBL_DATA_FIELDS[PCT_CALC_FIELD_STATUS_CODE],2)</f>
        <v>0</v>
      </c>
      <c r="I4" s="2" t="b">
        <f ca="1">(DB_TBL_DATA_FIELDS[[#This Row],[FIELD_VALUE_RAW]]="")</f>
        <v>0</v>
      </c>
      <c r="J4" s="2" t="s">
        <v>38</v>
      </c>
      <c r="K4" s="1" t="b">
        <f>AND(IF(DB_TBL_DATA_FIELDS[[#This Row],[FIELD_VALID_CUSTOM_LOGIC]]="",TRUE,DB_TBL_DATA_FIELDS[[#This Row],[FIELD_VALID_CUSTOM_LOGIC]]),DB_TBL_DATA_FIELDS[[#This Row],[RANGE_VALIDATION_PASSED_FLAG]])</f>
        <v>1</v>
      </c>
      <c r="L4" s="2">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0</v>
      </c>
      <c r="M4" s="1" t="str">
        <f>IF(DB_TBL_DATA_FIELDS[[#This Row],[SHEET_REF_CALC]]="","",IF(DB_TBL_DATA_FIELDS[[#This Row],[FIELD_EMPTY_FLAG]],IF(NOT(DB_TBL_DATA_FIELDS[[#This Row],[FIELD_REQ_FLAG]]),-1,1),IF(NOT(DB_TBL_DATA_FIELDS[[#This Row],[FIELD_VALID_FLAG]]),0,2)))</f>
        <v/>
      </c>
      <c r="N4" s="1" t="str">
        <f>IFERROR(VLOOKUP(DB_TBL_DATA_FIELDS[[#This Row],[FIELD_STATUS_CODE]],DB_TBL_CONFIG_FIELDSTATUSCODES[#All],3,FALSE),"")</f>
        <v/>
      </c>
      <c r="O4" s="1" t="str">
        <f>IFERROR(VLOOKUP(DB_TBL_DATA_FIELDS[[#This Row],[FIELD_STATUS_CODE]],DB_TBL_CONFIG_FIELDSTATUSCODES[#All],4,FALSE),"")</f>
        <v/>
      </c>
      <c r="P4" s="1" t="b">
        <f>TRUE</f>
        <v>1</v>
      </c>
      <c r="Q4" s="1" t="b">
        <v>0</v>
      </c>
      <c r="S4" s="1">
        <f ca="1">IF(DB_TBL_DATA_FIELDS[[#This Row],[RANGE_VALIDATION_FLAG]]="Text",LEN(DB_TBL_DATA_FIELDS[[#This Row],[FIELD_VALUE_RAW]]),IFERROR(VALUE(DB_TBL_DATA_FIELDS[[#This Row],[FIELD_VALUE_RAW]]),-1))</f>
        <v>0</v>
      </c>
      <c r="V4" s="1" t="b">
        <f>IF(NOT(DB_TBL_DATA_FIELDS[[#This Row],[RANGE_VALIDATION_ON_FLAG]]),TRUE,
AND(DB_TBL_DATA_FIELDS[[#This Row],[RANGE_VALUE_LEN]]&gt;=DB_TBL_DATA_FIELDS[[#This Row],[RANGE_VALIDATION_MIN]],DB_TBL_DATA_FIELDS[[#This Row],[RANGE_VALUE_LEN]]&lt;=DB_TBL_DATA_FIELDS[[#This Row],[RANGE_VALIDATION_MAX]]))</f>
        <v>1</v>
      </c>
      <c r="W4" s="14">
        <v>0</v>
      </c>
      <c r="X4" s="14" t="str">
        <f>IF(DB_TBL_DATA_FIELDS[[#This Row],[PCT_CALC_SHOW_STATUS_CODE]]=1,
DB_TBL_DATA_FIELDS[[#This Row],[FIELD_STATUS_CODE]],
IF(AND(DB_TBL_DATA_FIELDS[[#This Row],[PCT_CALC_SHOW_STATUS_CODE]]=2,DB_TBL_DATA_FIELDS[[#This Row],[FIELD_STATUS_CODE]]=0),
DB_TBL_DATA_FIELDS[[#This Row],[FIELD_STATUS_CODE]],
"")
)</f>
        <v/>
      </c>
      <c r="Y4" s="14"/>
    </row>
    <row r="5" spans="1:26" x14ac:dyDescent="0.2">
      <c r="B5" s="14"/>
      <c r="C5" s="1" t="s">
        <v>109</v>
      </c>
      <c r="D5" s="1" t="b">
        <v>0</v>
      </c>
      <c r="E5" s="16" t="b">
        <v>0</v>
      </c>
      <c r="F5" s="2" t="s">
        <v>2228</v>
      </c>
      <c r="G5" s="19">
        <f ca="1">COUNTIF(DB_TBL_DATA_FIELDS[PCT_CALC_FIELD_STATUS_CODE],0)+COUNTIF(DB_TBL_DATA_FIELDS[PCT_CALC_FIELD_STATUS_CODE],1)+COUNTIF(DB_TBL_DATA_FIELDS[PCT_CALC_FIELD_STATUS_CODE],2)</f>
        <v>48</v>
      </c>
      <c r="I5" s="2" t="b">
        <f ca="1">(DB_TBL_DATA_FIELDS[[#This Row],[FIELD_VALUE_RAW]]="")</f>
        <v>0</v>
      </c>
      <c r="J5" s="2" t="s">
        <v>38</v>
      </c>
      <c r="K5" s="1" t="b">
        <f>AND(IF(DB_TBL_DATA_FIELDS[[#This Row],[FIELD_VALID_CUSTOM_LOGIC]]="",TRUE,DB_TBL_DATA_FIELDS[[#This Row],[FIELD_VALID_CUSTOM_LOGIC]]),DB_TBL_DATA_FIELDS[[#This Row],[RANGE_VALIDATION_PASSED_FLAG]])</f>
        <v>1</v>
      </c>
      <c r="L5" s="2">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48</v>
      </c>
      <c r="M5" s="1" t="str">
        <f>IF(DB_TBL_DATA_FIELDS[[#This Row],[SHEET_REF_CALC]]="","",IF(DB_TBL_DATA_FIELDS[[#This Row],[FIELD_EMPTY_FLAG]],IF(NOT(DB_TBL_DATA_FIELDS[[#This Row],[FIELD_REQ_FLAG]]),-1,1),IF(NOT(DB_TBL_DATA_FIELDS[[#This Row],[FIELD_VALID_FLAG]]),0,2)))</f>
        <v/>
      </c>
      <c r="N5" s="1" t="str">
        <f>IFERROR(VLOOKUP(DB_TBL_DATA_FIELDS[[#This Row],[FIELD_STATUS_CODE]],DB_TBL_CONFIG_FIELDSTATUSCODES[#All],3,FALSE),"")</f>
        <v/>
      </c>
      <c r="O5" s="1" t="str">
        <f>IFERROR(VLOOKUP(DB_TBL_DATA_FIELDS[[#This Row],[FIELD_STATUS_CODE]],DB_TBL_CONFIG_FIELDSTATUSCODES[#All],4,FALSE),"")</f>
        <v/>
      </c>
      <c r="P5" s="1" t="b">
        <f>TRUE</f>
        <v>1</v>
      </c>
      <c r="Q5" s="1" t="b">
        <v>0</v>
      </c>
      <c r="S5" s="1">
        <f ca="1">IF(DB_TBL_DATA_FIELDS[[#This Row],[RANGE_VALIDATION_FLAG]]="Text",LEN(DB_TBL_DATA_FIELDS[[#This Row],[FIELD_VALUE_RAW]]),IFERROR(VALUE(DB_TBL_DATA_FIELDS[[#This Row],[FIELD_VALUE_RAW]]),-1))</f>
        <v>48</v>
      </c>
      <c r="V5" s="1" t="b">
        <f>IF(NOT(DB_TBL_DATA_FIELDS[[#This Row],[RANGE_VALIDATION_ON_FLAG]]),TRUE,
AND(DB_TBL_DATA_FIELDS[[#This Row],[RANGE_VALUE_LEN]]&gt;=DB_TBL_DATA_FIELDS[[#This Row],[RANGE_VALIDATION_MIN]],DB_TBL_DATA_FIELDS[[#This Row],[RANGE_VALUE_LEN]]&lt;=DB_TBL_DATA_FIELDS[[#This Row],[RANGE_VALIDATION_MAX]]))</f>
        <v>1</v>
      </c>
      <c r="W5" s="14">
        <v>0</v>
      </c>
      <c r="X5" s="14" t="str">
        <f>IF(DB_TBL_DATA_FIELDS[[#This Row],[PCT_CALC_SHOW_STATUS_CODE]]=1,
DB_TBL_DATA_FIELDS[[#This Row],[FIELD_STATUS_CODE]],
IF(AND(DB_TBL_DATA_FIELDS[[#This Row],[PCT_CALC_SHOW_STATUS_CODE]]=2,DB_TBL_DATA_FIELDS[[#This Row],[FIELD_STATUS_CODE]]=0),
DB_TBL_DATA_FIELDS[[#This Row],[FIELD_STATUS_CODE]],
"")
)</f>
        <v/>
      </c>
      <c r="Y5" s="14"/>
    </row>
    <row r="6" spans="1:26" x14ac:dyDescent="0.2">
      <c r="B6" s="14"/>
      <c r="C6" s="1" t="s">
        <v>110</v>
      </c>
      <c r="D6" s="1" t="b">
        <v>0</v>
      </c>
      <c r="E6" s="16" t="b">
        <v>0</v>
      </c>
      <c r="F6" s="2" t="s">
        <v>2227</v>
      </c>
      <c r="G6" s="19">
        <f ca="1">COUNTIF(DB_TBL_DATA_FIELDS[FIELD_STATUS_CODE],0)</f>
        <v>0</v>
      </c>
      <c r="I6" s="2" t="b">
        <f ca="1">(DB_TBL_DATA_FIELDS[[#This Row],[FIELD_VALUE_RAW]]="")</f>
        <v>0</v>
      </c>
      <c r="J6" s="2" t="s">
        <v>38</v>
      </c>
      <c r="K6" s="1" t="b">
        <f>AND(IF(DB_TBL_DATA_FIELDS[[#This Row],[FIELD_VALID_CUSTOM_LOGIC]]="",TRUE,DB_TBL_DATA_FIELDS[[#This Row],[FIELD_VALID_CUSTOM_LOGIC]]),DB_TBL_DATA_FIELDS[[#This Row],[RANGE_VALIDATION_PASSED_FLAG]])</f>
        <v>1</v>
      </c>
      <c r="L6" s="2">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0</v>
      </c>
      <c r="M6" s="1" t="str">
        <f>IF(DB_TBL_DATA_FIELDS[[#This Row],[SHEET_REF_CALC]]="","",IF(DB_TBL_DATA_FIELDS[[#This Row],[FIELD_EMPTY_FLAG]],IF(NOT(DB_TBL_DATA_FIELDS[[#This Row],[FIELD_REQ_FLAG]]),-1,1),IF(NOT(DB_TBL_DATA_FIELDS[[#This Row],[FIELD_VALID_FLAG]]),0,2)))</f>
        <v/>
      </c>
      <c r="N6" s="1" t="str">
        <f>IFERROR(VLOOKUP(DB_TBL_DATA_FIELDS[[#This Row],[FIELD_STATUS_CODE]],DB_TBL_CONFIG_FIELDSTATUSCODES[#All],3,FALSE),"")</f>
        <v/>
      </c>
      <c r="O6" s="1" t="str">
        <f>IFERROR(VLOOKUP(DB_TBL_DATA_FIELDS[[#This Row],[FIELD_STATUS_CODE]],DB_TBL_CONFIG_FIELDSTATUSCODES[#All],4,FALSE),"")</f>
        <v/>
      </c>
      <c r="P6" s="1" t="b">
        <f>TRUE</f>
        <v>1</v>
      </c>
      <c r="Q6" s="1" t="b">
        <v>0</v>
      </c>
      <c r="S6" s="1">
        <f ca="1">IF(DB_TBL_DATA_FIELDS[[#This Row],[RANGE_VALIDATION_FLAG]]="Text",LEN(DB_TBL_DATA_FIELDS[[#This Row],[FIELD_VALUE_RAW]]),IFERROR(VALUE(DB_TBL_DATA_FIELDS[[#This Row],[FIELD_VALUE_RAW]]),-1))</f>
        <v>0</v>
      </c>
      <c r="V6" s="1" t="b">
        <f>IF(NOT(DB_TBL_DATA_FIELDS[[#This Row],[RANGE_VALIDATION_ON_FLAG]]),TRUE,
AND(DB_TBL_DATA_FIELDS[[#This Row],[RANGE_VALUE_LEN]]&gt;=DB_TBL_DATA_FIELDS[[#This Row],[RANGE_VALIDATION_MIN]],DB_TBL_DATA_FIELDS[[#This Row],[RANGE_VALUE_LEN]]&lt;=DB_TBL_DATA_FIELDS[[#This Row],[RANGE_VALIDATION_MAX]]))</f>
        <v>1</v>
      </c>
      <c r="W6" s="14">
        <v>0</v>
      </c>
      <c r="X6" s="14" t="str">
        <f>IF(DB_TBL_DATA_FIELDS[[#This Row],[PCT_CALC_SHOW_STATUS_CODE]]=1,
DB_TBL_DATA_FIELDS[[#This Row],[FIELD_STATUS_CODE]],
IF(AND(DB_TBL_DATA_FIELDS[[#This Row],[PCT_CALC_SHOW_STATUS_CODE]]=2,DB_TBL_DATA_FIELDS[[#This Row],[FIELD_STATUS_CODE]]=0),
DB_TBL_DATA_FIELDS[[#This Row],[FIELD_STATUS_CODE]],
"")
)</f>
        <v/>
      </c>
      <c r="Y6" s="14"/>
    </row>
    <row r="7" spans="1:26" x14ac:dyDescent="0.2">
      <c r="B7" s="14"/>
      <c r="C7" s="1" t="s">
        <v>136</v>
      </c>
      <c r="D7" s="1" t="b">
        <v>0</v>
      </c>
      <c r="E7" s="16" t="b">
        <v>0</v>
      </c>
      <c r="F7" s="2" t="s">
        <v>2226</v>
      </c>
      <c r="G7" s="19">
        <f ca="1">(G4/G5)</f>
        <v>0</v>
      </c>
      <c r="I7" s="2" t="b">
        <f ca="1">(DB_TBL_DATA_FIELDS[[#This Row],[FIELD_VALUE_RAW]]="")</f>
        <v>0</v>
      </c>
      <c r="J7" s="2" t="s">
        <v>38</v>
      </c>
      <c r="K7" s="1" t="b">
        <f>AND(IF(DB_TBL_DATA_FIELDS[[#This Row],[FIELD_VALID_CUSTOM_LOGIC]]="",TRUE,DB_TBL_DATA_FIELDS[[#This Row],[FIELD_VALID_CUSTOM_LOGIC]]),DB_TBL_DATA_FIELDS[[#This Row],[RANGE_VALIDATION_PASSED_FLAG]])</f>
        <v>1</v>
      </c>
      <c r="L7" s="2">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0</v>
      </c>
      <c r="M7" s="1" t="str">
        <f>IF(DB_TBL_DATA_FIELDS[[#This Row],[SHEET_REF_CALC]]="","",IF(DB_TBL_DATA_FIELDS[[#This Row],[FIELD_EMPTY_FLAG]],IF(NOT(DB_TBL_DATA_FIELDS[[#This Row],[FIELD_REQ_FLAG]]),-1,1),IF(NOT(DB_TBL_DATA_FIELDS[[#This Row],[FIELD_VALID_FLAG]]),0,2)))</f>
        <v/>
      </c>
      <c r="N7" s="1" t="str">
        <f>IFERROR(VLOOKUP(DB_TBL_DATA_FIELDS[[#This Row],[FIELD_STATUS_CODE]],DB_TBL_CONFIG_FIELDSTATUSCODES[#All],3,FALSE),"")</f>
        <v/>
      </c>
      <c r="O7" s="1" t="str">
        <f>IFERROR(VLOOKUP(DB_TBL_DATA_FIELDS[[#This Row],[FIELD_STATUS_CODE]],DB_TBL_CONFIG_FIELDSTATUSCODES[#All],4,FALSE),"")</f>
        <v/>
      </c>
      <c r="P7" s="1" t="b">
        <f>TRUE</f>
        <v>1</v>
      </c>
      <c r="Q7" s="1" t="b">
        <v>0</v>
      </c>
      <c r="S7" s="1">
        <f ca="1">IF(DB_TBL_DATA_FIELDS[[#This Row],[RANGE_VALIDATION_FLAG]]="Text",LEN(DB_TBL_DATA_FIELDS[[#This Row],[FIELD_VALUE_RAW]]),IFERROR(VALUE(DB_TBL_DATA_FIELDS[[#This Row],[FIELD_VALUE_RAW]]),-1))</f>
        <v>0</v>
      </c>
      <c r="V7" s="1" t="b">
        <f>IF(NOT(DB_TBL_DATA_FIELDS[[#This Row],[RANGE_VALIDATION_ON_FLAG]]),TRUE,
AND(DB_TBL_DATA_FIELDS[[#This Row],[RANGE_VALUE_LEN]]&gt;=DB_TBL_DATA_FIELDS[[#This Row],[RANGE_VALIDATION_MIN]],DB_TBL_DATA_FIELDS[[#This Row],[RANGE_VALUE_LEN]]&lt;=DB_TBL_DATA_FIELDS[[#This Row],[RANGE_VALIDATION_MAX]]))</f>
        <v>1</v>
      </c>
      <c r="W7" s="14">
        <v>0</v>
      </c>
      <c r="X7" s="14" t="str">
        <f>IF(DB_TBL_DATA_FIELDS[[#This Row],[PCT_CALC_SHOW_STATUS_CODE]]=1,
DB_TBL_DATA_FIELDS[[#This Row],[FIELD_STATUS_CODE]],
IF(AND(DB_TBL_DATA_FIELDS[[#This Row],[PCT_CALC_SHOW_STATUS_CODE]]=2,DB_TBL_DATA_FIELDS[[#This Row],[FIELD_STATUS_CODE]]=0),
DB_TBL_DATA_FIELDS[[#This Row],[FIELD_STATUS_CODE]],
"")
)</f>
        <v/>
      </c>
      <c r="Y7" s="14"/>
    </row>
    <row r="8" spans="1:26" x14ac:dyDescent="0.2">
      <c r="B8" s="14"/>
      <c r="C8" s="233" t="s">
        <v>2338</v>
      </c>
      <c r="D8" s="233" t="b">
        <v>0</v>
      </c>
      <c r="E8" s="242" t="b">
        <v>0</v>
      </c>
      <c r="F8" s="2" t="s">
        <v>2336</v>
      </c>
      <c r="G8" s="241" t="str">
        <f>""</f>
        <v/>
      </c>
      <c r="I8" s="2" t="b">
        <f>(DB_TBL_DATA_FIELDS[[#This Row],[FIELD_VALUE_RAW]]="")</f>
        <v>1</v>
      </c>
      <c r="J8" s="2" t="s">
        <v>9</v>
      </c>
      <c r="K8" s="1" t="b">
        <f>AND(IF(DB_TBL_DATA_FIELDS[[#This Row],[FIELD_VALID_CUSTOM_LOGIC]]="",TRUE,DB_TBL_DATA_FIELDS[[#This Row],[FIELD_VALID_CUSTOM_LOGIC]]),DB_TBL_DATA_FIELDS[[#This Row],[RANGE_VALIDATION_PASSED_FLAG]])</f>
        <v>1</v>
      </c>
      <c r="L8" s="2" t="str">
        <f>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8" s="1" t="str">
        <f>IF(DB_TBL_DATA_FIELDS[[#This Row],[SHEET_REF_CALC]]="","",IF(DB_TBL_DATA_FIELDS[[#This Row],[FIELD_EMPTY_FLAG]],IF(NOT(DB_TBL_DATA_FIELDS[[#This Row],[FIELD_REQ_FLAG]]),-1,1),IF(NOT(DB_TBL_DATA_FIELDS[[#This Row],[FIELD_VALID_FLAG]]),0,2)))</f>
        <v/>
      </c>
      <c r="N8" s="1" t="str">
        <f>IFERROR(VLOOKUP(DB_TBL_DATA_FIELDS[[#This Row],[FIELD_STATUS_CODE]],DB_TBL_CONFIG_FIELDSTATUSCODES[#All],3,FALSE),"")</f>
        <v/>
      </c>
      <c r="O8" s="1" t="str">
        <f>IFERROR(VLOOKUP(DB_TBL_DATA_FIELDS[[#This Row],[FIELD_STATUS_CODE]],DB_TBL_CONFIG_FIELDSTATUSCODES[#All],4,FALSE),"")</f>
        <v/>
      </c>
      <c r="P8" s="1" t="b">
        <f>TRUE</f>
        <v>1</v>
      </c>
      <c r="Q8" s="1" t="b">
        <v>0</v>
      </c>
      <c r="S8" s="1">
        <f>IF(DB_TBL_DATA_FIELDS[[#This Row],[RANGE_VALIDATION_FLAG]]="Text",LEN(DB_TBL_DATA_FIELDS[[#This Row],[FIELD_VALUE_RAW]]),IFERROR(VALUE(DB_TBL_DATA_FIELDS[[#This Row],[FIELD_VALUE_RAW]]),-1))</f>
        <v>-1</v>
      </c>
      <c r="V8" s="1" t="b">
        <f>IF(NOT(DB_TBL_DATA_FIELDS[[#This Row],[RANGE_VALIDATION_ON_FLAG]]),TRUE,
AND(DB_TBL_DATA_FIELDS[[#This Row],[RANGE_VALUE_LEN]]&gt;=DB_TBL_DATA_FIELDS[[#This Row],[RANGE_VALIDATION_MIN]],DB_TBL_DATA_FIELDS[[#This Row],[RANGE_VALUE_LEN]]&lt;=DB_TBL_DATA_FIELDS[[#This Row],[RANGE_VALIDATION_MAX]]))</f>
        <v>1</v>
      </c>
      <c r="W8" s="1">
        <v>0</v>
      </c>
      <c r="X8" s="1" t="str">
        <f>IF(DB_TBL_DATA_FIELDS[[#This Row],[PCT_CALC_SHOW_STATUS_CODE]]=1,
DB_TBL_DATA_FIELDS[[#This Row],[FIELD_STATUS_CODE]],
IF(AND(DB_TBL_DATA_FIELDS[[#This Row],[PCT_CALC_SHOW_STATUS_CODE]]=2,DB_TBL_DATA_FIELDS[[#This Row],[FIELD_STATUS_CODE]]=0),
DB_TBL_DATA_FIELDS[[#This Row],[FIELD_STATUS_CODE]],
"")
)</f>
        <v/>
      </c>
      <c r="Z8" s="1" t="s">
        <v>2891</v>
      </c>
    </row>
    <row r="9" spans="1:26" x14ac:dyDescent="0.2">
      <c r="B9" s="14"/>
      <c r="C9" s="1" t="s">
        <v>2224</v>
      </c>
      <c r="D9" s="14" t="b">
        <v>1</v>
      </c>
      <c r="E9" s="17" t="b">
        <v>0</v>
      </c>
      <c r="F9" s="2" t="s">
        <v>2225</v>
      </c>
      <c r="G9" s="19">
        <f ca="1">IF(G7=1,1,0)</f>
        <v>0</v>
      </c>
      <c r="H9" s="15"/>
      <c r="I9" s="15" t="b">
        <f ca="1">(DB_TBL_DATA_FIELDS[[#This Row],[FIELD_VALUE_RAW]]="")</f>
        <v>0</v>
      </c>
      <c r="J9" s="15" t="s">
        <v>137</v>
      </c>
      <c r="K9" s="14" t="b">
        <f>AND(IF(DB_TBL_DATA_FIELDS[[#This Row],[FIELD_VALID_CUSTOM_LOGIC]]="",TRUE,DB_TBL_DATA_FIELDS[[#This Row],[FIELD_VALID_CUSTOM_LOGIC]]),DB_TBL_DATA_FIELDS[[#This Row],[RANGE_VALIDATION_PASSED_FLAG]])</f>
        <v>1</v>
      </c>
      <c r="L9" s="15"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N</v>
      </c>
      <c r="M9" s="14" t="str">
        <f>IF(DB_TBL_DATA_FIELDS[[#This Row],[SHEET_REF_CALC]]="","",IF(DB_TBL_DATA_FIELDS[[#This Row],[FIELD_EMPTY_FLAG]],IF(NOT(DB_TBL_DATA_FIELDS[[#This Row],[FIELD_REQ_FLAG]]),-1,1),IF(NOT(DB_TBL_DATA_FIELDS[[#This Row],[FIELD_VALID_FLAG]]),0,2)))</f>
        <v/>
      </c>
      <c r="N9" s="14" t="str">
        <f>IFERROR(VLOOKUP(DB_TBL_DATA_FIELDS[[#This Row],[FIELD_STATUS_CODE]],DB_TBL_CONFIG_FIELDSTATUSCODES[#All],3,FALSE),"")</f>
        <v/>
      </c>
      <c r="O9" s="14" t="str">
        <f>IFERROR(VLOOKUP(DB_TBL_DATA_FIELDS[[#This Row],[FIELD_STATUS_CODE]],DB_TBL_CONFIG_FIELDSTATUSCODES[#All],4,FALSE),"")</f>
        <v/>
      </c>
      <c r="P9" s="14" t="b">
        <f>TRUE</f>
        <v>1</v>
      </c>
      <c r="Q9" s="14" t="b">
        <v>0</v>
      </c>
      <c r="R9" s="14"/>
      <c r="S9" s="14">
        <f ca="1">IF(DB_TBL_DATA_FIELDS[[#This Row],[RANGE_VALIDATION_FLAG]]="Text",LEN(DB_TBL_DATA_FIELDS[[#This Row],[FIELD_VALUE_RAW]]),IFERROR(VALUE(DB_TBL_DATA_FIELDS[[#This Row],[FIELD_VALUE_RAW]]),-1))</f>
        <v>0</v>
      </c>
      <c r="T9" s="14">
        <v>0</v>
      </c>
      <c r="U9" s="14">
        <v>1</v>
      </c>
      <c r="V9" s="14" t="b">
        <f>IF(NOT(DB_TBL_DATA_FIELDS[[#This Row],[RANGE_VALIDATION_ON_FLAG]]),TRUE,
AND(DB_TBL_DATA_FIELDS[[#This Row],[RANGE_VALUE_LEN]]&gt;=DB_TBL_DATA_FIELDS[[#This Row],[RANGE_VALIDATION_MIN]],DB_TBL_DATA_FIELDS[[#This Row],[RANGE_VALUE_LEN]]&lt;=DB_TBL_DATA_FIELDS[[#This Row],[RANGE_VALIDATION_MAX]]))</f>
        <v>1</v>
      </c>
      <c r="W9" s="14">
        <v>0</v>
      </c>
      <c r="X9" s="14" t="str">
        <f>IF(DB_TBL_DATA_FIELDS[[#This Row],[PCT_CALC_SHOW_STATUS_CODE]]=1,
DB_TBL_DATA_FIELDS[[#This Row],[FIELD_STATUS_CODE]],
IF(AND(DB_TBL_DATA_FIELDS[[#This Row],[PCT_CALC_SHOW_STATUS_CODE]]=2,DB_TBL_DATA_FIELDS[[#This Row],[FIELD_STATUS_CODE]]=0),
DB_TBL_DATA_FIELDS[[#This Row],[FIELD_STATUS_CODE]],
"")
)</f>
        <v/>
      </c>
      <c r="Y9" s="14"/>
    </row>
    <row r="10" spans="1:26" x14ac:dyDescent="0.2">
      <c r="B10" s="14"/>
      <c r="C10" s="1" t="s">
        <v>189</v>
      </c>
      <c r="D10" s="1" t="b">
        <v>1</v>
      </c>
      <c r="E10" s="16" t="b">
        <v>1</v>
      </c>
      <c r="F10" s="2" t="s">
        <v>2217</v>
      </c>
      <c r="G10" s="19" t="str">
        <f>CONFIG_EFORM_VERSION_NO_PROG</f>
        <v/>
      </c>
      <c r="I10" s="2" t="b">
        <f>(DB_TBL_DATA_FIELDS[[#This Row],[FIELD_VALUE_RAW]]="")</f>
        <v>1</v>
      </c>
      <c r="J10" s="2" t="s">
        <v>9</v>
      </c>
      <c r="K10" s="1" t="b">
        <f>AND(IF(DB_TBL_DATA_FIELDS[[#This Row],[FIELD_VALID_CUSTOM_LOGIC]]="",TRUE,DB_TBL_DATA_FIELDS[[#This Row],[FIELD_VALID_CUSTOM_LOGIC]]),DB_TBL_DATA_FIELDS[[#This Row],[RANGE_VALIDATION_PASSED_FLAG]])</f>
        <v>1</v>
      </c>
      <c r="L10" s="2" t="str">
        <f>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10" s="1" t="str">
        <f>IF(DB_TBL_DATA_FIELDS[[#This Row],[SHEET_REF_CALC]]="","",IF(DB_TBL_DATA_FIELDS[[#This Row],[FIELD_EMPTY_FLAG]],IF(NOT(DB_TBL_DATA_FIELDS[[#This Row],[FIELD_REQ_FLAG]]),-1,1),IF(NOT(DB_TBL_DATA_FIELDS[[#This Row],[FIELD_VALID_FLAG]]),0,2)))</f>
        <v/>
      </c>
      <c r="N10" s="1" t="str">
        <f>IFERROR(VLOOKUP(DB_TBL_DATA_FIELDS[[#This Row],[FIELD_STATUS_CODE]],DB_TBL_CONFIG_FIELDSTATUSCODES[#All],3,FALSE),"")</f>
        <v/>
      </c>
      <c r="O10" s="1" t="str">
        <f>IFERROR(VLOOKUP(DB_TBL_DATA_FIELDS[[#This Row],[FIELD_STATUS_CODE]],DB_TBL_CONFIG_FIELDSTATUSCODES[#All],4,FALSE),"")</f>
        <v/>
      </c>
      <c r="P10" s="1" t="b">
        <f>TRUE</f>
        <v>1</v>
      </c>
      <c r="Q10" s="1" t="b">
        <v>0</v>
      </c>
      <c r="S10" s="1">
        <f>IF(DB_TBL_DATA_FIELDS[[#This Row],[RANGE_VALIDATION_FLAG]]="Text",LEN(DB_TBL_DATA_FIELDS[[#This Row],[FIELD_VALUE_RAW]]),IFERROR(VALUE(DB_TBL_DATA_FIELDS[[#This Row],[FIELD_VALUE_RAW]]),-1))</f>
        <v>-1</v>
      </c>
      <c r="V10" s="1" t="b">
        <f>IF(NOT(DB_TBL_DATA_FIELDS[[#This Row],[RANGE_VALIDATION_ON_FLAG]]),TRUE,
AND(DB_TBL_DATA_FIELDS[[#This Row],[RANGE_VALUE_LEN]]&gt;=DB_TBL_DATA_FIELDS[[#This Row],[RANGE_VALIDATION_MIN]],DB_TBL_DATA_FIELDS[[#This Row],[RANGE_VALUE_LEN]]&lt;=DB_TBL_DATA_FIELDS[[#This Row],[RANGE_VALIDATION_MAX]]))</f>
        <v>1</v>
      </c>
      <c r="W10" s="1">
        <v>0</v>
      </c>
      <c r="X10" s="1" t="str">
        <f>IF(DB_TBL_DATA_FIELDS[[#This Row],[PCT_CALC_SHOW_STATUS_CODE]]=1,
DB_TBL_DATA_FIELDS[[#This Row],[FIELD_STATUS_CODE]],
IF(AND(DB_TBL_DATA_FIELDS[[#This Row],[PCT_CALC_SHOW_STATUS_CODE]]=2,DB_TBL_DATA_FIELDS[[#This Row],[FIELD_STATUS_CODE]]=0),
DB_TBL_DATA_FIELDS[[#This Row],[FIELD_STATUS_CODE]],
"")
)</f>
        <v/>
      </c>
    </row>
    <row r="11" spans="1:26" x14ac:dyDescent="0.2">
      <c r="C11" s="1" t="s">
        <v>2200</v>
      </c>
      <c r="D11" s="14" t="b">
        <v>1</v>
      </c>
      <c r="E11" s="16" t="b">
        <v>1</v>
      </c>
      <c r="F11" s="2" t="s">
        <v>2199</v>
      </c>
      <c r="G11" s="19" t="str">
        <f>CONFIG_EFORM_TYPE_CODE</f>
        <v/>
      </c>
      <c r="H11" s="19" t="e">
        <f>MATCH(DB_TBL_DATA_FIELDS[[#This Row],[FIELD_VALUE_RAW]],DB_TBL_LOOKUP_EFORM_TYPE[LOOKUP_CODE],0)&gt;=0</f>
        <v>#N/A</v>
      </c>
      <c r="I11" s="2" t="b">
        <f>(DB_TBL_DATA_FIELDS[[#This Row],[FIELD_VALUE_RAW]]="")</f>
        <v>1</v>
      </c>
      <c r="J11" s="2" t="s">
        <v>9</v>
      </c>
      <c r="K11" s="1" t="e">
        <f>AND(IF(DB_TBL_DATA_FIELDS[[#This Row],[FIELD_VALID_CUSTOM_LOGIC]]="",TRUE,DB_TBL_DATA_FIELDS[[#This Row],[FIELD_VALID_CUSTOM_LOGIC]]),DB_TBL_DATA_FIELDS[[#This Row],[RANGE_VALIDATION_PASSED_FLAG]])</f>
        <v>#N/A</v>
      </c>
      <c r="L11" s="2" t="e">
        <f>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#N/A</v>
      </c>
      <c r="M11" s="1" t="str">
        <f>IF(DB_TBL_DATA_FIELDS[[#This Row],[SHEET_REF_CALC]]="","",IF(DB_TBL_DATA_FIELDS[[#This Row],[FIELD_EMPTY_FLAG]],IF(NOT(DB_TBL_DATA_FIELDS[[#This Row],[FIELD_REQ_FLAG]]),-1,1),IF(NOT(DB_TBL_DATA_FIELDS[[#This Row],[FIELD_VALID_FLAG]]),0,2)))</f>
        <v/>
      </c>
      <c r="N11" s="1" t="str">
        <f>IFERROR(VLOOKUP(DB_TBL_DATA_FIELDS[[#This Row],[FIELD_STATUS_CODE]],DB_TBL_CONFIG_FIELDSTATUSCODES[#All],3,FALSE),"")</f>
        <v/>
      </c>
      <c r="O11" s="1" t="str">
        <f>IFERROR(VLOOKUP(DB_TBL_DATA_FIELDS[[#This Row],[FIELD_STATUS_CODE]],DB_TBL_CONFIG_FIELDSTATUSCODES[#All],4,FALSE),"")</f>
        <v/>
      </c>
      <c r="P11" s="1" t="b">
        <v>1</v>
      </c>
      <c r="Q11" s="1" t="b">
        <v>0</v>
      </c>
      <c r="R11" s="1" t="s">
        <v>9</v>
      </c>
      <c r="S11" s="1">
        <f>IF(DB_TBL_DATA_FIELDS[[#This Row],[RANGE_VALIDATION_FLAG]]="Text",LEN(DB_TBL_DATA_FIELDS[[#This Row],[FIELD_VALUE_RAW]]),IFERROR(VALUE(DB_TBL_DATA_FIELDS[[#This Row],[FIELD_VALUE_RAW]]),-1))</f>
        <v>0</v>
      </c>
      <c r="T11" s="1">
        <v>1</v>
      </c>
      <c r="U11" s="1">
        <v>1</v>
      </c>
      <c r="V11" s="1" t="b">
        <f>IF(NOT(DB_TBL_DATA_FIELDS[[#This Row],[RANGE_VALIDATION_ON_FLAG]]),TRUE,
AND(DB_TBL_DATA_FIELDS[[#This Row],[RANGE_VALUE_LEN]]&gt;=DB_TBL_DATA_FIELDS[[#This Row],[RANGE_VALIDATION_MIN]],DB_TBL_DATA_FIELDS[[#This Row],[RANGE_VALUE_LEN]]&lt;=DB_TBL_DATA_FIELDS[[#This Row],[RANGE_VALIDATION_MAX]]))</f>
        <v>1</v>
      </c>
      <c r="W11" s="1">
        <v>0</v>
      </c>
      <c r="X11" s="14" t="str">
        <f>IF(DB_TBL_DATA_FIELDS[[#This Row],[PCT_CALC_SHOW_STATUS_CODE]]=1,
DB_TBL_DATA_FIELDS[[#This Row],[FIELD_STATUS_CODE]],
IF(AND(DB_TBL_DATA_FIELDS[[#This Row],[PCT_CALC_SHOW_STATUS_CODE]]=2,DB_TBL_DATA_FIELDS[[#This Row],[FIELD_STATUS_CODE]]=0),
DB_TBL_DATA_FIELDS[[#This Row],[FIELD_STATUS_CODE]],
"")
)</f>
        <v/>
      </c>
      <c r="Y11" s="14"/>
    </row>
    <row r="12" spans="1:26" ht="13.5" thickBot="1" x14ac:dyDescent="0.25">
      <c r="A12" s="98"/>
      <c r="B12" s="98"/>
      <c r="C12" s="98" t="s">
        <v>8979</v>
      </c>
      <c r="D12" s="98" t="b">
        <v>0</v>
      </c>
      <c r="E12" s="99" t="b">
        <v>0</v>
      </c>
      <c r="F12" s="100" t="s">
        <v>8980</v>
      </c>
      <c r="G12" s="101" t="str">
        <f>CONFIG_EFORM_TYPE_CODE&amp;"_"&amp;CONFIG_FHC_PROG_ID</f>
        <v>_</v>
      </c>
      <c r="H12" s="100"/>
      <c r="I12" s="100" t="b">
        <f>(DB_TBL_DATA_FIELDS[[#This Row],[FIELD_VALUE_RAW]]="")</f>
        <v>0</v>
      </c>
      <c r="J12" s="100" t="s">
        <v>9</v>
      </c>
      <c r="K12" s="98" t="b">
        <f>AND(IF(DB_TBL_DATA_FIELDS[[#This Row],[FIELD_VALID_CUSTOM_LOGIC]]="",TRUE,DB_TBL_DATA_FIELDS[[#This Row],[FIELD_VALID_CUSTOM_LOGIC]]),DB_TBL_DATA_FIELDS[[#This Row],[RANGE_VALIDATION_PASSED_FLAG]])</f>
        <v>1</v>
      </c>
      <c r="L12" s="100" t="str">
        <f>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_</v>
      </c>
      <c r="M12" s="98" t="str">
        <f>IF(DB_TBL_DATA_FIELDS[[#This Row],[SHEET_REF_CALC]]="","",IF(DB_TBL_DATA_FIELDS[[#This Row],[FIELD_EMPTY_FLAG]],IF(NOT(DB_TBL_DATA_FIELDS[[#This Row],[FIELD_REQ_FLAG]]),-1,1),IF(NOT(DB_TBL_DATA_FIELDS[[#This Row],[FIELD_VALID_FLAG]]),0,2)))</f>
        <v/>
      </c>
      <c r="N12" s="98" t="str">
        <f>IFERROR(VLOOKUP(DB_TBL_DATA_FIELDS[[#This Row],[FIELD_STATUS_CODE]],DB_TBL_CONFIG_FIELDSTATUSCODES[#All],3,FALSE),"")</f>
        <v/>
      </c>
      <c r="O12" s="98" t="str">
        <f>IFERROR(VLOOKUP(DB_TBL_DATA_FIELDS[[#This Row],[FIELD_STATUS_CODE]],DB_TBL_CONFIG_FIELDSTATUSCODES[#All],4,FALSE),"")</f>
        <v/>
      </c>
      <c r="P12" s="98" t="b">
        <f>TRUE</f>
        <v>1</v>
      </c>
      <c r="Q12" s="98" t="b">
        <v>0</v>
      </c>
      <c r="R12" s="98"/>
      <c r="S12" s="98">
        <f>IF(DB_TBL_DATA_FIELDS[[#This Row],[RANGE_VALIDATION_FLAG]]="Text",LEN(DB_TBL_DATA_FIELDS[[#This Row],[FIELD_VALUE_RAW]]),IFERROR(VALUE(DB_TBL_DATA_FIELDS[[#This Row],[FIELD_VALUE_RAW]]),-1))</f>
        <v>-1</v>
      </c>
      <c r="T12" s="98">
        <v>0</v>
      </c>
      <c r="U12" s="98">
        <v>1</v>
      </c>
      <c r="V12" s="98" t="b">
        <f>IF(NOT(DB_TBL_DATA_FIELDS[[#This Row],[RANGE_VALIDATION_ON_FLAG]]),TRUE,
AND(DB_TBL_DATA_FIELDS[[#This Row],[RANGE_VALUE_LEN]]&gt;=DB_TBL_DATA_FIELDS[[#This Row],[RANGE_VALIDATION_MIN]],DB_TBL_DATA_FIELDS[[#This Row],[RANGE_VALUE_LEN]]&lt;=DB_TBL_DATA_FIELDS[[#This Row],[RANGE_VALIDATION_MAX]]))</f>
        <v>1</v>
      </c>
      <c r="W12" s="98">
        <v>0</v>
      </c>
      <c r="X12" s="98" t="str">
        <f>IF(DB_TBL_DATA_FIELDS[[#This Row],[PCT_CALC_SHOW_STATUS_CODE]]=1,
DB_TBL_DATA_FIELDS[[#This Row],[FIELD_STATUS_CODE]],
IF(AND(DB_TBL_DATA_FIELDS[[#This Row],[PCT_CALC_SHOW_STATUS_CODE]]=2,DB_TBL_DATA_FIELDS[[#This Row],[FIELD_STATUS_CODE]]=0),
DB_TBL_DATA_FIELDS[[#This Row],[FIELD_STATUS_CODE]],
"")
)</f>
        <v/>
      </c>
      <c r="Y12" s="98" t="str">
        <f>IF(DB_TBL_DATA_FIELDS[[#This Row],[FIELD_STATUS_CODE]]=0,IF(NOT(DB_TBL_DATA_FIELDS[[#This Row],[FIELD_VALID_CUSTOM_LOGIC]]),
IF(IFERROR(SEARCH(".",RIGHT(DB_TBL_DATA_FIELDS[[#This Row],[FIELD_VALUE_RAW]],2)),0)&gt;0,"Invalid Domain Extension",
 IF(IFERROR(SEARCH("@",DB_TBL_DATA_FIELDS[[#This Row],[FIELD_VALUE_RAW]]),0)=0,"Missing '@' In Address",
  IF(IFERROR(SEARCH(".",DB_TBL_DATA_FIELDS[[#This Row],[FIELD_VALUE_RAW]],(SEARCH("@",DB_TBL_DATA_FIELDS[[#This Row],[FIELD_VALUE_RAW]],1))+2),0)=0,"Invalid Domain Name","Invalid Email Address")))),"")</f>
        <v/>
      </c>
      <c r="Z12" s="98"/>
    </row>
    <row r="13" spans="1:26" x14ac:dyDescent="0.2">
      <c r="A13" s="1" t="s">
        <v>9040</v>
      </c>
      <c r="B13" s="14" t="str">
        <f>IFERROR(IF(FIND(DATA_EFORM_SHEET_REF,DB_TBL_DATA_FIELDS[[#This Row],[APPLICABLE_EFORM_LIST]])&gt;0,DATA_EFORM_SHEET_REF,""),"")</f>
        <v>_</v>
      </c>
      <c r="C13" s="1" t="s">
        <v>2221</v>
      </c>
      <c r="D13" s="14" t="b">
        <v>1</v>
      </c>
      <c r="E13" s="16" t="b">
        <v>1</v>
      </c>
      <c r="F13" s="2" t="s">
        <v>129</v>
      </c>
      <c r="G13" s="2" t="str">
        <f ca="1">IFERROR(VLOOKUP(DB_TBL_DATA_FIELDS[[#This Row],[FIELD_ID]],INDIRECT(DB_TBL_DATA_FIELDS[[#This Row],[SHEET_REF_CALC]]&amp;"!A:B"),2,FALSE),"")</f>
        <v/>
      </c>
      <c r="I13" s="2" t="b">
        <f ca="1">(DB_TBL_DATA_FIELDS[[#This Row],[FIELD_VALUE_RAW]]="")</f>
        <v>1</v>
      </c>
      <c r="J13" s="2" t="s">
        <v>9</v>
      </c>
      <c r="K13" s="1" t="b">
        <f ca="1">AND(IF(DB_TBL_DATA_FIELDS[[#This Row],[FIELD_VALID_CUSTOM_LOGIC]]="",TRUE,DB_TBL_DATA_FIELDS[[#This Row],[FIELD_VALID_CUSTOM_LOGIC]]),DB_TBL_DATA_FIELDS[[#This Row],[RANGE_VALIDATION_PASSED_FLAG]])</f>
        <v>1</v>
      </c>
      <c r="L13"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13" s="1">
        <f ca="1">IF(DB_TBL_DATA_FIELDS[[#This Row],[SHEET_REF_CALC]]="","",IF(DB_TBL_DATA_FIELDS[[#This Row],[FIELD_EMPTY_FLAG]],IF(NOT(DB_TBL_DATA_FIELDS[[#This Row],[FIELD_REQ_FLAG]]),-1,1),IF(NOT(DB_TBL_DATA_FIELDS[[#This Row],[FIELD_VALID_FLAG]]),0,2)))</f>
        <v>1</v>
      </c>
      <c r="N13" s="1" t="str">
        <f ca="1">IFERROR(VLOOKUP(DB_TBL_DATA_FIELDS[[#This Row],[FIELD_STATUS_CODE]],DB_TBL_CONFIG_FIELDSTATUSCODES[#All],3,FALSE),"")</f>
        <v>Required</v>
      </c>
      <c r="O13" s="1" t="str">
        <f ca="1">IFERROR(VLOOKUP(DB_TBL_DATA_FIELDS[[#This Row],[FIELD_STATUS_CODE]],DB_TBL_CONFIG_FIELDSTATUSCODES[#All],4,FALSE),"")</f>
        <v>i</v>
      </c>
      <c r="P13" s="1" t="b">
        <v>1</v>
      </c>
      <c r="Q13" s="1" t="b">
        <f>TRUE</f>
        <v>1</v>
      </c>
      <c r="R13" s="1" t="s">
        <v>9</v>
      </c>
      <c r="S13" s="1">
        <f ca="1">IF(DB_TBL_DATA_FIELDS[[#This Row],[RANGE_VALIDATION_FLAG]]="Text",LEN(DB_TBL_DATA_FIELDS[[#This Row],[FIELD_VALUE_RAW]]),IFERROR(VALUE(DB_TBL_DATA_FIELDS[[#This Row],[FIELD_VALUE_RAW]]),-1))</f>
        <v>0</v>
      </c>
      <c r="T13" s="1">
        <v>0</v>
      </c>
      <c r="U13" s="1">
        <v>100</v>
      </c>
      <c r="V13" s="1" t="b">
        <f ca="1">IF(NOT(DB_TBL_DATA_FIELDS[[#This Row],[RANGE_VALIDATION_ON_FLAG]]),TRUE,
AND(DB_TBL_DATA_FIELDS[[#This Row],[RANGE_VALUE_LEN]]&gt;=DB_TBL_DATA_FIELDS[[#This Row],[RANGE_VALIDATION_MIN]],DB_TBL_DATA_FIELDS[[#This Row],[RANGE_VALUE_LEN]]&lt;=DB_TBL_DATA_FIELDS[[#This Row],[RANGE_VALIDATION_MAX]]))</f>
        <v>1</v>
      </c>
      <c r="W13" s="14">
        <v>1</v>
      </c>
      <c r="X13" s="14">
        <f ca="1">IF(DB_TBL_DATA_FIELDS[[#This Row],[PCT_CALC_SHOW_STATUS_CODE]]=1,
DB_TBL_DATA_FIELDS[[#This Row],[FIELD_STATUS_CODE]],
IF(AND(DB_TBL_DATA_FIELDS[[#This Row],[PCT_CALC_SHOW_STATUS_CODE]]=2,DB_TBL_DATA_FIELDS[[#This Row],[FIELD_STATUS_CODE]]=0),
DB_TBL_DATA_FIELDS[[#This Row],[FIELD_STATUS_CODE]],
"")
)</f>
        <v>1</v>
      </c>
      <c r="Y13" s="14"/>
    </row>
    <row r="14" spans="1:26" x14ac:dyDescent="0.2">
      <c r="A14" s="232" t="s">
        <v>2854</v>
      </c>
      <c r="B14" s="14" t="str">
        <f>IFERROR(IF(FIND(DATA_EFORM_SHEET_REF,DB_TBL_DATA_FIELDS[[#This Row],[APPLICABLE_EFORM_LIST]])&gt;0,DATA_EFORM_SHEET_REF,""),"")</f>
        <v/>
      </c>
      <c r="C14" s="233" t="s">
        <v>2282</v>
      </c>
      <c r="D14" s="232" t="b">
        <v>0</v>
      </c>
      <c r="E14" s="243" t="b">
        <v>1</v>
      </c>
      <c r="F14" s="2" t="s">
        <v>2286</v>
      </c>
      <c r="G14" s="235" t="str">
        <f ca="1">IFERROR(VLOOKUP(DB_TBL_DATA_FIELDS[[#This Row],[FIELD_ID]],INDIRECT(DB_TBL_DATA_FIELDS[[#This Row],[SHEET_REF_CALC]]&amp;"!A:B"),2,FALSE),"")</f>
        <v/>
      </c>
      <c r="I14" s="2" t="b">
        <f ca="1">(DB_TBL_DATA_FIELDS[[#This Row],[FIELD_VALUE_RAW]]="")</f>
        <v>1</v>
      </c>
      <c r="J14" s="2" t="s">
        <v>31</v>
      </c>
      <c r="K14" s="1" t="b">
        <f>AND(IF(DB_TBL_DATA_FIELDS[[#This Row],[FIELD_VALID_CUSTOM_LOGIC]]="",TRUE,DB_TBL_DATA_FIELDS[[#This Row],[FIELD_VALID_CUSTOM_LOGIC]]),DB_TBL_DATA_FIELDS[[#This Row],[RANGE_VALIDATION_PASSED_FLAG]])</f>
        <v>1</v>
      </c>
      <c r="L14"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14" s="1" t="str">
        <f>IF(DB_TBL_DATA_FIELDS[[#This Row],[SHEET_REF_CALC]]="","",IF(DB_TBL_DATA_FIELDS[[#This Row],[FIELD_EMPTY_FLAG]],IF(NOT(DB_TBL_DATA_FIELDS[[#This Row],[FIELD_REQ_FLAG]]),-1,1),IF(NOT(DB_TBL_DATA_FIELDS[[#This Row],[FIELD_VALID_FLAG]]),0,2)))</f>
        <v/>
      </c>
      <c r="N14" s="1" t="str">
        <f>IFERROR(VLOOKUP(DB_TBL_DATA_FIELDS[[#This Row],[FIELD_STATUS_CODE]],DB_TBL_CONFIG_FIELDSTATUSCODES[#All],3,FALSE),"")</f>
        <v/>
      </c>
      <c r="O14" s="1" t="str">
        <f>IFERROR(VLOOKUP(DB_TBL_DATA_FIELDS[[#This Row],[FIELD_STATUS_CODE]],DB_TBL_CONFIG_FIELDSTATUSCODES[#All],4,FALSE),"")</f>
        <v/>
      </c>
      <c r="P14" s="1" t="b">
        <f>TRUE</f>
        <v>1</v>
      </c>
      <c r="Q14" s="1" t="b">
        <v>0</v>
      </c>
      <c r="S14" s="1">
        <f ca="1">IF(DB_TBL_DATA_FIELDS[[#This Row],[RANGE_VALIDATION_FLAG]]="Text",LEN(DB_TBL_DATA_FIELDS[[#This Row],[FIELD_VALUE_RAW]]),IFERROR(VALUE(DB_TBL_DATA_FIELDS[[#This Row],[FIELD_VALUE_RAW]]),-1))</f>
        <v>-1</v>
      </c>
      <c r="V14" s="1" t="b">
        <f>IF(NOT(DB_TBL_DATA_FIELDS[[#This Row],[RANGE_VALIDATION_ON_FLAG]]),TRUE,
AND(DB_TBL_DATA_FIELDS[[#This Row],[RANGE_VALUE_LEN]]&gt;=DB_TBL_DATA_FIELDS[[#This Row],[RANGE_VALIDATION_MIN]],DB_TBL_DATA_FIELDS[[#This Row],[RANGE_VALUE_LEN]]&lt;=DB_TBL_DATA_FIELDS[[#This Row],[RANGE_VALIDATION_MAX]]))</f>
        <v>1</v>
      </c>
      <c r="W14" s="1">
        <v>1</v>
      </c>
      <c r="X14" s="1" t="str">
        <f>IF(DB_TBL_DATA_FIELDS[[#This Row],[PCT_CALC_SHOW_STATUS_CODE]]=1,
DB_TBL_DATA_FIELDS[[#This Row],[FIELD_STATUS_CODE]],
IF(AND(DB_TBL_DATA_FIELDS[[#This Row],[PCT_CALC_SHOW_STATUS_CODE]]=2,DB_TBL_DATA_FIELDS[[#This Row],[FIELD_STATUS_CODE]]=0),
DB_TBL_DATA_FIELDS[[#This Row],[FIELD_STATUS_CODE]],
"")
)</f>
        <v/>
      </c>
      <c r="Z14" s="1" t="s">
        <v>2891</v>
      </c>
    </row>
    <row r="15" spans="1:26" x14ac:dyDescent="0.2">
      <c r="A15" s="232" t="s">
        <v>2854</v>
      </c>
      <c r="B15" s="14" t="str">
        <f>IFERROR(IF(FIND(DATA_EFORM_SHEET_REF,DB_TBL_DATA_FIELDS[[#This Row],[APPLICABLE_EFORM_LIST]])&gt;0,DATA_EFORM_SHEET_REF,""),"")</f>
        <v/>
      </c>
      <c r="C15" s="233" t="s">
        <v>2222</v>
      </c>
      <c r="D15" s="14" t="b">
        <v>1</v>
      </c>
      <c r="E15" s="234" t="b">
        <v>0</v>
      </c>
      <c r="F15" s="2" t="s">
        <v>2232</v>
      </c>
      <c r="G15" s="235" t="str">
        <f ca="1">IFERROR(VLOOKUP(DB_TBL_DATA_FIELDS[[#This Row],[FIELD_ID]],INDIRECT(DB_TBL_DATA_FIELDS[[#This Row],[SHEET_REF_CALC]]&amp;"!A:B"),2,FALSE),"")</f>
        <v/>
      </c>
      <c r="I15" s="2" t="b">
        <f ca="1">(DB_TBL_DATA_FIELDS[[#This Row],[FIELD_VALUE_RAW]]="")</f>
        <v>1</v>
      </c>
      <c r="J15" s="2" t="s">
        <v>9</v>
      </c>
      <c r="K15" s="1" t="b">
        <f ca="1">AND(IF(DB_TBL_DATA_FIELDS[[#This Row],[FIELD_VALID_CUSTOM_LOGIC]]="",TRUE,DB_TBL_DATA_FIELDS[[#This Row],[FIELD_VALID_CUSTOM_LOGIC]]),DB_TBL_DATA_FIELDS[[#This Row],[RANGE_VALIDATION_PASSED_FLAG]])</f>
        <v>1</v>
      </c>
      <c r="L15"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15" s="1" t="str">
        <f>IF(DB_TBL_DATA_FIELDS[[#This Row],[SHEET_REF_CALC]]="","",IF(DB_TBL_DATA_FIELDS[[#This Row],[FIELD_EMPTY_FLAG]],IF(NOT(DB_TBL_DATA_FIELDS[[#This Row],[FIELD_REQ_FLAG]]),-1,1),IF(NOT(DB_TBL_DATA_FIELDS[[#This Row],[FIELD_VALID_FLAG]]),0,2)))</f>
        <v/>
      </c>
      <c r="N15" s="1" t="str">
        <f>IFERROR(VLOOKUP(DB_TBL_DATA_FIELDS[[#This Row],[FIELD_STATUS_CODE]],DB_TBL_CONFIG_FIELDSTATUSCODES[#All],3,FALSE),"")</f>
        <v/>
      </c>
      <c r="O15" s="1" t="str">
        <f>IFERROR(VLOOKUP(DB_TBL_DATA_FIELDS[[#This Row],[FIELD_STATUS_CODE]],DB_TBL_CONFIG_FIELDSTATUSCODES[#All],4,FALSE),"")</f>
        <v/>
      </c>
      <c r="P15" s="1" t="b">
        <v>1</v>
      </c>
      <c r="Q15" s="1" t="b">
        <f>TRUE</f>
        <v>1</v>
      </c>
      <c r="R15" s="1" t="s">
        <v>9</v>
      </c>
      <c r="S15" s="1">
        <f ca="1">IF(DB_TBL_DATA_FIELDS[[#This Row],[RANGE_VALIDATION_FLAG]]="Text",LEN(DB_TBL_DATA_FIELDS[[#This Row],[FIELD_VALUE_RAW]]),IFERROR(VALUE(DB_TBL_DATA_FIELDS[[#This Row],[FIELD_VALUE_RAW]]),-1))</f>
        <v>0</v>
      </c>
      <c r="T15" s="1">
        <v>0</v>
      </c>
      <c r="U15" s="1">
        <v>40</v>
      </c>
      <c r="V15" s="1" t="b">
        <f ca="1">IF(NOT(DB_TBL_DATA_FIELDS[[#This Row],[RANGE_VALIDATION_ON_FLAG]]),TRUE,
AND(DB_TBL_DATA_FIELDS[[#This Row],[RANGE_VALUE_LEN]]&gt;=DB_TBL_DATA_FIELDS[[#This Row],[RANGE_VALIDATION_MIN]],DB_TBL_DATA_FIELDS[[#This Row],[RANGE_VALUE_LEN]]&lt;=DB_TBL_DATA_FIELDS[[#This Row],[RANGE_VALIDATION_MAX]]))</f>
        <v>1</v>
      </c>
      <c r="W15" s="14">
        <v>1</v>
      </c>
      <c r="X15" s="14" t="str">
        <f>IF(DB_TBL_DATA_FIELDS[[#This Row],[PCT_CALC_SHOW_STATUS_CODE]]=1,
DB_TBL_DATA_FIELDS[[#This Row],[FIELD_STATUS_CODE]],
IF(AND(DB_TBL_DATA_FIELDS[[#This Row],[PCT_CALC_SHOW_STATUS_CODE]]=2,DB_TBL_DATA_FIELDS[[#This Row],[FIELD_STATUS_CODE]]=0),
DB_TBL_DATA_FIELDS[[#This Row],[FIELD_STATUS_CODE]],
"")
)</f>
        <v/>
      </c>
      <c r="Y15" s="14"/>
    </row>
    <row r="16" spans="1:26" x14ac:dyDescent="0.2">
      <c r="A16" s="232" t="s">
        <v>2854</v>
      </c>
      <c r="B16" s="14" t="str">
        <f>IFERROR(IF(FIND(DATA_EFORM_SHEET_REF,DB_TBL_DATA_FIELDS[[#This Row],[APPLICABLE_EFORM_LIST]])&gt;0,DATA_EFORM_SHEET_REF,""),"")</f>
        <v/>
      </c>
      <c r="C16" s="233" t="s">
        <v>2223</v>
      </c>
      <c r="D16" s="22" t="b">
        <v>1</v>
      </c>
      <c r="E16" s="234" t="b">
        <v>0</v>
      </c>
      <c r="F16" s="2" t="s">
        <v>2233</v>
      </c>
      <c r="G16" s="235" t="str">
        <f ca="1">IFERROR(VLOOKUP(DB_TBL_DATA_FIELDS[[#This Row],[FIELD_ID]],INDIRECT(DB_TBL_DATA_FIELDS[[#This Row],[SHEET_REF_CALC]]&amp;"!A:B"),2,FALSE),"")</f>
        <v/>
      </c>
      <c r="H16" s="23"/>
      <c r="I16" s="23" t="b">
        <f ca="1">(DB_TBL_DATA_FIELDS[[#This Row],[FIELD_VALUE_RAW]]="")</f>
        <v>1</v>
      </c>
      <c r="J16" s="23" t="s">
        <v>9</v>
      </c>
      <c r="K16" s="22" t="b">
        <f ca="1">AND(IF(DB_TBL_DATA_FIELDS[[#This Row],[FIELD_VALID_CUSTOM_LOGIC]]="",TRUE,DB_TBL_DATA_FIELDS[[#This Row],[FIELD_VALID_CUSTOM_LOGIC]]),DB_TBL_DATA_FIELDS[[#This Row],[RANGE_VALIDATION_PASSED_FLAG]])</f>
        <v>1</v>
      </c>
      <c r="L16" s="23"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16" s="22" t="str">
        <f>IF(DB_TBL_DATA_FIELDS[[#This Row],[SHEET_REF_CALC]]="","",IF(DB_TBL_DATA_FIELDS[[#This Row],[FIELD_EMPTY_FLAG]],IF(NOT(DB_TBL_DATA_FIELDS[[#This Row],[FIELD_REQ_FLAG]]),-1,1),IF(NOT(DB_TBL_DATA_FIELDS[[#This Row],[FIELD_VALID_FLAG]]),0,2)))</f>
        <v/>
      </c>
      <c r="N16" s="22" t="str">
        <f>IFERROR(VLOOKUP(DB_TBL_DATA_FIELDS[[#This Row],[FIELD_STATUS_CODE]],DB_TBL_CONFIG_FIELDSTATUSCODES[#All],3,FALSE),"")</f>
        <v/>
      </c>
      <c r="O16" s="22" t="str">
        <f>IFERROR(VLOOKUP(DB_TBL_DATA_FIELDS[[#This Row],[FIELD_STATUS_CODE]],DB_TBL_CONFIG_FIELDSTATUSCODES[#All],4,FALSE),"")</f>
        <v/>
      </c>
      <c r="P16" s="22" t="b">
        <f>TRUE</f>
        <v>1</v>
      </c>
      <c r="Q16" s="22" t="b">
        <f>TRUE</f>
        <v>1</v>
      </c>
      <c r="R16" s="22" t="s">
        <v>9</v>
      </c>
      <c r="S16" s="22">
        <f ca="1">IF(DB_TBL_DATA_FIELDS[[#This Row],[RANGE_VALIDATION_FLAG]]="Text",LEN(DB_TBL_DATA_FIELDS[[#This Row],[FIELD_VALUE_RAW]]),IFERROR(VALUE(DB_TBL_DATA_FIELDS[[#This Row],[FIELD_VALUE_RAW]]),-1))</f>
        <v>0</v>
      </c>
      <c r="T16" s="22">
        <v>0</v>
      </c>
      <c r="U16" s="22">
        <v>40</v>
      </c>
      <c r="V16" s="22" t="b">
        <f ca="1">IF(NOT(DB_TBL_DATA_FIELDS[[#This Row],[RANGE_VALIDATION_ON_FLAG]]),TRUE,
AND(DB_TBL_DATA_FIELDS[[#This Row],[RANGE_VALUE_LEN]]&gt;=DB_TBL_DATA_FIELDS[[#This Row],[RANGE_VALIDATION_MIN]],DB_TBL_DATA_FIELDS[[#This Row],[RANGE_VALUE_LEN]]&lt;=DB_TBL_DATA_FIELDS[[#This Row],[RANGE_VALIDATION_MAX]]))</f>
        <v>1</v>
      </c>
      <c r="W16" s="14">
        <v>1</v>
      </c>
      <c r="X16" s="14" t="str">
        <f>IF(DB_TBL_DATA_FIELDS[[#This Row],[PCT_CALC_SHOW_STATUS_CODE]]=1,
DB_TBL_DATA_FIELDS[[#This Row],[FIELD_STATUS_CODE]],
IF(AND(DB_TBL_DATA_FIELDS[[#This Row],[PCT_CALC_SHOW_STATUS_CODE]]=2,DB_TBL_DATA_FIELDS[[#This Row],[FIELD_STATUS_CODE]]=0),
DB_TBL_DATA_FIELDS[[#This Row],[FIELD_STATUS_CODE]],
"")
)</f>
        <v/>
      </c>
      <c r="Y16" s="14"/>
      <c r="Z16" s="22"/>
    </row>
    <row r="17" spans="1:26" x14ac:dyDescent="0.2">
      <c r="A17" s="1" t="s">
        <v>9040</v>
      </c>
      <c r="B17" s="14" t="str">
        <f>IFERROR(IF(FIND(DATA_EFORM_SHEET_REF,DB_TBL_DATA_FIELDS[[#This Row],[APPLICABLE_EFORM_LIST]])&gt;0,DATA_EFORM_SHEET_REF,""),"")</f>
        <v>_</v>
      </c>
      <c r="C17" s="1" t="s">
        <v>2855</v>
      </c>
      <c r="D17" s="1" t="b">
        <v>1</v>
      </c>
      <c r="E17" s="24" t="b">
        <v>1</v>
      </c>
      <c r="F17" s="2" t="s">
        <v>2856</v>
      </c>
      <c r="G17" s="2" t="str">
        <f ca="1">IFERROR(VLOOKUP(DB_TBL_DATA_FIELDS[[#This Row],[FIELD_ID]],INDIRECT(DB_TBL_DATA_FIELDS[[#This Row],[SHEET_REF_CALC]]&amp;"!A:B"),2,FALSE),"")</f>
        <v/>
      </c>
      <c r="I17" s="2" t="b">
        <f ca="1">(DB_TBL_DATA_FIELDS[[#This Row],[FIELD_VALUE_RAW]]="")</f>
        <v>1</v>
      </c>
      <c r="J17" s="2" t="s">
        <v>9</v>
      </c>
      <c r="K17" s="1" t="b">
        <f ca="1">AND(IF(DB_TBL_DATA_FIELDS[[#This Row],[FIELD_VALID_CUSTOM_LOGIC]]="",TRUE,DB_TBL_DATA_FIELDS[[#This Row],[FIELD_VALID_CUSTOM_LOGIC]]),DB_TBL_DATA_FIELDS[[#This Row],[RANGE_VALIDATION_PASSED_FLAG]])</f>
        <v>1</v>
      </c>
      <c r="L17"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17" s="1">
        <f ca="1">IF(DB_TBL_DATA_FIELDS[[#This Row],[SHEET_REF_CALC]]="","",IF(DB_TBL_DATA_FIELDS[[#This Row],[FIELD_EMPTY_FLAG]],IF(NOT(DB_TBL_DATA_FIELDS[[#This Row],[FIELD_REQ_FLAG]]),-1,1),IF(NOT(DB_TBL_DATA_FIELDS[[#This Row],[FIELD_VALID_FLAG]]),0,2)))</f>
        <v>1</v>
      </c>
      <c r="N17" s="1" t="str">
        <f ca="1">IFERROR(VLOOKUP(DB_TBL_DATA_FIELDS[[#This Row],[FIELD_STATUS_CODE]],DB_TBL_CONFIG_FIELDSTATUSCODES[#All],3,FALSE),"")</f>
        <v>Required</v>
      </c>
      <c r="O17" s="1" t="str">
        <f ca="1">IFERROR(VLOOKUP(DB_TBL_DATA_FIELDS[[#This Row],[FIELD_STATUS_CODE]],DB_TBL_CONFIG_FIELDSTATUSCODES[#All],4,FALSE),"")</f>
        <v>i</v>
      </c>
      <c r="P17" s="1" t="b">
        <f>TRUE</f>
        <v>1</v>
      </c>
      <c r="Q17" s="1" t="b">
        <f>TRUE</f>
        <v>1</v>
      </c>
      <c r="R17" s="1" t="s">
        <v>9</v>
      </c>
      <c r="S17" s="1">
        <f ca="1">IF(DB_TBL_DATA_FIELDS[[#This Row],[RANGE_VALIDATION_FLAG]]="Text",LEN(DB_TBL_DATA_FIELDS[[#This Row],[FIELD_VALUE_RAW]]),IFERROR(VALUE(DB_TBL_DATA_FIELDS[[#This Row],[FIELD_VALUE_RAW]]),-1))</f>
        <v>0</v>
      </c>
      <c r="T17" s="1">
        <v>0</v>
      </c>
      <c r="U17" s="1">
        <v>100</v>
      </c>
      <c r="V17" s="1" t="b">
        <f ca="1">IF(NOT(DB_TBL_DATA_FIELDS[[#This Row],[RANGE_VALIDATION_ON_FLAG]]),TRUE,
AND(DB_TBL_DATA_FIELDS[[#This Row],[RANGE_VALUE_LEN]]&gt;=DB_TBL_DATA_FIELDS[[#This Row],[RANGE_VALIDATION_MIN]],DB_TBL_DATA_FIELDS[[#This Row],[RANGE_VALUE_LEN]]&lt;=DB_TBL_DATA_FIELDS[[#This Row],[RANGE_VALIDATION_MAX]]))</f>
        <v>1</v>
      </c>
      <c r="W17" s="1">
        <v>1</v>
      </c>
      <c r="X17" s="1">
        <f ca="1">IF(DB_TBL_DATA_FIELDS[[#This Row],[PCT_CALC_SHOW_STATUS_CODE]]=1,
DB_TBL_DATA_FIELDS[[#This Row],[FIELD_STATUS_CODE]],
IF(AND(DB_TBL_DATA_FIELDS[[#This Row],[PCT_CALC_SHOW_STATUS_CODE]]=2,DB_TBL_DATA_FIELDS[[#This Row],[FIELD_STATUS_CODE]]=0),
DB_TBL_DATA_FIELDS[[#This Row],[FIELD_STATUS_CODE]],
"")
)</f>
        <v>1</v>
      </c>
      <c r="Y17" s="1" t="str">
        <f ca="1">IF(DB_TBL_DATA_FIELDS[[#This Row],[FIELD_STATUS_CODE]]=0,IF(NOT(DB_TBL_DATA_FIELDS[[#This Row],[FIELD_VALID_CUSTOM_LOGIC]]),
IF(IFERROR(SEARCH(".",RIGHT(DB_TBL_DATA_FIELDS[[#This Row],[FIELD_VALUE_RAW]],2)),0)&gt;0,"Invalid Domain Extension",
 IF(IFERROR(SEARCH("@",DB_TBL_DATA_FIELDS[[#This Row],[FIELD_VALUE_RAW]]),0)=0,"Missing '@' In Address",
  IF(IFERROR(SEARCH(".",DB_TBL_DATA_FIELDS[[#This Row],[FIELD_VALUE_RAW]],(SEARCH("@",DB_TBL_DATA_FIELDS[[#This Row],[FIELD_VALUE_RAW]],1))+2),0)=0,"Invalid Domain Name","Invalid Email Address")))),"")</f>
        <v/>
      </c>
    </row>
    <row r="18" spans="1:26" x14ac:dyDescent="0.2">
      <c r="A18" s="1" t="s">
        <v>9040</v>
      </c>
      <c r="B18" s="14" t="str">
        <f>IFERROR(IF(FIND(DATA_EFORM_SHEET_REF,DB_TBL_DATA_FIELDS[[#This Row],[APPLICABLE_EFORM_LIST]])&gt;0,DATA_EFORM_SHEET_REF,""),"")</f>
        <v>_</v>
      </c>
      <c r="C18" s="1" t="s">
        <v>2857</v>
      </c>
      <c r="D18" s="1" t="b">
        <v>1</v>
      </c>
      <c r="E18" s="24" t="b">
        <v>1</v>
      </c>
      <c r="F18" s="2" t="s">
        <v>2859</v>
      </c>
      <c r="G18" s="2" t="str">
        <f ca="1">IFERROR(VLOOKUP(DB_TBL_DATA_FIELDS[[#This Row],[FIELD_ID]],INDIRECT(DB_TBL_DATA_FIELDS[[#This Row],[SHEET_REF_CALC]]&amp;"!A:B"),2,FALSE),"")</f>
        <v/>
      </c>
      <c r="I18" s="2" t="b">
        <f ca="1">(DB_TBL_DATA_FIELDS[[#This Row],[FIELD_VALUE_RAW]]="")</f>
        <v>1</v>
      </c>
      <c r="J18" s="2" t="s">
        <v>9</v>
      </c>
      <c r="K18" s="1" t="b">
        <f ca="1">AND(IF(DB_TBL_DATA_FIELDS[[#This Row],[FIELD_VALID_CUSTOM_LOGIC]]="",TRUE,DB_TBL_DATA_FIELDS[[#This Row],[FIELD_VALID_CUSTOM_LOGIC]]),DB_TBL_DATA_FIELDS[[#This Row],[RANGE_VALIDATION_PASSED_FLAG]])</f>
        <v>1</v>
      </c>
      <c r="L18"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18" s="1">
        <f ca="1">IF(DB_TBL_DATA_FIELDS[[#This Row],[SHEET_REF_CALC]]="","",IF(DB_TBL_DATA_FIELDS[[#This Row],[FIELD_EMPTY_FLAG]],IF(NOT(DB_TBL_DATA_FIELDS[[#This Row],[FIELD_REQ_FLAG]]),-1,1),IF(NOT(DB_TBL_DATA_FIELDS[[#This Row],[FIELD_VALID_FLAG]]),0,2)))</f>
        <v>1</v>
      </c>
      <c r="N18" s="1" t="str">
        <f ca="1">IFERROR(VLOOKUP(DB_TBL_DATA_FIELDS[[#This Row],[FIELD_STATUS_CODE]],DB_TBL_CONFIG_FIELDSTATUSCODES[#All],3,FALSE),"")</f>
        <v>Required</v>
      </c>
      <c r="O18" s="1" t="str">
        <f ca="1">IFERROR(VLOOKUP(DB_TBL_DATA_FIELDS[[#This Row],[FIELD_STATUS_CODE]],DB_TBL_CONFIG_FIELDSTATUSCODES[#All],4,FALSE),"")</f>
        <v>i</v>
      </c>
      <c r="P18" s="1" t="b">
        <f>TRUE</f>
        <v>1</v>
      </c>
      <c r="Q18" s="1" t="b">
        <f>TRUE</f>
        <v>1</v>
      </c>
      <c r="R18" s="1" t="s">
        <v>9</v>
      </c>
      <c r="S18" s="1">
        <f ca="1">IF(DB_TBL_DATA_FIELDS[[#This Row],[RANGE_VALIDATION_FLAG]]="Text",LEN(DB_TBL_DATA_FIELDS[[#This Row],[FIELD_VALUE_RAW]]),IFERROR(VALUE(DB_TBL_DATA_FIELDS[[#This Row],[FIELD_VALUE_RAW]]),-1))</f>
        <v>0</v>
      </c>
      <c r="T18" s="1">
        <v>0</v>
      </c>
      <c r="U18" s="1">
        <v>100</v>
      </c>
      <c r="V18" s="1" t="b">
        <f ca="1">IF(NOT(DB_TBL_DATA_FIELDS[[#This Row],[RANGE_VALIDATION_ON_FLAG]]),TRUE,
AND(DB_TBL_DATA_FIELDS[[#This Row],[RANGE_VALUE_LEN]]&gt;=DB_TBL_DATA_FIELDS[[#This Row],[RANGE_VALIDATION_MIN]],DB_TBL_DATA_FIELDS[[#This Row],[RANGE_VALUE_LEN]]&lt;=DB_TBL_DATA_FIELDS[[#This Row],[RANGE_VALIDATION_MAX]]))</f>
        <v>1</v>
      </c>
      <c r="W18" s="1">
        <v>1</v>
      </c>
      <c r="X18" s="1">
        <f ca="1">IF(DB_TBL_DATA_FIELDS[[#This Row],[PCT_CALC_SHOW_STATUS_CODE]]=1,
DB_TBL_DATA_FIELDS[[#This Row],[FIELD_STATUS_CODE]],
IF(AND(DB_TBL_DATA_FIELDS[[#This Row],[PCT_CALC_SHOW_STATUS_CODE]]=2,DB_TBL_DATA_FIELDS[[#This Row],[FIELD_STATUS_CODE]]=0),
DB_TBL_DATA_FIELDS[[#This Row],[FIELD_STATUS_CODE]],
"")
)</f>
        <v>1</v>
      </c>
      <c r="Y18" s="1" t="str">
        <f ca="1">IF(DB_TBL_DATA_FIELDS[[#This Row],[FIELD_STATUS_CODE]]=0,IF(NOT(DB_TBL_DATA_FIELDS[[#This Row],[FIELD_VALID_CUSTOM_LOGIC]]),
IF(IFERROR(SEARCH(".",RIGHT(DB_TBL_DATA_FIELDS[[#This Row],[FIELD_VALUE_RAW]],2)),0)&gt;0,"Invalid Domain Extension",
 IF(IFERROR(SEARCH("@",DB_TBL_DATA_FIELDS[[#This Row],[FIELD_VALUE_RAW]]),0)=0,"Missing '@' In Address",
  IF(IFERROR(SEARCH(".",DB_TBL_DATA_FIELDS[[#This Row],[FIELD_VALUE_RAW]],(SEARCH("@",DB_TBL_DATA_FIELDS[[#This Row],[FIELD_VALUE_RAW]],1))+2),0)=0,"Invalid Domain Name","Invalid Email Address")))),"")</f>
        <v/>
      </c>
    </row>
    <row r="19" spans="1:26" x14ac:dyDescent="0.2">
      <c r="A19" s="1" t="s">
        <v>9040</v>
      </c>
      <c r="B19" s="14" t="str">
        <f>IFERROR(IF(FIND(DATA_EFORM_SHEET_REF,DB_TBL_DATA_FIELDS[[#This Row],[APPLICABLE_EFORM_LIST]])&gt;0,DATA_EFORM_SHEET_REF,""),"")</f>
        <v>_</v>
      </c>
      <c r="C19" s="1" t="s">
        <v>2858</v>
      </c>
      <c r="D19" s="1" t="b">
        <v>1</v>
      </c>
      <c r="E19" s="24" t="b">
        <v>1</v>
      </c>
      <c r="F19" s="2" t="s">
        <v>2860</v>
      </c>
      <c r="G19" s="2" t="str">
        <f ca="1">IFERROR(VLOOKUP(DB_TBL_DATA_FIELDS[[#This Row],[FIELD_ID]],INDIRECT(DB_TBL_DATA_FIELDS[[#This Row],[SHEET_REF_CALC]]&amp;"!A:B"),2,FALSE),"")</f>
        <v/>
      </c>
      <c r="I19" s="2" t="b">
        <f ca="1">(DB_TBL_DATA_FIELDS[[#This Row],[FIELD_VALUE_RAW]]="")</f>
        <v>1</v>
      </c>
      <c r="J19" s="2" t="s">
        <v>31</v>
      </c>
      <c r="K19" s="1" t="b">
        <f>AND(IF(DB_TBL_DATA_FIELDS[[#This Row],[FIELD_VALID_CUSTOM_LOGIC]]="",TRUE,DB_TBL_DATA_FIELDS[[#This Row],[FIELD_VALID_CUSTOM_LOGIC]]),DB_TBL_DATA_FIELDS[[#This Row],[RANGE_VALIDATION_PASSED_FLAG]])</f>
        <v>1</v>
      </c>
      <c r="L19"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19" s="1">
        <f ca="1">IF(DB_TBL_DATA_FIELDS[[#This Row],[SHEET_REF_CALC]]="","",IF(DB_TBL_DATA_FIELDS[[#This Row],[FIELD_EMPTY_FLAG]],IF(NOT(DB_TBL_DATA_FIELDS[[#This Row],[FIELD_REQ_FLAG]]),-1,1),IF(NOT(DB_TBL_DATA_FIELDS[[#This Row],[FIELD_VALID_FLAG]]),0,2)))</f>
        <v>1</v>
      </c>
      <c r="N19" s="1" t="str">
        <f ca="1">IFERROR(VLOOKUP(DB_TBL_DATA_FIELDS[[#This Row],[FIELD_STATUS_CODE]],DB_TBL_CONFIG_FIELDSTATUSCODES[#All],3,FALSE),"")</f>
        <v>Required</v>
      </c>
      <c r="O19" s="1" t="str">
        <f ca="1">IFERROR(VLOOKUP(DB_TBL_DATA_FIELDS[[#This Row],[FIELD_STATUS_CODE]],DB_TBL_CONFIG_FIELDSTATUSCODES[#All],4,FALSE),"")</f>
        <v>i</v>
      </c>
      <c r="P19" s="1" t="b">
        <f>TRUE</f>
        <v>1</v>
      </c>
      <c r="Q19" s="1" t="b">
        <v>0</v>
      </c>
      <c r="S19" s="1">
        <f ca="1">IF(DB_TBL_DATA_FIELDS[[#This Row],[RANGE_VALIDATION_FLAG]]="Text",LEN(DB_TBL_DATA_FIELDS[[#This Row],[FIELD_VALUE_RAW]]),IFERROR(VALUE(DB_TBL_DATA_FIELDS[[#This Row],[FIELD_VALUE_RAW]]),-1))</f>
        <v>-1</v>
      </c>
      <c r="V19" s="1" t="b">
        <f>IF(NOT(DB_TBL_DATA_FIELDS[[#This Row],[RANGE_VALIDATION_ON_FLAG]]),TRUE,
AND(DB_TBL_DATA_FIELDS[[#This Row],[RANGE_VALUE_LEN]]&gt;=DB_TBL_DATA_FIELDS[[#This Row],[RANGE_VALIDATION_MIN]],DB_TBL_DATA_FIELDS[[#This Row],[RANGE_VALUE_LEN]]&lt;=DB_TBL_DATA_FIELDS[[#This Row],[RANGE_VALIDATION_MAX]]))</f>
        <v>1</v>
      </c>
      <c r="W19" s="1">
        <v>1</v>
      </c>
      <c r="X19" s="1">
        <f ca="1">IF(DB_TBL_DATA_FIELDS[[#This Row],[PCT_CALC_SHOW_STATUS_CODE]]=1,
DB_TBL_DATA_FIELDS[[#This Row],[FIELD_STATUS_CODE]],
IF(AND(DB_TBL_DATA_FIELDS[[#This Row],[PCT_CALC_SHOW_STATUS_CODE]]=2,DB_TBL_DATA_FIELDS[[#This Row],[FIELD_STATUS_CODE]]=0),
DB_TBL_DATA_FIELDS[[#This Row],[FIELD_STATUS_CODE]],
"")
)</f>
        <v>1</v>
      </c>
      <c r="Y19" s="1" t="str">
        <f ca="1">IF(DB_TBL_DATA_FIELDS[[#This Row],[FIELD_STATUS_CODE]]=0,IF(NOT(DB_TBL_DATA_FIELDS[[#This Row],[FIELD_VALID_CUSTOM_LOGIC]]),
IF(IFERROR(SEARCH(".",RIGHT(DB_TBL_DATA_FIELDS[[#This Row],[FIELD_VALUE_RAW]],2)),0)&gt;0,"Invalid Domain Extension",
 IF(IFERROR(SEARCH("@",DB_TBL_DATA_FIELDS[[#This Row],[FIELD_VALUE_RAW]]),0)=0,"Missing '@' In Address",
  IF(IFERROR(SEARCH(".",DB_TBL_DATA_FIELDS[[#This Row],[FIELD_VALUE_RAW]],(SEARCH("@",DB_TBL_DATA_FIELDS[[#This Row],[FIELD_VALUE_RAW]],1))+2),0)=0,"Invalid Domain Name","Invalid Email Address")))),"")</f>
        <v/>
      </c>
    </row>
    <row r="20" spans="1:26" x14ac:dyDescent="0.2">
      <c r="A20" s="1" t="s">
        <v>9040</v>
      </c>
      <c r="B20" s="14" t="str">
        <f>IFERROR(IF(FIND(DATA_EFORM_SHEET_REF,DB_TBL_DATA_FIELDS[[#This Row],[APPLICABLE_EFORM_LIST]])&gt;0,DATA_EFORM_SHEET_REF,""),"")</f>
        <v>_</v>
      </c>
      <c r="C20" s="1" t="s">
        <v>2230</v>
      </c>
      <c r="D20" s="14" t="b">
        <v>1</v>
      </c>
      <c r="E20" s="16" t="b">
        <v>1</v>
      </c>
      <c r="F20" s="2" t="s">
        <v>2234</v>
      </c>
      <c r="G20" s="2" t="str">
        <f ca="1">IFERROR(VLOOKUP(DB_TBL_DATA_FIELDS[[#This Row],[FIELD_ID]],INDIRECT(DB_TBL_DATA_FIELDS[[#This Row],[SHEET_REF_CALC]]&amp;"!A:B"),2,FALSE),"")</f>
        <v/>
      </c>
      <c r="H20" s="19" t="b">
        <f ca="1">AND(
IFERROR(SEARCH(".",DB_TBL_DATA_FIELDS[[#This Row],[FIELD_VALUE_RAW]],(SEARCH("@",DB_TBL_DATA_FIELDS[[#This Row],[FIELD_VALUE_RAW]],1))+2),0)&gt;0,
NOT(IFERROR(SEARCH(".",RIGHT(DB_TBL_DATA_FIELDS[[#This Row],[FIELD_VALUE_RAW]],2)),0)&gt;0)
)</f>
        <v>0</v>
      </c>
      <c r="I20" s="2" t="b">
        <f ca="1">(DB_TBL_DATA_FIELDS[[#This Row],[FIELD_VALUE_RAW]]="")</f>
        <v>1</v>
      </c>
      <c r="J20" s="2" t="s">
        <v>9</v>
      </c>
      <c r="K20" s="1" t="b">
        <f ca="1">AND(IF(DB_TBL_DATA_FIELDS[[#This Row],[FIELD_VALID_CUSTOM_LOGIC]]="",TRUE,DB_TBL_DATA_FIELDS[[#This Row],[FIELD_VALID_CUSTOM_LOGIC]]),DB_TBL_DATA_FIELDS[[#This Row],[RANGE_VALIDATION_PASSED_FLAG]])</f>
        <v>0</v>
      </c>
      <c r="L20"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20" s="1">
        <f ca="1">IF(DB_TBL_DATA_FIELDS[[#This Row],[SHEET_REF_CALC]]="","",IF(DB_TBL_DATA_FIELDS[[#This Row],[FIELD_EMPTY_FLAG]],IF(NOT(DB_TBL_DATA_FIELDS[[#This Row],[FIELD_REQ_FLAG]]),-1,1),IF(NOT(DB_TBL_DATA_FIELDS[[#This Row],[FIELD_VALID_FLAG]]),0,2)))</f>
        <v>1</v>
      </c>
      <c r="N20" s="1" t="str">
        <f ca="1">IFERROR(VLOOKUP(DB_TBL_DATA_FIELDS[[#This Row],[FIELD_STATUS_CODE]],DB_TBL_CONFIG_FIELDSTATUSCODES[#All],3,FALSE),"")</f>
        <v>Required</v>
      </c>
      <c r="O20" s="1" t="str">
        <f ca="1">IFERROR(VLOOKUP(DB_TBL_DATA_FIELDS[[#This Row],[FIELD_STATUS_CODE]],DB_TBL_CONFIG_FIELDSTATUSCODES[#All],4,FALSE),"")</f>
        <v>i</v>
      </c>
      <c r="P20" s="1" t="b">
        <v>1</v>
      </c>
      <c r="Q20" s="1" t="b">
        <f>TRUE</f>
        <v>1</v>
      </c>
      <c r="R20" s="1" t="s">
        <v>9</v>
      </c>
      <c r="S20" s="1">
        <f ca="1">IF(DB_TBL_DATA_FIELDS[[#This Row],[RANGE_VALIDATION_FLAG]]="Text",LEN(DB_TBL_DATA_FIELDS[[#This Row],[FIELD_VALUE_RAW]]),IFERROR(VALUE(DB_TBL_DATA_FIELDS[[#This Row],[FIELD_VALUE_RAW]]),-1))</f>
        <v>0</v>
      </c>
      <c r="T20" s="1">
        <v>0</v>
      </c>
      <c r="U20" s="1">
        <v>60</v>
      </c>
      <c r="V20" s="1" t="b">
        <f ca="1">IF(NOT(DB_TBL_DATA_FIELDS[[#This Row],[RANGE_VALIDATION_ON_FLAG]]),TRUE,
AND(DB_TBL_DATA_FIELDS[[#This Row],[RANGE_VALUE_LEN]]&gt;=DB_TBL_DATA_FIELDS[[#This Row],[RANGE_VALIDATION_MIN]],DB_TBL_DATA_FIELDS[[#This Row],[RANGE_VALUE_LEN]]&lt;=DB_TBL_DATA_FIELDS[[#This Row],[RANGE_VALIDATION_MAX]]))</f>
        <v>1</v>
      </c>
      <c r="W20" s="14">
        <v>1</v>
      </c>
      <c r="X20" s="14">
        <f ca="1">IF(DB_TBL_DATA_FIELDS[[#This Row],[PCT_CALC_SHOW_STATUS_CODE]]=1,
DB_TBL_DATA_FIELDS[[#This Row],[FIELD_STATUS_CODE]],
IF(AND(DB_TBL_DATA_FIELDS[[#This Row],[PCT_CALC_SHOW_STATUS_CODE]]=2,DB_TBL_DATA_FIELDS[[#This Row],[FIELD_STATUS_CODE]]=0),
DB_TBL_DATA_FIELDS[[#This Row],[FIELD_STATUS_CODE]],
"")
)</f>
        <v>1</v>
      </c>
      <c r="Y20" s="14" t="str">
        <f ca="1">IF(DB_TBL_DATA_FIELDS[[#This Row],[FIELD_STATUS_CODE]]=0,IF(NOT(DB_TBL_DATA_FIELDS[[#This Row],[FIELD_VALID_CUSTOM_LOGIC]]),
IF(IFERROR(SEARCH(".",RIGHT(DB_TBL_DATA_FIELDS[[#This Row],[FIELD_VALUE_RAW]],2)),0)&gt;0,"Invalid Domain Extension",
 IF(IFERROR(SEARCH("@",DB_TBL_DATA_FIELDS[[#This Row],[FIELD_VALUE_RAW]]),0)=0,"Missing '@' In Address",
  IF(IFERROR(SEARCH(".",DB_TBL_DATA_FIELDS[[#This Row],[FIELD_VALUE_RAW]],(SEARCH("@",DB_TBL_DATA_FIELDS[[#This Row],[FIELD_VALUE_RAW]],1))+2),0)=0,"Invalid Domain Name","Invalid Email Address")))),"")</f>
        <v/>
      </c>
    </row>
    <row r="21" spans="1:26" ht="13.5" thickBot="1" x14ac:dyDescent="0.25">
      <c r="A21" s="98" t="s">
        <v>9040</v>
      </c>
      <c r="B21" s="14" t="str">
        <f>IFERROR(IF(FIND(DATA_EFORM_SHEET_REF,DB_TBL_DATA_FIELDS[[#This Row],[APPLICABLE_EFORM_LIST]])&gt;0,DATA_EFORM_SHEET_REF,""),"")</f>
        <v>_</v>
      </c>
      <c r="C21" s="98" t="s">
        <v>2231</v>
      </c>
      <c r="D21" s="102" t="b">
        <v>1</v>
      </c>
      <c r="E21" s="107" t="b">
        <v>1</v>
      </c>
      <c r="F21" s="100" t="s">
        <v>2235</v>
      </c>
      <c r="G21" s="100" t="str">
        <f ca="1">IFERROR(VLOOKUP(DB_TBL_DATA_FIELDS[[#This Row],[FIELD_ID]],INDIRECT(DB_TBL_DATA_FIELDS[[#This Row],[SHEET_REF_CALC]]&amp;"!A:B"),2,FALSE),"")</f>
        <v/>
      </c>
      <c r="H21" s="100"/>
      <c r="I21" s="100" t="b">
        <f ca="1">(DB_TBL_DATA_FIELDS[[#This Row],[FIELD_VALUE_RAW]]="")</f>
        <v>1</v>
      </c>
      <c r="J21" s="100" t="s">
        <v>9</v>
      </c>
      <c r="K21" s="98" t="b">
        <f ca="1">AND(IF(DB_TBL_DATA_FIELDS[[#This Row],[FIELD_VALID_CUSTOM_LOGIC]]="",TRUE,DB_TBL_DATA_FIELDS[[#This Row],[FIELD_VALID_CUSTOM_LOGIC]]),DB_TBL_DATA_FIELDS[[#This Row],[RANGE_VALIDATION_PASSED_FLAG]])</f>
        <v>1</v>
      </c>
      <c r="L21" s="100"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21" s="98">
        <f ca="1">IF(DB_TBL_DATA_FIELDS[[#This Row],[SHEET_REF_CALC]]="","",IF(DB_TBL_DATA_FIELDS[[#This Row],[FIELD_EMPTY_FLAG]],IF(NOT(DB_TBL_DATA_FIELDS[[#This Row],[FIELD_REQ_FLAG]]),-1,1),IF(NOT(DB_TBL_DATA_FIELDS[[#This Row],[FIELD_VALID_FLAG]]),0,2)))</f>
        <v>1</v>
      </c>
      <c r="N21" s="98" t="str">
        <f ca="1">IFERROR(VLOOKUP(DB_TBL_DATA_FIELDS[[#This Row],[FIELD_STATUS_CODE]],DB_TBL_CONFIG_FIELDSTATUSCODES[#All],3,FALSE),"")</f>
        <v>Required</v>
      </c>
      <c r="O21" s="98" t="str">
        <f ca="1">IFERROR(VLOOKUP(DB_TBL_DATA_FIELDS[[#This Row],[FIELD_STATUS_CODE]],DB_TBL_CONFIG_FIELDSTATUSCODES[#All],4,FALSE),"")</f>
        <v>i</v>
      </c>
      <c r="P21" s="98" t="b">
        <v>1</v>
      </c>
      <c r="Q21" s="98" t="b">
        <f>TRUE</f>
        <v>1</v>
      </c>
      <c r="R21" s="98" t="s">
        <v>9</v>
      </c>
      <c r="S21" s="98">
        <f ca="1">IF(DB_TBL_DATA_FIELDS[[#This Row],[RANGE_VALIDATION_FLAG]]="Text",LEN(DB_TBL_DATA_FIELDS[[#This Row],[FIELD_VALUE_RAW]]),IFERROR(VALUE(DB_TBL_DATA_FIELDS[[#This Row],[FIELD_VALUE_RAW]]),-1))</f>
        <v>0</v>
      </c>
      <c r="T21" s="98">
        <v>0</v>
      </c>
      <c r="U21" s="98">
        <v>50</v>
      </c>
      <c r="V21" s="98" t="b">
        <f ca="1">IF(NOT(DB_TBL_DATA_FIELDS[[#This Row],[RANGE_VALIDATION_ON_FLAG]]),TRUE,
AND(DB_TBL_DATA_FIELDS[[#This Row],[RANGE_VALUE_LEN]]&gt;=DB_TBL_DATA_FIELDS[[#This Row],[RANGE_VALIDATION_MIN]],DB_TBL_DATA_FIELDS[[#This Row],[RANGE_VALUE_LEN]]&lt;=DB_TBL_DATA_FIELDS[[#This Row],[RANGE_VALIDATION_MAX]]))</f>
        <v>1</v>
      </c>
      <c r="W21" s="102">
        <v>1</v>
      </c>
      <c r="X21" s="102">
        <f ca="1">IF(DB_TBL_DATA_FIELDS[[#This Row],[PCT_CALC_SHOW_STATUS_CODE]]=1,
DB_TBL_DATA_FIELDS[[#This Row],[FIELD_STATUS_CODE]],
IF(AND(DB_TBL_DATA_FIELDS[[#This Row],[PCT_CALC_SHOW_STATUS_CODE]]=2,DB_TBL_DATA_FIELDS[[#This Row],[FIELD_STATUS_CODE]]=0),
DB_TBL_DATA_FIELDS[[#This Row],[FIELD_STATUS_CODE]],
"")
)</f>
        <v>1</v>
      </c>
      <c r="Y21" s="102"/>
      <c r="Z21" s="98"/>
    </row>
    <row r="22" spans="1:26" x14ac:dyDescent="0.2">
      <c r="A22" s="232" t="s">
        <v>2854</v>
      </c>
      <c r="B22" s="14" t="str">
        <f>IFERROR(IF(FIND(DATA_EFORM_SHEET_REF,DB_TBL_DATA_FIELDS[[#This Row],[APPLICABLE_EFORM_LIST]])&gt;0,DATA_EFORM_SHEET_REF,""),"")</f>
        <v/>
      </c>
      <c r="C22" s="233" t="s">
        <v>2344</v>
      </c>
      <c r="D22" s="1" t="b">
        <v>1</v>
      </c>
      <c r="E22" s="234" t="b">
        <v>0</v>
      </c>
      <c r="F22" s="2" t="s">
        <v>2345</v>
      </c>
      <c r="G22" s="104" t="b">
        <v>0</v>
      </c>
      <c r="I22" s="2" t="b">
        <f>(DB_TBL_DATA_FIELDS[[#This Row],[FIELD_VALUE_RAW]]="")</f>
        <v>0</v>
      </c>
      <c r="J22" s="2" t="s">
        <v>137</v>
      </c>
      <c r="K22" s="1" t="b">
        <f>AND(IF(DB_TBL_DATA_FIELDS[[#This Row],[FIELD_VALID_CUSTOM_LOGIC]]="",TRUE,DB_TBL_DATA_FIELDS[[#This Row],[FIELD_VALID_CUSTOM_LOGIC]]),DB_TBL_DATA_FIELDS[[#This Row],[RANGE_VALIDATION_PASSED_FLAG]])</f>
        <v>1</v>
      </c>
      <c r="L22" s="2" t="str">
        <f>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N</v>
      </c>
      <c r="M22" s="1" t="str">
        <f>IF(DB_TBL_DATA_FIELDS[[#This Row],[SHEET_REF_CALC]]="","",IF(DB_TBL_DATA_FIELDS[[#This Row],[FIELD_EMPTY_FLAG]],IF(NOT(DB_TBL_DATA_FIELDS[[#This Row],[FIELD_REQ_FLAG]]),-1,1),IF(NOT(DB_TBL_DATA_FIELDS[[#This Row],[FIELD_VALID_FLAG]]),0,2)))</f>
        <v/>
      </c>
      <c r="N22" s="1" t="str">
        <f>IFERROR(VLOOKUP(DB_TBL_DATA_FIELDS[[#This Row],[FIELD_STATUS_CODE]],DB_TBL_CONFIG_FIELDSTATUSCODES[#All],3,FALSE),"")</f>
        <v/>
      </c>
      <c r="O22" s="1" t="str">
        <f>IFERROR(VLOOKUP(DB_TBL_DATA_FIELDS[[#This Row],[FIELD_STATUS_CODE]],DB_TBL_CONFIG_FIELDSTATUSCODES[#All],4,FALSE),"")</f>
        <v/>
      </c>
      <c r="P22" s="1" t="b">
        <f>TRUE</f>
        <v>1</v>
      </c>
      <c r="Q22" s="1" t="b">
        <v>0</v>
      </c>
      <c r="S22" s="1">
        <f>IF(DB_TBL_DATA_FIELDS[[#This Row],[RANGE_VALIDATION_FLAG]]="Text",LEN(DB_TBL_DATA_FIELDS[[#This Row],[FIELD_VALUE_RAW]]),IFERROR(VALUE(DB_TBL_DATA_FIELDS[[#This Row],[FIELD_VALUE_RAW]]),-1))</f>
        <v>-1</v>
      </c>
      <c r="V22" s="1" t="b">
        <f>IF(NOT(DB_TBL_DATA_FIELDS[[#This Row],[RANGE_VALIDATION_ON_FLAG]]),TRUE,
AND(DB_TBL_DATA_FIELDS[[#This Row],[RANGE_VALUE_LEN]]&gt;=DB_TBL_DATA_FIELDS[[#This Row],[RANGE_VALIDATION_MIN]],DB_TBL_DATA_FIELDS[[#This Row],[RANGE_VALUE_LEN]]&lt;=DB_TBL_DATA_FIELDS[[#This Row],[RANGE_VALIDATION_MAX]]))</f>
        <v>1</v>
      </c>
      <c r="W22" s="1">
        <v>1</v>
      </c>
      <c r="X22" s="1" t="str">
        <f>IF(DB_TBL_DATA_FIELDS[[#This Row],[PCT_CALC_SHOW_STATUS_CODE]]=1,
DB_TBL_DATA_FIELDS[[#This Row],[FIELD_STATUS_CODE]],
IF(AND(DB_TBL_DATA_FIELDS[[#This Row],[PCT_CALC_SHOW_STATUS_CODE]]=2,DB_TBL_DATA_FIELDS[[#This Row],[FIELD_STATUS_CODE]]=0),
DB_TBL_DATA_FIELDS[[#This Row],[FIELD_STATUS_CODE]],
"")
)</f>
        <v/>
      </c>
      <c r="Z22" s="1" t="s">
        <v>2898</v>
      </c>
    </row>
    <row r="23" spans="1:26" x14ac:dyDescent="0.2">
      <c r="A23" s="232" t="s">
        <v>2854</v>
      </c>
      <c r="B23" s="14" t="str">
        <f>IFERROR(IF(FIND(DATA_EFORM_SHEET_REF,DB_TBL_DATA_FIELDS[[#This Row],[APPLICABLE_EFORM_LIST]])&gt;0,DATA_EFORM_SHEET_REF,""),"")</f>
        <v/>
      </c>
      <c r="C23" s="233" t="s">
        <v>2346</v>
      </c>
      <c r="D23" s="1" t="b">
        <v>1</v>
      </c>
      <c r="E23" s="234" t="b">
        <v>0</v>
      </c>
      <c r="F23" s="2" t="s">
        <v>2347</v>
      </c>
      <c r="G23" s="235" t="str">
        <f ca="1">IFERROR(VLOOKUP(DB_TBL_DATA_FIELDS[[#This Row],[FIELD_ID]],INDIRECT(DB_TBL_DATA_FIELDS[[#This Row],[SHEET_REF_CALC]]&amp;"!A:B"),2,FALSE),"")</f>
        <v/>
      </c>
      <c r="H23" s="19" t="str">
        <f ca="1">IF(DB_TBL_DATA_FIELDS[[#This Row],[FIELD_EMPTY_FLAG]],"",DB_TBL_DATA_FIELDS[[#This Row],[FIELD_REQ_FLAG]])</f>
        <v/>
      </c>
      <c r="I23" s="2" t="b">
        <f ca="1">(DB_TBL_DATA_FIELDS[[#This Row],[FIELD_VALUE_RAW]]="")</f>
        <v>1</v>
      </c>
      <c r="J23" s="2" t="s">
        <v>38</v>
      </c>
      <c r="K23" s="1" t="b">
        <f ca="1">AND(IF(DB_TBL_DATA_FIELDS[[#This Row],[FIELD_VALID_CUSTOM_LOGIC]]="",TRUE,DB_TBL_DATA_FIELDS[[#This Row],[FIELD_VALID_CUSTOM_LOGIC]]),DB_TBL_DATA_FIELDS[[#This Row],[RANGE_VALIDATION_PASSED_FLAG]])</f>
        <v>0</v>
      </c>
      <c r="L23"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23" s="1" t="str">
        <f>IF(DB_TBL_DATA_FIELDS[[#This Row],[SHEET_REF_CALC]]="","",IF(DB_TBL_DATA_FIELDS[[#This Row],[FIELD_EMPTY_FLAG]],IF(NOT(DB_TBL_DATA_FIELDS[[#This Row],[FIELD_REQ_FLAG]]),-1,1),IF(NOT(DB_TBL_DATA_FIELDS[[#This Row],[FIELD_VALID_FLAG]]),0,2)))</f>
        <v/>
      </c>
      <c r="N23" s="1" t="str">
        <f>IFERROR(VLOOKUP(DB_TBL_DATA_FIELDS[[#This Row],[FIELD_STATUS_CODE]],DB_TBL_CONFIG_FIELDSTATUSCODES[#All],3,FALSE),"")</f>
        <v/>
      </c>
      <c r="O23" s="1" t="str">
        <f>IFERROR(VLOOKUP(DB_TBL_DATA_FIELDS[[#This Row],[FIELD_STATUS_CODE]],DB_TBL_CONFIG_FIELDSTATUSCODES[#All],4,FALSE),"")</f>
        <v/>
      </c>
      <c r="P23" s="1" t="b">
        <f>TRUE</f>
        <v>1</v>
      </c>
      <c r="Q23" s="1" t="b">
        <f>TRUE</f>
        <v>1</v>
      </c>
      <c r="R23" s="1" t="s">
        <v>38</v>
      </c>
      <c r="S23" s="1">
        <f ca="1">IF(DB_TBL_DATA_FIELDS[[#This Row],[RANGE_VALIDATION_FLAG]]="Text",LEN(DB_TBL_DATA_FIELDS[[#This Row],[FIELD_VALUE_RAW]]),IFERROR(VALUE(DB_TBL_DATA_FIELDS[[#This Row],[FIELD_VALUE_RAW]]),-1))</f>
        <v>-1</v>
      </c>
      <c r="T23" s="108" t="str">
        <f>CONFIG_MIN_HOUSEHOLD_ID_LEGACY</f>
        <v/>
      </c>
      <c r="U23" s="1">
        <v>99999</v>
      </c>
      <c r="V23" s="1" t="b">
        <f ca="1">IF(NOT(DB_TBL_DATA_FIELDS[[#This Row],[RANGE_VALIDATION_ON_FLAG]]),TRUE,
AND(DB_TBL_DATA_FIELDS[[#This Row],[RANGE_VALUE_LEN]]&gt;=DB_TBL_DATA_FIELDS[[#This Row],[RANGE_VALIDATION_MIN]],DB_TBL_DATA_FIELDS[[#This Row],[RANGE_VALUE_LEN]]&lt;=DB_TBL_DATA_FIELDS[[#This Row],[RANGE_VALIDATION_MAX]]))</f>
        <v>0</v>
      </c>
      <c r="W23" s="1">
        <v>1</v>
      </c>
      <c r="X23" s="1" t="str">
        <f>IF(DB_TBL_DATA_FIELDS[[#This Row],[PCT_CALC_SHOW_STATUS_CODE]]=1,
DB_TBL_DATA_FIELDS[[#This Row],[FIELD_STATUS_CODE]],
IF(AND(DB_TBL_DATA_FIELDS[[#This Row],[PCT_CALC_SHOW_STATUS_CODE]]=2,DB_TBL_DATA_FIELDS[[#This Row],[FIELD_STATUS_CODE]]=0),
DB_TBL_DATA_FIELDS[[#This Row],[FIELD_STATUS_CODE]],
"")
)</f>
        <v/>
      </c>
      <c r="Z23" s="1" t="s">
        <v>2898</v>
      </c>
    </row>
    <row r="24" spans="1:26" x14ac:dyDescent="0.2">
      <c r="A24" s="1" t="s">
        <v>9022</v>
      </c>
      <c r="B24" s="14" t="str">
        <f>IFERROR(IF(FIND(DATA_EFORM_SHEET_REF,DB_TBL_DATA_FIELDS[[#This Row],[APPLICABLE_EFORM_LIST]])&gt;0,DATA_EFORM_SHEET_REF,""),"")</f>
        <v>_</v>
      </c>
      <c r="C24" s="1" t="s">
        <v>2236</v>
      </c>
      <c r="D24" s="1" t="b">
        <v>0</v>
      </c>
      <c r="E24" s="16" t="b">
        <v>1</v>
      </c>
      <c r="F24" s="2" t="s">
        <v>2259</v>
      </c>
      <c r="G24" s="2" t="str">
        <f ca="1">IFERROR(VLOOKUP(DB_TBL_DATA_FIELDS[[#This Row],[FIELD_ID]],INDIRECT(DB_TBL_DATA_FIELDS[[#This Row],[SHEET_REF_CALC]]&amp;"!A:B"),2,FALSE),"")</f>
        <v/>
      </c>
      <c r="I24" s="2" t="b">
        <f ca="1">(DB_TBL_DATA_FIELDS[[#This Row],[FIELD_VALUE_RAW]]="")</f>
        <v>1</v>
      </c>
      <c r="J24" s="2" t="s">
        <v>137</v>
      </c>
      <c r="K24" s="1" t="b">
        <f>AND(IF(DB_TBL_DATA_FIELDS[[#This Row],[FIELD_VALID_CUSTOM_LOGIC]]="",TRUE,DB_TBL_DATA_FIELDS[[#This Row],[FIELD_VALID_CUSTOM_LOGIC]]),DB_TBL_DATA_FIELDS[[#This Row],[RANGE_VALIDATION_PASSED_FLAG]])</f>
        <v>1</v>
      </c>
      <c r="L24"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24" s="1">
        <f ca="1">IF(DB_TBL_DATA_FIELDS[[#This Row],[SHEET_REF_CALC]]="","",IF(DB_TBL_DATA_FIELDS[[#This Row],[FIELD_EMPTY_FLAG]],IF(NOT(DB_TBL_DATA_FIELDS[[#This Row],[FIELD_REQ_FLAG]]),-1,1),IF(NOT(DB_TBL_DATA_FIELDS[[#This Row],[FIELD_VALID_FLAG]]),0,2)))</f>
        <v>1</v>
      </c>
      <c r="N24" s="1" t="str">
        <f ca="1">IFERROR(VLOOKUP(DB_TBL_DATA_FIELDS[[#This Row],[FIELD_STATUS_CODE]],DB_TBL_CONFIG_FIELDSTATUSCODES[#All],3,FALSE),"")</f>
        <v>Required</v>
      </c>
      <c r="O24" s="1" t="str">
        <f ca="1">IFERROR(VLOOKUP(DB_TBL_DATA_FIELDS[[#This Row],[FIELD_STATUS_CODE]],DB_TBL_CONFIG_FIELDSTATUSCODES[#All],4,FALSE),"")</f>
        <v>i</v>
      </c>
      <c r="P24" s="1" t="b">
        <f>TRUE</f>
        <v>1</v>
      </c>
      <c r="Q24" s="1" t="b">
        <v>0</v>
      </c>
      <c r="S24" s="1">
        <f ca="1">IF(DB_TBL_DATA_FIELDS[[#This Row],[RANGE_VALIDATION_FLAG]]="Text",LEN(DB_TBL_DATA_FIELDS[[#This Row],[FIELD_VALUE_RAW]]),IFERROR(VALUE(DB_TBL_DATA_FIELDS[[#This Row],[FIELD_VALUE_RAW]]),-1))</f>
        <v>-1</v>
      </c>
      <c r="V24" s="1" t="b">
        <f>IF(NOT(DB_TBL_DATA_FIELDS[[#This Row],[RANGE_VALIDATION_ON_FLAG]]),TRUE,
AND(DB_TBL_DATA_FIELDS[[#This Row],[RANGE_VALUE_LEN]]&gt;=DB_TBL_DATA_FIELDS[[#This Row],[RANGE_VALIDATION_MIN]],DB_TBL_DATA_FIELDS[[#This Row],[RANGE_VALUE_LEN]]&lt;=DB_TBL_DATA_FIELDS[[#This Row],[RANGE_VALIDATION_MAX]]))</f>
        <v>1</v>
      </c>
      <c r="W24" s="1">
        <v>1</v>
      </c>
      <c r="X24" s="1">
        <f ca="1">IF(DB_TBL_DATA_FIELDS[[#This Row],[PCT_CALC_SHOW_STATUS_CODE]]=1,
DB_TBL_DATA_FIELDS[[#This Row],[FIELD_STATUS_CODE]],
IF(AND(DB_TBL_DATA_FIELDS[[#This Row],[PCT_CALC_SHOW_STATUS_CODE]]=2,DB_TBL_DATA_FIELDS[[#This Row],[FIELD_STATUS_CODE]]=0),
DB_TBL_DATA_FIELDS[[#This Row],[FIELD_STATUS_CODE]],
"")
)</f>
        <v>1</v>
      </c>
    </row>
    <row r="25" spans="1:26" x14ac:dyDescent="0.2">
      <c r="A25" s="1" t="s">
        <v>9022</v>
      </c>
      <c r="B25" s="14" t="str">
        <f>IFERROR(IF(FIND(DATA_EFORM_SHEET_REF,DB_TBL_DATA_FIELDS[[#This Row],[APPLICABLE_EFORM_LIST]])&gt;0,DATA_EFORM_SHEET_REF,""),"")</f>
        <v>_</v>
      </c>
      <c r="C25" s="1" t="s">
        <v>2237</v>
      </c>
      <c r="D25" s="1" t="b">
        <v>1</v>
      </c>
      <c r="E25" s="16" t="b">
        <v>0</v>
      </c>
      <c r="F25" s="2" t="s">
        <v>2260</v>
      </c>
      <c r="G25" s="2" t="str">
        <f ca="1">IFERROR(VLOOKUP(DB_TBL_DATA_FIELDS[[#This Row],[FIELD_ID]],INDIRECT(DB_TBL_DATA_FIELDS[[#This Row],[SHEET_REF_CALC]]&amp;"!A:B"),2,FALSE),"")</f>
        <v/>
      </c>
      <c r="I25" s="2" t="b">
        <f ca="1">(DB_TBL_DATA_FIELDS[[#This Row],[FIELD_VALUE_RAW]]="")</f>
        <v>1</v>
      </c>
      <c r="J25" s="2" t="s">
        <v>9</v>
      </c>
      <c r="K25" s="1" t="b">
        <f ca="1">AND(IF(DB_TBL_DATA_FIELDS[[#This Row],[FIELD_VALID_CUSTOM_LOGIC]]="",TRUE,DB_TBL_DATA_FIELDS[[#This Row],[FIELD_VALID_CUSTOM_LOGIC]]),DB_TBL_DATA_FIELDS[[#This Row],[RANGE_VALIDATION_PASSED_FLAG]])</f>
        <v>1</v>
      </c>
      <c r="L25"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25" s="1">
        <f ca="1">IF(DB_TBL_DATA_FIELDS[[#This Row],[SHEET_REF_CALC]]="","",IF(DB_TBL_DATA_FIELDS[[#This Row],[FIELD_EMPTY_FLAG]],IF(NOT(DB_TBL_DATA_FIELDS[[#This Row],[FIELD_REQ_FLAG]]),-1,1),IF(NOT(DB_TBL_DATA_FIELDS[[#This Row],[FIELD_VALID_FLAG]]),0,2)))</f>
        <v>-1</v>
      </c>
      <c r="N25" s="1" t="str">
        <f ca="1">IFERROR(VLOOKUP(DB_TBL_DATA_FIELDS[[#This Row],[FIELD_STATUS_CODE]],DB_TBL_CONFIG_FIELDSTATUSCODES[#All],3,FALSE),"")</f>
        <v>Optional</v>
      </c>
      <c r="O25" s="1" t="str">
        <f ca="1">IFERROR(VLOOKUP(DB_TBL_DATA_FIELDS[[#This Row],[FIELD_STATUS_CODE]],DB_TBL_CONFIG_FIELDSTATUSCODES[#All],4,FALSE),"")</f>
        <v xml:space="preserve"> </v>
      </c>
      <c r="P25" s="1" t="b">
        <f>TRUE</f>
        <v>1</v>
      </c>
      <c r="Q25" s="1" t="b">
        <f>TRUE</f>
        <v>1</v>
      </c>
      <c r="R25" s="1" t="s">
        <v>9</v>
      </c>
      <c r="S25" s="1">
        <f ca="1">IF(DB_TBL_DATA_FIELDS[[#This Row],[RANGE_VALIDATION_FLAG]]="Text",LEN(DB_TBL_DATA_FIELDS[[#This Row],[FIELD_VALUE_RAW]]),IFERROR(VALUE(DB_TBL_DATA_FIELDS[[#This Row],[FIELD_VALUE_RAW]]),-1))</f>
        <v>0</v>
      </c>
      <c r="T25" s="1">
        <v>0</v>
      </c>
      <c r="U25" s="1">
        <v>10</v>
      </c>
      <c r="V25" s="1" t="b">
        <f ca="1">IF(NOT(DB_TBL_DATA_FIELDS[[#This Row],[RANGE_VALIDATION_ON_FLAG]]),TRUE,
AND(DB_TBL_DATA_FIELDS[[#This Row],[RANGE_VALUE_LEN]]&gt;=DB_TBL_DATA_FIELDS[[#This Row],[RANGE_VALIDATION_MIN]],DB_TBL_DATA_FIELDS[[#This Row],[RANGE_VALUE_LEN]]&lt;=DB_TBL_DATA_FIELDS[[#This Row],[RANGE_VALIDATION_MAX]]))</f>
        <v>1</v>
      </c>
      <c r="W25" s="1">
        <v>1</v>
      </c>
      <c r="X25" s="1">
        <f ca="1">IF(DB_TBL_DATA_FIELDS[[#This Row],[PCT_CALC_SHOW_STATUS_CODE]]=1,
DB_TBL_DATA_FIELDS[[#This Row],[FIELD_STATUS_CODE]],
IF(AND(DB_TBL_DATA_FIELDS[[#This Row],[PCT_CALC_SHOW_STATUS_CODE]]=2,DB_TBL_DATA_FIELDS[[#This Row],[FIELD_STATUS_CODE]]=0),
DB_TBL_DATA_FIELDS[[#This Row],[FIELD_STATUS_CODE]],
"")
)</f>
        <v>-1</v>
      </c>
    </row>
    <row r="26" spans="1:26" x14ac:dyDescent="0.2">
      <c r="A26" s="1" t="s">
        <v>9040</v>
      </c>
      <c r="B26" s="14" t="str">
        <f>IFERROR(IF(FIND(DATA_EFORM_SHEET_REF,DB_TBL_DATA_FIELDS[[#This Row],[APPLICABLE_EFORM_LIST]])&gt;0,DATA_EFORM_SHEET_REF,""),"")</f>
        <v>_</v>
      </c>
      <c r="C26" s="1" t="s">
        <v>2238</v>
      </c>
      <c r="D26" s="1" t="b">
        <v>1</v>
      </c>
      <c r="E26" s="16" t="b">
        <v>1</v>
      </c>
      <c r="F26" s="2" t="s">
        <v>2261</v>
      </c>
      <c r="G26" s="2" t="str">
        <f ca="1">IFERROR(VLOOKUP(DB_TBL_DATA_FIELDS[[#This Row],[FIELD_ID]],INDIRECT(DB_TBL_DATA_FIELDS[[#This Row],[SHEET_REF_CALC]]&amp;"!A:B"),2,FALSE),"")</f>
        <v/>
      </c>
      <c r="I26" s="2" t="b">
        <f ca="1">(DB_TBL_DATA_FIELDS[[#This Row],[FIELD_VALUE_RAW]]="")</f>
        <v>1</v>
      </c>
      <c r="J26" s="2" t="s">
        <v>9</v>
      </c>
      <c r="K26" s="1" t="b">
        <f ca="1">AND(IF(DB_TBL_DATA_FIELDS[[#This Row],[FIELD_VALID_CUSTOM_LOGIC]]="",TRUE,DB_TBL_DATA_FIELDS[[#This Row],[FIELD_VALID_CUSTOM_LOGIC]]),DB_TBL_DATA_FIELDS[[#This Row],[RANGE_VALIDATION_PASSED_FLAG]])</f>
        <v>1</v>
      </c>
      <c r="L26"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26" s="1">
        <f ca="1">IF(DB_TBL_DATA_FIELDS[[#This Row],[SHEET_REF_CALC]]="","",IF(DB_TBL_DATA_FIELDS[[#This Row],[FIELD_EMPTY_FLAG]],IF(NOT(DB_TBL_DATA_FIELDS[[#This Row],[FIELD_REQ_FLAG]]),-1,1),IF(NOT(DB_TBL_DATA_FIELDS[[#This Row],[FIELD_VALID_FLAG]]),0,2)))</f>
        <v>1</v>
      </c>
      <c r="N26" s="1" t="str">
        <f ca="1">IFERROR(VLOOKUP(DB_TBL_DATA_FIELDS[[#This Row],[FIELD_STATUS_CODE]],DB_TBL_CONFIG_FIELDSTATUSCODES[#All],3,FALSE),"")</f>
        <v>Required</v>
      </c>
      <c r="O26" s="1" t="str">
        <f ca="1">IFERROR(VLOOKUP(DB_TBL_DATA_FIELDS[[#This Row],[FIELD_STATUS_CODE]],DB_TBL_CONFIG_FIELDSTATUSCODES[#All],4,FALSE),"")</f>
        <v>i</v>
      </c>
      <c r="P26" s="1" t="b">
        <f>TRUE</f>
        <v>1</v>
      </c>
      <c r="Q26" s="1" t="b">
        <f>TRUE</f>
        <v>1</v>
      </c>
      <c r="R26" s="1" t="s">
        <v>9</v>
      </c>
      <c r="S26" s="1">
        <f ca="1">IF(DB_TBL_DATA_FIELDS[[#This Row],[RANGE_VALIDATION_FLAG]]="Text",LEN(DB_TBL_DATA_FIELDS[[#This Row],[FIELD_VALUE_RAW]]),IFERROR(VALUE(DB_TBL_DATA_FIELDS[[#This Row],[FIELD_VALUE_RAW]]),-1))</f>
        <v>0</v>
      </c>
      <c r="T26" s="1">
        <v>0</v>
      </c>
      <c r="U26" s="1">
        <v>30</v>
      </c>
      <c r="V26" s="1" t="b">
        <f ca="1">IF(NOT(DB_TBL_DATA_FIELDS[[#This Row],[RANGE_VALIDATION_ON_FLAG]]),TRUE,
AND(DB_TBL_DATA_FIELDS[[#This Row],[RANGE_VALUE_LEN]]&gt;=DB_TBL_DATA_FIELDS[[#This Row],[RANGE_VALIDATION_MIN]],DB_TBL_DATA_FIELDS[[#This Row],[RANGE_VALUE_LEN]]&lt;=DB_TBL_DATA_FIELDS[[#This Row],[RANGE_VALIDATION_MAX]]))</f>
        <v>1</v>
      </c>
      <c r="W26" s="1">
        <v>1</v>
      </c>
      <c r="X26" s="1">
        <f ca="1">IF(DB_TBL_DATA_FIELDS[[#This Row],[PCT_CALC_SHOW_STATUS_CODE]]=1,
DB_TBL_DATA_FIELDS[[#This Row],[FIELD_STATUS_CODE]],
IF(AND(DB_TBL_DATA_FIELDS[[#This Row],[PCT_CALC_SHOW_STATUS_CODE]]=2,DB_TBL_DATA_FIELDS[[#This Row],[FIELD_STATUS_CODE]]=0),
DB_TBL_DATA_FIELDS[[#This Row],[FIELD_STATUS_CODE]],
"")
)</f>
        <v>1</v>
      </c>
    </row>
    <row r="27" spans="1:26" x14ac:dyDescent="0.2">
      <c r="A27" s="1" t="s">
        <v>9040</v>
      </c>
      <c r="B27" s="14" t="str">
        <f>IFERROR(IF(FIND(DATA_EFORM_SHEET_REF,DB_TBL_DATA_FIELDS[[#This Row],[APPLICABLE_EFORM_LIST]])&gt;0,DATA_EFORM_SHEET_REF,""),"")</f>
        <v>_</v>
      </c>
      <c r="C27" s="1" t="s">
        <v>2239</v>
      </c>
      <c r="D27" s="1" t="b">
        <v>1</v>
      </c>
      <c r="E27" s="16" t="b">
        <v>1</v>
      </c>
      <c r="F27" s="2" t="s">
        <v>2262</v>
      </c>
      <c r="G27" s="2" t="str">
        <f ca="1">IFERROR(VLOOKUP(DB_TBL_DATA_FIELDS[[#This Row],[FIELD_ID]],INDIRECT(DB_TBL_DATA_FIELDS[[#This Row],[SHEET_REF_CALC]]&amp;"!A:B"),2,FALSE),"")</f>
        <v/>
      </c>
      <c r="I27" s="2" t="b">
        <f ca="1">(DB_TBL_DATA_FIELDS[[#This Row],[FIELD_VALUE_RAW]]="")</f>
        <v>1</v>
      </c>
      <c r="J27" s="2" t="s">
        <v>9</v>
      </c>
      <c r="K27" s="1" t="b">
        <f ca="1">AND(IF(DB_TBL_DATA_FIELDS[[#This Row],[FIELD_VALID_CUSTOM_LOGIC]]="",TRUE,DB_TBL_DATA_FIELDS[[#This Row],[FIELD_VALID_CUSTOM_LOGIC]]),DB_TBL_DATA_FIELDS[[#This Row],[RANGE_VALIDATION_PASSED_FLAG]])</f>
        <v>1</v>
      </c>
      <c r="L27"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27" s="1">
        <f ca="1">IF(DB_TBL_DATA_FIELDS[[#This Row],[SHEET_REF_CALC]]="","",IF(DB_TBL_DATA_FIELDS[[#This Row],[FIELD_EMPTY_FLAG]],IF(NOT(DB_TBL_DATA_FIELDS[[#This Row],[FIELD_REQ_FLAG]]),-1,1),IF(NOT(DB_TBL_DATA_FIELDS[[#This Row],[FIELD_VALID_FLAG]]),0,2)))</f>
        <v>1</v>
      </c>
      <c r="N27" s="1" t="str">
        <f ca="1">IFERROR(VLOOKUP(DB_TBL_DATA_FIELDS[[#This Row],[FIELD_STATUS_CODE]],DB_TBL_CONFIG_FIELDSTATUSCODES[#All],3,FALSE),"")</f>
        <v>Required</v>
      </c>
      <c r="O27" s="1" t="str">
        <f ca="1">IFERROR(VLOOKUP(DB_TBL_DATA_FIELDS[[#This Row],[FIELD_STATUS_CODE]],DB_TBL_CONFIG_FIELDSTATUSCODES[#All],4,FALSE),"")</f>
        <v>i</v>
      </c>
      <c r="P27" s="1" t="b">
        <f>TRUE</f>
        <v>1</v>
      </c>
      <c r="Q27" s="1" t="b">
        <f>TRUE</f>
        <v>1</v>
      </c>
      <c r="R27" s="1" t="s">
        <v>9</v>
      </c>
      <c r="S27" s="1">
        <f ca="1">IF(DB_TBL_DATA_FIELDS[[#This Row],[RANGE_VALIDATION_FLAG]]="Text",LEN(DB_TBL_DATA_FIELDS[[#This Row],[FIELD_VALUE_RAW]]),IFERROR(VALUE(DB_TBL_DATA_FIELDS[[#This Row],[FIELD_VALUE_RAW]]),-1))</f>
        <v>0</v>
      </c>
      <c r="T27" s="1">
        <v>0</v>
      </c>
      <c r="U27" s="1">
        <v>30</v>
      </c>
      <c r="V27" s="1" t="b">
        <f ca="1">IF(NOT(DB_TBL_DATA_FIELDS[[#This Row],[RANGE_VALIDATION_ON_FLAG]]),TRUE,
AND(DB_TBL_DATA_FIELDS[[#This Row],[RANGE_VALUE_LEN]]&gt;=DB_TBL_DATA_FIELDS[[#This Row],[RANGE_VALIDATION_MIN]],DB_TBL_DATA_FIELDS[[#This Row],[RANGE_VALUE_LEN]]&lt;=DB_TBL_DATA_FIELDS[[#This Row],[RANGE_VALIDATION_MAX]]))</f>
        <v>1</v>
      </c>
      <c r="W27" s="1">
        <v>1</v>
      </c>
      <c r="X27" s="1">
        <f ca="1">IF(DB_TBL_DATA_FIELDS[[#This Row],[PCT_CALC_SHOW_STATUS_CODE]]=1,
DB_TBL_DATA_FIELDS[[#This Row],[FIELD_STATUS_CODE]],
IF(AND(DB_TBL_DATA_FIELDS[[#This Row],[PCT_CALC_SHOW_STATUS_CODE]]=2,DB_TBL_DATA_FIELDS[[#This Row],[FIELD_STATUS_CODE]]=0),
DB_TBL_DATA_FIELDS[[#This Row],[FIELD_STATUS_CODE]],
"")
)</f>
        <v>1</v>
      </c>
    </row>
    <row r="28" spans="1:26" x14ac:dyDescent="0.2">
      <c r="A28" s="1" t="s">
        <v>9040</v>
      </c>
      <c r="B28" s="14" t="str">
        <f>IFERROR(IF(FIND(DATA_EFORM_SHEET_REF,DB_TBL_DATA_FIELDS[[#This Row],[APPLICABLE_EFORM_LIST]])&gt;0,DATA_EFORM_SHEET_REF,""),"")</f>
        <v>_</v>
      </c>
      <c r="C28" s="1" t="s">
        <v>2352</v>
      </c>
      <c r="D28" s="1" t="b">
        <v>0</v>
      </c>
      <c r="E28" s="16" t="b">
        <v>0</v>
      </c>
      <c r="F28" s="2" t="s">
        <v>2353</v>
      </c>
      <c r="G28" s="19" t="str">
        <f ca="1">IF(AND(G26&lt;&gt;"",G27&lt;&gt;""),TRIM(G27&amp;", "&amp;G26),"")</f>
        <v/>
      </c>
      <c r="I28" s="2" t="b">
        <f ca="1">(DB_TBL_DATA_FIELDS[[#This Row],[FIELD_VALUE_RAW]]="")</f>
        <v>1</v>
      </c>
      <c r="J28" s="2" t="s">
        <v>9</v>
      </c>
      <c r="K28" s="1" t="b">
        <f>AND(IF(DB_TBL_DATA_FIELDS[[#This Row],[FIELD_VALID_CUSTOM_LOGIC]]="",TRUE,DB_TBL_DATA_FIELDS[[#This Row],[FIELD_VALID_CUSTOM_LOGIC]]),DB_TBL_DATA_FIELDS[[#This Row],[RANGE_VALIDATION_PASSED_FLAG]])</f>
        <v>1</v>
      </c>
      <c r="L28"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28" s="1">
        <f ca="1">IF(DB_TBL_DATA_FIELDS[[#This Row],[SHEET_REF_CALC]]="","",IF(DB_TBL_DATA_FIELDS[[#This Row],[FIELD_EMPTY_FLAG]],IF(NOT(DB_TBL_DATA_FIELDS[[#This Row],[FIELD_REQ_FLAG]]),-1,1),IF(NOT(DB_TBL_DATA_FIELDS[[#This Row],[FIELD_VALID_FLAG]]),0,2)))</f>
        <v>-1</v>
      </c>
      <c r="N28" s="1" t="str">
        <f ca="1">IFERROR(VLOOKUP(DB_TBL_DATA_FIELDS[[#This Row],[FIELD_STATUS_CODE]],DB_TBL_CONFIG_FIELDSTATUSCODES[#All],3,FALSE),"")</f>
        <v>Optional</v>
      </c>
      <c r="O28" s="1" t="str">
        <f ca="1">IFERROR(VLOOKUP(DB_TBL_DATA_FIELDS[[#This Row],[FIELD_STATUS_CODE]],DB_TBL_CONFIG_FIELDSTATUSCODES[#All],4,FALSE),"")</f>
        <v xml:space="preserve"> </v>
      </c>
      <c r="P28" s="1" t="b">
        <f>TRUE</f>
        <v>1</v>
      </c>
      <c r="Q28" s="1" t="b">
        <v>0</v>
      </c>
      <c r="R28" s="1" t="s">
        <v>9</v>
      </c>
      <c r="S28" s="1">
        <f ca="1">IF(DB_TBL_DATA_FIELDS[[#This Row],[RANGE_VALIDATION_FLAG]]="Text",LEN(DB_TBL_DATA_FIELDS[[#This Row],[FIELD_VALUE_RAW]]),IFERROR(VALUE(DB_TBL_DATA_FIELDS[[#This Row],[FIELD_VALUE_RAW]]),-1))</f>
        <v>0</v>
      </c>
      <c r="V28" s="1" t="b">
        <f>IF(NOT(DB_TBL_DATA_FIELDS[[#This Row],[RANGE_VALIDATION_ON_FLAG]]),TRUE,
AND(DB_TBL_DATA_FIELDS[[#This Row],[RANGE_VALUE_LEN]]&gt;=DB_TBL_DATA_FIELDS[[#This Row],[RANGE_VALIDATION_MIN]],DB_TBL_DATA_FIELDS[[#This Row],[RANGE_VALUE_LEN]]&lt;=DB_TBL_DATA_FIELDS[[#This Row],[RANGE_VALIDATION_MAX]]))</f>
        <v>1</v>
      </c>
      <c r="W28" s="1">
        <v>0</v>
      </c>
      <c r="X28" s="1" t="str">
        <f ca="1">IF(DB_TBL_DATA_FIELDS[[#This Row],[PCT_CALC_SHOW_STATUS_CODE]]=1,
DB_TBL_DATA_FIELDS[[#This Row],[FIELD_STATUS_CODE]],
IF(AND(DB_TBL_DATA_FIELDS[[#This Row],[PCT_CALC_SHOW_STATUS_CODE]]=2,DB_TBL_DATA_FIELDS[[#This Row],[FIELD_STATUS_CODE]]=0),
DB_TBL_DATA_FIELDS[[#This Row],[FIELD_STATUS_CODE]],
"")
)</f>
        <v/>
      </c>
    </row>
    <row r="29" spans="1:26" x14ac:dyDescent="0.2">
      <c r="A29" s="1" t="s">
        <v>9022</v>
      </c>
      <c r="B29" s="14" t="str">
        <f>IFERROR(IF(FIND(DATA_EFORM_SHEET_REF,DB_TBL_DATA_FIELDS[[#This Row],[APPLICABLE_EFORM_LIST]])&gt;0,DATA_EFORM_SHEET_REF,""),"")</f>
        <v>_</v>
      </c>
      <c r="C29" s="1" t="s">
        <v>2240</v>
      </c>
      <c r="D29" s="1" t="b">
        <v>1</v>
      </c>
      <c r="E29" s="16" t="b">
        <v>1</v>
      </c>
      <c r="F29" s="2" t="s">
        <v>2276</v>
      </c>
      <c r="G29" s="2" t="str">
        <f ca="1">IFERROR(VLOOKUP(DB_TBL_DATA_FIELDS[[#This Row],[FIELD_ID]],INDIRECT(DB_TBL_DATA_FIELDS[[#This Row],[SHEET_REF_CALC]]&amp;"!A:B"),2,FALSE),"")</f>
        <v/>
      </c>
      <c r="I29" s="2" t="b">
        <f ca="1">(DB_TBL_DATA_FIELDS[[#This Row],[FIELD_VALUE_RAW]]="")</f>
        <v>1</v>
      </c>
      <c r="J29" s="2" t="s">
        <v>9</v>
      </c>
      <c r="K29" s="1" t="b">
        <f ca="1">AND(IF(DB_TBL_DATA_FIELDS[[#This Row],[FIELD_VALID_CUSTOM_LOGIC]]="",TRUE,DB_TBL_DATA_FIELDS[[#This Row],[FIELD_VALID_CUSTOM_LOGIC]]),DB_TBL_DATA_FIELDS[[#This Row],[RANGE_VALIDATION_PASSED_FLAG]])</f>
        <v>1</v>
      </c>
      <c r="L29"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29" s="1">
        <f ca="1">IF(DB_TBL_DATA_FIELDS[[#This Row],[SHEET_REF_CALC]]="","",IF(DB_TBL_DATA_FIELDS[[#This Row],[FIELD_EMPTY_FLAG]],IF(NOT(DB_TBL_DATA_FIELDS[[#This Row],[FIELD_REQ_FLAG]]),-1,1),IF(NOT(DB_TBL_DATA_FIELDS[[#This Row],[FIELD_VALID_FLAG]]),0,2)))</f>
        <v>1</v>
      </c>
      <c r="N29" s="1" t="str">
        <f ca="1">IFERROR(VLOOKUP(DB_TBL_DATA_FIELDS[[#This Row],[FIELD_STATUS_CODE]],DB_TBL_CONFIG_FIELDSTATUSCODES[#All],3,FALSE),"")</f>
        <v>Required</v>
      </c>
      <c r="O29" s="1" t="str">
        <f ca="1">IFERROR(VLOOKUP(DB_TBL_DATA_FIELDS[[#This Row],[FIELD_STATUS_CODE]],DB_TBL_CONFIG_FIELDSTATUSCODES[#All],4,FALSE),"")</f>
        <v>i</v>
      </c>
      <c r="P29" s="1" t="b">
        <f>TRUE</f>
        <v>1</v>
      </c>
      <c r="Q29" s="1" t="b">
        <f>TRUE</f>
        <v>1</v>
      </c>
      <c r="R29" s="1" t="s">
        <v>9</v>
      </c>
      <c r="S29" s="1">
        <f ca="1">IF(DB_TBL_DATA_FIELDS[[#This Row],[RANGE_VALIDATION_FLAG]]="Text",LEN(DB_TBL_DATA_FIELDS[[#This Row],[FIELD_VALUE_RAW]]),IFERROR(VALUE(DB_TBL_DATA_FIELDS[[#This Row],[FIELD_VALUE_RAW]]),-1))</f>
        <v>0</v>
      </c>
      <c r="T29" s="1">
        <v>0</v>
      </c>
      <c r="U29" s="1">
        <v>25</v>
      </c>
      <c r="V29" s="1" t="b">
        <f ca="1">IF(NOT(DB_TBL_DATA_FIELDS[[#This Row],[RANGE_VALIDATION_ON_FLAG]]),TRUE,
AND(DB_TBL_DATA_FIELDS[[#This Row],[RANGE_VALUE_LEN]]&gt;=DB_TBL_DATA_FIELDS[[#This Row],[RANGE_VALIDATION_MIN]],DB_TBL_DATA_FIELDS[[#This Row],[RANGE_VALUE_LEN]]&lt;=DB_TBL_DATA_FIELDS[[#This Row],[RANGE_VALIDATION_MAX]]))</f>
        <v>1</v>
      </c>
      <c r="W29" s="1">
        <v>1</v>
      </c>
      <c r="X29" s="1">
        <f ca="1">IF(DB_TBL_DATA_FIELDS[[#This Row],[PCT_CALC_SHOW_STATUS_CODE]]=1,
DB_TBL_DATA_FIELDS[[#This Row],[FIELD_STATUS_CODE]],
IF(AND(DB_TBL_DATA_FIELDS[[#This Row],[PCT_CALC_SHOW_STATUS_CODE]]=2,DB_TBL_DATA_FIELDS[[#This Row],[FIELD_STATUS_CODE]]=0),
DB_TBL_DATA_FIELDS[[#This Row],[FIELD_STATUS_CODE]],
"")
)</f>
        <v>1</v>
      </c>
    </row>
    <row r="30" spans="1:26" x14ac:dyDescent="0.2">
      <c r="A30" s="232" t="s">
        <v>2854</v>
      </c>
      <c r="B30" s="14" t="str">
        <f>IFERROR(IF(FIND(DATA_EFORM_SHEET_REF,DB_TBL_DATA_FIELDS[[#This Row],[APPLICABLE_EFORM_LIST]])&gt;0,DATA_EFORM_SHEET_REF,""),"")</f>
        <v/>
      </c>
      <c r="C30" s="233" t="s">
        <v>2241</v>
      </c>
      <c r="D30" s="1" t="b">
        <v>1</v>
      </c>
      <c r="E30" s="234" t="b">
        <v>0</v>
      </c>
      <c r="F30" s="2" t="s">
        <v>2277</v>
      </c>
      <c r="G30" s="235" t="str">
        <f ca="1">IFERROR(VLOOKUP(DB_TBL_DATA_FIELDS[[#This Row],[FIELD_ID]],INDIRECT(DB_TBL_DATA_FIELDS[[#This Row],[SHEET_REF_CALC]]&amp;"!A:B"),2,FALSE),"")</f>
        <v/>
      </c>
      <c r="I30" s="2" t="b">
        <f ca="1">(DB_TBL_DATA_FIELDS[[#This Row],[FIELD_VALUE_RAW]]="")</f>
        <v>1</v>
      </c>
      <c r="J30" s="2" t="s">
        <v>137</v>
      </c>
      <c r="K30" s="1" t="b">
        <f>AND(IF(DB_TBL_DATA_FIELDS[[#This Row],[FIELD_VALID_CUSTOM_LOGIC]]="",TRUE,DB_TBL_DATA_FIELDS[[#This Row],[FIELD_VALID_CUSTOM_LOGIC]]),DB_TBL_DATA_FIELDS[[#This Row],[RANGE_VALIDATION_PASSED_FLAG]])</f>
        <v>1</v>
      </c>
      <c r="L30"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30" s="1" t="str">
        <f>IF(DB_TBL_DATA_FIELDS[[#This Row],[SHEET_REF_CALC]]="","",IF(DB_TBL_DATA_FIELDS[[#This Row],[FIELD_EMPTY_FLAG]],IF(NOT(DB_TBL_DATA_FIELDS[[#This Row],[FIELD_REQ_FLAG]]),-1,1),IF(NOT(DB_TBL_DATA_FIELDS[[#This Row],[FIELD_VALID_FLAG]]),0,2)))</f>
        <v/>
      </c>
      <c r="N30" s="1" t="str">
        <f>IFERROR(VLOOKUP(DB_TBL_DATA_FIELDS[[#This Row],[FIELD_STATUS_CODE]],DB_TBL_CONFIG_FIELDSTATUSCODES[#All],3,FALSE),"")</f>
        <v/>
      </c>
      <c r="O30" s="1" t="str">
        <f>IFERROR(VLOOKUP(DB_TBL_DATA_FIELDS[[#This Row],[FIELD_STATUS_CODE]],DB_TBL_CONFIG_FIELDSTATUSCODES[#All],4,FALSE),"")</f>
        <v/>
      </c>
      <c r="P30" s="1" t="b">
        <f>TRUE</f>
        <v>1</v>
      </c>
      <c r="Q30" s="1" t="b">
        <v>0</v>
      </c>
      <c r="S30" s="1">
        <f ca="1">IF(DB_TBL_DATA_FIELDS[[#This Row],[RANGE_VALIDATION_FLAG]]="Text",LEN(DB_TBL_DATA_FIELDS[[#This Row],[FIELD_VALUE_RAW]]),IFERROR(VALUE(DB_TBL_DATA_FIELDS[[#This Row],[FIELD_VALUE_RAW]]),-1))</f>
        <v>-1</v>
      </c>
      <c r="V30" s="1" t="b">
        <f>IF(NOT(DB_TBL_DATA_FIELDS[[#This Row],[RANGE_VALIDATION_ON_FLAG]]),TRUE,
AND(DB_TBL_DATA_FIELDS[[#This Row],[RANGE_VALUE_LEN]]&gt;=DB_TBL_DATA_FIELDS[[#This Row],[RANGE_VALIDATION_MIN]],DB_TBL_DATA_FIELDS[[#This Row],[RANGE_VALUE_LEN]]&lt;=DB_TBL_DATA_FIELDS[[#This Row],[RANGE_VALIDATION_MAX]]))</f>
        <v>1</v>
      </c>
      <c r="W30" s="1">
        <v>1</v>
      </c>
      <c r="X30" s="1" t="str">
        <f>IF(DB_TBL_DATA_FIELDS[[#This Row],[PCT_CALC_SHOW_STATUS_CODE]]=1,
DB_TBL_DATA_FIELDS[[#This Row],[FIELD_STATUS_CODE]],
IF(AND(DB_TBL_DATA_FIELDS[[#This Row],[PCT_CALC_SHOW_STATUS_CODE]]=2,DB_TBL_DATA_FIELDS[[#This Row],[FIELD_STATUS_CODE]]=0),
DB_TBL_DATA_FIELDS[[#This Row],[FIELD_STATUS_CODE]],
"")
)</f>
        <v/>
      </c>
    </row>
    <row r="31" spans="1:26" x14ac:dyDescent="0.2">
      <c r="A31" s="1" t="s">
        <v>9022</v>
      </c>
      <c r="B31" s="14" t="str">
        <f>IFERROR(IF(FIND(DATA_EFORM_SHEET_REF,DB_TBL_DATA_FIELDS[[#This Row],[APPLICABLE_EFORM_LIST]])&gt;0,DATA_EFORM_SHEET_REF,""),"")</f>
        <v>_</v>
      </c>
      <c r="C31" s="1" t="s">
        <v>2242</v>
      </c>
      <c r="D31" s="1" t="b">
        <v>1</v>
      </c>
      <c r="E31" s="16" t="b">
        <v>0</v>
      </c>
      <c r="F31" s="2" t="s">
        <v>2263</v>
      </c>
      <c r="G31" s="2" t="str">
        <f ca="1">IFERROR(VLOOKUP(DB_TBL_DATA_FIELDS[[#This Row],[FIELD_ID]],INDIRECT(DB_TBL_DATA_FIELDS[[#This Row],[SHEET_REF_CALC]]&amp;"!A:B"),2,FALSE),"")</f>
        <v/>
      </c>
      <c r="I31" s="2" t="b">
        <f ca="1">(DB_TBL_DATA_FIELDS[[#This Row],[FIELD_VALUE_RAW]]="")</f>
        <v>1</v>
      </c>
      <c r="J31" s="2" t="s">
        <v>9</v>
      </c>
      <c r="K31" s="1" t="b">
        <f ca="1">AND(IF(DB_TBL_DATA_FIELDS[[#This Row],[FIELD_VALID_CUSTOM_LOGIC]]="",TRUE,DB_TBL_DATA_FIELDS[[#This Row],[FIELD_VALID_CUSTOM_LOGIC]]),DB_TBL_DATA_FIELDS[[#This Row],[RANGE_VALIDATION_PASSED_FLAG]])</f>
        <v>1</v>
      </c>
      <c r="L31"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31" s="1">
        <f ca="1">IF(DB_TBL_DATA_FIELDS[[#This Row],[SHEET_REF_CALC]]="","",IF(DB_TBL_DATA_FIELDS[[#This Row],[FIELD_EMPTY_FLAG]],IF(NOT(DB_TBL_DATA_FIELDS[[#This Row],[FIELD_REQ_FLAG]]),-1,1),IF(NOT(DB_TBL_DATA_FIELDS[[#This Row],[FIELD_VALID_FLAG]]),0,2)))</f>
        <v>-1</v>
      </c>
      <c r="N31" s="1" t="str">
        <f ca="1">IFERROR(VLOOKUP(DB_TBL_DATA_FIELDS[[#This Row],[FIELD_STATUS_CODE]],DB_TBL_CONFIG_FIELDSTATUSCODES[#All],3,FALSE),"")</f>
        <v>Optional</v>
      </c>
      <c r="O31" s="1" t="str">
        <f ca="1">IFERROR(VLOOKUP(DB_TBL_DATA_FIELDS[[#This Row],[FIELD_STATUS_CODE]],DB_TBL_CONFIG_FIELDSTATUSCODES[#All],4,FALSE),"")</f>
        <v xml:space="preserve"> </v>
      </c>
      <c r="P31" s="1" t="b">
        <f>TRUE</f>
        <v>1</v>
      </c>
      <c r="Q31" s="1" t="b">
        <f>TRUE</f>
        <v>1</v>
      </c>
      <c r="R31" s="1" t="s">
        <v>9</v>
      </c>
      <c r="S31" s="1">
        <f ca="1">IF(DB_TBL_DATA_FIELDS[[#This Row],[RANGE_VALIDATION_FLAG]]="Text",LEN(DB_TBL_DATA_FIELDS[[#This Row],[FIELD_VALUE_RAW]]),IFERROR(VALUE(DB_TBL_DATA_FIELDS[[#This Row],[FIELD_VALUE_RAW]]),-1))</f>
        <v>0</v>
      </c>
      <c r="T31" s="1">
        <v>0</v>
      </c>
      <c r="U31" s="1">
        <v>10</v>
      </c>
      <c r="V31" s="1" t="b">
        <f ca="1">IF(NOT(DB_TBL_DATA_FIELDS[[#This Row],[RANGE_VALIDATION_ON_FLAG]]),TRUE,
AND(DB_TBL_DATA_FIELDS[[#This Row],[RANGE_VALUE_LEN]]&gt;=DB_TBL_DATA_FIELDS[[#This Row],[RANGE_VALIDATION_MIN]],DB_TBL_DATA_FIELDS[[#This Row],[RANGE_VALUE_LEN]]&lt;=DB_TBL_DATA_FIELDS[[#This Row],[RANGE_VALIDATION_MAX]]))</f>
        <v>1</v>
      </c>
      <c r="W31" s="1">
        <v>1</v>
      </c>
      <c r="X31" s="1">
        <f ca="1">IF(DB_TBL_DATA_FIELDS[[#This Row],[PCT_CALC_SHOW_STATUS_CODE]]=1,
DB_TBL_DATA_FIELDS[[#This Row],[FIELD_STATUS_CODE]],
IF(AND(DB_TBL_DATA_FIELDS[[#This Row],[PCT_CALC_SHOW_STATUS_CODE]]=2,DB_TBL_DATA_FIELDS[[#This Row],[FIELD_STATUS_CODE]]=0),
DB_TBL_DATA_FIELDS[[#This Row],[FIELD_STATUS_CODE]],
"")
)</f>
        <v>-1</v>
      </c>
    </row>
    <row r="32" spans="1:26" x14ac:dyDescent="0.2">
      <c r="A32" s="1" t="s">
        <v>9022</v>
      </c>
      <c r="B32" s="14" t="str">
        <f>IFERROR(IF(FIND(DATA_EFORM_SHEET_REF,DB_TBL_DATA_FIELDS[[#This Row],[APPLICABLE_EFORM_LIST]])&gt;0,DATA_EFORM_SHEET_REF,""),"")</f>
        <v>_</v>
      </c>
      <c r="C32" s="1" t="s">
        <v>2243</v>
      </c>
      <c r="D32" s="1" t="b">
        <v>1</v>
      </c>
      <c r="E32" s="81" t="b">
        <f ca="1">OR(DATA_CO_BORW_STARTED_FLAG,DATA_THRD_BORW_STARTED_FLAG)</f>
        <v>0</v>
      </c>
      <c r="F32" s="2" t="s">
        <v>2264</v>
      </c>
      <c r="G32" s="2" t="str">
        <f ca="1">IFERROR(VLOOKUP(DB_TBL_DATA_FIELDS[[#This Row],[FIELD_ID]],INDIRECT(DB_TBL_DATA_FIELDS[[#This Row],[SHEET_REF_CALC]]&amp;"!A:B"),2,FALSE),"")</f>
        <v/>
      </c>
      <c r="I32" s="2" t="b">
        <f ca="1">(DB_TBL_DATA_FIELDS[[#This Row],[FIELD_VALUE_RAW]]="")</f>
        <v>1</v>
      </c>
      <c r="J32" s="2" t="s">
        <v>9</v>
      </c>
      <c r="K32" s="1" t="b">
        <f ca="1">AND(IF(DB_TBL_DATA_FIELDS[[#This Row],[FIELD_VALID_CUSTOM_LOGIC]]="",TRUE,DB_TBL_DATA_FIELDS[[#This Row],[FIELD_VALID_CUSTOM_LOGIC]]),DB_TBL_DATA_FIELDS[[#This Row],[RANGE_VALIDATION_PASSED_FLAG]])</f>
        <v>1</v>
      </c>
      <c r="L32"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32" s="1">
        <f ca="1">IF(DB_TBL_DATA_FIELDS[[#This Row],[SHEET_REF_CALC]]="","",IF(DB_TBL_DATA_FIELDS[[#This Row],[FIELD_EMPTY_FLAG]],IF(NOT(DB_TBL_DATA_FIELDS[[#This Row],[FIELD_REQ_FLAG]]),-1,1),IF(NOT(DB_TBL_DATA_FIELDS[[#This Row],[FIELD_VALID_FLAG]]),0,2)))</f>
        <v>-1</v>
      </c>
      <c r="N32" s="1" t="str">
        <f ca="1">IFERROR(VLOOKUP(DB_TBL_DATA_FIELDS[[#This Row],[FIELD_STATUS_CODE]],DB_TBL_CONFIG_FIELDSTATUSCODES[#All],3,FALSE),"")</f>
        <v>Optional</v>
      </c>
      <c r="O32" s="1" t="str">
        <f ca="1">IFERROR(VLOOKUP(DB_TBL_DATA_FIELDS[[#This Row],[FIELD_STATUS_CODE]],DB_TBL_CONFIG_FIELDSTATUSCODES[#All],4,FALSE),"")</f>
        <v xml:space="preserve"> </v>
      </c>
      <c r="P32" s="1" t="b">
        <f>TRUE</f>
        <v>1</v>
      </c>
      <c r="Q32" s="1" t="b">
        <f>TRUE</f>
        <v>1</v>
      </c>
      <c r="R32" s="1" t="s">
        <v>9</v>
      </c>
      <c r="S32" s="1">
        <f ca="1">IF(DB_TBL_DATA_FIELDS[[#This Row],[RANGE_VALIDATION_FLAG]]="Text",LEN(DB_TBL_DATA_FIELDS[[#This Row],[FIELD_VALUE_RAW]]),IFERROR(VALUE(DB_TBL_DATA_FIELDS[[#This Row],[FIELD_VALUE_RAW]]),-1))</f>
        <v>0</v>
      </c>
      <c r="T32" s="1">
        <v>0</v>
      </c>
      <c r="U32" s="1">
        <v>30</v>
      </c>
      <c r="V32" s="1" t="b">
        <f ca="1">IF(NOT(DB_TBL_DATA_FIELDS[[#This Row],[RANGE_VALIDATION_ON_FLAG]]),TRUE,
AND(DB_TBL_DATA_FIELDS[[#This Row],[RANGE_VALUE_LEN]]&gt;=DB_TBL_DATA_FIELDS[[#This Row],[RANGE_VALIDATION_MIN]],DB_TBL_DATA_FIELDS[[#This Row],[RANGE_VALUE_LEN]]&lt;=DB_TBL_DATA_FIELDS[[#This Row],[RANGE_VALIDATION_MAX]]))</f>
        <v>1</v>
      </c>
      <c r="W32" s="1">
        <v>1</v>
      </c>
      <c r="X32" s="1">
        <f ca="1">IF(DB_TBL_DATA_FIELDS[[#This Row],[PCT_CALC_SHOW_STATUS_CODE]]=1,
DB_TBL_DATA_FIELDS[[#This Row],[FIELD_STATUS_CODE]],
IF(AND(DB_TBL_DATA_FIELDS[[#This Row],[PCT_CALC_SHOW_STATUS_CODE]]=2,DB_TBL_DATA_FIELDS[[#This Row],[FIELD_STATUS_CODE]]=0),
DB_TBL_DATA_FIELDS[[#This Row],[FIELD_STATUS_CODE]],
"")
)</f>
        <v>-1</v>
      </c>
    </row>
    <row r="33" spans="1:25" x14ac:dyDescent="0.2">
      <c r="A33" s="1" t="s">
        <v>9022</v>
      </c>
      <c r="B33" s="14" t="str">
        <f>IFERROR(IF(FIND(DATA_EFORM_SHEET_REF,DB_TBL_DATA_FIELDS[[#This Row],[APPLICABLE_EFORM_LIST]])&gt;0,DATA_EFORM_SHEET_REF,""),"")</f>
        <v>_</v>
      </c>
      <c r="C33" s="1" t="s">
        <v>2244</v>
      </c>
      <c r="D33" s="1" t="b">
        <v>1</v>
      </c>
      <c r="E33" s="81" t="b">
        <f ca="1">OR(DATA_CO_BORW_STARTED_FLAG,DATA_THRD_BORW_STARTED_FLAG)</f>
        <v>0</v>
      </c>
      <c r="F33" s="2" t="s">
        <v>2265</v>
      </c>
      <c r="G33" s="2" t="str">
        <f ca="1">IFERROR(VLOOKUP(DB_TBL_DATA_FIELDS[[#This Row],[FIELD_ID]],INDIRECT(DB_TBL_DATA_FIELDS[[#This Row],[SHEET_REF_CALC]]&amp;"!A:B"),2,FALSE),"")</f>
        <v/>
      </c>
      <c r="I33" s="2" t="b">
        <f ca="1">(DB_TBL_DATA_FIELDS[[#This Row],[FIELD_VALUE_RAW]]="")</f>
        <v>1</v>
      </c>
      <c r="J33" s="2" t="s">
        <v>9</v>
      </c>
      <c r="K33" s="1" t="b">
        <f ca="1">AND(IF(DB_TBL_DATA_FIELDS[[#This Row],[FIELD_VALID_CUSTOM_LOGIC]]="",TRUE,DB_TBL_DATA_FIELDS[[#This Row],[FIELD_VALID_CUSTOM_LOGIC]]),DB_TBL_DATA_FIELDS[[#This Row],[RANGE_VALIDATION_PASSED_FLAG]])</f>
        <v>1</v>
      </c>
      <c r="L33"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33" s="1">
        <f ca="1">IF(DB_TBL_DATA_FIELDS[[#This Row],[SHEET_REF_CALC]]="","",IF(DB_TBL_DATA_FIELDS[[#This Row],[FIELD_EMPTY_FLAG]],IF(NOT(DB_TBL_DATA_FIELDS[[#This Row],[FIELD_REQ_FLAG]]),-1,1),IF(NOT(DB_TBL_DATA_FIELDS[[#This Row],[FIELD_VALID_FLAG]]),0,2)))</f>
        <v>-1</v>
      </c>
      <c r="N33" s="1" t="str">
        <f ca="1">IFERROR(VLOOKUP(DB_TBL_DATA_FIELDS[[#This Row],[FIELD_STATUS_CODE]],DB_TBL_CONFIG_FIELDSTATUSCODES[#All],3,FALSE),"")</f>
        <v>Optional</v>
      </c>
      <c r="O33" s="1" t="str">
        <f ca="1">IFERROR(VLOOKUP(DB_TBL_DATA_FIELDS[[#This Row],[FIELD_STATUS_CODE]],DB_TBL_CONFIG_FIELDSTATUSCODES[#All],4,FALSE),"")</f>
        <v xml:space="preserve"> </v>
      </c>
      <c r="P33" s="1" t="b">
        <f>TRUE</f>
        <v>1</v>
      </c>
      <c r="Q33" s="1" t="b">
        <f>TRUE</f>
        <v>1</v>
      </c>
      <c r="R33" s="1" t="s">
        <v>9</v>
      </c>
      <c r="S33" s="1">
        <f ca="1">IF(DB_TBL_DATA_FIELDS[[#This Row],[RANGE_VALIDATION_FLAG]]="Text",LEN(DB_TBL_DATA_FIELDS[[#This Row],[FIELD_VALUE_RAW]]),IFERROR(VALUE(DB_TBL_DATA_FIELDS[[#This Row],[FIELD_VALUE_RAW]]),-1))</f>
        <v>0</v>
      </c>
      <c r="T33" s="1">
        <v>0</v>
      </c>
      <c r="U33" s="1">
        <v>30</v>
      </c>
      <c r="V33" s="1" t="b">
        <f ca="1">IF(NOT(DB_TBL_DATA_FIELDS[[#This Row],[RANGE_VALIDATION_ON_FLAG]]),TRUE,
AND(DB_TBL_DATA_FIELDS[[#This Row],[RANGE_VALUE_LEN]]&gt;=DB_TBL_DATA_FIELDS[[#This Row],[RANGE_VALIDATION_MIN]],DB_TBL_DATA_FIELDS[[#This Row],[RANGE_VALUE_LEN]]&lt;=DB_TBL_DATA_FIELDS[[#This Row],[RANGE_VALIDATION_MAX]]))</f>
        <v>1</v>
      </c>
      <c r="W33" s="1">
        <v>1</v>
      </c>
      <c r="X33" s="1">
        <f ca="1">IF(DB_TBL_DATA_FIELDS[[#This Row],[PCT_CALC_SHOW_STATUS_CODE]]=1,
DB_TBL_DATA_FIELDS[[#This Row],[FIELD_STATUS_CODE]],
IF(AND(DB_TBL_DATA_FIELDS[[#This Row],[PCT_CALC_SHOW_STATUS_CODE]]=2,DB_TBL_DATA_FIELDS[[#This Row],[FIELD_STATUS_CODE]]=0),
DB_TBL_DATA_FIELDS[[#This Row],[FIELD_STATUS_CODE]],
"")
)</f>
        <v>-1</v>
      </c>
    </row>
    <row r="34" spans="1:25" x14ac:dyDescent="0.2">
      <c r="A34" s="1" t="s">
        <v>9022</v>
      </c>
      <c r="B34" s="14" t="str">
        <f>IFERROR(IF(FIND(DATA_EFORM_SHEET_REF,DB_TBL_DATA_FIELDS[[#This Row],[APPLICABLE_EFORM_LIST]])&gt;0,DATA_EFORM_SHEET_REF,""),"")</f>
        <v>_</v>
      </c>
      <c r="C34" s="1" t="s">
        <v>2247</v>
      </c>
      <c r="D34" s="1" t="b">
        <v>1</v>
      </c>
      <c r="E34" s="81" t="b">
        <f ca="1">OR(DATA_CO_BORW_STARTED_FLAG,DATA_THRD_BORW_STARTED_FLAG)</f>
        <v>0</v>
      </c>
      <c r="F34" s="2" t="s">
        <v>2278</v>
      </c>
      <c r="G34" s="2" t="str">
        <f ca="1">IFERROR(VLOOKUP(DB_TBL_DATA_FIELDS[[#This Row],[FIELD_ID]],INDIRECT(DB_TBL_DATA_FIELDS[[#This Row],[SHEET_REF_CALC]]&amp;"!A:B"),2,FALSE),"")</f>
        <v/>
      </c>
      <c r="H34" s="19" t="str">
        <f ca="1">IF(DB_TBL_DATA_FIELDS[[#This Row],[FIELD_EMPTY_FLAG]],"",DB_TBL_DATA_FIELDS[[#This Row],[FIELD_REQ_FLAG]])</f>
        <v/>
      </c>
      <c r="I34" s="2" t="b">
        <f ca="1">(DB_TBL_DATA_FIELDS[[#This Row],[FIELD_VALUE_RAW]]="")</f>
        <v>1</v>
      </c>
      <c r="J34" s="2" t="s">
        <v>9</v>
      </c>
      <c r="K34" s="1" t="b">
        <f ca="1">AND(IF(DB_TBL_DATA_FIELDS[[#This Row],[FIELD_VALID_CUSTOM_LOGIC]]="",TRUE,DB_TBL_DATA_FIELDS[[#This Row],[FIELD_VALID_CUSTOM_LOGIC]]),DB_TBL_DATA_FIELDS[[#This Row],[RANGE_VALIDATION_PASSED_FLAG]])</f>
        <v>1</v>
      </c>
      <c r="L34"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34" s="1">
        <f ca="1">IF(DB_TBL_DATA_FIELDS[[#This Row],[SHEET_REF_CALC]]="","",IF(DB_TBL_DATA_FIELDS[[#This Row],[FIELD_EMPTY_FLAG]],IF(NOT(DB_TBL_DATA_FIELDS[[#This Row],[FIELD_REQ_FLAG]]),-1,1),IF(NOT(DB_TBL_DATA_FIELDS[[#This Row],[FIELD_VALID_FLAG]]),0,2)))</f>
        <v>-1</v>
      </c>
      <c r="N34" s="1" t="str">
        <f ca="1">IFERROR(VLOOKUP(DB_TBL_DATA_FIELDS[[#This Row],[FIELD_STATUS_CODE]],DB_TBL_CONFIG_FIELDSTATUSCODES[#All],3,FALSE),"")</f>
        <v>Optional</v>
      </c>
      <c r="O34" s="1" t="str">
        <f ca="1">IFERROR(VLOOKUP(DB_TBL_DATA_FIELDS[[#This Row],[FIELD_STATUS_CODE]],DB_TBL_CONFIG_FIELDSTATUSCODES[#All],4,FALSE),"")</f>
        <v xml:space="preserve"> </v>
      </c>
      <c r="P34" s="1" t="b">
        <f>TRUE</f>
        <v>1</v>
      </c>
      <c r="Q34" s="1" t="b">
        <f>TRUE</f>
        <v>1</v>
      </c>
      <c r="R34" s="1" t="s">
        <v>9</v>
      </c>
      <c r="S34" s="1">
        <f ca="1">IF(DB_TBL_DATA_FIELDS[[#This Row],[RANGE_VALIDATION_FLAG]]="Text",LEN(DB_TBL_DATA_FIELDS[[#This Row],[FIELD_VALUE_RAW]]),IFERROR(VALUE(DB_TBL_DATA_FIELDS[[#This Row],[FIELD_VALUE_RAW]]),-1))</f>
        <v>0</v>
      </c>
      <c r="T34" s="1">
        <v>0</v>
      </c>
      <c r="U34" s="1">
        <v>25</v>
      </c>
      <c r="V34" s="1" t="b">
        <f ca="1">IF(NOT(DB_TBL_DATA_FIELDS[[#This Row],[RANGE_VALIDATION_ON_FLAG]]),TRUE,
AND(DB_TBL_DATA_FIELDS[[#This Row],[RANGE_VALUE_LEN]]&gt;=DB_TBL_DATA_FIELDS[[#This Row],[RANGE_VALIDATION_MIN]],DB_TBL_DATA_FIELDS[[#This Row],[RANGE_VALUE_LEN]]&lt;=DB_TBL_DATA_FIELDS[[#This Row],[RANGE_VALIDATION_MAX]]))</f>
        <v>1</v>
      </c>
      <c r="W34" s="1">
        <v>1</v>
      </c>
      <c r="X34" s="1">
        <f ca="1">IF(DB_TBL_DATA_FIELDS[[#This Row],[PCT_CALC_SHOW_STATUS_CODE]]=1,
DB_TBL_DATA_FIELDS[[#This Row],[FIELD_STATUS_CODE]],
IF(AND(DB_TBL_DATA_FIELDS[[#This Row],[PCT_CALC_SHOW_STATUS_CODE]]=2,DB_TBL_DATA_FIELDS[[#This Row],[FIELD_STATUS_CODE]]=0),
DB_TBL_DATA_FIELDS[[#This Row],[FIELD_STATUS_CODE]],
"")
)</f>
        <v>-1</v>
      </c>
    </row>
    <row r="35" spans="1:25" x14ac:dyDescent="0.2">
      <c r="A35" s="232" t="s">
        <v>2854</v>
      </c>
      <c r="B35" s="14" t="str">
        <f>IFERROR(IF(FIND(DATA_EFORM_SHEET_REF,DB_TBL_DATA_FIELDS[[#This Row],[APPLICABLE_EFORM_LIST]])&gt;0,DATA_EFORM_SHEET_REF,""),"")</f>
        <v/>
      </c>
      <c r="C35" s="233" t="s">
        <v>2248</v>
      </c>
      <c r="D35" s="1" t="b">
        <v>1</v>
      </c>
      <c r="E35" s="234" t="b">
        <v>0</v>
      </c>
      <c r="F35" s="2" t="s">
        <v>2279</v>
      </c>
      <c r="G35" s="235"/>
      <c r="H35" s="19" t="str">
        <f>IF(DB_TBL_DATA_FIELDS[[#This Row],[FIELD_EMPTY_FLAG]],"",DB_TBL_DATA_FIELDS[[#This Row],[FIELD_REQ_FLAG]])</f>
        <v/>
      </c>
      <c r="I35" s="2" t="b">
        <f>(DB_TBL_DATA_FIELDS[[#This Row],[FIELD_VALUE_RAW]]="")</f>
        <v>1</v>
      </c>
      <c r="J35" s="2" t="s">
        <v>137</v>
      </c>
      <c r="K35" s="1" t="b">
        <f>AND(IF(DB_TBL_DATA_FIELDS[[#This Row],[FIELD_VALID_CUSTOM_LOGIC]]="",TRUE,DB_TBL_DATA_FIELDS[[#This Row],[FIELD_VALID_CUSTOM_LOGIC]]),DB_TBL_DATA_FIELDS[[#This Row],[RANGE_VALIDATION_PASSED_FLAG]])</f>
        <v>1</v>
      </c>
      <c r="L35" s="2" t="str">
        <f>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35" s="1" t="str">
        <f>IF(DB_TBL_DATA_FIELDS[[#This Row],[SHEET_REF_CALC]]="","",IF(DB_TBL_DATA_FIELDS[[#This Row],[FIELD_EMPTY_FLAG]],IF(NOT(DB_TBL_DATA_FIELDS[[#This Row],[FIELD_REQ_FLAG]]),-1,1),IF(NOT(DB_TBL_DATA_FIELDS[[#This Row],[FIELD_VALID_FLAG]]),0,2)))</f>
        <v/>
      </c>
      <c r="N35" s="1" t="str">
        <f>IFERROR(VLOOKUP(DB_TBL_DATA_FIELDS[[#This Row],[FIELD_STATUS_CODE]],DB_TBL_CONFIG_FIELDSTATUSCODES[#All],3,FALSE),"")</f>
        <v/>
      </c>
      <c r="O35" s="1" t="str">
        <f>IFERROR(VLOOKUP(DB_TBL_DATA_FIELDS[[#This Row],[FIELD_STATUS_CODE]],DB_TBL_CONFIG_FIELDSTATUSCODES[#All],4,FALSE),"")</f>
        <v/>
      </c>
      <c r="P35" s="1" t="b">
        <f>TRUE</f>
        <v>1</v>
      </c>
      <c r="Q35" s="1" t="b">
        <v>0</v>
      </c>
      <c r="S35" s="1">
        <f>IF(DB_TBL_DATA_FIELDS[[#This Row],[RANGE_VALIDATION_FLAG]]="Text",LEN(DB_TBL_DATA_FIELDS[[#This Row],[FIELD_VALUE_RAW]]),IFERROR(VALUE(DB_TBL_DATA_FIELDS[[#This Row],[FIELD_VALUE_RAW]]),-1))</f>
        <v>0</v>
      </c>
      <c r="V35" s="1" t="b">
        <f>IF(NOT(DB_TBL_DATA_FIELDS[[#This Row],[RANGE_VALIDATION_ON_FLAG]]),TRUE,
AND(DB_TBL_DATA_FIELDS[[#This Row],[RANGE_VALUE_LEN]]&gt;=DB_TBL_DATA_FIELDS[[#This Row],[RANGE_VALIDATION_MIN]],DB_TBL_DATA_FIELDS[[#This Row],[RANGE_VALUE_LEN]]&lt;=DB_TBL_DATA_FIELDS[[#This Row],[RANGE_VALIDATION_MAX]]))</f>
        <v>1</v>
      </c>
      <c r="W35" s="1">
        <v>1</v>
      </c>
      <c r="X35" s="1" t="str">
        <f>IF(DB_TBL_DATA_FIELDS[[#This Row],[PCT_CALC_SHOW_STATUS_CODE]]=1,
DB_TBL_DATA_FIELDS[[#This Row],[FIELD_STATUS_CODE]],
IF(AND(DB_TBL_DATA_FIELDS[[#This Row],[PCT_CALC_SHOW_STATUS_CODE]]=2,DB_TBL_DATA_FIELDS[[#This Row],[FIELD_STATUS_CODE]]=0),
DB_TBL_DATA_FIELDS[[#This Row],[FIELD_STATUS_CODE]],
"")
)</f>
        <v/>
      </c>
    </row>
    <row r="36" spans="1:25" x14ac:dyDescent="0.2">
      <c r="A36" s="1" t="s">
        <v>9022</v>
      </c>
      <c r="B36" s="14" t="str">
        <f>IFERROR(IF(FIND(DATA_EFORM_SHEET_REF,DB_TBL_DATA_FIELDS[[#This Row],[APPLICABLE_EFORM_LIST]])&gt;0,DATA_EFORM_SHEET_REF,""),"")</f>
        <v>_</v>
      </c>
      <c r="C36" s="1" t="s">
        <v>2807</v>
      </c>
      <c r="D36" s="1" t="b">
        <v>0</v>
      </c>
      <c r="E36" s="16" t="b">
        <v>0</v>
      </c>
      <c r="F36" s="2" t="s">
        <v>2808</v>
      </c>
      <c r="G36" s="19" t="b">
        <f ca="1">NOT(AND(I31,I32,I33,I34))</f>
        <v>0</v>
      </c>
      <c r="I36" s="2" t="b">
        <f ca="1">(DB_TBL_DATA_FIELDS[[#This Row],[FIELD_VALUE_RAW]]="")</f>
        <v>0</v>
      </c>
      <c r="J36" s="2" t="s">
        <v>9</v>
      </c>
      <c r="K36" s="1" t="b">
        <f>AND(IF(DB_TBL_DATA_FIELDS[[#This Row],[FIELD_VALID_CUSTOM_LOGIC]]="",TRUE,DB_TBL_DATA_FIELDS[[#This Row],[FIELD_VALID_CUSTOM_LOGIC]]),DB_TBL_DATA_FIELDS[[#This Row],[RANGE_VALIDATION_PASSED_FLAG]])</f>
        <v>1</v>
      </c>
      <c r="L36"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FALSE</v>
      </c>
      <c r="M36" s="1">
        <f ca="1">IF(DB_TBL_DATA_FIELDS[[#This Row],[SHEET_REF_CALC]]="","",IF(DB_TBL_DATA_FIELDS[[#This Row],[FIELD_EMPTY_FLAG]],IF(NOT(DB_TBL_DATA_FIELDS[[#This Row],[FIELD_REQ_FLAG]]),-1,1),IF(NOT(DB_TBL_DATA_FIELDS[[#This Row],[FIELD_VALID_FLAG]]),0,2)))</f>
        <v>2</v>
      </c>
      <c r="N36" s="1" t="str">
        <f ca="1">IFERROR(VLOOKUP(DB_TBL_DATA_FIELDS[[#This Row],[FIELD_STATUS_CODE]],DB_TBL_CONFIG_FIELDSTATUSCODES[#All],3,FALSE),"")</f>
        <v>OK</v>
      </c>
      <c r="O36" s="1" t="str">
        <f ca="1">IFERROR(VLOOKUP(DB_TBL_DATA_FIELDS[[#This Row],[FIELD_STATUS_CODE]],DB_TBL_CONFIG_FIELDSTATUSCODES[#All],4,FALSE),"")</f>
        <v>a</v>
      </c>
      <c r="P36" s="1" t="b">
        <f>TRUE</f>
        <v>1</v>
      </c>
      <c r="Q36" s="1" t="b">
        <v>0</v>
      </c>
      <c r="S36" s="1">
        <f ca="1">IF(DB_TBL_DATA_FIELDS[[#This Row],[RANGE_VALIDATION_FLAG]]="Text",LEN(DB_TBL_DATA_FIELDS[[#This Row],[FIELD_VALUE_RAW]]),IFERROR(VALUE(DB_TBL_DATA_FIELDS[[#This Row],[FIELD_VALUE_RAW]]),-1))</f>
        <v>-1</v>
      </c>
      <c r="V36" s="1" t="b">
        <f>IF(NOT(DB_TBL_DATA_FIELDS[[#This Row],[RANGE_VALIDATION_ON_FLAG]]),TRUE,
AND(DB_TBL_DATA_FIELDS[[#This Row],[RANGE_VALUE_LEN]]&gt;=DB_TBL_DATA_FIELDS[[#This Row],[RANGE_VALIDATION_MIN]],DB_TBL_DATA_FIELDS[[#This Row],[RANGE_VALUE_LEN]]&lt;=DB_TBL_DATA_FIELDS[[#This Row],[RANGE_VALIDATION_MAX]]))</f>
        <v>1</v>
      </c>
      <c r="W36" s="1">
        <v>0</v>
      </c>
      <c r="X36" s="1" t="str">
        <f ca="1">IF(DB_TBL_DATA_FIELDS[[#This Row],[PCT_CALC_SHOW_STATUS_CODE]]=1,
DB_TBL_DATA_FIELDS[[#This Row],[FIELD_STATUS_CODE]],
IF(AND(DB_TBL_DATA_FIELDS[[#This Row],[PCT_CALC_SHOW_STATUS_CODE]]=2,DB_TBL_DATA_FIELDS[[#This Row],[FIELD_STATUS_CODE]]=0),
DB_TBL_DATA_FIELDS[[#This Row],[FIELD_STATUS_CODE]],
"")
)</f>
        <v/>
      </c>
      <c r="Y36" s="1" t="str">
        <f ca="1">IF(DB_TBL_DATA_FIELDS[[#This Row],[FIELD_STATUS_CODE]]=0,IF(NOT(DB_TBL_DATA_FIELDS[[#This Row],[FIELD_VALID_CUSTOM_LOGIC]]),
IF(IFERROR(SEARCH(".",RIGHT(DB_TBL_DATA_FIELDS[[#This Row],[FIELD_VALUE_RAW]],2)),0)&gt;0,"Invalid Domain Extension",
 IF(IFERROR(SEARCH("@",DB_TBL_DATA_FIELDS[[#This Row],[FIELD_VALUE_RAW]]),0)=0,"Missing '@' In Address",
  IF(IFERROR(SEARCH(".",DB_TBL_DATA_FIELDS[[#This Row],[FIELD_VALUE_RAW]],(SEARCH("@",DB_TBL_DATA_FIELDS[[#This Row],[FIELD_VALUE_RAW]],1))+2),0)=0,"Invalid Domain Name","Invalid Email Address")))),"")</f>
        <v/>
      </c>
    </row>
    <row r="37" spans="1:25" x14ac:dyDescent="0.2">
      <c r="A37" s="1" t="s">
        <v>9022</v>
      </c>
      <c r="B37" s="14" t="str">
        <f>IFERROR(IF(FIND(DATA_EFORM_SHEET_REF,DB_TBL_DATA_FIELDS[[#This Row],[APPLICABLE_EFORM_LIST]])&gt;0,DATA_EFORM_SHEET_REF,""),"")</f>
        <v>_</v>
      </c>
      <c r="C37" s="1" t="s">
        <v>2245</v>
      </c>
      <c r="D37" s="1" t="b">
        <v>1</v>
      </c>
      <c r="E37" s="16" t="b">
        <v>0</v>
      </c>
      <c r="F37" s="2" t="s">
        <v>2266</v>
      </c>
      <c r="G37" s="2" t="str">
        <f ca="1">IFERROR(VLOOKUP(DB_TBL_DATA_FIELDS[[#This Row],[FIELD_ID]],INDIRECT(DB_TBL_DATA_FIELDS[[#This Row],[SHEET_REF_CALC]]&amp;"!A:B"),2,FALSE),"")</f>
        <v/>
      </c>
      <c r="I37" s="2" t="b">
        <f ca="1">(DB_TBL_DATA_FIELDS[[#This Row],[FIELD_VALUE_RAW]]="")</f>
        <v>1</v>
      </c>
      <c r="J37" s="2" t="s">
        <v>9</v>
      </c>
      <c r="K37" s="1" t="b">
        <f ca="1">AND(IF(DB_TBL_DATA_FIELDS[[#This Row],[FIELD_VALID_CUSTOM_LOGIC]]="",TRUE,DB_TBL_DATA_FIELDS[[#This Row],[FIELD_VALID_CUSTOM_LOGIC]]),DB_TBL_DATA_FIELDS[[#This Row],[RANGE_VALIDATION_PASSED_FLAG]])</f>
        <v>1</v>
      </c>
      <c r="L37"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37" s="1">
        <f ca="1">IF(DB_TBL_DATA_FIELDS[[#This Row],[SHEET_REF_CALC]]="","",IF(DB_TBL_DATA_FIELDS[[#This Row],[FIELD_EMPTY_FLAG]],IF(NOT(DB_TBL_DATA_FIELDS[[#This Row],[FIELD_REQ_FLAG]]),-1,1),IF(NOT(DB_TBL_DATA_FIELDS[[#This Row],[FIELD_VALID_FLAG]]),0,2)))</f>
        <v>-1</v>
      </c>
      <c r="N37" s="1" t="str">
        <f ca="1">IFERROR(VLOOKUP(DB_TBL_DATA_FIELDS[[#This Row],[FIELD_STATUS_CODE]],DB_TBL_CONFIG_FIELDSTATUSCODES[#All],3,FALSE),"")</f>
        <v>Optional</v>
      </c>
      <c r="O37" s="1" t="str">
        <f ca="1">IFERROR(VLOOKUP(DB_TBL_DATA_FIELDS[[#This Row],[FIELD_STATUS_CODE]],DB_TBL_CONFIG_FIELDSTATUSCODES[#All],4,FALSE),"")</f>
        <v xml:space="preserve"> </v>
      </c>
      <c r="P37" s="1" t="b">
        <f>TRUE</f>
        <v>1</v>
      </c>
      <c r="Q37" s="1" t="b">
        <f>TRUE</f>
        <v>1</v>
      </c>
      <c r="R37" s="1" t="s">
        <v>9</v>
      </c>
      <c r="S37" s="1">
        <f ca="1">IF(DB_TBL_DATA_FIELDS[[#This Row],[RANGE_VALIDATION_FLAG]]="Text",LEN(DB_TBL_DATA_FIELDS[[#This Row],[FIELD_VALUE_RAW]]),IFERROR(VALUE(DB_TBL_DATA_FIELDS[[#This Row],[FIELD_VALUE_RAW]]),-1))</f>
        <v>0</v>
      </c>
      <c r="T37" s="1">
        <v>0</v>
      </c>
      <c r="U37" s="1">
        <v>10</v>
      </c>
      <c r="V37" s="1" t="b">
        <f ca="1">IF(NOT(DB_TBL_DATA_FIELDS[[#This Row],[RANGE_VALIDATION_ON_FLAG]]),TRUE,
AND(DB_TBL_DATA_FIELDS[[#This Row],[RANGE_VALUE_LEN]]&gt;=DB_TBL_DATA_FIELDS[[#This Row],[RANGE_VALIDATION_MIN]],DB_TBL_DATA_FIELDS[[#This Row],[RANGE_VALUE_LEN]]&lt;=DB_TBL_DATA_FIELDS[[#This Row],[RANGE_VALIDATION_MAX]]))</f>
        <v>1</v>
      </c>
      <c r="W37" s="1">
        <v>1</v>
      </c>
      <c r="X37" s="1">
        <f ca="1">IF(DB_TBL_DATA_FIELDS[[#This Row],[PCT_CALC_SHOW_STATUS_CODE]]=1,
DB_TBL_DATA_FIELDS[[#This Row],[FIELD_STATUS_CODE]],
IF(AND(DB_TBL_DATA_FIELDS[[#This Row],[PCT_CALC_SHOW_STATUS_CODE]]=2,DB_TBL_DATA_FIELDS[[#This Row],[FIELD_STATUS_CODE]]=0),
DB_TBL_DATA_FIELDS[[#This Row],[FIELD_STATUS_CODE]],
"")
)</f>
        <v>-1</v>
      </c>
    </row>
    <row r="38" spans="1:25" x14ac:dyDescent="0.2">
      <c r="A38" s="1" t="s">
        <v>9022</v>
      </c>
      <c r="B38" s="14" t="str">
        <f>IFERROR(IF(FIND(DATA_EFORM_SHEET_REF,DB_TBL_DATA_FIELDS[[#This Row],[APPLICABLE_EFORM_LIST]])&gt;0,DATA_EFORM_SHEET_REF,""),"")</f>
        <v>_</v>
      </c>
      <c r="C38" s="1" t="s">
        <v>2246</v>
      </c>
      <c r="D38" s="1" t="b">
        <v>1</v>
      </c>
      <c r="E38" s="81" t="b">
        <f ca="1">DATA_THRD_BORW_STARTED_FLAG</f>
        <v>0</v>
      </c>
      <c r="F38" s="2" t="s">
        <v>2267</v>
      </c>
      <c r="G38" s="2" t="str">
        <f ca="1">IFERROR(VLOOKUP(DB_TBL_DATA_FIELDS[[#This Row],[FIELD_ID]],INDIRECT(DB_TBL_DATA_FIELDS[[#This Row],[SHEET_REF_CALC]]&amp;"!A:B"),2,FALSE),"")</f>
        <v/>
      </c>
      <c r="I38" s="2" t="b">
        <f ca="1">(DB_TBL_DATA_FIELDS[[#This Row],[FIELD_VALUE_RAW]]="")</f>
        <v>1</v>
      </c>
      <c r="J38" s="2" t="s">
        <v>9</v>
      </c>
      <c r="K38" s="1" t="b">
        <f ca="1">AND(IF(DB_TBL_DATA_FIELDS[[#This Row],[FIELD_VALID_CUSTOM_LOGIC]]="",TRUE,DB_TBL_DATA_FIELDS[[#This Row],[FIELD_VALID_CUSTOM_LOGIC]]),DB_TBL_DATA_FIELDS[[#This Row],[RANGE_VALIDATION_PASSED_FLAG]])</f>
        <v>1</v>
      </c>
      <c r="L38"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38" s="1">
        <f ca="1">IF(DB_TBL_DATA_FIELDS[[#This Row],[SHEET_REF_CALC]]="","",IF(DB_TBL_DATA_FIELDS[[#This Row],[FIELD_EMPTY_FLAG]],IF(NOT(DB_TBL_DATA_FIELDS[[#This Row],[FIELD_REQ_FLAG]]),-1,1),IF(NOT(DB_TBL_DATA_FIELDS[[#This Row],[FIELD_VALID_FLAG]]),0,2)))</f>
        <v>-1</v>
      </c>
      <c r="N38" s="1" t="str">
        <f ca="1">IFERROR(VLOOKUP(DB_TBL_DATA_FIELDS[[#This Row],[FIELD_STATUS_CODE]],DB_TBL_CONFIG_FIELDSTATUSCODES[#All],3,FALSE),"")</f>
        <v>Optional</v>
      </c>
      <c r="O38" s="1" t="str">
        <f ca="1">IFERROR(VLOOKUP(DB_TBL_DATA_FIELDS[[#This Row],[FIELD_STATUS_CODE]],DB_TBL_CONFIG_FIELDSTATUSCODES[#All],4,FALSE),"")</f>
        <v xml:space="preserve"> </v>
      </c>
      <c r="P38" s="1" t="b">
        <f>TRUE</f>
        <v>1</v>
      </c>
      <c r="Q38" s="1" t="b">
        <f>TRUE</f>
        <v>1</v>
      </c>
      <c r="R38" s="1" t="s">
        <v>9</v>
      </c>
      <c r="S38" s="1">
        <f ca="1">IF(DB_TBL_DATA_FIELDS[[#This Row],[RANGE_VALIDATION_FLAG]]="Text",LEN(DB_TBL_DATA_FIELDS[[#This Row],[FIELD_VALUE_RAW]]),IFERROR(VALUE(DB_TBL_DATA_FIELDS[[#This Row],[FIELD_VALUE_RAW]]),-1))</f>
        <v>0</v>
      </c>
      <c r="T38" s="1">
        <v>0</v>
      </c>
      <c r="U38" s="1">
        <v>30</v>
      </c>
      <c r="V38" s="1" t="b">
        <f ca="1">IF(NOT(DB_TBL_DATA_FIELDS[[#This Row],[RANGE_VALIDATION_ON_FLAG]]),TRUE,
AND(DB_TBL_DATA_FIELDS[[#This Row],[RANGE_VALUE_LEN]]&gt;=DB_TBL_DATA_FIELDS[[#This Row],[RANGE_VALIDATION_MIN]],DB_TBL_DATA_FIELDS[[#This Row],[RANGE_VALUE_LEN]]&lt;=DB_TBL_DATA_FIELDS[[#This Row],[RANGE_VALIDATION_MAX]]))</f>
        <v>1</v>
      </c>
      <c r="W38" s="1">
        <v>1</v>
      </c>
      <c r="X38" s="1">
        <f ca="1">IF(DB_TBL_DATA_FIELDS[[#This Row],[PCT_CALC_SHOW_STATUS_CODE]]=1,
DB_TBL_DATA_FIELDS[[#This Row],[FIELD_STATUS_CODE]],
IF(AND(DB_TBL_DATA_FIELDS[[#This Row],[PCT_CALC_SHOW_STATUS_CODE]]=2,DB_TBL_DATA_FIELDS[[#This Row],[FIELD_STATUS_CODE]]=0),
DB_TBL_DATA_FIELDS[[#This Row],[FIELD_STATUS_CODE]],
"")
)</f>
        <v>-1</v>
      </c>
    </row>
    <row r="39" spans="1:25" x14ac:dyDescent="0.2">
      <c r="A39" s="1" t="s">
        <v>9022</v>
      </c>
      <c r="B39" s="14" t="str">
        <f>IFERROR(IF(FIND(DATA_EFORM_SHEET_REF,DB_TBL_DATA_FIELDS[[#This Row],[APPLICABLE_EFORM_LIST]])&gt;0,DATA_EFORM_SHEET_REF,""),"")</f>
        <v>_</v>
      </c>
      <c r="C39" s="1" t="s">
        <v>2251</v>
      </c>
      <c r="D39" s="1" t="b">
        <v>1</v>
      </c>
      <c r="E39" s="81" t="b">
        <f ca="1">DATA_THRD_BORW_STARTED_FLAG</f>
        <v>0</v>
      </c>
      <c r="F39" s="2" t="s">
        <v>2268</v>
      </c>
      <c r="G39" s="2" t="str">
        <f ca="1">IFERROR(VLOOKUP(DB_TBL_DATA_FIELDS[[#This Row],[FIELD_ID]],INDIRECT(DB_TBL_DATA_FIELDS[[#This Row],[SHEET_REF_CALC]]&amp;"!A:B"),2,FALSE),"")</f>
        <v/>
      </c>
      <c r="I39" s="2" t="b">
        <f ca="1">(DB_TBL_DATA_FIELDS[[#This Row],[FIELD_VALUE_RAW]]="")</f>
        <v>1</v>
      </c>
      <c r="J39" s="2" t="s">
        <v>9</v>
      </c>
      <c r="K39" s="1" t="b">
        <f ca="1">AND(IF(DB_TBL_DATA_FIELDS[[#This Row],[FIELD_VALID_CUSTOM_LOGIC]]="",TRUE,DB_TBL_DATA_FIELDS[[#This Row],[FIELD_VALID_CUSTOM_LOGIC]]),DB_TBL_DATA_FIELDS[[#This Row],[RANGE_VALIDATION_PASSED_FLAG]])</f>
        <v>1</v>
      </c>
      <c r="L39"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39" s="1">
        <f ca="1">IF(DB_TBL_DATA_FIELDS[[#This Row],[SHEET_REF_CALC]]="","",IF(DB_TBL_DATA_FIELDS[[#This Row],[FIELD_EMPTY_FLAG]],IF(NOT(DB_TBL_DATA_FIELDS[[#This Row],[FIELD_REQ_FLAG]]),-1,1),IF(NOT(DB_TBL_DATA_FIELDS[[#This Row],[FIELD_VALID_FLAG]]),0,2)))</f>
        <v>-1</v>
      </c>
      <c r="N39" s="1" t="str">
        <f ca="1">IFERROR(VLOOKUP(DB_TBL_DATA_FIELDS[[#This Row],[FIELD_STATUS_CODE]],DB_TBL_CONFIG_FIELDSTATUSCODES[#All],3,FALSE),"")</f>
        <v>Optional</v>
      </c>
      <c r="O39" s="1" t="str">
        <f ca="1">IFERROR(VLOOKUP(DB_TBL_DATA_FIELDS[[#This Row],[FIELD_STATUS_CODE]],DB_TBL_CONFIG_FIELDSTATUSCODES[#All],4,FALSE),"")</f>
        <v xml:space="preserve"> </v>
      </c>
      <c r="P39" s="1" t="b">
        <f>TRUE</f>
        <v>1</v>
      </c>
      <c r="Q39" s="1" t="b">
        <f>TRUE</f>
        <v>1</v>
      </c>
      <c r="R39" s="1" t="s">
        <v>9</v>
      </c>
      <c r="S39" s="1">
        <f ca="1">IF(DB_TBL_DATA_FIELDS[[#This Row],[RANGE_VALIDATION_FLAG]]="Text",LEN(DB_TBL_DATA_FIELDS[[#This Row],[FIELD_VALUE_RAW]]),IFERROR(VALUE(DB_TBL_DATA_FIELDS[[#This Row],[FIELD_VALUE_RAW]]),-1))</f>
        <v>0</v>
      </c>
      <c r="T39" s="1">
        <v>0</v>
      </c>
      <c r="U39" s="1">
        <v>30</v>
      </c>
      <c r="V39" s="1" t="b">
        <f ca="1">IF(NOT(DB_TBL_DATA_FIELDS[[#This Row],[RANGE_VALIDATION_ON_FLAG]]),TRUE,
AND(DB_TBL_DATA_FIELDS[[#This Row],[RANGE_VALUE_LEN]]&gt;=DB_TBL_DATA_FIELDS[[#This Row],[RANGE_VALIDATION_MIN]],DB_TBL_DATA_FIELDS[[#This Row],[RANGE_VALUE_LEN]]&lt;=DB_TBL_DATA_FIELDS[[#This Row],[RANGE_VALIDATION_MAX]]))</f>
        <v>1</v>
      </c>
      <c r="W39" s="1">
        <v>1</v>
      </c>
      <c r="X39" s="1">
        <f ca="1">IF(DB_TBL_DATA_FIELDS[[#This Row],[PCT_CALC_SHOW_STATUS_CODE]]=1,
DB_TBL_DATA_FIELDS[[#This Row],[FIELD_STATUS_CODE]],
IF(AND(DB_TBL_DATA_FIELDS[[#This Row],[PCT_CALC_SHOW_STATUS_CODE]]=2,DB_TBL_DATA_FIELDS[[#This Row],[FIELD_STATUS_CODE]]=0),
DB_TBL_DATA_FIELDS[[#This Row],[FIELD_STATUS_CODE]],
"")
)</f>
        <v>-1</v>
      </c>
    </row>
    <row r="40" spans="1:25" x14ac:dyDescent="0.2">
      <c r="A40" s="1" t="s">
        <v>9022</v>
      </c>
      <c r="B40" s="14" t="str">
        <f>IFERROR(IF(FIND(DATA_EFORM_SHEET_REF,DB_TBL_DATA_FIELDS[[#This Row],[APPLICABLE_EFORM_LIST]])&gt;0,DATA_EFORM_SHEET_REF,""),"")</f>
        <v>_</v>
      </c>
      <c r="C40" s="1" t="s">
        <v>2249</v>
      </c>
      <c r="D40" s="1" t="b">
        <v>1</v>
      </c>
      <c r="E40" s="81" t="b">
        <f ca="1">DATA_THRD_BORW_STARTED_FLAG</f>
        <v>0</v>
      </c>
      <c r="F40" s="2" t="s">
        <v>2280</v>
      </c>
      <c r="G40" s="2" t="str">
        <f ca="1">IFERROR(VLOOKUP(DB_TBL_DATA_FIELDS[[#This Row],[FIELD_ID]],INDIRECT(DB_TBL_DATA_FIELDS[[#This Row],[SHEET_REF_CALC]]&amp;"!A:B"),2,FALSE),"")</f>
        <v/>
      </c>
      <c r="H40" s="19" t="str">
        <f ca="1">IF(DB_TBL_DATA_FIELDS[[#This Row],[FIELD_EMPTY_FLAG]],"",DB_TBL_DATA_FIELDS[[#This Row],[FIELD_REQ_FLAG]])</f>
        <v/>
      </c>
      <c r="I40" s="2" t="b">
        <f ca="1">(DB_TBL_DATA_FIELDS[[#This Row],[FIELD_VALUE_RAW]]="")</f>
        <v>1</v>
      </c>
      <c r="J40" s="2" t="s">
        <v>9</v>
      </c>
      <c r="K40" s="1" t="b">
        <f ca="1">AND(IF(DB_TBL_DATA_FIELDS[[#This Row],[FIELD_VALID_CUSTOM_LOGIC]]="",TRUE,DB_TBL_DATA_FIELDS[[#This Row],[FIELD_VALID_CUSTOM_LOGIC]]),DB_TBL_DATA_FIELDS[[#This Row],[RANGE_VALIDATION_PASSED_FLAG]])</f>
        <v>1</v>
      </c>
      <c r="L40"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40" s="1">
        <f ca="1">IF(DB_TBL_DATA_FIELDS[[#This Row],[SHEET_REF_CALC]]="","",IF(DB_TBL_DATA_FIELDS[[#This Row],[FIELD_EMPTY_FLAG]],IF(NOT(DB_TBL_DATA_FIELDS[[#This Row],[FIELD_REQ_FLAG]]),-1,1),IF(NOT(DB_TBL_DATA_FIELDS[[#This Row],[FIELD_VALID_FLAG]]),0,2)))</f>
        <v>-1</v>
      </c>
      <c r="N40" s="1" t="str">
        <f ca="1">IFERROR(VLOOKUP(DB_TBL_DATA_FIELDS[[#This Row],[FIELD_STATUS_CODE]],DB_TBL_CONFIG_FIELDSTATUSCODES[#All],3,FALSE),"")</f>
        <v>Optional</v>
      </c>
      <c r="O40" s="1" t="str">
        <f ca="1">IFERROR(VLOOKUP(DB_TBL_DATA_FIELDS[[#This Row],[FIELD_STATUS_CODE]],DB_TBL_CONFIG_FIELDSTATUSCODES[#All],4,FALSE),"")</f>
        <v xml:space="preserve"> </v>
      </c>
      <c r="P40" s="1" t="b">
        <f>TRUE</f>
        <v>1</v>
      </c>
      <c r="Q40" s="1" t="b">
        <f>TRUE</f>
        <v>1</v>
      </c>
      <c r="R40" s="1" t="s">
        <v>9</v>
      </c>
      <c r="S40" s="1">
        <f ca="1">IF(DB_TBL_DATA_FIELDS[[#This Row],[RANGE_VALIDATION_FLAG]]="Text",LEN(DB_TBL_DATA_FIELDS[[#This Row],[FIELD_VALUE_RAW]]),IFERROR(VALUE(DB_TBL_DATA_FIELDS[[#This Row],[FIELD_VALUE_RAW]]),-1))</f>
        <v>0</v>
      </c>
      <c r="T40" s="1">
        <v>0</v>
      </c>
      <c r="U40" s="1">
        <v>25</v>
      </c>
      <c r="V40" s="1" t="b">
        <f ca="1">IF(NOT(DB_TBL_DATA_FIELDS[[#This Row],[RANGE_VALIDATION_ON_FLAG]]),TRUE,
AND(DB_TBL_DATA_FIELDS[[#This Row],[RANGE_VALUE_LEN]]&gt;=DB_TBL_DATA_FIELDS[[#This Row],[RANGE_VALIDATION_MIN]],DB_TBL_DATA_FIELDS[[#This Row],[RANGE_VALUE_LEN]]&lt;=DB_TBL_DATA_FIELDS[[#This Row],[RANGE_VALIDATION_MAX]]))</f>
        <v>1</v>
      </c>
      <c r="W40" s="1">
        <v>1</v>
      </c>
      <c r="X40" s="1">
        <f ca="1">IF(DB_TBL_DATA_FIELDS[[#This Row],[PCT_CALC_SHOW_STATUS_CODE]]=1,
DB_TBL_DATA_FIELDS[[#This Row],[FIELD_STATUS_CODE]],
IF(AND(DB_TBL_DATA_FIELDS[[#This Row],[PCT_CALC_SHOW_STATUS_CODE]]=2,DB_TBL_DATA_FIELDS[[#This Row],[FIELD_STATUS_CODE]]=0),
DB_TBL_DATA_FIELDS[[#This Row],[FIELD_STATUS_CODE]],
"")
)</f>
        <v>-1</v>
      </c>
    </row>
    <row r="41" spans="1:25" x14ac:dyDescent="0.2">
      <c r="A41" s="232" t="s">
        <v>2854</v>
      </c>
      <c r="B41" s="14" t="str">
        <f>IFERROR(IF(FIND(DATA_EFORM_SHEET_REF,DB_TBL_DATA_FIELDS[[#This Row],[APPLICABLE_EFORM_LIST]])&gt;0,DATA_EFORM_SHEET_REF,""),"")</f>
        <v/>
      </c>
      <c r="C41" s="233" t="s">
        <v>2250</v>
      </c>
      <c r="D41" s="1" t="b">
        <v>1</v>
      </c>
      <c r="E41" s="234" t="b">
        <v>0</v>
      </c>
      <c r="F41" s="2" t="s">
        <v>2281</v>
      </c>
      <c r="G41" s="235"/>
      <c r="H41" s="19" t="str">
        <f>IF(DB_TBL_DATA_FIELDS[[#This Row],[FIELD_EMPTY_FLAG]],"",DB_TBL_DATA_FIELDS[[#This Row],[FIELD_REQ_FLAG]])</f>
        <v/>
      </c>
      <c r="I41" s="2" t="b">
        <f>(DB_TBL_DATA_FIELDS[[#This Row],[FIELD_VALUE_RAW]]="")</f>
        <v>1</v>
      </c>
      <c r="J41" s="2" t="s">
        <v>137</v>
      </c>
      <c r="K41" s="1" t="b">
        <f>AND(IF(DB_TBL_DATA_FIELDS[[#This Row],[FIELD_VALID_CUSTOM_LOGIC]]="",TRUE,DB_TBL_DATA_FIELDS[[#This Row],[FIELD_VALID_CUSTOM_LOGIC]]),DB_TBL_DATA_FIELDS[[#This Row],[RANGE_VALIDATION_PASSED_FLAG]])</f>
        <v>1</v>
      </c>
      <c r="L41" s="2" t="str">
        <f>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41" s="1" t="str">
        <f>IF(DB_TBL_DATA_FIELDS[[#This Row],[SHEET_REF_CALC]]="","",IF(DB_TBL_DATA_FIELDS[[#This Row],[FIELD_EMPTY_FLAG]],IF(NOT(DB_TBL_DATA_FIELDS[[#This Row],[FIELD_REQ_FLAG]]),-1,1),IF(NOT(DB_TBL_DATA_FIELDS[[#This Row],[FIELD_VALID_FLAG]]),0,2)))</f>
        <v/>
      </c>
      <c r="N41" s="1" t="str">
        <f>IFERROR(VLOOKUP(DB_TBL_DATA_FIELDS[[#This Row],[FIELD_STATUS_CODE]],DB_TBL_CONFIG_FIELDSTATUSCODES[#All],3,FALSE),"")</f>
        <v/>
      </c>
      <c r="O41" s="1" t="str">
        <f>IFERROR(VLOOKUP(DB_TBL_DATA_FIELDS[[#This Row],[FIELD_STATUS_CODE]],DB_TBL_CONFIG_FIELDSTATUSCODES[#All],4,FALSE),"")</f>
        <v/>
      </c>
      <c r="P41" s="1" t="b">
        <f>TRUE</f>
        <v>1</v>
      </c>
      <c r="Q41" s="1" t="b">
        <v>0</v>
      </c>
      <c r="S41" s="1">
        <f>IF(DB_TBL_DATA_FIELDS[[#This Row],[RANGE_VALIDATION_FLAG]]="Text",LEN(DB_TBL_DATA_FIELDS[[#This Row],[FIELD_VALUE_RAW]]),IFERROR(VALUE(DB_TBL_DATA_FIELDS[[#This Row],[FIELD_VALUE_RAW]]),-1))</f>
        <v>0</v>
      </c>
      <c r="V41" s="1" t="b">
        <f>IF(NOT(DB_TBL_DATA_FIELDS[[#This Row],[RANGE_VALIDATION_ON_FLAG]]),TRUE,
AND(DB_TBL_DATA_FIELDS[[#This Row],[RANGE_VALUE_LEN]]&gt;=DB_TBL_DATA_FIELDS[[#This Row],[RANGE_VALIDATION_MIN]],DB_TBL_DATA_FIELDS[[#This Row],[RANGE_VALUE_LEN]]&lt;=DB_TBL_DATA_FIELDS[[#This Row],[RANGE_VALIDATION_MAX]]))</f>
        <v>1</v>
      </c>
      <c r="W41" s="1">
        <v>1</v>
      </c>
      <c r="X41" s="1" t="str">
        <f>IF(DB_TBL_DATA_FIELDS[[#This Row],[PCT_CALC_SHOW_STATUS_CODE]]=1,
DB_TBL_DATA_FIELDS[[#This Row],[FIELD_STATUS_CODE]],
IF(AND(DB_TBL_DATA_FIELDS[[#This Row],[PCT_CALC_SHOW_STATUS_CODE]]=2,DB_TBL_DATA_FIELDS[[#This Row],[FIELD_STATUS_CODE]]=0),
DB_TBL_DATA_FIELDS[[#This Row],[FIELD_STATUS_CODE]],
"")
)</f>
        <v/>
      </c>
    </row>
    <row r="42" spans="1:25" x14ac:dyDescent="0.2">
      <c r="A42" s="1" t="s">
        <v>9022</v>
      </c>
      <c r="B42" s="14" t="str">
        <f>IFERROR(IF(FIND(DATA_EFORM_SHEET_REF,DB_TBL_DATA_FIELDS[[#This Row],[APPLICABLE_EFORM_LIST]])&gt;0,DATA_EFORM_SHEET_REF,""),"")</f>
        <v>_</v>
      </c>
      <c r="C42" s="1" t="s">
        <v>2809</v>
      </c>
      <c r="D42" s="1" t="b">
        <v>0</v>
      </c>
      <c r="E42" s="16" t="b">
        <v>0</v>
      </c>
      <c r="F42" s="2" t="s">
        <v>2808</v>
      </c>
      <c r="G42" s="19" t="b">
        <f ca="1">NOT(AND(I37,I38,I39,I40))</f>
        <v>0</v>
      </c>
      <c r="I42" s="2" t="b">
        <f ca="1">(DB_TBL_DATA_FIELDS[[#This Row],[FIELD_VALUE_RAW]]="")</f>
        <v>0</v>
      </c>
      <c r="J42" s="2" t="s">
        <v>9</v>
      </c>
      <c r="K42" s="1" t="b">
        <f>AND(IF(DB_TBL_DATA_FIELDS[[#This Row],[FIELD_VALID_CUSTOM_LOGIC]]="",TRUE,DB_TBL_DATA_FIELDS[[#This Row],[FIELD_VALID_CUSTOM_LOGIC]]),DB_TBL_DATA_FIELDS[[#This Row],[RANGE_VALIDATION_PASSED_FLAG]])</f>
        <v>1</v>
      </c>
      <c r="L42"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FALSE</v>
      </c>
      <c r="M42" s="1">
        <f ca="1">IF(DB_TBL_DATA_FIELDS[[#This Row],[SHEET_REF_CALC]]="","",IF(DB_TBL_DATA_FIELDS[[#This Row],[FIELD_EMPTY_FLAG]],IF(NOT(DB_TBL_DATA_FIELDS[[#This Row],[FIELD_REQ_FLAG]]),-1,1),IF(NOT(DB_TBL_DATA_FIELDS[[#This Row],[FIELD_VALID_FLAG]]),0,2)))</f>
        <v>2</v>
      </c>
      <c r="N42" s="1" t="str">
        <f ca="1">IFERROR(VLOOKUP(DB_TBL_DATA_FIELDS[[#This Row],[FIELD_STATUS_CODE]],DB_TBL_CONFIG_FIELDSTATUSCODES[#All],3,FALSE),"")</f>
        <v>OK</v>
      </c>
      <c r="O42" s="1" t="str">
        <f ca="1">IFERROR(VLOOKUP(DB_TBL_DATA_FIELDS[[#This Row],[FIELD_STATUS_CODE]],DB_TBL_CONFIG_FIELDSTATUSCODES[#All],4,FALSE),"")</f>
        <v>a</v>
      </c>
      <c r="P42" s="1" t="b">
        <f>TRUE</f>
        <v>1</v>
      </c>
      <c r="Q42" s="1" t="b">
        <v>0</v>
      </c>
      <c r="S42" s="1">
        <f ca="1">IF(DB_TBL_DATA_FIELDS[[#This Row],[RANGE_VALIDATION_FLAG]]="Text",LEN(DB_TBL_DATA_FIELDS[[#This Row],[FIELD_VALUE_RAW]]),IFERROR(VALUE(DB_TBL_DATA_FIELDS[[#This Row],[FIELD_VALUE_RAW]]),-1))</f>
        <v>-1</v>
      </c>
      <c r="V42" s="1" t="b">
        <f>IF(NOT(DB_TBL_DATA_FIELDS[[#This Row],[RANGE_VALIDATION_ON_FLAG]]),TRUE,
AND(DB_TBL_DATA_FIELDS[[#This Row],[RANGE_VALUE_LEN]]&gt;=DB_TBL_DATA_FIELDS[[#This Row],[RANGE_VALIDATION_MIN]],DB_TBL_DATA_FIELDS[[#This Row],[RANGE_VALUE_LEN]]&lt;=DB_TBL_DATA_FIELDS[[#This Row],[RANGE_VALIDATION_MAX]]))</f>
        <v>1</v>
      </c>
      <c r="W42" s="1">
        <v>0</v>
      </c>
      <c r="X42" s="1" t="str">
        <f ca="1">IF(DB_TBL_DATA_FIELDS[[#This Row],[PCT_CALC_SHOW_STATUS_CODE]]=1,
DB_TBL_DATA_FIELDS[[#This Row],[FIELD_STATUS_CODE]],
IF(AND(DB_TBL_DATA_FIELDS[[#This Row],[PCT_CALC_SHOW_STATUS_CODE]]=2,DB_TBL_DATA_FIELDS[[#This Row],[FIELD_STATUS_CODE]]=0),
DB_TBL_DATA_FIELDS[[#This Row],[FIELD_STATUS_CODE]],
"")
)</f>
        <v/>
      </c>
      <c r="Y42" s="1" t="str">
        <f ca="1">IF(DB_TBL_DATA_FIELDS[[#This Row],[FIELD_STATUS_CODE]]=0,IF(NOT(DB_TBL_DATA_FIELDS[[#This Row],[FIELD_VALID_CUSTOM_LOGIC]]),
IF(IFERROR(SEARCH(".",RIGHT(DB_TBL_DATA_FIELDS[[#This Row],[FIELD_VALUE_RAW]],2)),0)&gt;0,"Invalid Domain Extension",
 IF(IFERROR(SEARCH("@",DB_TBL_DATA_FIELDS[[#This Row],[FIELD_VALUE_RAW]]),0)=0,"Missing '@' In Address",
  IF(IFERROR(SEARCH(".",DB_TBL_DATA_FIELDS[[#This Row],[FIELD_VALUE_RAW]],(SEARCH("@",DB_TBL_DATA_FIELDS[[#This Row],[FIELD_VALUE_RAW]],1))+2),0)=0,"Invalid Domain Name","Invalid Email Address")))),"")</f>
        <v/>
      </c>
    </row>
    <row r="43" spans="1:25" x14ac:dyDescent="0.2">
      <c r="A43" s="1" t="s">
        <v>9022</v>
      </c>
      <c r="B43" s="14" t="str">
        <f>IFERROR(IF(FIND(DATA_EFORM_SHEET_REF,DB_TBL_DATA_FIELDS[[#This Row],[APPLICABLE_EFORM_LIST]])&gt;0,DATA_EFORM_SHEET_REF,""),"")</f>
        <v>_</v>
      </c>
      <c r="C43" s="1" t="s">
        <v>2252</v>
      </c>
      <c r="D43" s="1" t="b">
        <v>1</v>
      </c>
      <c r="E43" s="16" t="b">
        <v>1</v>
      </c>
      <c r="F43" s="2" t="s">
        <v>2269</v>
      </c>
      <c r="G43" s="2" t="str">
        <f ca="1">IFERROR(VLOOKUP(DB_TBL_DATA_FIELDS[[#This Row],[FIELD_ID]],INDIRECT(DB_TBL_DATA_FIELDS[[#This Row],[SHEET_REF_CALC]]&amp;"!A:B"),2,FALSE),"")</f>
        <v/>
      </c>
      <c r="I43" s="2" t="b">
        <f ca="1">(DB_TBL_DATA_FIELDS[[#This Row],[FIELD_VALUE_RAW]]="")</f>
        <v>1</v>
      </c>
      <c r="J43" s="2" t="s">
        <v>9</v>
      </c>
      <c r="K43" s="1" t="b">
        <f ca="1">AND(IF(DB_TBL_DATA_FIELDS[[#This Row],[FIELD_VALID_CUSTOM_LOGIC]]="",TRUE,DB_TBL_DATA_FIELDS[[#This Row],[FIELD_VALID_CUSTOM_LOGIC]]),DB_TBL_DATA_FIELDS[[#This Row],[RANGE_VALIDATION_PASSED_FLAG]])</f>
        <v>1</v>
      </c>
      <c r="L43"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43" s="1">
        <f ca="1">IF(DB_TBL_DATA_FIELDS[[#This Row],[SHEET_REF_CALC]]="","",IF(DB_TBL_DATA_FIELDS[[#This Row],[FIELD_EMPTY_FLAG]],IF(NOT(DB_TBL_DATA_FIELDS[[#This Row],[FIELD_REQ_FLAG]]),-1,1),IF(NOT(DB_TBL_DATA_FIELDS[[#This Row],[FIELD_VALID_FLAG]]),0,2)))</f>
        <v>1</v>
      </c>
      <c r="N43" s="1" t="str">
        <f ca="1">IFERROR(VLOOKUP(DB_TBL_DATA_FIELDS[[#This Row],[FIELD_STATUS_CODE]],DB_TBL_CONFIG_FIELDSTATUSCODES[#All],3,FALSE),"")</f>
        <v>Required</v>
      </c>
      <c r="O43" s="1" t="str">
        <f ca="1">IFERROR(VLOOKUP(DB_TBL_DATA_FIELDS[[#This Row],[FIELD_STATUS_CODE]],DB_TBL_CONFIG_FIELDSTATUSCODES[#All],4,FALSE),"")</f>
        <v>i</v>
      </c>
      <c r="P43" s="1" t="b">
        <f>TRUE</f>
        <v>1</v>
      </c>
      <c r="Q43" s="1" t="b">
        <f>TRUE</f>
        <v>1</v>
      </c>
      <c r="R43" s="1" t="s">
        <v>9</v>
      </c>
      <c r="S43" s="1">
        <f ca="1">IF(DB_TBL_DATA_FIELDS[[#This Row],[RANGE_VALIDATION_FLAG]]="Text",LEN(DB_TBL_DATA_FIELDS[[#This Row],[FIELD_VALUE_RAW]]),IFERROR(VALUE(DB_TBL_DATA_FIELDS[[#This Row],[FIELD_VALUE_RAW]]),-1))</f>
        <v>0</v>
      </c>
      <c r="T43" s="1">
        <v>0</v>
      </c>
      <c r="U43" s="1">
        <v>75</v>
      </c>
      <c r="V43" s="1" t="b">
        <f ca="1">IF(NOT(DB_TBL_DATA_FIELDS[[#This Row],[RANGE_VALIDATION_ON_FLAG]]),TRUE,
AND(DB_TBL_DATA_FIELDS[[#This Row],[RANGE_VALUE_LEN]]&gt;=DB_TBL_DATA_FIELDS[[#This Row],[RANGE_VALIDATION_MIN]],DB_TBL_DATA_FIELDS[[#This Row],[RANGE_VALUE_LEN]]&lt;=DB_TBL_DATA_FIELDS[[#This Row],[RANGE_VALIDATION_MAX]]))</f>
        <v>1</v>
      </c>
      <c r="W43" s="1">
        <v>1</v>
      </c>
      <c r="X43" s="1">
        <f ca="1">IF(DB_TBL_DATA_FIELDS[[#This Row],[PCT_CALC_SHOW_STATUS_CODE]]=1,
DB_TBL_DATA_FIELDS[[#This Row],[FIELD_STATUS_CODE]],
IF(AND(DB_TBL_DATA_FIELDS[[#This Row],[PCT_CALC_SHOW_STATUS_CODE]]=2,DB_TBL_DATA_FIELDS[[#This Row],[FIELD_STATUS_CODE]]=0),
DB_TBL_DATA_FIELDS[[#This Row],[FIELD_STATUS_CODE]],
"")
)</f>
        <v>1</v>
      </c>
    </row>
    <row r="44" spans="1:25" x14ac:dyDescent="0.2">
      <c r="A44" s="1" t="s">
        <v>9022</v>
      </c>
      <c r="B44" s="14" t="str">
        <f>IFERROR(IF(FIND(DATA_EFORM_SHEET_REF,DB_TBL_DATA_FIELDS[[#This Row],[APPLICABLE_EFORM_LIST]])&gt;0,DATA_EFORM_SHEET_REF,""),"")</f>
        <v>_</v>
      </c>
      <c r="C44" s="1" t="s">
        <v>2253</v>
      </c>
      <c r="D44" s="1" t="b">
        <v>1</v>
      </c>
      <c r="E44" s="16" t="b">
        <v>1</v>
      </c>
      <c r="F44" s="2" t="s">
        <v>2270</v>
      </c>
      <c r="G44" s="2" t="str">
        <f ca="1">IFERROR(VLOOKUP(DB_TBL_DATA_FIELDS[[#This Row],[FIELD_ID]],INDIRECT(DB_TBL_DATA_FIELDS[[#This Row],[SHEET_REF_CALC]]&amp;"!A:B"),2,FALSE),"")</f>
        <v/>
      </c>
      <c r="I44" s="2" t="b">
        <f ca="1">(DB_TBL_DATA_FIELDS[[#This Row],[FIELD_VALUE_RAW]]="")</f>
        <v>1</v>
      </c>
      <c r="J44" s="2" t="s">
        <v>9</v>
      </c>
      <c r="K44" s="1" t="b">
        <f ca="1">AND(IF(DB_TBL_DATA_FIELDS[[#This Row],[FIELD_VALID_CUSTOM_LOGIC]]="",TRUE,DB_TBL_DATA_FIELDS[[#This Row],[FIELD_VALID_CUSTOM_LOGIC]]),DB_TBL_DATA_FIELDS[[#This Row],[RANGE_VALIDATION_PASSED_FLAG]])</f>
        <v>1</v>
      </c>
      <c r="L44"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44" s="1">
        <f ca="1">IF(DB_TBL_DATA_FIELDS[[#This Row],[SHEET_REF_CALC]]="","",IF(DB_TBL_DATA_FIELDS[[#This Row],[FIELD_EMPTY_FLAG]],IF(NOT(DB_TBL_DATA_FIELDS[[#This Row],[FIELD_REQ_FLAG]]),-1,1),IF(NOT(DB_TBL_DATA_FIELDS[[#This Row],[FIELD_VALID_FLAG]]),0,2)))</f>
        <v>1</v>
      </c>
      <c r="N44" s="1" t="str">
        <f ca="1">IFERROR(VLOOKUP(DB_TBL_DATA_FIELDS[[#This Row],[FIELD_STATUS_CODE]],DB_TBL_CONFIG_FIELDSTATUSCODES[#All],3,FALSE),"")</f>
        <v>Required</v>
      </c>
      <c r="O44" s="1" t="str">
        <f ca="1">IFERROR(VLOOKUP(DB_TBL_DATA_FIELDS[[#This Row],[FIELD_STATUS_CODE]],DB_TBL_CONFIG_FIELDSTATUSCODES[#All],4,FALSE),"")</f>
        <v>i</v>
      </c>
      <c r="P44" s="1" t="b">
        <f>TRUE</f>
        <v>1</v>
      </c>
      <c r="Q44" s="1" t="b">
        <f>TRUE</f>
        <v>1</v>
      </c>
      <c r="R44" s="1" t="s">
        <v>9</v>
      </c>
      <c r="S44" s="1">
        <f ca="1">IF(DB_TBL_DATA_FIELDS[[#This Row],[RANGE_VALIDATION_FLAG]]="Text",LEN(DB_TBL_DATA_FIELDS[[#This Row],[FIELD_VALUE_RAW]]),IFERROR(VALUE(DB_TBL_DATA_FIELDS[[#This Row],[FIELD_VALUE_RAW]]),-1))</f>
        <v>0</v>
      </c>
      <c r="T44" s="1">
        <v>0</v>
      </c>
      <c r="U44" s="1">
        <v>30</v>
      </c>
      <c r="V44" s="1" t="b">
        <f ca="1">IF(NOT(DB_TBL_DATA_FIELDS[[#This Row],[RANGE_VALIDATION_ON_FLAG]]),TRUE,
AND(DB_TBL_DATA_FIELDS[[#This Row],[RANGE_VALUE_LEN]]&gt;=DB_TBL_DATA_FIELDS[[#This Row],[RANGE_VALIDATION_MIN]],DB_TBL_DATA_FIELDS[[#This Row],[RANGE_VALUE_LEN]]&lt;=DB_TBL_DATA_FIELDS[[#This Row],[RANGE_VALIDATION_MAX]]))</f>
        <v>1</v>
      </c>
      <c r="W44" s="1">
        <v>1</v>
      </c>
      <c r="X44" s="1">
        <f ca="1">IF(DB_TBL_DATA_FIELDS[[#This Row],[PCT_CALC_SHOW_STATUS_CODE]]=1,
DB_TBL_DATA_FIELDS[[#This Row],[FIELD_STATUS_CODE]],
IF(AND(DB_TBL_DATA_FIELDS[[#This Row],[PCT_CALC_SHOW_STATUS_CODE]]=2,DB_TBL_DATA_FIELDS[[#This Row],[FIELD_STATUS_CODE]]=0),
DB_TBL_DATA_FIELDS[[#This Row],[FIELD_STATUS_CODE]],
"")
)</f>
        <v>1</v>
      </c>
    </row>
    <row r="45" spans="1:25" x14ac:dyDescent="0.2">
      <c r="A45" s="1" t="s">
        <v>9022</v>
      </c>
      <c r="B45" s="14" t="str">
        <f>IFERROR(IF(FIND(DATA_EFORM_SHEET_REF,DB_TBL_DATA_FIELDS[[#This Row],[APPLICABLE_EFORM_LIST]])&gt;0,DATA_EFORM_SHEET_REF,""),"")</f>
        <v>_</v>
      </c>
      <c r="C45" s="1" t="s">
        <v>2254</v>
      </c>
      <c r="D45" s="1" t="b">
        <v>1</v>
      </c>
      <c r="E45" s="16" t="b">
        <v>1</v>
      </c>
      <c r="F45" s="2" t="s">
        <v>2271</v>
      </c>
      <c r="G45" s="19" t="str">
        <f ca="1">UPPER(IFERROR(VLOOKUP(DB_TBL_DATA_FIELDS[[#This Row],[FIELD_ID]],INDIRECT(DB_TBL_DATA_FIELDS[[#This Row],[SHEET_REF_CALC]]&amp;"!A:B"),2,FALSE),""))</f>
        <v/>
      </c>
      <c r="I45" s="2" t="b">
        <f ca="1">(DB_TBL_DATA_FIELDS[[#This Row],[FIELD_VALUE_RAW]]="")</f>
        <v>1</v>
      </c>
      <c r="J45" s="2" t="s">
        <v>9</v>
      </c>
      <c r="K45" s="1" t="b">
        <f ca="1">AND(IF(DB_TBL_DATA_FIELDS[[#This Row],[FIELD_VALID_CUSTOM_LOGIC]]="",TRUE,DB_TBL_DATA_FIELDS[[#This Row],[FIELD_VALID_CUSTOM_LOGIC]]),DB_TBL_DATA_FIELDS[[#This Row],[RANGE_VALIDATION_PASSED_FLAG]])</f>
        <v>1</v>
      </c>
      <c r="L45"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45" s="1">
        <f ca="1">IF(DB_TBL_DATA_FIELDS[[#This Row],[SHEET_REF_CALC]]="","",IF(DB_TBL_DATA_FIELDS[[#This Row],[FIELD_EMPTY_FLAG]],IF(NOT(DB_TBL_DATA_FIELDS[[#This Row],[FIELD_REQ_FLAG]]),-1,1),IF(NOT(DB_TBL_DATA_FIELDS[[#This Row],[FIELD_VALID_FLAG]]),0,2)))</f>
        <v>1</v>
      </c>
      <c r="N45" s="1" t="str">
        <f ca="1">IFERROR(VLOOKUP(DB_TBL_DATA_FIELDS[[#This Row],[FIELD_STATUS_CODE]],DB_TBL_CONFIG_FIELDSTATUSCODES[#All],3,FALSE),"")</f>
        <v>Required</v>
      </c>
      <c r="O45" s="1" t="str">
        <f ca="1">IFERROR(VLOOKUP(DB_TBL_DATA_FIELDS[[#This Row],[FIELD_STATUS_CODE]],DB_TBL_CONFIG_FIELDSTATUSCODES[#All],4,FALSE),"")</f>
        <v>i</v>
      </c>
      <c r="P45" s="1" t="b">
        <f>TRUE</f>
        <v>1</v>
      </c>
      <c r="Q45" s="1" t="b">
        <f>TRUE</f>
        <v>1</v>
      </c>
      <c r="R45" s="1" t="s">
        <v>9</v>
      </c>
      <c r="S45" s="1">
        <f ca="1">IF(DB_TBL_DATA_FIELDS[[#This Row],[RANGE_VALIDATION_FLAG]]="Text",LEN(DB_TBL_DATA_FIELDS[[#This Row],[FIELD_VALUE_RAW]]),IFERROR(VALUE(DB_TBL_DATA_FIELDS[[#This Row],[FIELD_VALUE_RAW]]),-1))</f>
        <v>0</v>
      </c>
      <c r="T45" s="1">
        <v>0</v>
      </c>
      <c r="U45" s="1">
        <v>2</v>
      </c>
      <c r="V45" s="1" t="b">
        <f ca="1">IF(NOT(DB_TBL_DATA_FIELDS[[#This Row],[RANGE_VALIDATION_ON_FLAG]]),TRUE,
AND(DB_TBL_DATA_FIELDS[[#This Row],[RANGE_VALUE_LEN]]&gt;=DB_TBL_DATA_FIELDS[[#This Row],[RANGE_VALIDATION_MIN]],DB_TBL_DATA_FIELDS[[#This Row],[RANGE_VALUE_LEN]]&lt;=DB_TBL_DATA_FIELDS[[#This Row],[RANGE_VALIDATION_MAX]]))</f>
        <v>1</v>
      </c>
      <c r="W45" s="1">
        <v>1</v>
      </c>
      <c r="X45" s="1">
        <f ca="1">IF(DB_TBL_DATA_FIELDS[[#This Row],[PCT_CALC_SHOW_STATUS_CODE]]=1,
DB_TBL_DATA_FIELDS[[#This Row],[FIELD_STATUS_CODE]],
IF(AND(DB_TBL_DATA_FIELDS[[#This Row],[PCT_CALC_SHOW_STATUS_CODE]]=2,DB_TBL_DATA_FIELDS[[#This Row],[FIELD_STATUS_CODE]]=0),
DB_TBL_DATA_FIELDS[[#This Row],[FIELD_STATUS_CODE]],
"")
)</f>
        <v>1</v>
      </c>
    </row>
    <row r="46" spans="1:25" x14ac:dyDescent="0.2">
      <c r="A46" s="1" t="s">
        <v>9022</v>
      </c>
      <c r="B46" s="14" t="str">
        <f>IFERROR(IF(FIND(DATA_EFORM_SHEET_REF,DB_TBL_DATA_FIELDS[[#This Row],[APPLICABLE_EFORM_LIST]])&gt;0,DATA_EFORM_SHEET_REF,""),"")</f>
        <v>_</v>
      </c>
      <c r="C46" s="1" t="s">
        <v>2255</v>
      </c>
      <c r="D46" s="1" t="b">
        <v>1</v>
      </c>
      <c r="E46" s="16" t="b">
        <v>1</v>
      </c>
      <c r="F46" s="2" t="s">
        <v>2272</v>
      </c>
      <c r="G46" s="2" t="str">
        <f ca="1">IFERROR(VLOOKUP(DB_TBL_DATA_FIELDS[[#This Row],[FIELD_ID]],INDIRECT(DB_TBL_DATA_FIELDS[[#This Row],[SHEET_REF_CALC]]&amp;"!A:B"),2,FALSE),"")</f>
        <v/>
      </c>
      <c r="H46" s="19" t="b">
        <f ca="1">NOT(LEFT(DB_TBL_DATA_FIELDS[[#This Row],[FIELD_VALUE_RAW]],1)="-")</f>
        <v>1</v>
      </c>
      <c r="I46" s="2" t="b">
        <f ca="1">(DB_TBL_DATA_FIELDS[[#This Row],[FIELD_VALUE_RAW]]="")</f>
        <v>1</v>
      </c>
      <c r="J46" s="2" t="s">
        <v>9</v>
      </c>
      <c r="K46" s="1" t="b">
        <f ca="1">AND(IF(DB_TBL_DATA_FIELDS[[#This Row],[FIELD_VALID_CUSTOM_LOGIC]]="",TRUE,DB_TBL_DATA_FIELDS[[#This Row],[FIELD_VALID_CUSTOM_LOGIC]]),DB_TBL_DATA_FIELDS[[#This Row],[RANGE_VALIDATION_PASSED_FLAG]])</f>
        <v>0</v>
      </c>
      <c r="L46"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46" s="1">
        <f ca="1">IF(DB_TBL_DATA_FIELDS[[#This Row],[SHEET_REF_CALC]]="","",IF(DB_TBL_DATA_FIELDS[[#This Row],[FIELD_EMPTY_FLAG]],IF(NOT(DB_TBL_DATA_FIELDS[[#This Row],[FIELD_REQ_FLAG]]),-1,1),IF(NOT(DB_TBL_DATA_FIELDS[[#This Row],[FIELD_VALID_FLAG]]),0,2)))</f>
        <v>1</v>
      </c>
      <c r="N46" s="1" t="str">
        <f ca="1">IFERROR(VLOOKUP(DB_TBL_DATA_FIELDS[[#This Row],[FIELD_STATUS_CODE]],DB_TBL_CONFIG_FIELDSTATUSCODES[#All],3,FALSE),"")</f>
        <v>Required</v>
      </c>
      <c r="O46" s="1" t="str">
        <f ca="1">IFERROR(VLOOKUP(DB_TBL_DATA_FIELDS[[#This Row],[FIELD_STATUS_CODE]],DB_TBL_CONFIG_FIELDSTATUSCODES[#All],4,FALSE),"")</f>
        <v>i</v>
      </c>
      <c r="P46" s="1" t="b">
        <f>TRUE</f>
        <v>1</v>
      </c>
      <c r="Q46" s="1" t="b">
        <f>TRUE</f>
        <v>1</v>
      </c>
      <c r="R46" s="1" t="s">
        <v>9</v>
      </c>
      <c r="S46" s="1">
        <f ca="1">IF(DB_TBL_DATA_FIELDS[[#This Row],[RANGE_VALIDATION_FLAG]]="Text",LEN(DB_TBL_DATA_FIELDS[[#This Row],[FIELD_VALUE_RAW]]),IFERROR(VALUE(DB_TBL_DATA_FIELDS[[#This Row],[FIELD_VALUE_RAW]]),-1))</f>
        <v>0</v>
      </c>
      <c r="T46" s="1">
        <v>5</v>
      </c>
      <c r="U46" s="1">
        <v>10</v>
      </c>
      <c r="V46" s="1" t="b">
        <f ca="1">IF(NOT(DB_TBL_DATA_FIELDS[[#This Row],[RANGE_VALIDATION_ON_FLAG]]),TRUE,
AND(DB_TBL_DATA_FIELDS[[#This Row],[RANGE_VALUE_LEN]]&gt;=DB_TBL_DATA_FIELDS[[#This Row],[RANGE_VALIDATION_MIN]],DB_TBL_DATA_FIELDS[[#This Row],[RANGE_VALUE_LEN]]&lt;=DB_TBL_DATA_FIELDS[[#This Row],[RANGE_VALIDATION_MAX]]))</f>
        <v>0</v>
      </c>
      <c r="W46" s="1">
        <v>1</v>
      </c>
      <c r="X46" s="1">
        <f ca="1">IF(DB_TBL_DATA_FIELDS[[#This Row],[PCT_CALC_SHOW_STATUS_CODE]]=1,
DB_TBL_DATA_FIELDS[[#This Row],[FIELD_STATUS_CODE]],
IF(AND(DB_TBL_DATA_FIELDS[[#This Row],[PCT_CALC_SHOW_STATUS_CODE]]=2,DB_TBL_DATA_FIELDS[[#This Row],[FIELD_STATUS_CODE]]=0),
DB_TBL_DATA_FIELDS[[#This Row],[FIELD_STATUS_CODE]],
"")
)</f>
        <v>1</v>
      </c>
    </row>
    <row r="47" spans="1:25" x14ac:dyDescent="0.2">
      <c r="A47" s="1" t="s">
        <v>9022</v>
      </c>
      <c r="B47" s="14" t="str">
        <f>IFERROR(IF(FIND(DATA_EFORM_SHEET_REF,DB_TBL_DATA_FIELDS[[#This Row],[APPLICABLE_EFORM_LIST]])&gt;0,DATA_EFORM_SHEET_REF,""),"")</f>
        <v>_</v>
      </c>
      <c r="C47" s="1" t="s">
        <v>2256</v>
      </c>
      <c r="D47" s="1" t="b">
        <v>1</v>
      </c>
      <c r="E47" s="16" t="b">
        <v>1</v>
      </c>
      <c r="F47" s="2" t="s">
        <v>2273</v>
      </c>
      <c r="G47" s="19" t="str">
        <f ca="1">IFERROR(VLOOKUP(VLOOKUP(DB_TBL_DATA_FIELDS[[#This Row],[FIELD_ID]],INDIRECT(DB_TBL_DATA_FIELDS[[#This Row],[SHEET_REF_CALC]]&amp;"!A:B"),2,FALSE),COUNTY_LIST_ALLUSA,1,FALSE),"")</f>
        <v/>
      </c>
      <c r="H47" s="19" t="str">
        <f ca="1">IF(DB_TBL_DATA_FIELDS[[#This Row],[FIELD_VALUE_RAW]]="","",IFERROR(MATCH(UPPER(G45&amp;"_"&amp;DB_TBL_DATA_FIELDS[[#This Row],[FIELD_VALUE_RAW]]),'$DB.LOOKUP'!V:V,0),0)&gt;0)</f>
        <v/>
      </c>
      <c r="I47" s="2" t="b">
        <f ca="1">(DB_TBL_DATA_FIELDS[[#This Row],[FIELD_VALUE_RAW]]="")</f>
        <v>1</v>
      </c>
      <c r="J47" s="2" t="s">
        <v>9</v>
      </c>
      <c r="K47" s="1" t="b">
        <f ca="1">AND(IF(DB_TBL_DATA_FIELDS[[#This Row],[FIELD_VALID_CUSTOM_LOGIC]]="",TRUE,DB_TBL_DATA_FIELDS[[#This Row],[FIELD_VALID_CUSTOM_LOGIC]]),DB_TBL_DATA_FIELDS[[#This Row],[RANGE_VALIDATION_PASSED_FLAG]])</f>
        <v>1</v>
      </c>
      <c r="L47"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47" s="1">
        <f ca="1">IF(DB_TBL_DATA_FIELDS[[#This Row],[SHEET_REF_CALC]]="","",IF(DB_TBL_DATA_FIELDS[[#This Row],[FIELD_EMPTY_FLAG]],IF(NOT(DB_TBL_DATA_FIELDS[[#This Row],[FIELD_REQ_FLAG]]),-1,1),IF(NOT(DB_TBL_DATA_FIELDS[[#This Row],[FIELD_VALID_FLAG]]),0,2)))</f>
        <v>1</v>
      </c>
      <c r="N47" s="1" t="str">
        <f ca="1">IFERROR(VLOOKUP(DB_TBL_DATA_FIELDS[[#This Row],[FIELD_STATUS_CODE]],DB_TBL_CONFIG_FIELDSTATUSCODES[#All],3,FALSE),"")</f>
        <v>Required</v>
      </c>
      <c r="O47" s="1" t="str">
        <f ca="1">IFERROR(VLOOKUP(DB_TBL_DATA_FIELDS[[#This Row],[FIELD_STATUS_CODE]],DB_TBL_CONFIG_FIELDSTATUSCODES[#All],4,FALSE),"")</f>
        <v>i</v>
      </c>
      <c r="P47" s="1" t="b">
        <f>TRUE</f>
        <v>1</v>
      </c>
      <c r="Q47" s="1" t="b">
        <f>TRUE</f>
        <v>1</v>
      </c>
      <c r="R47" s="1" t="s">
        <v>9</v>
      </c>
      <c r="S47" s="1">
        <f ca="1">IF(DB_TBL_DATA_FIELDS[[#This Row],[RANGE_VALIDATION_FLAG]]="Text",LEN(DB_TBL_DATA_FIELDS[[#This Row],[FIELD_VALUE_RAW]]),IFERROR(VALUE(DB_TBL_DATA_FIELDS[[#This Row],[FIELD_VALUE_RAW]]),-1))</f>
        <v>0</v>
      </c>
      <c r="T47" s="1">
        <v>0</v>
      </c>
      <c r="U47" s="1">
        <v>50</v>
      </c>
      <c r="V47" s="1" t="b">
        <f ca="1">IF(NOT(DB_TBL_DATA_FIELDS[[#This Row],[RANGE_VALIDATION_ON_FLAG]]),TRUE,
AND(DB_TBL_DATA_FIELDS[[#This Row],[RANGE_VALUE_LEN]]&gt;=DB_TBL_DATA_FIELDS[[#This Row],[RANGE_VALIDATION_MIN]],DB_TBL_DATA_FIELDS[[#This Row],[RANGE_VALUE_LEN]]&lt;=DB_TBL_DATA_FIELDS[[#This Row],[RANGE_VALIDATION_MAX]]))</f>
        <v>1</v>
      </c>
      <c r="W47" s="1">
        <v>1</v>
      </c>
      <c r="X47" s="1">
        <f ca="1">IF(DB_TBL_DATA_FIELDS[[#This Row],[PCT_CALC_SHOW_STATUS_CODE]]=1,
DB_TBL_DATA_FIELDS[[#This Row],[FIELD_STATUS_CODE]],
IF(AND(DB_TBL_DATA_FIELDS[[#This Row],[PCT_CALC_SHOW_STATUS_CODE]]=2,DB_TBL_DATA_FIELDS[[#This Row],[FIELD_STATUS_CODE]]=0),
DB_TBL_DATA_FIELDS[[#This Row],[FIELD_STATUS_CODE]],
"")
)</f>
        <v>1</v>
      </c>
    </row>
    <row r="48" spans="1:25" x14ac:dyDescent="0.2">
      <c r="A48" s="1" t="s">
        <v>9022</v>
      </c>
      <c r="B48" s="14" t="str">
        <f>IFERROR(IF(FIND(DATA_EFORM_SHEET_REF,DB_TBL_DATA_FIELDS[[#This Row],[APPLICABLE_EFORM_LIST]])&gt;0,DATA_EFORM_SHEET_REF,""),"")</f>
        <v>_</v>
      </c>
      <c r="C48" s="1" t="s">
        <v>2257</v>
      </c>
      <c r="D48" s="1" t="b">
        <v>1</v>
      </c>
      <c r="E48" s="16" t="b">
        <v>0</v>
      </c>
      <c r="F48" s="2" t="s">
        <v>2274</v>
      </c>
      <c r="G48" s="2" t="str">
        <f ca="1">IFERROR(VLOOKUP(DB_TBL_DATA_FIELDS[[#This Row],[FIELD_ID]],INDIRECT(DB_TBL_DATA_FIELDS[[#This Row],[SHEET_REF_CALC]]&amp;"!A:B"),2,FALSE),"")</f>
        <v/>
      </c>
      <c r="I48" s="2" t="b">
        <f ca="1">(DB_TBL_DATA_FIELDS[[#This Row],[FIELD_VALUE_RAW]]="")</f>
        <v>1</v>
      </c>
      <c r="J48" s="2" t="s">
        <v>38</v>
      </c>
      <c r="K48" s="1" t="b">
        <f ca="1">AND(IF(DB_TBL_DATA_FIELDS[[#This Row],[FIELD_VALID_CUSTOM_LOGIC]]="",TRUE,DB_TBL_DATA_FIELDS[[#This Row],[FIELD_VALID_CUSTOM_LOGIC]]),DB_TBL_DATA_FIELDS[[#This Row],[RANGE_VALIDATION_PASSED_FLAG]])</f>
        <v>0</v>
      </c>
      <c r="L48"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48" s="1">
        <f ca="1">IF(DB_TBL_DATA_FIELDS[[#This Row],[SHEET_REF_CALC]]="","",IF(DB_TBL_DATA_FIELDS[[#This Row],[FIELD_EMPTY_FLAG]],IF(NOT(DB_TBL_DATA_FIELDS[[#This Row],[FIELD_REQ_FLAG]]),-1,1),IF(NOT(DB_TBL_DATA_FIELDS[[#This Row],[FIELD_VALID_FLAG]]),0,2)))</f>
        <v>-1</v>
      </c>
      <c r="N48" s="1" t="str">
        <f ca="1">IFERROR(VLOOKUP(DB_TBL_DATA_FIELDS[[#This Row],[FIELD_STATUS_CODE]],DB_TBL_CONFIG_FIELDSTATUSCODES[#All],3,FALSE),"")</f>
        <v>Optional</v>
      </c>
      <c r="O48" s="1" t="str">
        <f ca="1">IFERROR(VLOOKUP(DB_TBL_DATA_FIELDS[[#This Row],[FIELD_STATUS_CODE]],DB_TBL_CONFIG_FIELDSTATUSCODES[#All],4,FALSE),"")</f>
        <v xml:space="preserve"> </v>
      </c>
      <c r="P48" s="1" t="b">
        <f>TRUE</f>
        <v>1</v>
      </c>
      <c r="Q48" s="1" t="b">
        <f>TRUE</f>
        <v>1</v>
      </c>
      <c r="R48" s="1" t="s">
        <v>38</v>
      </c>
      <c r="S48" s="1">
        <f ca="1">IF(DB_TBL_DATA_FIELDS[[#This Row],[RANGE_VALIDATION_FLAG]]="Text",LEN(DB_TBL_DATA_FIELDS[[#This Row],[FIELD_VALUE_RAW]]),IFERROR(VALUE(DB_TBL_DATA_FIELDS[[#This Row],[FIELD_VALUE_RAW]]),-1))</f>
        <v>-1</v>
      </c>
      <c r="T48" s="1">
        <v>1</v>
      </c>
      <c r="U48" s="1">
        <v>99999</v>
      </c>
      <c r="V48" s="1" t="b">
        <f ca="1">IF(NOT(DB_TBL_DATA_FIELDS[[#This Row],[RANGE_VALIDATION_ON_FLAG]]),TRUE,
AND(DB_TBL_DATA_FIELDS[[#This Row],[RANGE_VALUE_LEN]]&gt;=DB_TBL_DATA_FIELDS[[#This Row],[RANGE_VALIDATION_MIN]],DB_TBL_DATA_FIELDS[[#This Row],[RANGE_VALUE_LEN]]&lt;=DB_TBL_DATA_FIELDS[[#This Row],[RANGE_VALIDATION_MAX]]))</f>
        <v>0</v>
      </c>
      <c r="W48" s="1">
        <v>1</v>
      </c>
      <c r="X48" s="1">
        <f ca="1">IF(DB_TBL_DATA_FIELDS[[#This Row],[PCT_CALC_SHOW_STATUS_CODE]]=1,
DB_TBL_DATA_FIELDS[[#This Row],[FIELD_STATUS_CODE]],
IF(AND(DB_TBL_DATA_FIELDS[[#This Row],[PCT_CALC_SHOW_STATUS_CODE]]=2,DB_TBL_DATA_FIELDS[[#This Row],[FIELD_STATUS_CODE]]=0),
DB_TBL_DATA_FIELDS[[#This Row],[FIELD_STATUS_CODE]],
"")
)</f>
        <v>-1</v>
      </c>
    </row>
    <row r="49" spans="1:26" x14ac:dyDescent="0.2">
      <c r="A49" s="1" t="s">
        <v>9022</v>
      </c>
      <c r="B49" s="14" t="str">
        <f>IFERROR(IF(FIND(DATA_EFORM_SHEET_REF,DB_TBL_DATA_FIELDS[[#This Row],[APPLICABLE_EFORM_LIST]])&gt;0,DATA_EFORM_SHEET_REF,""),"")</f>
        <v>_</v>
      </c>
      <c r="C49" s="1" t="s">
        <v>2258</v>
      </c>
      <c r="D49" s="1" t="b">
        <v>1</v>
      </c>
      <c r="E49" s="16" t="b">
        <v>1</v>
      </c>
      <c r="F49" s="2" t="s">
        <v>2275</v>
      </c>
      <c r="G49" s="2" t="str">
        <f ca="1">IFERROR(VLOOKUP(DB_TBL_DATA_FIELDS[[#This Row],[FIELD_ID]],INDIRECT(DB_TBL_DATA_FIELDS[[#This Row],[SHEET_REF_CALC]]&amp;"!A:B"),2,FALSE),"")</f>
        <v/>
      </c>
      <c r="I49" s="2" t="b">
        <f ca="1">(DB_TBL_DATA_FIELDS[[#This Row],[FIELD_VALUE_RAW]]="")</f>
        <v>1</v>
      </c>
      <c r="J49" s="2" t="s">
        <v>9</v>
      </c>
      <c r="K49" s="1" t="b">
        <f ca="1">AND(IF(DB_TBL_DATA_FIELDS[[#This Row],[FIELD_VALID_CUSTOM_LOGIC]]="",TRUE,DB_TBL_DATA_FIELDS[[#This Row],[FIELD_VALID_CUSTOM_LOGIC]]),DB_TBL_DATA_FIELDS[[#This Row],[RANGE_VALIDATION_PASSED_FLAG]])</f>
        <v>0</v>
      </c>
      <c r="L49"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49" s="1">
        <f ca="1">IF(DB_TBL_DATA_FIELDS[[#This Row],[SHEET_REF_CALC]]="","",IF(DB_TBL_DATA_FIELDS[[#This Row],[FIELD_EMPTY_FLAG]],IF(NOT(DB_TBL_DATA_FIELDS[[#This Row],[FIELD_REQ_FLAG]]),-1,1),IF(NOT(DB_TBL_DATA_FIELDS[[#This Row],[FIELD_VALID_FLAG]]),0,2)))</f>
        <v>1</v>
      </c>
      <c r="N49" s="1" t="str">
        <f ca="1">IFERROR(VLOOKUP(DB_TBL_DATA_FIELDS[[#This Row],[FIELD_STATUS_CODE]],DB_TBL_CONFIG_FIELDSTATUSCODES[#All],3,FALSE),"")</f>
        <v>Required</v>
      </c>
      <c r="O49" s="1" t="str">
        <f ca="1">IFERROR(VLOOKUP(DB_TBL_DATA_FIELDS[[#This Row],[FIELD_STATUS_CODE]],DB_TBL_CONFIG_FIELDSTATUSCODES[#All],4,FALSE),"")</f>
        <v>i</v>
      </c>
      <c r="P49" s="1" t="b">
        <f>TRUE</f>
        <v>1</v>
      </c>
      <c r="Q49" s="1" t="b">
        <f>TRUE</f>
        <v>1</v>
      </c>
      <c r="R49" s="1" t="s">
        <v>9</v>
      </c>
      <c r="S49" s="1">
        <f ca="1">IF(DB_TBL_DATA_FIELDS[[#This Row],[RANGE_VALIDATION_FLAG]]="Text",LEN(DB_TBL_DATA_FIELDS[[#This Row],[FIELD_VALUE_RAW]]),IFERROR(VALUE(DB_TBL_DATA_FIELDS[[#This Row],[FIELD_VALUE_RAW]]),-1))</f>
        <v>0</v>
      </c>
      <c r="T49" s="1">
        <v>7</v>
      </c>
      <c r="U49" s="1">
        <v>7</v>
      </c>
      <c r="V49" s="1" t="b">
        <f ca="1">IF(NOT(DB_TBL_DATA_FIELDS[[#This Row],[RANGE_VALIDATION_ON_FLAG]]),TRUE,
AND(DB_TBL_DATA_FIELDS[[#This Row],[RANGE_VALUE_LEN]]&gt;=DB_TBL_DATA_FIELDS[[#This Row],[RANGE_VALIDATION_MIN]],DB_TBL_DATA_FIELDS[[#This Row],[RANGE_VALUE_LEN]]&lt;=DB_TBL_DATA_FIELDS[[#This Row],[RANGE_VALIDATION_MAX]]))</f>
        <v>0</v>
      </c>
      <c r="W49" s="1">
        <v>1</v>
      </c>
      <c r="X49" s="1">
        <f ca="1">IF(DB_TBL_DATA_FIELDS[[#This Row],[PCT_CALC_SHOW_STATUS_CODE]]=1,
DB_TBL_DATA_FIELDS[[#This Row],[FIELD_STATUS_CODE]],
IF(AND(DB_TBL_DATA_FIELDS[[#This Row],[PCT_CALC_SHOW_STATUS_CODE]]=2,DB_TBL_DATA_FIELDS[[#This Row],[FIELD_STATUS_CODE]]=0),
DB_TBL_DATA_FIELDS[[#This Row],[FIELD_STATUS_CODE]],
"")
)</f>
        <v>1</v>
      </c>
    </row>
    <row r="50" spans="1:26" x14ac:dyDescent="0.2">
      <c r="A50" s="232" t="s">
        <v>2854</v>
      </c>
      <c r="B50" s="14" t="str">
        <f>IFERROR(IF(FIND(DATA_EFORM_SHEET_REF,DB_TBL_DATA_FIELDS[[#This Row],[APPLICABLE_EFORM_LIST]])&gt;0,DATA_EFORM_SHEET_REF,""),"")</f>
        <v/>
      </c>
      <c r="C50" s="233" t="s">
        <v>9045</v>
      </c>
      <c r="D50" s="1" t="b">
        <v>0</v>
      </c>
      <c r="E50" s="234" t="b">
        <v>0</v>
      </c>
      <c r="F50" s="2" t="s">
        <v>9047</v>
      </c>
      <c r="G50" s="235"/>
      <c r="H50" s="235"/>
      <c r="I50" s="2" t="b">
        <f>(DB_TBL_DATA_FIELDS[[#This Row],[FIELD_VALUE_RAW]]="")</f>
        <v>1</v>
      </c>
      <c r="J50" s="2" t="s">
        <v>137</v>
      </c>
      <c r="K50" s="1" t="b">
        <f>AND(IF(DB_TBL_DATA_FIELDS[[#This Row],[FIELD_VALID_CUSTOM_LOGIC]]="",TRUE,DB_TBL_DATA_FIELDS[[#This Row],[FIELD_VALID_CUSTOM_LOGIC]]),DB_TBL_DATA_FIELDS[[#This Row],[RANGE_VALIDATION_PASSED_FLAG]])</f>
        <v>1</v>
      </c>
      <c r="L50" s="2" t="str">
        <f>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50" s="1" t="str">
        <f>IF(DB_TBL_DATA_FIELDS[[#This Row],[SHEET_REF_CALC]]="","",IF(DB_TBL_DATA_FIELDS[[#This Row],[FIELD_EMPTY_FLAG]],IF(NOT(DB_TBL_DATA_FIELDS[[#This Row],[FIELD_REQ_FLAG]]),-1,1),IF(NOT(DB_TBL_DATA_FIELDS[[#This Row],[FIELD_VALID_FLAG]]),0,2)))</f>
        <v/>
      </c>
      <c r="N50" s="1" t="str">
        <f>IFERROR(VLOOKUP(DB_TBL_DATA_FIELDS[[#This Row],[FIELD_STATUS_CODE]],DB_TBL_CONFIG_FIELDSTATUSCODES[#All],3,FALSE),"")</f>
        <v/>
      </c>
      <c r="O50" s="1" t="str">
        <f>IFERROR(VLOOKUP(DB_TBL_DATA_FIELDS[[#This Row],[FIELD_STATUS_CODE]],DB_TBL_CONFIG_FIELDSTATUSCODES[#All],4,FALSE),"")</f>
        <v/>
      </c>
      <c r="P50" s="1" t="b">
        <f>TRUE</f>
        <v>1</v>
      </c>
      <c r="Q50" s="1" t="b">
        <v>0</v>
      </c>
      <c r="S50" s="1">
        <f>IF(DB_TBL_DATA_FIELDS[[#This Row],[RANGE_VALIDATION_FLAG]]="Text",LEN(DB_TBL_DATA_FIELDS[[#This Row],[FIELD_VALUE_RAW]]),IFERROR(VALUE(DB_TBL_DATA_FIELDS[[#This Row],[FIELD_VALUE_RAW]]),-1))</f>
        <v>0</v>
      </c>
      <c r="V50" s="1" t="b">
        <f>IF(NOT(DB_TBL_DATA_FIELDS[[#This Row],[RANGE_VALIDATION_ON_FLAG]]),TRUE,
AND(DB_TBL_DATA_FIELDS[[#This Row],[RANGE_VALUE_LEN]]&gt;=DB_TBL_DATA_FIELDS[[#This Row],[RANGE_VALIDATION_MIN]],DB_TBL_DATA_FIELDS[[#This Row],[RANGE_VALUE_LEN]]&lt;=DB_TBL_DATA_FIELDS[[#This Row],[RANGE_VALIDATION_MAX]]))</f>
        <v>1</v>
      </c>
      <c r="W50" s="1">
        <v>1</v>
      </c>
      <c r="X50" s="1" t="str">
        <f>IF(DB_TBL_DATA_FIELDS[[#This Row],[PCT_CALC_SHOW_STATUS_CODE]]=1,
DB_TBL_DATA_FIELDS[[#This Row],[FIELD_STATUS_CODE]],
IF(AND(DB_TBL_DATA_FIELDS[[#This Row],[PCT_CALC_SHOW_STATUS_CODE]]=2,DB_TBL_DATA_FIELDS[[#This Row],[FIELD_STATUS_CODE]]=0),
DB_TBL_DATA_FIELDS[[#This Row],[FIELD_STATUS_CODE]],
"")
)</f>
        <v/>
      </c>
    </row>
    <row r="51" spans="1:26" x14ac:dyDescent="0.2">
      <c r="A51" s="1" t="s">
        <v>9021</v>
      </c>
      <c r="B51" s="14" t="str">
        <f>IFERROR(IF(FIND(DATA_EFORM_SHEET_REF,DB_TBL_DATA_FIELDS[[#This Row],[APPLICABLE_EFORM_LIST]])&gt;0,DATA_EFORM_SHEET_REF,""),"")</f>
        <v>_</v>
      </c>
      <c r="C51" s="1" t="s">
        <v>9046</v>
      </c>
      <c r="D51" s="1" t="b">
        <v>1</v>
      </c>
      <c r="E51" s="16" t="b">
        <v>1</v>
      </c>
      <c r="F51" s="2" t="s">
        <v>9048</v>
      </c>
      <c r="G51" s="2" t="str">
        <f ca="1">IFERROR(VLOOKUP(DB_TBL_DATA_FIELDS[[#This Row],[FIELD_ID]],INDIRECT(DB_TBL_DATA_FIELDS[[#This Row],[SHEET_REF_CALC]]&amp;"!A:B"),2,FALSE),"")</f>
        <v/>
      </c>
      <c r="H51" s="19" t="b">
        <f ca="1">$H$53</f>
        <v>1</v>
      </c>
      <c r="I51" s="2" t="b">
        <f ca="1">(DB_TBL_DATA_FIELDS[[#This Row],[FIELD_VALUE_RAW]]="")</f>
        <v>1</v>
      </c>
      <c r="J51" s="2" t="s">
        <v>137</v>
      </c>
      <c r="K51" s="1" t="b">
        <f ca="1">AND(IF(DB_TBL_DATA_FIELDS[[#This Row],[FIELD_VALID_CUSTOM_LOGIC]]="",TRUE,DB_TBL_DATA_FIELDS[[#This Row],[FIELD_VALID_CUSTOM_LOGIC]]),DB_TBL_DATA_FIELDS[[#This Row],[RANGE_VALIDATION_PASSED_FLAG]])</f>
        <v>1</v>
      </c>
      <c r="L51"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51" s="1">
        <f ca="1">IF(DB_TBL_DATA_FIELDS[[#This Row],[SHEET_REF_CALC]]="","",IF(DB_TBL_DATA_FIELDS[[#This Row],[FIELD_EMPTY_FLAG]],IF(NOT(DB_TBL_DATA_FIELDS[[#This Row],[FIELD_REQ_FLAG]]),-1,1),IF(NOT(DB_TBL_DATA_FIELDS[[#This Row],[FIELD_VALID_FLAG]]),0,2)))</f>
        <v>1</v>
      </c>
      <c r="N51" s="1" t="str">
        <f ca="1">IFERROR(VLOOKUP(DB_TBL_DATA_FIELDS[[#This Row],[FIELD_STATUS_CODE]],DB_TBL_CONFIG_FIELDSTATUSCODES[#All],3,FALSE),"")</f>
        <v>Required</v>
      </c>
      <c r="O51" s="1" t="str">
        <f ca="1">IFERROR(VLOOKUP(DB_TBL_DATA_FIELDS[[#This Row],[FIELD_STATUS_CODE]],DB_TBL_CONFIG_FIELDSTATUSCODES[#All],4,FALSE),"")</f>
        <v>i</v>
      </c>
      <c r="P51" s="1" t="b">
        <f>TRUE</f>
        <v>1</v>
      </c>
      <c r="Q51" s="1" t="b">
        <v>0</v>
      </c>
      <c r="S51" s="1">
        <f ca="1">IF(DB_TBL_DATA_FIELDS[[#This Row],[RANGE_VALIDATION_FLAG]]="Text",LEN(DB_TBL_DATA_FIELDS[[#This Row],[FIELD_VALUE_RAW]]),IFERROR(VALUE(DB_TBL_DATA_FIELDS[[#This Row],[FIELD_VALUE_RAW]]),-1))</f>
        <v>-1</v>
      </c>
      <c r="V51" s="1" t="b">
        <f>IF(NOT(DB_TBL_DATA_FIELDS[[#This Row],[RANGE_VALIDATION_ON_FLAG]]),TRUE,
AND(DB_TBL_DATA_FIELDS[[#This Row],[RANGE_VALUE_LEN]]&gt;=DB_TBL_DATA_FIELDS[[#This Row],[RANGE_VALIDATION_MIN]],DB_TBL_DATA_FIELDS[[#This Row],[RANGE_VALUE_LEN]]&lt;=DB_TBL_DATA_FIELDS[[#This Row],[RANGE_VALIDATION_MAX]]))</f>
        <v>1</v>
      </c>
      <c r="W51" s="1">
        <v>1</v>
      </c>
      <c r="X51" s="1">
        <f ca="1">IF(DB_TBL_DATA_FIELDS[[#This Row],[PCT_CALC_SHOW_STATUS_CODE]]=1,
DB_TBL_DATA_FIELDS[[#This Row],[FIELD_STATUS_CODE]],
IF(AND(DB_TBL_DATA_FIELDS[[#This Row],[PCT_CALC_SHOW_STATUS_CODE]]=2,DB_TBL_DATA_FIELDS[[#This Row],[FIELD_STATUS_CODE]]=0),
DB_TBL_DATA_FIELDS[[#This Row],[FIELD_STATUS_CODE]],
"")
)</f>
        <v>1</v>
      </c>
    </row>
    <row r="52" spans="1:26" x14ac:dyDescent="0.2">
      <c r="A52" s="1" t="s">
        <v>9021</v>
      </c>
      <c r="B52" s="14" t="str">
        <f>IFERROR(IF(FIND(DATA_EFORM_SHEET_REF,DB_TBL_DATA_FIELDS[[#This Row],[APPLICABLE_EFORM_LIST]])&gt;0,DATA_EFORM_SHEET_REF,""),"")</f>
        <v>_</v>
      </c>
      <c r="C52" s="1" t="s">
        <v>9062</v>
      </c>
      <c r="D52" s="1" t="b">
        <v>1</v>
      </c>
      <c r="E52" s="234" t="b">
        <v>0</v>
      </c>
      <c r="F52" s="2" t="s">
        <v>9063</v>
      </c>
      <c r="G52" s="19" t="b">
        <f>IF(DB_TBL_DATA_FIELDS[[#This Row],[SHEET_REF_CALC]]="","",FALSE)</f>
        <v>0</v>
      </c>
      <c r="H52" s="19" t="b">
        <f ca="1">$H$53</f>
        <v>1</v>
      </c>
      <c r="I52" s="2" t="b">
        <f>(DB_TBL_DATA_FIELDS[[#This Row],[FIELD_VALUE_RAW]]="")</f>
        <v>0</v>
      </c>
      <c r="J52" s="2" t="s">
        <v>137</v>
      </c>
      <c r="K52" s="1" t="b">
        <f ca="1">AND(IF(DB_TBL_DATA_FIELDS[[#This Row],[FIELD_VALID_CUSTOM_LOGIC]]="",TRUE,DB_TBL_DATA_FIELDS[[#This Row],[FIELD_VALID_CUSTOM_LOGIC]]),DB_TBL_DATA_FIELDS[[#This Row],[RANGE_VALIDATION_PASSED_FLAG]])</f>
        <v>1</v>
      </c>
      <c r="L52"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N</v>
      </c>
      <c r="M52" s="1">
        <f ca="1">IF(DB_TBL_DATA_FIELDS[[#This Row],[SHEET_REF_CALC]]="","",IF(DB_TBL_DATA_FIELDS[[#This Row],[FIELD_EMPTY_FLAG]],IF(NOT(DB_TBL_DATA_FIELDS[[#This Row],[FIELD_REQ_FLAG]]),-1,1),IF(NOT(DB_TBL_DATA_FIELDS[[#This Row],[FIELD_VALID_FLAG]]),0,2)))</f>
        <v>2</v>
      </c>
      <c r="N52" s="1" t="str">
        <f ca="1">IFERROR(VLOOKUP(DB_TBL_DATA_FIELDS[[#This Row],[FIELD_STATUS_CODE]],DB_TBL_CONFIG_FIELDSTATUSCODES[#All],3,FALSE),"")</f>
        <v>OK</v>
      </c>
      <c r="O52" s="1" t="str">
        <f ca="1">IFERROR(VLOOKUP(DB_TBL_DATA_FIELDS[[#This Row],[FIELD_STATUS_CODE]],DB_TBL_CONFIG_FIELDSTATUSCODES[#All],4,FALSE),"")</f>
        <v>a</v>
      </c>
      <c r="P52" s="1" t="b">
        <f>TRUE</f>
        <v>1</v>
      </c>
      <c r="Q52" s="1" t="b">
        <v>0</v>
      </c>
      <c r="S52" s="1">
        <f>IF(DB_TBL_DATA_FIELDS[[#This Row],[RANGE_VALIDATION_FLAG]]="Text",LEN(DB_TBL_DATA_FIELDS[[#This Row],[FIELD_VALUE_RAW]]),IFERROR(VALUE(DB_TBL_DATA_FIELDS[[#This Row],[FIELD_VALUE_RAW]]),-1))</f>
        <v>-1</v>
      </c>
      <c r="V52" s="1" t="b">
        <f>IF(NOT(DB_TBL_DATA_FIELDS[[#This Row],[RANGE_VALIDATION_ON_FLAG]]),TRUE,
AND(DB_TBL_DATA_FIELDS[[#This Row],[RANGE_VALUE_LEN]]&gt;=DB_TBL_DATA_FIELDS[[#This Row],[RANGE_VALIDATION_MIN]],DB_TBL_DATA_FIELDS[[#This Row],[RANGE_VALUE_LEN]]&lt;=DB_TBL_DATA_FIELDS[[#This Row],[RANGE_VALIDATION_MAX]]))</f>
        <v>1</v>
      </c>
      <c r="W52" s="298">
        <v>0</v>
      </c>
      <c r="X52" s="1" t="str">
        <f ca="1">IF(DB_TBL_DATA_FIELDS[[#This Row],[PCT_CALC_SHOW_STATUS_CODE]]=1,
DB_TBL_DATA_FIELDS[[#This Row],[FIELD_STATUS_CODE]],
IF(AND(DB_TBL_DATA_FIELDS[[#This Row],[PCT_CALC_SHOW_STATUS_CODE]]=2,DB_TBL_DATA_FIELDS[[#This Row],[FIELD_STATUS_CODE]]=0),
DB_TBL_DATA_FIELDS[[#This Row],[FIELD_STATUS_CODE]],
"")
)</f>
        <v/>
      </c>
      <c r="Z52" s="1" t="s">
        <v>9349</v>
      </c>
    </row>
    <row r="53" spans="1:26" ht="13.5" thickBot="1" x14ac:dyDescent="0.25">
      <c r="A53" s="98" t="s">
        <v>9021</v>
      </c>
      <c r="B53" s="102" t="str">
        <f>IFERROR(IF(FIND(DATA_EFORM_SHEET_REF,DB_TBL_DATA_FIELDS[[#This Row],[APPLICABLE_EFORM_LIST]])&gt;0,DATA_EFORM_SHEET_REF,""),"")</f>
        <v>_</v>
      </c>
      <c r="C53" s="98" t="s">
        <v>9051</v>
      </c>
      <c r="D53" s="98" t="b">
        <v>0</v>
      </c>
      <c r="E53" s="99" t="b">
        <v>0</v>
      </c>
      <c r="F53" s="100" t="s">
        <v>9052</v>
      </c>
      <c r="G53" s="101" t="b">
        <f ca="1">IF(DB_TBL_DATA_FIELDS[[#This Row],[SHEET_REF_CALC]]="","",OR(G51=TRUE,G52=TRUE))</f>
        <v>0</v>
      </c>
      <c r="H53" s="101" t="b">
        <f ca="1">IF(DB_TBL_DATA_FIELDS[[#This Row],[FIELD_VALUE_RAW]]="","",OR(I51=TRUE,I52=TRUE,DB_TBL_DATA_FIELDS[[#This Row],[FIELD_VALUE_RAW]]=TRUE))</f>
        <v>1</v>
      </c>
      <c r="I53" s="100" t="b">
        <f ca="1">(DB_TBL_DATA_FIELDS[[#This Row],[FIELD_VALUE_RAW]]="")</f>
        <v>0</v>
      </c>
      <c r="J53" s="100" t="s">
        <v>137</v>
      </c>
      <c r="K53" s="98" t="b">
        <f ca="1">AND(IF(DB_TBL_DATA_FIELDS[[#This Row],[FIELD_VALID_CUSTOM_LOGIC]]="",TRUE,DB_TBL_DATA_FIELDS[[#This Row],[FIELD_VALID_CUSTOM_LOGIC]]),DB_TBL_DATA_FIELDS[[#This Row],[RANGE_VALIDATION_PASSED_FLAG]])</f>
        <v>1</v>
      </c>
      <c r="L53" s="100"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N</v>
      </c>
      <c r="M53" s="98">
        <f ca="1">IF(DB_TBL_DATA_FIELDS[[#This Row],[SHEET_REF_CALC]]="","",IF(DB_TBL_DATA_FIELDS[[#This Row],[FIELD_EMPTY_FLAG]],IF(NOT(DB_TBL_DATA_FIELDS[[#This Row],[FIELD_REQ_FLAG]]),-1,1),IF(NOT(DB_TBL_DATA_FIELDS[[#This Row],[FIELD_VALID_FLAG]]),0,2)))</f>
        <v>2</v>
      </c>
      <c r="N53" s="98" t="str">
        <f ca="1">IFERROR(VLOOKUP(DB_TBL_DATA_FIELDS[[#This Row],[FIELD_STATUS_CODE]],DB_TBL_CONFIG_FIELDSTATUSCODES[#All],3,FALSE),"")</f>
        <v>OK</v>
      </c>
      <c r="O53" s="98" t="str">
        <f ca="1">IFERROR(VLOOKUP(DB_TBL_DATA_FIELDS[[#This Row],[FIELD_STATUS_CODE]],DB_TBL_CONFIG_FIELDSTATUSCODES[#All],4,FALSE),"")</f>
        <v>a</v>
      </c>
      <c r="P53" s="98" t="b">
        <f>TRUE</f>
        <v>1</v>
      </c>
      <c r="Q53" s="98" t="b">
        <v>0</v>
      </c>
      <c r="R53" s="98"/>
      <c r="S53" s="98">
        <f ca="1">IF(DB_TBL_DATA_FIELDS[[#This Row],[RANGE_VALIDATION_FLAG]]="Text",LEN(DB_TBL_DATA_FIELDS[[#This Row],[FIELD_VALUE_RAW]]),IFERROR(VALUE(DB_TBL_DATA_FIELDS[[#This Row],[FIELD_VALUE_RAW]]),-1))</f>
        <v>-1</v>
      </c>
      <c r="T53" s="98"/>
      <c r="U53" s="98"/>
      <c r="V53" s="98" t="b">
        <f>IF(NOT(DB_TBL_DATA_FIELDS[[#This Row],[RANGE_VALIDATION_ON_FLAG]]),TRUE,
AND(DB_TBL_DATA_FIELDS[[#This Row],[RANGE_VALUE_LEN]]&gt;=DB_TBL_DATA_FIELDS[[#This Row],[RANGE_VALIDATION_MIN]],DB_TBL_DATA_FIELDS[[#This Row],[RANGE_VALUE_LEN]]&lt;=DB_TBL_DATA_FIELDS[[#This Row],[RANGE_VALIDATION_MAX]]))</f>
        <v>1</v>
      </c>
      <c r="W53" s="98">
        <v>2</v>
      </c>
      <c r="X53" s="98" t="str">
        <f ca="1">IF(DB_TBL_DATA_FIELDS[[#This Row],[PCT_CALC_SHOW_STATUS_CODE]]=1,
DB_TBL_DATA_FIELDS[[#This Row],[FIELD_STATUS_CODE]],
IF(AND(DB_TBL_DATA_FIELDS[[#This Row],[PCT_CALC_SHOW_STATUS_CODE]]=2,DB_TBL_DATA_FIELDS[[#This Row],[FIELD_STATUS_CODE]]=0),
DB_TBL_DATA_FIELDS[[#This Row],[FIELD_STATUS_CODE]],
"")
)</f>
        <v/>
      </c>
      <c r="Y53" s="98"/>
      <c r="Z53" s="98"/>
    </row>
    <row r="54" spans="1:26" x14ac:dyDescent="0.2">
      <c r="A54" s="1" t="s">
        <v>9044</v>
      </c>
      <c r="B54" s="14" t="str">
        <f>IFERROR(IF(FIND(DATA_EFORM_SHEET_REF,DB_TBL_DATA_FIELDS[[#This Row],[APPLICABLE_EFORM_LIST]])&gt;0,DATA_EFORM_SHEET_REF,""),"")</f>
        <v>_</v>
      </c>
      <c r="C54" s="1" t="s">
        <v>2283</v>
      </c>
      <c r="D54" s="1" t="b">
        <v>1</v>
      </c>
      <c r="E54" s="16" t="b">
        <v>1</v>
      </c>
      <c r="F54" s="2" t="s">
        <v>2287</v>
      </c>
      <c r="G54" s="2" t="str">
        <f ca="1">IFERROR(VLOOKUP(DB_TBL_DATA_FIELDS[[#This Row],[FIELD_ID]],INDIRECT(DB_TBL_DATA_FIELDS[[#This Row],[SHEET_REF_CALC]]&amp;"!A:B"),2,FALSE),"")</f>
        <v/>
      </c>
      <c r="H54" s="19" t="str">
        <f ca="1">IF(DB_TBL_DATA_FIELDS[[#This Row],[FIELD_EMPTY_FLAG]],"",DB_TBL_DATA_FIELDS[[#This Row],[FIELD_VALUE_RAW]]&lt;=CONFIG_GRANT_AMT_MAX)</f>
        <v/>
      </c>
      <c r="I54" s="2" t="b">
        <f ca="1">(DB_TBL_DATA_FIELDS[[#This Row],[FIELD_VALUE_RAW]]="")</f>
        <v>1</v>
      </c>
      <c r="J54" s="2" t="s">
        <v>38</v>
      </c>
      <c r="K54" s="1" t="b">
        <f ca="1">AND(IF(DB_TBL_DATA_FIELDS[[#This Row],[FIELD_VALID_CUSTOM_LOGIC]]="",TRUE,DB_TBL_DATA_FIELDS[[#This Row],[FIELD_VALID_CUSTOM_LOGIC]]),DB_TBL_DATA_FIELDS[[#This Row],[RANGE_VALIDATION_PASSED_FLAG]])</f>
        <v>0</v>
      </c>
      <c r="L54"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54" s="1">
        <f ca="1">IF(DB_TBL_DATA_FIELDS[[#This Row],[SHEET_REF_CALC]]="","",IF(DB_TBL_DATA_FIELDS[[#This Row],[FIELD_EMPTY_FLAG]],IF(NOT(DB_TBL_DATA_FIELDS[[#This Row],[FIELD_REQ_FLAG]]),-1,1),IF(NOT(DB_TBL_DATA_FIELDS[[#This Row],[FIELD_VALID_FLAG]]),0,2)))</f>
        <v>1</v>
      </c>
      <c r="N54" s="1" t="str">
        <f ca="1">IFERROR(VLOOKUP(DB_TBL_DATA_FIELDS[[#This Row],[FIELD_STATUS_CODE]],DB_TBL_CONFIG_FIELDSTATUSCODES[#All],3,FALSE),"")</f>
        <v>Required</v>
      </c>
      <c r="O54" s="1" t="str">
        <f ca="1">IFERROR(VLOOKUP(DB_TBL_DATA_FIELDS[[#This Row],[FIELD_STATUS_CODE]],DB_TBL_CONFIG_FIELDSTATUSCODES[#All],4,FALSE),"")</f>
        <v>i</v>
      </c>
      <c r="P54" s="1" t="b">
        <f>TRUE</f>
        <v>1</v>
      </c>
      <c r="Q54" s="1" t="b">
        <f>TRUE</f>
        <v>1</v>
      </c>
      <c r="R54" s="1" t="s">
        <v>38</v>
      </c>
      <c r="S54" s="1">
        <f ca="1">IF(DB_TBL_DATA_FIELDS[[#This Row],[RANGE_VALIDATION_FLAG]]="Text",LEN(DB_TBL_DATA_FIELDS[[#This Row],[FIELD_VALUE_RAW]]),IFERROR(VALUE(DB_TBL_DATA_FIELDS[[#This Row],[FIELD_VALUE_RAW]]),-1))</f>
        <v>-1</v>
      </c>
      <c r="T54" s="1">
        <v>1</v>
      </c>
      <c r="U54" s="108" t="str">
        <f>CONFIG_GRANT_AMT_MAX</f>
        <v/>
      </c>
      <c r="V54" s="1" t="b">
        <f ca="1">IF(NOT(DB_TBL_DATA_FIELDS[[#This Row],[RANGE_VALIDATION_ON_FLAG]]),TRUE,
AND(DB_TBL_DATA_FIELDS[[#This Row],[RANGE_VALUE_LEN]]&gt;=DB_TBL_DATA_FIELDS[[#This Row],[RANGE_VALIDATION_MIN]],DB_TBL_DATA_FIELDS[[#This Row],[RANGE_VALUE_LEN]]&lt;=DB_TBL_DATA_FIELDS[[#This Row],[RANGE_VALIDATION_MAX]]))</f>
        <v>0</v>
      </c>
      <c r="W54" s="1">
        <v>1</v>
      </c>
      <c r="X54" s="1">
        <f ca="1">IF(DB_TBL_DATA_FIELDS[[#This Row],[PCT_CALC_SHOW_STATUS_CODE]]=1,
DB_TBL_DATA_FIELDS[[#This Row],[FIELD_STATUS_CODE]],
IF(AND(DB_TBL_DATA_FIELDS[[#This Row],[PCT_CALC_SHOW_STATUS_CODE]]=2,DB_TBL_DATA_FIELDS[[#This Row],[FIELD_STATUS_CODE]]=0),
DB_TBL_DATA_FIELDS[[#This Row],[FIELD_STATUS_CODE]],
"")
)</f>
        <v>1</v>
      </c>
    </row>
    <row r="55" spans="1:26" x14ac:dyDescent="0.2">
      <c r="A55" s="232" t="s">
        <v>2854</v>
      </c>
      <c r="B55" s="14" t="str">
        <f>IFERROR(IF(FIND(DATA_EFORM_SHEET_REF,DB_TBL_DATA_FIELDS[[#This Row],[APPLICABLE_EFORM_LIST]])&gt;0,DATA_EFORM_SHEET_REF,""),"")</f>
        <v/>
      </c>
      <c r="C55" s="233" t="s">
        <v>2284</v>
      </c>
      <c r="D55" s="1" t="b">
        <v>1</v>
      </c>
      <c r="E55" s="234" t="b">
        <v>0</v>
      </c>
      <c r="F55" s="2" t="s">
        <v>2288</v>
      </c>
      <c r="G55" s="235"/>
      <c r="H55" s="19" t="str">
        <f>IF(DB_TBL_DATA_FIELDS[[#This Row],[FIELD_EMPTY_FLAG]],"",DB_TBL_DATA_FIELDS[[#This Row],[FIELD_VALUE_RAW]]&lt;=CONFIG_COUNSEL_AMT_MAX)</f>
        <v/>
      </c>
      <c r="I55" s="2" t="b">
        <f>(DB_TBL_DATA_FIELDS[[#This Row],[FIELD_VALUE_RAW]]="")</f>
        <v>1</v>
      </c>
      <c r="J55" s="2" t="s">
        <v>38</v>
      </c>
      <c r="K55" s="1" t="b">
        <f>AND(IF(DB_TBL_DATA_FIELDS[[#This Row],[FIELD_VALID_CUSTOM_LOGIC]]="",TRUE,DB_TBL_DATA_FIELDS[[#This Row],[FIELD_VALID_CUSTOM_LOGIC]]),DB_TBL_DATA_FIELDS[[#This Row],[RANGE_VALIDATION_PASSED_FLAG]])</f>
        <v>1</v>
      </c>
      <c r="L55" s="2" t="str">
        <f>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55" s="1" t="str">
        <f>IF(DB_TBL_DATA_FIELDS[[#This Row],[SHEET_REF_CALC]]="","",IF(DB_TBL_DATA_FIELDS[[#This Row],[FIELD_EMPTY_FLAG]],IF(NOT(DB_TBL_DATA_FIELDS[[#This Row],[FIELD_REQ_FLAG]]),-1,1),IF(NOT(DB_TBL_DATA_FIELDS[[#This Row],[FIELD_VALID_FLAG]]),0,2)))</f>
        <v/>
      </c>
      <c r="N55" s="1" t="str">
        <f>IFERROR(VLOOKUP(DB_TBL_DATA_FIELDS[[#This Row],[FIELD_STATUS_CODE]],DB_TBL_CONFIG_FIELDSTATUSCODES[#All],3,FALSE),"")</f>
        <v/>
      </c>
      <c r="O55" s="1" t="str">
        <f>IFERROR(VLOOKUP(DB_TBL_DATA_FIELDS[[#This Row],[FIELD_STATUS_CODE]],DB_TBL_CONFIG_FIELDSTATUSCODES[#All],4,FALSE),"")</f>
        <v/>
      </c>
      <c r="P55" s="1" t="b">
        <f>TRUE</f>
        <v>1</v>
      </c>
      <c r="Q55" s="1" t="b">
        <f>TRUE</f>
        <v>1</v>
      </c>
      <c r="R55" s="1" t="s">
        <v>38</v>
      </c>
      <c r="S55" s="1">
        <f>IF(DB_TBL_DATA_FIELDS[[#This Row],[RANGE_VALIDATION_FLAG]]="Text",LEN(DB_TBL_DATA_FIELDS[[#This Row],[FIELD_VALUE_RAW]]),IFERROR(VALUE(DB_TBL_DATA_FIELDS[[#This Row],[FIELD_VALUE_RAW]]),-1))</f>
        <v>0</v>
      </c>
      <c r="T55" s="1">
        <v>0</v>
      </c>
      <c r="U55" s="108" t="str">
        <f>CONFIG_COUNSEL_AMT_MAX</f>
        <v/>
      </c>
      <c r="V55" s="1" t="b">
        <f>IF(NOT(DB_TBL_DATA_FIELDS[[#This Row],[RANGE_VALIDATION_ON_FLAG]]),TRUE,
AND(DB_TBL_DATA_FIELDS[[#This Row],[RANGE_VALUE_LEN]]&gt;=DB_TBL_DATA_FIELDS[[#This Row],[RANGE_VALIDATION_MIN]],DB_TBL_DATA_FIELDS[[#This Row],[RANGE_VALUE_LEN]]&lt;=DB_TBL_DATA_FIELDS[[#This Row],[RANGE_VALIDATION_MAX]]))</f>
        <v>1</v>
      </c>
      <c r="W55" s="1">
        <v>1</v>
      </c>
      <c r="X55" s="1" t="str">
        <f>IF(DB_TBL_DATA_FIELDS[[#This Row],[PCT_CALC_SHOW_STATUS_CODE]]=1,
DB_TBL_DATA_FIELDS[[#This Row],[FIELD_STATUS_CODE]],
IF(AND(DB_TBL_DATA_FIELDS[[#This Row],[PCT_CALC_SHOW_STATUS_CODE]]=2,DB_TBL_DATA_FIELDS[[#This Row],[FIELD_STATUS_CODE]]=0),
DB_TBL_DATA_FIELDS[[#This Row],[FIELD_STATUS_CODE]],
"")
)</f>
        <v/>
      </c>
    </row>
    <row r="56" spans="1:26" x14ac:dyDescent="0.2">
      <c r="A56" s="1" t="s">
        <v>9044</v>
      </c>
      <c r="B56" s="14" t="str">
        <f>IFERROR(IF(FIND(DATA_EFORM_SHEET_REF,DB_TBL_DATA_FIELDS[[#This Row],[APPLICABLE_EFORM_LIST]])&gt;0,DATA_EFORM_SHEET_REF,""),"")</f>
        <v>_</v>
      </c>
      <c r="C56" s="1" t="s">
        <v>2285</v>
      </c>
      <c r="D56" s="1" t="b">
        <v>1</v>
      </c>
      <c r="E56" s="16" t="b">
        <v>1</v>
      </c>
      <c r="F56" s="2" t="s">
        <v>2289</v>
      </c>
      <c r="G56" s="19">
        <f ca="1">SUM(G54)</f>
        <v>0</v>
      </c>
      <c r="H56" s="19" t="b">
        <f ca="1">IF(DB_TBL_DATA_FIELDS[[#This Row],[FIELD_EMPTY_FLAG]],"",DB_TBL_DATA_FIELDS[[#This Row],[FIELD_VALUE_RAW]]&lt;=(CONFIG_GRANT_AMT_MAX))</f>
        <v>1</v>
      </c>
      <c r="I56" s="2" t="b">
        <f ca="1">(DB_TBL_DATA_FIELDS[[#This Row],[FIELD_VALUE_RAW]]="")</f>
        <v>0</v>
      </c>
      <c r="J56" s="2" t="s">
        <v>38</v>
      </c>
      <c r="K56" s="1" t="b">
        <f ca="1">AND(IF(DB_TBL_DATA_FIELDS[[#This Row],[FIELD_VALID_CUSTOM_LOGIC]]="",TRUE,DB_TBL_DATA_FIELDS[[#This Row],[FIELD_VALID_CUSTOM_LOGIC]]),DB_TBL_DATA_FIELDS[[#This Row],[RANGE_VALIDATION_PASSED_FLAG]])</f>
        <v>1</v>
      </c>
      <c r="L56" s="2">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0</v>
      </c>
      <c r="M56" s="1">
        <f ca="1">IF(DB_TBL_DATA_FIELDS[[#This Row],[SHEET_REF_CALC]]="","",IF(DB_TBL_DATA_FIELDS[[#This Row],[FIELD_EMPTY_FLAG]],IF(NOT(DB_TBL_DATA_FIELDS[[#This Row],[FIELD_REQ_FLAG]]),-1,1),IF(NOT(DB_TBL_DATA_FIELDS[[#This Row],[FIELD_VALID_FLAG]]),0,2)))</f>
        <v>2</v>
      </c>
      <c r="N56" s="1" t="str">
        <f ca="1">IFERROR(VLOOKUP(DB_TBL_DATA_FIELDS[[#This Row],[FIELD_STATUS_CODE]],DB_TBL_CONFIG_FIELDSTATUSCODES[#All],3,FALSE),"")</f>
        <v>OK</v>
      </c>
      <c r="O56" s="1" t="str">
        <f ca="1">IFERROR(VLOOKUP(DB_TBL_DATA_FIELDS[[#This Row],[FIELD_STATUS_CODE]],DB_TBL_CONFIG_FIELDSTATUSCODES[#All],4,FALSE),"")</f>
        <v>a</v>
      </c>
      <c r="P56" s="1" t="b">
        <f>TRUE</f>
        <v>1</v>
      </c>
      <c r="Q56" s="1" t="b">
        <f>TRUE</f>
        <v>1</v>
      </c>
      <c r="R56" s="1" t="s">
        <v>38</v>
      </c>
      <c r="S56" s="1">
        <f ca="1">IF(DB_TBL_DATA_FIELDS[[#This Row],[RANGE_VALIDATION_FLAG]]="Text",LEN(DB_TBL_DATA_FIELDS[[#This Row],[FIELD_VALUE_RAW]]),IFERROR(VALUE(DB_TBL_DATA_FIELDS[[#This Row],[FIELD_VALUE_RAW]]),-1))</f>
        <v>0</v>
      </c>
      <c r="U56" s="108" t="str">
        <f>CONFIG_GRANT_AMT_MAX</f>
        <v/>
      </c>
      <c r="V56" s="1" t="b">
        <f ca="1">IF(NOT(DB_TBL_DATA_FIELDS[[#This Row],[RANGE_VALIDATION_ON_FLAG]]),TRUE,
AND(DB_TBL_DATA_FIELDS[[#This Row],[RANGE_VALUE_LEN]]&gt;=DB_TBL_DATA_FIELDS[[#This Row],[RANGE_VALIDATION_MIN]],DB_TBL_DATA_FIELDS[[#This Row],[RANGE_VALUE_LEN]]&lt;=DB_TBL_DATA_FIELDS[[#This Row],[RANGE_VALIDATION_MAX]]))</f>
        <v>1</v>
      </c>
      <c r="W56" s="1">
        <v>2</v>
      </c>
      <c r="X56" s="1" t="str">
        <f ca="1">IF(DB_TBL_DATA_FIELDS[[#This Row],[PCT_CALC_SHOW_STATUS_CODE]]=1,
DB_TBL_DATA_FIELDS[[#This Row],[FIELD_STATUS_CODE]],
IF(AND(DB_TBL_DATA_FIELDS[[#This Row],[PCT_CALC_SHOW_STATUS_CODE]]=2,DB_TBL_DATA_FIELDS[[#This Row],[FIELD_STATUS_CODE]]=0),
DB_TBL_DATA_FIELDS[[#This Row],[FIELD_STATUS_CODE]],
"")
)</f>
        <v/>
      </c>
      <c r="Y56" s="14" t="str">
        <f ca="1">IF(DB_TBL_DATA_FIELDS[[#This Row],[FIELD_STATUS_CODE]]=0,IF(NOT(DB_TBL_DATA_FIELDS[[#This Row],[FIELD_VALID_CUSTOM_LOGIC]]),"Exceeds Maximum Allowable Grant Amount",""),"")</f>
        <v/>
      </c>
    </row>
    <row r="57" spans="1:26" x14ac:dyDescent="0.2">
      <c r="A57" s="1" t="s">
        <v>9022</v>
      </c>
      <c r="B57" s="14" t="str">
        <f>IFERROR(IF(FIND(DATA_EFORM_SHEET_REF,DB_TBL_DATA_FIELDS[[#This Row],[APPLICABLE_EFORM_LIST]])&gt;0,DATA_EFORM_SHEET_REF,""),"")</f>
        <v>_</v>
      </c>
      <c r="C57" s="1" t="s">
        <v>9009</v>
      </c>
      <c r="D57" s="1" t="b">
        <v>0</v>
      </c>
      <c r="E57" s="16" t="b">
        <v>1</v>
      </c>
      <c r="F57" s="2" t="s">
        <v>9018</v>
      </c>
      <c r="G57" s="2" t="str">
        <f ca="1">IFERROR(VLOOKUP(DB_TBL_DATA_FIELDS[[#This Row],[FIELD_ID]],INDIRECT(DB_TBL_DATA_FIELDS[[#This Row],[SHEET_REF_CALC]]&amp;"!A:B"),2,FALSE),"")</f>
        <v/>
      </c>
      <c r="I57" s="2" t="b">
        <f ca="1">(DB_TBL_DATA_FIELDS[[#This Row],[FIELD_VALUE_RAW]]="")</f>
        <v>1</v>
      </c>
      <c r="J57" s="2" t="s">
        <v>137</v>
      </c>
      <c r="K57" s="1" t="b">
        <f>AND(IF(DB_TBL_DATA_FIELDS[[#This Row],[FIELD_VALID_CUSTOM_LOGIC]]="",TRUE,DB_TBL_DATA_FIELDS[[#This Row],[FIELD_VALID_CUSTOM_LOGIC]]),DB_TBL_DATA_FIELDS[[#This Row],[RANGE_VALIDATION_PASSED_FLAG]])</f>
        <v>1</v>
      </c>
      <c r="L57"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57" s="1">
        <f ca="1">IF(DB_TBL_DATA_FIELDS[[#This Row],[SHEET_REF_CALC]]="","",IF(DB_TBL_DATA_FIELDS[[#This Row],[FIELD_EMPTY_FLAG]],IF(NOT(DB_TBL_DATA_FIELDS[[#This Row],[FIELD_REQ_FLAG]]),-1,1),IF(NOT(DB_TBL_DATA_FIELDS[[#This Row],[FIELD_VALID_FLAG]]),0,2)))</f>
        <v>1</v>
      </c>
      <c r="N57" s="1" t="str">
        <f ca="1">IFERROR(VLOOKUP(DB_TBL_DATA_FIELDS[[#This Row],[FIELD_STATUS_CODE]],DB_TBL_CONFIG_FIELDSTATUSCODES[#All],3,FALSE),"")</f>
        <v>Required</v>
      </c>
      <c r="O57" s="1" t="str">
        <f ca="1">IFERROR(VLOOKUP(DB_TBL_DATA_FIELDS[[#This Row],[FIELD_STATUS_CODE]],DB_TBL_CONFIG_FIELDSTATUSCODES[#All],4,FALSE),"")</f>
        <v>i</v>
      </c>
      <c r="P57" s="1" t="b">
        <f>TRUE</f>
        <v>1</v>
      </c>
      <c r="Q57" s="1" t="b">
        <v>0</v>
      </c>
      <c r="S57" s="1">
        <f ca="1">IF(DB_TBL_DATA_FIELDS[[#This Row],[RANGE_VALIDATION_FLAG]]="Text",LEN(DB_TBL_DATA_FIELDS[[#This Row],[FIELD_VALUE_RAW]]),IFERROR(VALUE(DB_TBL_DATA_FIELDS[[#This Row],[FIELD_VALUE_RAW]]),-1))</f>
        <v>-1</v>
      </c>
      <c r="V57" s="1" t="b">
        <f>IF(NOT(DB_TBL_DATA_FIELDS[[#This Row],[RANGE_VALIDATION_ON_FLAG]]),TRUE,
AND(DB_TBL_DATA_FIELDS[[#This Row],[RANGE_VALUE_LEN]]&gt;=DB_TBL_DATA_FIELDS[[#This Row],[RANGE_VALIDATION_MIN]],DB_TBL_DATA_FIELDS[[#This Row],[RANGE_VALUE_LEN]]&lt;=DB_TBL_DATA_FIELDS[[#This Row],[RANGE_VALIDATION_MAX]]))</f>
        <v>1</v>
      </c>
      <c r="W57" s="1">
        <v>1</v>
      </c>
      <c r="X57" s="1">
        <f ca="1">IF(DB_TBL_DATA_FIELDS[[#This Row],[PCT_CALC_SHOW_STATUS_CODE]]=1,
DB_TBL_DATA_FIELDS[[#This Row],[FIELD_STATUS_CODE]],
IF(AND(DB_TBL_DATA_FIELDS[[#This Row],[PCT_CALC_SHOW_STATUS_CODE]]=2,DB_TBL_DATA_FIELDS[[#This Row],[FIELD_STATUS_CODE]]=0),
DB_TBL_DATA_FIELDS[[#This Row],[FIELD_STATUS_CODE]],
"")
)</f>
        <v>1</v>
      </c>
    </row>
    <row r="58" spans="1:26" x14ac:dyDescent="0.2">
      <c r="A58" s="1" t="s">
        <v>9021</v>
      </c>
      <c r="B58" s="14" t="str">
        <f>IFERROR(IF(FIND(DATA_EFORM_SHEET_REF,DB_TBL_DATA_FIELDS[[#This Row],[APPLICABLE_EFORM_LIST]])&gt;0,DATA_EFORM_SHEET_REF,""),"")</f>
        <v>_</v>
      </c>
      <c r="C58" s="1" t="s">
        <v>9008</v>
      </c>
      <c r="D58" s="1" t="b">
        <v>0</v>
      </c>
      <c r="E58" s="81" t="b">
        <f ca="1">(DATA_HSEHLD_OTHER_GRANT_FHLBNY_FLAG=TRUE)</f>
        <v>0</v>
      </c>
      <c r="F58" s="2" t="s">
        <v>9019</v>
      </c>
      <c r="G58" s="2" t="str">
        <f ca="1">IFERROR(VLOOKUP(DB_TBL_DATA_FIELDS[[#This Row],[FIELD_ID]],INDIRECT(DB_TBL_DATA_FIELDS[[#This Row],[SHEET_REF_CALC]]&amp;"!A:B"),2,FALSE),"")</f>
        <v/>
      </c>
      <c r="H58" s="19" t="str">
        <f ca="1">IF(DB_TBL_DATA_FIELDS[[#This Row],[FIELD_EMPTY_FLAG]],"",AND(DB_TBL_DATA_FIELDS[[#This Row],[FIELD_REQ_FLAG]],NOT(AND(DATA_HSEHLD_OTHER_GRANT_HDP_FLAG=TRUE,DATA_HSEHLD_OTHER_GRANT_HDPP_FLAG=TRUE))))</f>
        <v/>
      </c>
      <c r="I58" s="2" t="b">
        <f ca="1">(DB_TBL_DATA_FIELDS[[#This Row],[FIELD_VALUE_RAW]]="")</f>
        <v>1</v>
      </c>
      <c r="J58" s="2" t="s">
        <v>137</v>
      </c>
      <c r="K58" s="1" t="b">
        <f ca="1">AND(IF(DB_TBL_DATA_FIELDS[[#This Row],[FIELD_VALID_CUSTOM_LOGIC]]="",TRUE,DB_TBL_DATA_FIELDS[[#This Row],[FIELD_VALID_CUSTOM_LOGIC]]),DB_TBL_DATA_FIELDS[[#This Row],[RANGE_VALIDATION_PASSED_FLAG]])</f>
        <v>1</v>
      </c>
      <c r="L58"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58" s="1">
        <f ca="1">IF(DB_TBL_DATA_FIELDS[[#This Row],[SHEET_REF_CALC]]="","",IF(DB_TBL_DATA_FIELDS[[#This Row],[FIELD_EMPTY_FLAG]],IF(NOT(DB_TBL_DATA_FIELDS[[#This Row],[FIELD_REQ_FLAG]]),-1,1),IF(NOT(DB_TBL_DATA_FIELDS[[#This Row],[FIELD_VALID_FLAG]]),0,2)))</f>
        <v>-1</v>
      </c>
      <c r="N58" s="1" t="str">
        <f ca="1">IFERROR(VLOOKUP(DB_TBL_DATA_FIELDS[[#This Row],[FIELD_STATUS_CODE]],DB_TBL_CONFIG_FIELDSTATUSCODES[#All],3,FALSE),"")</f>
        <v>Optional</v>
      </c>
      <c r="O58" s="1" t="str">
        <f ca="1">IFERROR(VLOOKUP(DB_TBL_DATA_FIELDS[[#This Row],[FIELD_STATUS_CODE]],DB_TBL_CONFIG_FIELDSTATUSCODES[#All],4,FALSE),"")</f>
        <v xml:space="preserve"> </v>
      </c>
      <c r="P58" s="1" t="b">
        <f>TRUE</f>
        <v>1</v>
      </c>
      <c r="Q58" s="1" t="b">
        <v>0</v>
      </c>
      <c r="S58" s="1">
        <f ca="1">IF(DB_TBL_DATA_FIELDS[[#This Row],[RANGE_VALIDATION_FLAG]]="Text",LEN(DB_TBL_DATA_FIELDS[[#This Row],[FIELD_VALUE_RAW]]),IFERROR(VALUE(DB_TBL_DATA_FIELDS[[#This Row],[FIELD_VALUE_RAW]]),-1))</f>
        <v>-1</v>
      </c>
      <c r="V58" s="1" t="b">
        <f>IF(NOT(DB_TBL_DATA_FIELDS[[#This Row],[RANGE_VALIDATION_ON_FLAG]]),TRUE,
AND(DB_TBL_DATA_FIELDS[[#This Row],[RANGE_VALUE_LEN]]&gt;=DB_TBL_DATA_FIELDS[[#This Row],[RANGE_VALIDATION_MIN]],DB_TBL_DATA_FIELDS[[#This Row],[RANGE_VALUE_LEN]]&lt;=DB_TBL_DATA_FIELDS[[#This Row],[RANGE_VALIDATION_MAX]]))</f>
        <v>1</v>
      </c>
      <c r="W58" s="1">
        <v>1</v>
      </c>
      <c r="X58" s="1">
        <f ca="1">IF(DB_TBL_DATA_FIELDS[[#This Row],[PCT_CALC_SHOW_STATUS_CODE]]=1,
DB_TBL_DATA_FIELDS[[#This Row],[FIELD_STATUS_CODE]],
IF(AND(DB_TBL_DATA_FIELDS[[#This Row],[PCT_CALC_SHOW_STATUS_CODE]]=2,DB_TBL_DATA_FIELDS[[#This Row],[FIELD_STATUS_CODE]]=0),
DB_TBL_DATA_FIELDS[[#This Row],[FIELD_STATUS_CODE]],
"")
)</f>
        <v>-1</v>
      </c>
      <c r="Y58" s="14" t="str">
        <f ca="1">IF(DB_TBL_DATA_FIELDS[[#This Row],[FIELD_STATUS_CODE]]=0,IF(AND(DATA_HSEHLD_OTHER_GRANT_FHLBNY_FLAG=TRUE,DATA_HSEHLD_OTHER_GRANT_HDP_FLAG=TRUE,DATA_HSEHLD_OTHER_GRANT_HDPP_FLAG=TRUE),"Households cannot receive grants in both Homebuyer Dream Program and Homebuyer Dream Program Plus",""),"")</f>
        <v/>
      </c>
    </row>
    <row r="59" spans="1:26" x14ac:dyDescent="0.2">
      <c r="A59" s="1" t="s">
        <v>9021</v>
      </c>
      <c r="B59" s="14" t="str">
        <f>IFERROR(IF(FIND(DATA_EFORM_SHEET_REF,DB_TBL_DATA_FIELDS[[#This Row],[APPLICABLE_EFORM_LIST]])&gt;0,DATA_EFORM_SHEET_REF,""),"")</f>
        <v>_</v>
      </c>
      <c r="C59" s="1" t="s">
        <v>9011</v>
      </c>
      <c r="D59" s="1" t="b">
        <v>0</v>
      </c>
      <c r="E59" s="81" t="b">
        <f ca="1">AND(DATA_HSEHLD_OTHER_GRANT_FHLBNY_FLAG=TRUE,DATA_HSEHLD_OTHER_GRANT_HDP_FLAG=TRUE)</f>
        <v>0</v>
      </c>
      <c r="F59" s="2" t="s">
        <v>9020</v>
      </c>
      <c r="G59" s="2" t="str">
        <f ca="1">IFERROR(VLOOKUP(DB_TBL_DATA_FIELDS[[#This Row],[FIELD_ID]],INDIRECT(DB_TBL_DATA_FIELDS[[#This Row],[SHEET_REF_CALC]]&amp;"!A:B"),2,FALSE),"")</f>
        <v/>
      </c>
      <c r="H59" s="19" t="str">
        <f ca="1">IF(DB_TBL_DATA_FIELDS[[#This Row],[FIELD_EMPTY_FLAG]],"",DB_TBL_DATA_FIELDS[[#This Row],[FIELD_REQ_FLAG]])</f>
        <v/>
      </c>
      <c r="I59" s="2" t="b">
        <f ca="1">(DB_TBL_DATA_FIELDS[[#This Row],[FIELD_VALUE_RAW]]="")</f>
        <v>1</v>
      </c>
      <c r="J59" s="2" t="s">
        <v>38</v>
      </c>
      <c r="K59" s="1" t="b">
        <f ca="1">AND(IF(DB_TBL_DATA_FIELDS[[#This Row],[FIELD_VALID_CUSTOM_LOGIC]]="",TRUE,DB_TBL_DATA_FIELDS[[#This Row],[FIELD_VALID_CUSTOM_LOGIC]]),DB_TBL_DATA_FIELDS[[#This Row],[RANGE_VALIDATION_PASSED_FLAG]])</f>
        <v>0</v>
      </c>
      <c r="L59"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59" s="1">
        <f ca="1">IF(DB_TBL_DATA_FIELDS[[#This Row],[SHEET_REF_CALC]]="","",IF(DB_TBL_DATA_FIELDS[[#This Row],[FIELD_EMPTY_FLAG]],IF(NOT(DB_TBL_DATA_FIELDS[[#This Row],[FIELD_REQ_FLAG]]),-1,1),IF(NOT(DB_TBL_DATA_FIELDS[[#This Row],[FIELD_VALID_FLAG]]),0,2)))</f>
        <v>-1</v>
      </c>
      <c r="N59" s="1" t="str">
        <f ca="1">IFERROR(VLOOKUP(DB_TBL_DATA_FIELDS[[#This Row],[FIELD_STATUS_CODE]],DB_TBL_CONFIG_FIELDSTATUSCODES[#All],3,FALSE),"")</f>
        <v>Optional</v>
      </c>
      <c r="O59" s="1" t="str">
        <f ca="1">IFERROR(VLOOKUP(DB_TBL_DATA_FIELDS[[#This Row],[FIELD_STATUS_CODE]],DB_TBL_CONFIG_FIELDSTATUSCODES[#All],4,FALSE),"")</f>
        <v xml:space="preserve"> </v>
      </c>
      <c r="P59" s="1" t="b">
        <f>TRUE</f>
        <v>1</v>
      </c>
      <c r="Q59" s="1" t="b">
        <f>TRUE</f>
        <v>1</v>
      </c>
      <c r="R59" s="1" t="s">
        <v>38</v>
      </c>
      <c r="S59" s="1">
        <f ca="1">IF(DB_TBL_DATA_FIELDS[[#This Row],[RANGE_VALIDATION_FLAG]]="Text",LEN(DB_TBL_DATA_FIELDS[[#This Row],[FIELD_VALUE_RAW]]),IFERROR(VALUE(DB_TBL_DATA_FIELDS[[#This Row],[FIELD_VALUE_RAW]]),-1))</f>
        <v>-1</v>
      </c>
      <c r="T59" s="1">
        <v>1</v>
      </c>
      <c r="U59" s="1">
        <v>999999999</v>
      </c>
      <c r="V59" s="1" t="b">
        <f ca="1">IF(NOT(DB_TBL_DATA_FIELDS[[#This Row],[RANGE_VALIDATION_ON_FLAG]]),TRUE,
AND(DB_TBL_DATA_FIELDS[[#This Row],[RANGE_VALUE_LEN]]&gt;=DB_TBL_DATA_FIELDS[[#This Row],[RANGE_VALIDATION_MIN]],DB_TBL_DATA_FIELDS[[#This Row],[RANGE_VALUE_LEN]]&lt;=DB_TBL_DATA_FIELDS[[#This Row],[RANGE_VALIDATION_MAX]]))</f>
        <v>0</v>
      </c>
      <c r="W59" s="1">
        <v>1</v>
      </c>
      <c r="X59" s="1">
        <f ca="1">IF(DB_TBL_DATA_FIELDS[[#This Row],[PCT_CALC_SHOW_STATUS_CODE]]=1,
DB_TBL_DATA_FIELDS[[#This Row],[FIELD_STATUS_CODE]],
IF(AND(DB_TBL_DATA_FIELDS[[#This Row],[PCT_CALC_SHOW_STATUS_CODE]]=2,DB_TBL_DATA_FIELDS[[#This Row],[FIELD_STATUS_CODE]]=0),
DB_TBL_DATA_FIELDS[[#This Row],[FIELD_STATUS_CODE]],
"")
)</f>
        <v>-1</v>
      </c>
    </row>
    <row r="60" spans="1:26" x14ac:dyDescent="0.2">
      <c r="A60" s="1" t="s">
        <v>9021</v>
      </c>
      <c r="B60" s="14" t="str">
        <f>IFERROR(IF(FIND(DATA_EFORM_SHEET_REF,DB_TBL_DATA_FIELDS[[#This Row],[APPLICABLE_EFORM_LIST]])&gt;0,DATA_EFORM_SHEET_REF,""),"")</f>
        <v>_</v>
      </c>
      <c r="C60" s="1" t="s">
        <v>9010</v>
      </c>
      <c r="D60" s="1" t="b">
        <v>0</v>
      </c>
      <c r="E60" s="81" t="b">
        <f ca="1">(DATA_HSEHLD_OTHER_GRANT_FHLBNY_FLAG=TRUE)</f>
        <v>0</v>
      </c>
      <c r="F60" s="2" t="s">
        <v>9028</v>
      </c>
      <c r="G60" s="2" t="str">
        <f ca="1">IFERROR(VLOOKUP(DB_TBL_DATA_FIELDS[[#This Row],[FIELD_ID]],INDIRECT(DB_TBL_DATA_FIELDS[[#This Row],[SHEET_REF_CALC]]&amp;"!A:B"),2,FALSE),"")</f>
        <v/>
      </c>
      <c r="H60" s="19" t="str">
        <f ca="1">IF(DB_TBL_DATA_FIELDS[[#This Row],[FIELD_EMPTY_FLAG]],"",AND(DB_TBL_DATA_FIELDS[[#This Row],[FIELD_REQ_FLAG]],NOT(AND(DATA_HSEHLD_OTHER_GRANT_HDP_FLAG=TRUE,DATA_HSEHLD_OTHER_GRANT_HDPP_FLAG=TRUE))))</f>
        <v/>
      </c>
      <c r="I60" s="2" t="b">
        <f ca="1">(DB_TBL_DATA_FIELDS[[#This Row],[FIELD_VALUE_RAW]]="")</f>
        <v>1</v>
      </c>
      <c r="J60" s="2" t="s">
        <v>137</v>
      </c>
      <c r="K60" s="1" t="b">
        <f ca="1">AND(IF(DB_TBL_DATA_FIELDS[[#This Row],[FIELD_VALID_CUSTOM_LOGIC]]="",TRUE,DB_TBL_DATA_FIELDS[[#This Row],[FIELD_VALID_CUSTOM_LOGIC]]),DB_TBL_DATA_FIELDS[[#This Row],[RANGE_VALIDATION_PASSED_FLAG]])</f>
        <v>1</v>
      </c>
      <c r="L60"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60" s="1">
        <f ca="1">IF(DB_TBL_DATA_FIELDS[[#This Row],[SHEET_REF_CALC]]="","",IF(DB_TBL_DATA_FIELDS[[#This Row],[FIELD_EMPTY_FLAG]],IF(NOT(DB_TBL_DATA_FIELDS[[#This Row],[FIELD_REQ_FLAG]]),-1,1),IF(NOT(DB_TBL_DATA_FIELDS[[#This Row],[FIELD_VALID_FLAG]]),0,2)))</f>
        <v>-1</v>
      </c>
      <c r="N60" s="1" t="str">
        <f ca="1">IFERROR(VLOOKUP(DB_TBL_DATA_FIELDS[[#This Row],[FIELD_STATUS_CODE]],DB_TBL_CONFIG_FIELDSTATUSCODES[#All],3,FALSE),"")</f>
        <v>Optional</v>
      </c>
      <c r="O60" s="1" t="str">
        <f ca="1">IFERROR(VLOOKUP(DB_TBL_DATA_FIELDS[[#This Row],[FIELD_STATUS_CODE]],DB_TBL_CONFIG_FIELDSTATUSCODES[#All],4,FALSE),"")</f>
        <v xml:space="preserve"> </v>
      </c>
      <c r="P60" s="1" t="b">
        <f>TRUE</f>
        <v>1</v>
      </c>
      <c r="Q60" s="1" t="b">
        <v>0</v>
      </c>
      <c r="S60" s="1">
        <f ca="1">IF(DB_TBL_DATA_FIELDS[[#This Row],[RANGE_VALIDATION_FLAG]]="Text",LEN(DB_TBL_DATA_FIELDS[[#This Row],[FIELD_VALUE_RAW]]),IFERROR(VALUE(DB_TBL_DATA_FIELDS[[#This Row],[FIELD_VALUE_RAW]]),-1))</f>
        <v>-1</v>
      </c>
      <c r="V60" s="1" t="b">
        <f>IF(NOT(DB_TBL_DATA_FIELDS[[#This Row],[RANGE_VALIDATION_ON_FLAG]]),TRUE,
AND(DB_TBL_DATA_FIELDS[[#This Row],[RANGE_VALUE_LEN]]&gt;=DB_TBL_DATA_FIELDS[[#This Row],[RANGE_VALIDATION_MIN]],DB_TBL_DATA_FIELDS[[#This Row],[RANGE_VALUE_LEN]]&lt;=DB_TBL_DATA_FIELDS[[#This Row],[RANGE_VALIDATION_MAX]]))</f>
        <v>1</v>
      </c>
      <c r="W60" s="1">
        <v>1</v>
      </c>
      <c r="X60" s="1">
        <f ca="1">IF(DB_TBL_DATA_FIELDS[[#This Row],[PCT_CALC_SHOW_STATUS_CODE]]=1,
DB_TBL_DATA_FIELDS[[#This Row],[FIELD_STATUS_CODE]],
IF(AND(DB_TBL_DATA_FIELDS[[#This Row],[PCT_CALC_SHOW_STATUS_CODE]]=2,DB_TBL_DATA_FIELDS[[#This Row],[FIELD_STATUS_CODE]]=0),
DB_TBL_DATA_FIELDS[[#This Row],[FIELD_STATUS_CODE]],
"")
)</f>
        <v>-1</v>
      </c>
      <c r="Y60" s="14" t="str">
        <f ca="1">IF(DB_TBL_DATA_FIELDS[[#This Row],[FIELD_STATUS_CODE]]=0,IF(AND(DATA_HSEHLD_OTHER_GRANT_FHLBNY_FLAG=TRUE,DATA_HSEHLD_OTHER_GRANT_HDP_FLAG=TRUE,DATA_HSEHLD_OTHER_GRANT_HDPP_FLAG=TRUE),"Households cannot receive grants in both Homebuyer Dream Program and Homebuyer Dream Program Plus",""),"")</f>
        <v/>
      </c>
    </row>
    <row r="61" spans="1:26" x14ac:dyDescent="0.2">
      <c r="A61" s="1" t="s">
        <v>9021</v>
      </c>
      <c r="B61" s="14" t="str">
        <f>IFERROR(IF(FIND(DATA_EFORM_SHEET_REF,DB_TBL_DATA_FIELDS[[#This Row],[APPLICABLE_EFORM_LIST]])&gt;0,DATA_EFORM_SHEET_REF,""),"")</f>
        <v>_</v>
      </c>
      <c r="C61" s="1" t="s">
        <v>9012</v>
      </c>
      <c r="D61" s="1" t="b">
        <v>0</v>
      </c>
      <c r="E61" s="81" t="b">
        <f ca="1">AND(DATA_HSEHLD_OTHER_GRANT_FHLBNY_FLAG=TRUE,DATA_HSEHLD_OTHER_GRANT_HDPP_FLAG=TRUE)</f>
        <v>0</v>
      </c>
      <c r="F61" s="2" t="s">
        <v>9029</v>
      </c>
      <c r="G61" s="2" t="str">
        <f ca="1">IFERROR(VLOOKUP(DB_TBL_DATA_FIELDS[[#This Row],[FIELD_ID]],INDIRECT(DB_TBL_DATA_FIELDS[[#This Row],[SHEET_REF_CALC]]&amp;"!A:B"),2,FALSE),"")</f>
        <v/>
      </c>
      <c r="H61" s="19" t="str">
        <f ca="1">IF(DB_TBL_DATA_FIELDS[[#This Row],[FIELD_EMPTY_FLAG]],"",DB_TBL_DATA_FIELDS[[#This Row],[FIELD_REQ_FLAG]])</f>
        <v/>
      </c>
      <c r="I61" s="2" t="b">
        <f ca="1">(DB_TBL_DATA_FIELDS[[#This Row],[FIELD_VALUE_RAW]]="")</f>
        <v>1</v>
      </c>
      <c r="J61" s="2" t="s">
        <v>38</v>
      </c>
      <c r="K61" s="1" t="b">
        <f ca="1">AND(IF(DB_TBL_DATA_FIELDS[[#This Row],[FIELD_VALID_CUSTOM_LOGIC]]="",TRUE,DB_TBL_DATA_FIELDS[[#This Row],[FIELD_VALID_CUSTOM_LOGIC]]),DB_TBL_DATA_FIELDS[[#This Row],[RANGE_VALIDATION_PASSED_FLAG]])</f>
        <v>0</v>
      </c>
      <c r="L61"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61" s="1">
        <f ca="1">IF(DB_TBL_DATA_FIELDS[[#This Row],[SHEET_REF_CALC]]="","",IF(DB_TBL_DATA_FIELDS[[#This Row],[FIELD_EMPTY_FLAG]],IF(NOT(DB_TBL_DATA_FIELDS[[#This Row],[FIELD_REQ_FLAG]]),-1,1),IF(NOT(DB_TBL_DATA_FIELDS[[#This Row],[FIELD_VALID_FLAG]]),0,2)))</f>
        <v>-1</v>
      </c>
      <c r="N61" s="1" t="str">
        <f ca="1">IFERROR(VLOOKUP(DB_TBL_DATA_FIELDS[[#This Row],[FIELD_STATUS_CODE]],DB_TBL_CONFIG_FIELDSTATUSCODES[#All],3,FALSE),"")</f>
        <v>Optional</v>
      </c>
      <c r="O61" s="1" t="str">
        <f ca="1">IFERROR(VLOOKUP(DB_TBL_DATA_FIELDS[[#This Row],[FIELD_STATUS_CODE]],DB_TBL_CONFIG_FIELDSTATUSCODES[#All],4,FALSE),"")</f>
        <v xml:space="preserve"> </v>
      </c>
      <c r="P61" s="1" t="b">
        <f>TRUE</f>
        <v>1</v>
      </c>
      <c r="Q61" s="1" t="b">
        <f>TRUE</f>
        <v>1</v>
      </c>
      <c r="R61" s="1" t="s">
        <v>38</v>
      </c>
      <c r="S61" s="1">
        <f ca="1">IF(DB_TBL_DATA_FIELDS[[#This Row],[RANGE_VALIDATION_FLAG]]="Text",LEN(DB_TBL_DATA_FIELDS[[#This Row],[FIELD_VALUE_RAW]]),IFERROR(VALUE(DB_TBL_DATA_FIELDS[[#This Row],[FIELD_VALUE_RAW]]),-1))</f>
        <v>-1</v>
      </c>
      <c r="T61" s="1">
        <v>1</v>
      </c>
      <c r="U61" s="1">
        <v>999999999</v>
      </c>
      <c r="V61" s="1" t="b">
        <f ca="1">IF(NOT(DB_TBL_DATA_FIELDS[[#This Row],[RANGE_VALIDATION_ON_FLAG]]),TRUE,
AND(DB_TBL_DATA_FIELDS[[#This Row],[RANGE_VALUE_LEN]]&gt;=DB_TBL_DATA_FIELDS[[#This Row],[RANGE_VALIDATION_MIN]],DB_TBL_DATA_FIELDS[[#This Row],[RANGE_VALUE_LEN]]&lt;=DB_TBL_DATA_FIELDS[[#This Row],[RANGE_VALIDATION_MAX]]))</f>
        <v>0</v>
      </c>
      <c r="W61" s="1">
        <v>1</v>
      </c>
      <c r="X61" s="1">
        <f ca="1">IF(DB_TBL_DATA_FIELDS[[#This Row],[PCT_CALC_SHOW_STATUS_CODE]]=1,
DB_TBL_DATA_FIELDS[[#This Row],[FIELD_STATUS_CODE]],
IF(AND(DB_TBL_DATA_FIELDS[[#This Row],[PCT_CALC_SHOW_STATUS_CODE]]=2,DB_TBL_DATA_FIELDS[[#This Row],[FIELD_STATUS_CODE]]=0),
DB_TBL_DATA_FIELDS[[#This Row],[FIELD_STATUS_CODE]],
"")
)</f>
        <v>-1</v>
      </c>
    </row>
    <row r="62" spans="1:26" x14ac:dyDescent="0.2">
      <c r="A62" s="1" t="s">
        <v>8998</v>
      </c>
      <c r="B62" s="14" t="str">
        <f>IFERROR(IF(FIND(DATA_EFORM_SHEET_REF,DB_TBL_DATA_FIELDS[[#This Row],[APPLICABLE_EFORM_LIST]])&gt;0,DATA_EFORM_SHEET_REF,""),"")</f>
        <v>_</v>
      </c>
      <c r="C62" s="1" t="s">
        <v>9013</v>
      </c>
      <c r="D62" s="1" t="b">
        <v>0</v>
      </c>
      <c r="E62" s="81" t="b">
        <f ca="1">(DATA_HSEHLD_OTHER_GRANT_FHLBNY_FLAG=TRUE)</f>
        <v>0</v>
      </c>
      <c r="F62" s="2" t="s">
        <v>9023</v>
      </c>
      <c r="G62" s="2" t="str">
        <f ca="1">IFERROR(VLOOKUP(DB_TBL_DATA_FIELDS[[#This Row],[FIELD_ID]],INDIRECT(DB_TBL_DATA_FIELDS[[#This Row],[SHEET_REF_CALC]]&amp;"!A:B"),2,FALSE),"")</f>
        <v/>
      </c>
      <c r="H62" s="19" t="str">
        <f ca="1">IF(DB_TBL_DATA_FIELDS[[#This Row],[FIELD_EMPTY_FLAG]],"",DB_TBL_DATA_FIELDS[[#This Row],[FIELD_REQ_FLAG]])</f>
        <v/>
      </c>
      <c r="I62" s="2" t="b">
        <f ca="1">(DB_TBL_DATA_FIELDS[[#This Row],[FIELD_VALUE_RAW]]="")</f>
        <v>1</v>
      </c>
      <c r="J62" s="2" t="s">
        <v>137</v>
      </c>
      <c r="K62" s="1" t="b">
        <f ca="1">AND(IF(DB_TBL_DATA_FIELDS[[#This Row],[FIELD_VALID_CUSTOM_LOGIC]]="",TRUE,DB_TBL_DATA_FIELDS[[#This Row],[FIELD_VALID_CUSTOM_LOGIC]]),DB_TBL_DATA_FIELDS[[#This Row],[RANGE_VALIDATION_PASSED_FLAG]])</f>
        <v>1</v>
      </c>
      <c r="L62"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62" s="1">
        <f ca="1">IF(DB_TBL_DATA_FIELDS[[#This Row],[SHEET_REF_CALC]]="","",IF(DB_TBL_DATA_FIELDS[[#This Row],[FIELD_EMPTY_FLAG]],IF(NOT(DB_TBL_DATA_FIELDS[[#This Row],[FIELD_REQ_FLAG]]),-1,1),IF(NOT(DB_TBL_DATA_FIELDS[[#This Row],[FIELD_VALID_FLAG]]),0,2)))</f>
        <v>-1</v>
      </c>
      <c r="N62" s="1" t="str">
        <f ca="1">IFERROR(VLOOKUP(DB_TBL_DATA_FIELDS[[#This Row],[FIELD_STATUS_CODE]],DB_TBL_CONFIG_FIELDSTATUSCODES[#All],3,FALSE),"")</f>
        <v>Optional</v>
      </c>
      <c r="O62" s="1" t="str">
        <f ca="1">IFERROR(VLOOKUP(DB_TBL_DATA_FIELDS[[#This Row],[FIELD_STATUS_CODE]],DB_TBL_CONFIG_FIELDSTATUSCODES[#All],4,FALSE),"")</f>
        <v xml:space="preserve"> </v>
      </c>
      <c r="P62" s="1" t="b">
        <f>TRUE</f>
        <v>1</v>
      </c>
      <c r="Q62" s="1" t="b">
        <v>0</v>
      </c>
      <c r="S62" s="1">
        <f ca="1">IF(DB_TBL_DATA_FIELDS[[#This Row],[RANGE_VALIDATION_FLAG]]="Text",LEN(DB_TBL_DATA_FIELDS[[#This Row],[FIELD_VALUE_RAW]]),IFERROR(VALUE(DB_TBL_DATA_FIELDS[[#This Row],[FIELD_VALUE_RAW]]),-1))</f>
        <v>-1</v>
      </c>
      <c r="V62" s="1" t="b">
        <f>IF(NOT(DB_TBL_DATA_FIELDS[[#This Row],[RANGE_VALIDATION_ON_FLAG]]),TRUE,
AND(DB_TBL_DATA_FIELDS[[#This Row],[RANGE_VALUE_LEN]]&gt;=DB_TBL_DATA_FIELDS[[#This Row],[RANGE_VALIDATION_MIN]],DB_TBL_DATA_FIELDS[[#This Row],[RANGE_VALUE_LEN]]&lt;=DB_TBL_DATA_FIELDS[[#This Row],[RANGE_VALIDATION_MAX]]))</f>
        <v>1</v>
      </c>
      <c r="W62" s="1">
        <v>1</v>
      </c>
      <c r="X62" s="1">
        <f ca="1">IF(DB_TBL_DATA_FIELDS[[#This Row],[PCT_CALC_SHOW_STATUS_CODE]]=1,
DB_TBL_DATA_FIELDS[[#This Row],[FIELD_STATUS_CODE]],
IF(AND(DB_TBL_DATA_FIELDS[[#This Row],[PCT_CALC_SHOW_STATUS_CODE]]=2,DB_TBL_DATA_FIELDS[[#This Row],[FIELD_STATUS_CODE]]=0),
DB_TBL_DATA_FIELDS[[#This Row],[FIELD_STATUS_CODE]],
"")
)</f>
        <v>-1</v>
      </c>
    </row>
    <row r="63" spans="1:26" x14ac:dyDescent="0.2">
      <c r="A63" s="1" t="s">
        <v>8998</v>
      </c>
      <c r="B63" s="14" t="str">
        <f>IFERROR(IF(FIND(DATA_EFORM_SHEET_REF,DB_TBL_DATA_FIELDS[[#This Row],[APPLICABLE_EFORM_LIST]])&gt;0,DATA_EFORM_SHEET_REF,""),"")</f>
        <v>_</v>
      </c>
      <c r="C63" s="1" t="s">
        <v>9014</v>
      </c>
      <c r="D63" s="1" t="b">
        <v>0</v>
      </c>
      <c r="E63" s="81" t="b">
        <f ca="1">AND(DATA_HSEHLD_OTHER_GRANT_FHLBNY_FLAG=TRUE,DATA_HSEHLD_OTHER_GRANT_HDPWB_FLAG=TRUE)</f>
        <v>0</v>
      </c>
      <c r="F63" s="2" t="s">
        <v>9024</v>
      </c>
      <c r="G63" s="2" t="str">
        <f ca="1">IFERROR(VLOOKUP(DB_TBL_DATA_FIELDS[[#This Row],[FIELD_ID]],INDIRECT(DB_TBL_DATA_FIELDS[[#This Row],[SHEET_REF_CALC]]&amp;"!A:B"),2,FALSE),"")</f>
        <v/>
      </c>
      <c r="H63" s="19" t="str">
        <f ca="1">IF(DB_TBL_DATA_FIELDS[[#This Row],[FIELD_EMPTY_FLAG]],"",DB_TBL_DATA_FIELDS[[#This Row],[FIELD_REQ_FLAG]])</f>
        <v/>
      </c>
      <c r="I63" s="2" t="b">
        <f ca="1">(DB_TBL_DATA_FIELDS[[#This Row],[FIELD_VALUE_RAW]]="")</f>
        <v>1</v>
      </c>
      <c r="J63" s="2" t="s">
        <v>38</v>
      </c>
      <c r="K63" s="1" t="b">
        <f ca="1">AND(IF(DB_TBL_DATA_FIELDS[[#This Row],[FIELD_VALID_CUSTOM_LOGIC]]="",TRUE,DB_TBL_DATA_FIELDS[[#This Row],[FIELD_VALID_CUSTOM_LOGIC]]),DB_TBL_DATA_FIELDS[[#This Row],[RANGE_VALIDATION_PASSED_FLAG]])</f>
        <v>0</v>
      </c>
      <c r="L63"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63" s="1">
        <f ca="1">IF(DB_TBL_DATA_FIELDS[[#This Row],[SHEET_REF_CALC]]="","",IF(DB_TBL_DATA_FIELDS[[#This Row],[FIELD_EMPTY_FLAG]],IF(NOT(DB_TBL_DATA_FIELDS[[#This Row],[FIELD_REQ_FLAG]]),-1,1),IF(NOT(DB_TBL_DATA_FIELDS[[#This Row],[FIELD_VALID_FLAG]]),0,2)))</f>
        <v>-1</v>
      </c>
      <c r="N63" s="1" t="str">
        <f ca="1">IFERROR(VLOOKUP(DB_TBL_DATA_FIELDS[[#This Row],[FIELD_STATUS_CODE]],DB_TBL_CONFIG_FIELDSTATUSCODES[#All],3,FALSE),"")</f>
        <v>Optional</v>
      </c>
      <c r="O63" s="1" t="str">
        <f ca="1">IFERROR(VLOOKUP(DB_TBL_DATA_FIELDS[[#This Row],[FIELD_STATUS_CODE]],DB_TBL_CONFIG_FIELDSTATUSCODES[#All],4,FALSE),"")</f>
        <v xml:space="preserve"> </v>
      </c>
      <c r="P63" s="1" t="b">
        <f>TRUE</f>
        <v>1</v>
      </c>
      <c r="Q63" s="1" t="b">
        <f>TRUE</f>
        <v>1</v>
      </c>
      <c r="R63" s="1" t="s">
        <v>38</v>
      </c>
      <c r="S63" s="1">
        <f ca="1">IF(DB_TBL_DATA_FIELDS[[#This Row],[RANGE_VALIDATION_FLAG]]="Text",LEN(DB_TBL_DATA_FIELDS[[#This Row],[FIELD_VALUE_RAW]]),IFERROR(VALUE(DB_TBL_DATA_FIELDS[[#This Row],[FIELD_VALUE_RAW]]),-1))</f>
        <v>-1</v>
      </c>
      <c r="T63" s="1">
        <v>1</v>
      </c>
      <c r="U63" s="1">
        <v>999999999</v>
      </c>
      <c r="V63" s="1" t="b">
        <f ca="1">IF(NOT(DB_TBL_DATA_FIELDS[[#This Row],[RANGE_VALIDATION_ON_FLAG]]),TRUE,
AND(DB_TBL_DATA_FIELDS[[#This Row],[RANGE_VALUE_LEN]]&gt;=DB_TBL_DATA_FIELDS[[#This Row],[RANGE_VALIDATION_MIN]],DB_TBL_DATA_FIELDS[[#This Row],[RANGE_VALUE_LEN]]&lt;=DB_TBL_DATA_FIELDS[[#This Row],[RANGE_VALIDATION_MAX]]))</f>
        <v>0</v>
      </c>
      <c r="W63" s="1">
        <v>1</v>
      </c>
      <c r="X63" s="1">
        <f ca="1">IF(DB_TBL_DATA_FIELDS[[#This Row],[PCT_CALC_SHOW_STATUS_CODE]]=1,
DB_TBL_DATA_FIELDS[[#This Row],[FIELD_STATUS_CODE]],
IF(AND(DB_TBL_DATA_FIELDS[[#This Row],[PCT_CALC_SHOW_STATUS_CODE]]=2,DB_TBL_DATA_FIELDS[[#This Row],[FIELD_STATUS_CODE]]=0),
DB_TBL_DATA_FIELDS[[#This Row],[FIELD_STATUS_CODE]],
"")
)</f>
        <v>-1</v>
      </c>
    </row>
    <row r="64" spans="1:26" x14ac:dyDescent="0.2">
      <c r="A64" s="1" t="s">
        <v>9022</v>
      </c>
      <c r="B64" s="14" t="str">
        <f>IFERROR(IF(FIND(DATA_EFORM_SHEET_REF,DB_TBL_DATA_FIELDS[[#This Row],[APPLICABLE_EFORM_LIST]])&gt;0,DATA_EFORM_SHEET_REF,""),"")</f>
        <v>_</v>
      </c>
      <c r="C64" s="1" t="s">
        <v>9015</v>
      </c>
      <c r="D64" s="1" t="b">
        <v>0</v>
      </c>
      <c r="E64" s="81" t="b">
        <f ca="1">(DATA_HSEHLD_OTHER_GRANT_FHLBNY_FLAG=TRUE)</f>
        <v>0</v>
      </c>
      <c r="F64" s="2" t="s">
        <v>9025</v>
      </c>
      <c r="G64" s="2" t="str">
        <f ca="1">IFERROR(VLOOKUP(DB_TBL_DATA_FIELDS[[#This Row],[FIELD_ID]],INDIRECT(DB_TBL_DATA_FIELDS[[#This Row],[SHEET_REF_CALC]]&amp;"!A:B"),2,FALSE),"")</f>
        <v/>
      </c>
      <c r="H64" s="19" t="str">
        <f ca="1">IF(DB_TBL_DATA_FIELDS[[#This Row],[FIELD_EMPTY_FLAG]],"",AND(DB_TBL_DATA_FIELDS[[#This Row],[FIELD_REQ_FLAG]],DATA_HSEHLD_OTHER_GRANT_AHP_FLAG=FALSE))</f>
        <v/>
      </c>
      <c r="I64" s="2" t="b">
        <f ca="1">(DB_TBL_DATA_FIELDS[[#This Row],[FIELD_VALUE_RAW]]="")</f>
        <v>1</v>
      </c>
      <c r="J64" s="2" t="s">
        <v>137</v>
      </c>
      <c r="K64" s="1" t="b">
        <f ca="1">AND(IF(DB_TBL_DATA_FIELDS[[#This Row],[FIELD_VALID_CUSTOM_LOGIC]]="",TRUE,DB_TBL_DATA_FIELDS[[#This Row],[FIELD_VALID_CUSTOM_LOGIC]]),DB_TBL_DATA_FIELDS[[#This Row],[RANGE_VALIDATION_PASSED_FLAG]])</f>
        <v>1</v>
      </c>
      <c r="L64"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64" s="1">
        <f ca="1">IF(DB_TBL_DATA_FIELDS[[#This Row],[SHEET_REF_CALC]]="","",IF(DB_TBL_DATA_FIELDS[[#This Row],[FIELD_EMPTY_FLAG]],IF(NOT(DB_TBL_DATA_FIELDS[[#This Row],[FIELD_REQ_FLAG]]),-1,1),IF(NOT(DB_TBL_DATA_FIELDS[[#This Row],[FIELD_VALID_FLAG]]),0,2)))</f>
        <v>-1</v>
      </c>
      <c r="N64" s="1" t="str">
        <f ca="1">IFERROR(VLOOKUP(DB_TBL_DATA_FIELDS[[#This Row],[FIELD_STATUS_CODE]],DB_TBL_CONFIG_FIELDSTATUSCODES[#All],3,FALSE),"")</f>
        <v>Optional</v>
      </c>
      <c r="O64" s="1" t="str">
        <f ca="1">IFERROR(VLOOKUP(DB_TBL_DATA_FIELDS[[#This Row],[FIELD_STATUS_CODE]],DB_TBL_CONFIG_FIELDSTATUSCODES[#All],4,FALSE),"")</f>
        <v xml:space="preserve"> </v>
      </c>
      <c r="P64" s="1" t="b">
        <f>TRUE</f>
        <v>1</v>
      </c>
      <c r="Q64" s="1" t="b">
        <v>0</v>
      </c>
      <c r="S64" s="1">
        <f ca="1">IF(DB_TBL_DATA_FIELDS[[#This Row],[RANGE_VALIDATION_FLAG]]="Text",LEN(DB_TBL_DATA_FIELDS[[#This Row],[FIELD_VALUE_RAW]]),IFERROR(VALUE(DB_TBL_DATA_FIELDS[[#This Row],[FIELD_VALUE_RAW]]),-1))</f>
        <v>-1</v>
      </c>
      <c r="V64" s="1" t="b">
        <f>IF(NOT(DB_TBL_DATA_FIELDS[[#This Row],[RANGE_VALIDATION_ON_FLAG]]),TRUE,
AND(DB_TBL_DATA_FIELDS[[#This Row],[RANGE_VALUE_LEN]]&gt;=DB_TBL_DATA_FIELDS[[#This Row],[RANGE_VALIDATION_MIN]],DB_TBL_DATA_FIELDS[[#This Row],[RANGE_VALUE_LEN]]&lt;=DB_TBL_DATA_FIELDS[[#This Row],[RANGE_VALIDATION_MAX]]))</f>
        <v>1</v>
      </c>
      <c r="W64" s="1">
        <v>1</v>
      </c>
      <c r="X64" s="1">
        <f ca="1">IF(DB_TBL_DATA_FIELDS[[#This Row],[PCT_CALC_SHOW_STATUS_CODE]]=1,
DB_TBL_DATA_FIELDS[[#This Row],[FIELD_STATUS_CODE]],
IF(AND(DB_TBL_DATA_FIELDS[[#This Row],[PCT_CALC_SHOW_STATUS_CODE]]=2,DB_TBL_DATA_FIELDS[[#This Row],[FIELD_STATUS_CODE]]=0),
DB_TBL_DATA_FIELDS[[#This Row],[FIELD_STATUS_CODE]],
"")
)</f>
        <v>-1</v>
      </c>
    </row>
    <row r="65" spans="1:26" x14ac:dyDescent="0.2">
      <c r="A65" s="1" t="s">
        <v>9022</v>
      </c>
      <c r="B65" s="14" t="str">
        <f>IFERROR(IF(FIND(DATA_EFORM_SHEET_REF,DB_TBL_DATA_FIELDS[[#This Row],[APPLICABLE_EFORM_LIST]])&gt;0,DATA_EFORM_SHEET_REF,""),"")</f>
        <v>_</v>
      </c>
      <c r="C65" s="1" t="s">
        <v>9016</v>
      </c>
      <c r="D65" s="1" t="b">
        <v>0</v>
      </c>
      <c r="E65" s="81" t="b">
        <f ca="1">AND(DATA_HSEHLD_OTHER_GRANT_FHLBNY_FLAG=TRUE,DATA_HSEHLD_OTHER_GRANT_AHP_FLAG=TRUE)</f>
        <v>0</v>
      </c>
      <c r="F65" s="2" t="s">
        <v>9026</v>
      </c>
      <c r="G65" s="2" t="str">
        <f ca="1">IFERROR(VLOOKUP(DB_TBL_DATA_FIELDS[[#This Row],[FIELD_ID]],INDIRECT(DB_TBL_DATA_FIELDS[[#This Row],[SHEET_REF_CALC]]&amp;"!A:B"),2,FALSE),"")</f>
        <v/>
      </c>
      <c r="H65" s="19" t="str">
        <f ca="1">IF(DB_TBL_DATA_FIELDS[[#This Row],[FIELD_EMPTY_FLAG]],"",DB_TBL_DATA_FIELDS[[#This Row],[FIELD_REQ_FLAG]])</f>
        <v/>
      </c>
      <c r="I65" s="2" t="b">
        <f ca="1">(DB_TBL_DATA_FIELDS[[#This Row],[FIELD_VALUE_RAW]]="")</f>
        <v>1</v>
      </c>
      <c r="J65" s="2" t="s">
        <v>38</v>
      </c>
      <c r="K65" s="1" t="b">
        <f ca="1">AND(IF(DB_TBL_DATA_FIELDS[[#This Row],[FIELD_VALID_CUSTOM_LOGIC]]="",TRUE,DB_TBL_DATA_FIELDS[[#This Row],[FIELD_VALID_CUSTOM_LOGIC]]),DB_TBL_DATA_FIELDS[[#This Row],[RANGE_VALIDATION_PASSED_FLAG]])</f>
        <v>0</v>
      </c>
      <c r="L65"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65" s="1">
        <f ca="1">IF(DB_TBL_DATA_FIELDS[[#This Row],[SHEET_REF_CALC]]="","",IF(DB_TBL_DATA_FIELDS[[#This Row],[FIELD_EMPTY_FLAG]],IF(NOT(DB_TBL_DATA_FIELDS[[#This Row],[FIELD_REQ_FLAG]]),-1,1),IF(NOT(DB_TBL_DATA_FIELDS[[#This Row],[FIELD_VALID_FLAG]]),0,2)))</f>
        <v>-1</v>
      </c>
      <c r="N65" s="1" t="str">
        <f ca="1">IFERROR(VLOOKUP(DB_TBL_DATA_FIELDS[[#This Row],[FIELD_STATUS_CODE]],DB_TBL_CONFIG_FIELDSTATUSCODES[#All],3,FALSE),"")</f>
        <v>Optional</v>
      </c>
      <c r="O65" s="1" t="str">
        <f ca="1">IFERROR(VLOOKUP(DB_TBL_DATA_FIELDS[[#This Row],[FIELD_STATUS_CODE]],DB_TBL_CONFIG_FIELDSTATUSCODES[#All],4,FALSE),"")</f>
        <v xml:space="preserve"> </v>
      </c>
      <c r="P65" s="1" t="b">
        <f>TRUE</f>
        <v>1</v>
      </c>
      <c r="Q65" s="1" t="b">
        <f>TRUE</f>
        <v>1</v>
      </c>
      <c r="R65" s="1" t="s">
        <v>38</v>
      </c>
      <c r="S65" s="1">
        <f ca="1">IF(DB_TBL_DATA_FIELDS[[#This Row],[RANGE_VALIDATION_FLAG]]="Text",LEN(DB_TBL_DATA_FIELDS[[#This Row],[FIELD_VALUE_RAW]]),IFERROR(VALUE(DB_TBL_DATA_FIELDS[[#This Row],[FIELD_VALUE_RAW]]),-1))</f>
        <v>-1</v>
      </c>
      <c r="T65" s="1">
        <v>1</v>
      </c>
      <c r="U65" s="1">
        <v>999999999</v>
      </c>
      <c r="V65" s="1" t="b">
        <f ca="1">IF(NOT(DB_TBL_DATA_FIELDS[[#This Row],[RANGE_VALIDATION_ON_FLAG]]),TRUE,
AND(DB_TBL_DATA_FIELDS[[#This Row],[RANGE_VALUE_LEN]]&gt;=DB_TBL_DATA_FIELDS[[#This Row],[RANGE_VALIDATION_MIN]],DB_TBL_DATA_FIELDS[[#This Row],[RANGE_VALUE_LEN]]&lt;=DB_TBL_DATA_FIELDS[[#This Row],[RANGE_VALIDATION_MAX]]))</f>
        <v>0</v>
      </c>
      <c r="W65" s="1">
        <v>1</v>
      </c>
      <c r="X65" s="1">
        <f ca="1">IF(DB_TBL_DATA_FIELDS[[#This Row],[PCT_CALC_SHOW_STATUS_CODE]]=1,
DB_TBL_DATA_FIELDS[[#This Row],[FIELD_STATUS_CODE]],
IF(AND(DB_TBL_DATA_FIELDS[[#This Row],[PCT_CALC_SHOW_STATUS_CODE]]=2,DB_TBL_DATA_FIELDS[[#This Row],[FIELD_STATUS_CODE]]=0),
DB_TBL_DATA_FIELDS[[#This Row],[FIELD_STATUS_CODE]],
"")
)</f>
        <v>-1</v>
      </c>
    </row>
    <row r="66" spans="1:26" x14ac:dyDescent="0.2">
      <c r="A66" s="1" t="s">
        <v>9022</v>
      </c>
      <c r="B66" s="14" t="str">
        <f>IFERROR(IF(FIND(DATA_EFORM_SHEET_REF,DB_TBL_DATA_FIELDS[[#This Row],[APPLICABLE_EFORM_LIST]])&gt;0,DATA_EFORM_SHEET_REF,""),"")</f>
        <v>_</v>
      </c>
      <c r="C66" s="1" t="s">
        <v>9017</v>
      </c>
      <c r="D66" s="1" t="b">
        <v>0</v>
      </c>
      <c r="E66" s="81" t="b">
        <f ca="1">(DATA_HSEHLD_OTHER_GRANT_FHLBNY_FLAG=TRUE)</f>
        <v>0</v>
      </c>
      <c r="F66" s="2" t="s">
        <v>9027</v>
      </c>
      <c r="G66" s="19">
        <f ca="1">IF(DATA_HSEHLD_OTHER_GRANT_FHLBNY_FLAG&lt;&gt;TRUE,0,SUM(IF(E59=TRUE,G59,0),IF(E61=TRUE,G61,0),IF(E63=TRUE,G63,0),IF(E65=TRUE,G65,0)))</f>
        <v>0</v>
      </c>
      <c r="I66" s="2" t="b">
        <f ca="1">(DB_TBL_DATA_FIELDS[[#This Row],[FIELD_VALUE_RAW]]="")</f>
        <v>0</v>
      </c>
      <c r="J66" s="2" t="s">
        <v>38</v>
      </c>
      <c r="K66" s="1" t="b">
        <f ca="1">AND(IF(DB_TBL_DATA_FIELDS[[#This Row],[FIELD_VALID_CUSTOM_LOGIC]]="",TRUE,DB_TBL_DATA_FIELDS[[#This Row],[FIELD_VALID_CUSTOM_LOGIC]]),DB_TBL_DATA_FIELDS[[#This Row],[RANGE_VALIDATION_PASSED_FLAG]])</f>
        <v>1</v>
      </c>
      <c r="L66" s="2">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0</v>
      </c>
      <c r="M66" s="1">
        <f ca="1">IF(DB_TBL_DATA_FIELDS[[#This Row],[SHEET_REF_CALC]]="","",IF(DB_TBL_DATA_FIELDS[[#This Row],[FIELD_EMPTY_FLAG]],IF(NOT(DB_TBL_DATA_FIELDS[[#This Row],[FIELD_REQ_FLAG]]),-1,1),IF(NOT(DB_TBL_DATA_FIELDS[[#This Row],[FIELD_VALID_FLAG]]),0,2)))</f>
        <v>2</v>
      </c>
      <c r="N66" s="1" t="str">
        <f ca="1">IFERROR(VLOOKUP(DB_TBL_DATA_FIELDS[[#This Row],[FIELD_STATUS_CODE]],DB_TBL_CONFIG_FIELDSTATUSCODES[#All],3,FALSE),"")</f>
        <v>OK</v>
      </c>
      <c r="O66" s="1" t="str">
        <f ca="1">IFERROR(VLOOKUP(DB_TBL_DATA_FIELDS[[#This Row],[FIELD_STATUS_CODE]],DB_TBL_CONFIG_FIELDSTATUSCODES[#All],4,FALSE),"")</f>
        <v>a</v>
      </c>
      <c r="P66" s="1" t="b">
        <f>TRUE</f>
        <v>1</v>
      </c>
      <c r="Q66" s="1" t="b">
        <f>TRUE</f>
        <v>1</v>
      </c>
      <c r="R66" s="1" t="s">
        <v>38</v>
      </c>
      <c r="S66" s="1">
        <f ca="1">IF(DB_TBL_DATA_FIELDS[[#This Row],[RANGE_VALIDATION_FLAG]]="Text",LEN(DB_TBL_DATA_FIELDS[[#This Row],[FIELD_VALUE_RAW]]),IFERROR(VALUE(DB_TBL_DATA_FIELDS[[#This Row],[FIELD_VALUE_RAW]]),-1))</f>
        <v>0</v>
      </c>
      <c r="T66" s="1">
        <v>0</v>
      </c>
      <c r="U66" s="1">
        <v>999999999</v>
      </c>
      <c r="V66" s="1" t="b">
        <f ca="1">IF(NOT(DB_TBL_DATA_FIELDS[[#This Row],[RANGE_VALIDATION_ON_FLAG]]),TRUE,
AND(DB_TBL_DATA_FIELDS[[#This Row],[RANGE_VALUE_LEN]]&gt;=DB_TBL_DATA_FIELDS[[#This Row],[RANGE_VALIDATION_MIN]],DB_TBL_DATA_FIELDS[[#This Row],[RANGE_VALUE_LEN]]&lt;=DB_TBL_DATA_FIELDS[[#This Row],[RANGE_VALIDATION_MAX]]))</f>
        <v>1</v>
      </c>
      <c r="W66" s="1">
        <v>2</v>
      </c>
      <c r="X66" s="1" t="str">
        <f ca="1">IF(DB_TBL_DATA_FIELDS[[#This Row],[PCT_CALC_SHOW_STATUS_CODE]]=1,
DB_TBL_DATA_FIELDS[[#This Row],[FIELD_STATUS_CODE]],
IF(AND(DB_TBL_DATA_FIELDS[[#This Row],[PCT_CALC_SHOW_STATUS_CODE]]=2,DB_TBL_DATA_FIELDS[[#This Row],[FIELD_STATUS_CODE]]=0),
DB_TBL_DATA_FIELDS[[#This Row],[FIELD_STATUS_CODE]],
"")
)</f>
        <v/>
      </c>
    </row>
    <row r="67" spans="1:26" x14ac:dyDescent="0.2">
      <c r="A67" s="1" t="s">
        <v>9022</v>
      </c>
      <c r="B67" s="14" t="str">
        <f>IFERROR(IF(FIND(DATA_EFORM_SHEET_REF,DB_TBL_DATA_FIELDS[[#This Row],[APPLICABLE_EFORM_LIST]])&gt;0,DATA_EFORM_SHEET_REF,""),"")</f>
        <v>_</v>
      </c>
      <c r="C67" s="1" t="s">
        <v>9034</v>
      </c>
      <c r="D67" s="1" t="b">
        <v>0</v>
      </c>
      <c r="E67" s="16" t="b">
        <v>0</v>
      </c>
      <c r="F67" s="2" t="s">
        <v>9030</v>
      </c>
      <c r="G67" s="19">
        <f ca="1">SUM(DATA_HSEHLD_OTHER_GRANT_TOTAL_AMT,DATA_TOTAL_GRANT_REQ_AMT)</f>
        <v>0</v>
      </c>
      <c r="H67" s="19" t="b">
        <f ca="1">IF(DB_TBL_DATA_FIELDS[[#This Row],[FIELD_EMPTY_FLAG]],"",DB_TBL_DATA_FIELDS[[#This Row],[FIELD_VALUE_RAW]]&lt;=(CONFIG_FHLBNY_PER_HSEHLD_MAX_TOTAL))</f>
        <v>1</v>
      </c>
      <c r="I67" s="2" t="b">
        <f ca="1">(DB_TBL_DATA_FIELDS[[#This Row],[FIELD_VALUE_RAW]]="")</f>
        <v>0</v>
      </c>
      <c r="J67" s="2" t="s">
        <v>38</v>
      </c>
      <c r="K67" s="1" t="b">
        <f ca="1">AND(IF(DB_TBL_DATA_FIELDS[[#This Row],[FIELD_VALID_CUSTOM_LOGIC]]="",TRUE,DB_TBL_DATA_FIELDS[[#This Row],[FIELD_VALID_CUSTOM_LOGIC]]),DB_TBL_DATA_FIELDS[[#This Row],[RANGE_VALIDATION_PASSED_FLAG]])</f>
        <v>1</v>
      </c>
      <c r="L67" s="2">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0</v>
      </c>
      <c r="M67" s="1">
        <f ca="1">IF(DB_TBL_DATA_FIELDS[[#This Row],[SHEET_REF_CALC]]="","",IF(DB_TBL_DATA_FIELDS[[#This Row],[FIELD_EMPTY_FLAG]],IF(NOT(DB_TBL_DATA_FIELDS[[#This Row],[FIELD_REQ_FLAG]]),-1,1),IF(NOT(DB_TBL_DATA_FIELDS[[#This Row],[FIELD_VALID_FLAG]]),0,2)))</f>
        <v>2</v>
      </c>
      <c r="N67" s="1" t="str">
        <f ca="1">IFERROR(VLOOKUP(DB_TBL_DATA_FIELDS[[#This Row],[FIELD_STATUS_CODE]],DB_TBL_CONFIG_FIELDSTATUSCODES[#All],3,FALSE),"")</f>
        <v>OK</v>
      </c>
      <c r="O67" s="1" t="str">
        <f ca="1">IFERROR(VLOOKUP(DB_TBL_DATA_FIELDS[[#This Row],[FIELD_STATUS_CODE]],DB_TBL_CONFIG_FIELDSTATUSCODES[#All],4,FALSE),"")</f>
        <v>a</v>
      </c>
      <c r="P67" s="1" t="b">
        <f>TRUE</f>
        <v>1</v>
      </c>
      <c r="Q67" s="1" t="b">
        <v>0</v>
      </c>
      <c r="S67" s="1">
        <f ca="1">IF(DB_TBL_DATA_FIELDS[[#This Row],[RANGE_VALIDATION_FLAG]]="Text",LEN(DB_TBL_DATA_FIELDS[[#This Row],[FIELD_VALUE_RAW]]),IFERROR(VALUE(DB_TBL_DATA_FIELDS[[#This Row],[FIELD_VALUE_RAW]]),-1))</f>
        <v>0</v>
      </c>
      <c r="V67" s="1" t="b">
        <f>IF(NOT(DB_TBL_DATA_FIELDS[[#This Row],[RANGE_VALIDATION_ON_FLAG]]),TRUE,
AND(DB_TBL_DATA_FIELDS[[#This Row],[RANGE_VALUE_LEN]]&gt;=DB_TBL_DATA_FIELDS[[#This Row],[RANGE_VALIDATION_MIN]],DB_TBL_DATA_FIELDS[[#This Row],[RANGE_VALUE_LEN]]&lt;=DB_TBL_DATA_FIELDS[[#This Row],[RANGE_VALIDATION_MAX]]))</f>
        <v>1</v>
      </c>
      <c r="W67" s="1">
        <v>2</v>
      </c>
      <c r="X67" s="1" t="str">
        <f ca="1">IF(DB_TBL_DATA_FIELDS[[#This Row],[PCT_CALC_SHOW_STATUS_CODE]]=1,
DB_TBL_DATA_FIELDS[[#This Row],[FIELD_STATUS_CODE]],
IF(AND(DB_TBL_DATA_FIELDS[[#This Row],[PCT_CALC_SHOW_STATUS_CODE]]=2,DB_TBL_DATA_FIELDS[[#This Row],[FIELD_STATUS_CODE]]=0),
DB_TBL_DATA_FIELDS[[#This Row],[FIELD_STATUS_CODE]],
"")
)</f>
        <v/>
      </c>
      <c r="Y67" s="14" t="str">
        <f ca="1">IF(DB_TBL_DATA_FIELDS[[#This Row],[FIELD_STATUS_CODE]]=0,IF(NOT(DB_TBL_DATA_FIELDS[[#This Row],[FIELD_VALID_CUSTOM_LOGIC]]),"Total FHLBNY grants requested are greater than the per household maximum of "&amp;TEXT(CONFIG_FHLBNY_PER_HSEHLD_MAX_TOTAL,"$#,###.00"),""),"")</f>
        <v/>
      </c>
    </row>
    <row r="68" spans="1:26" x14ac:dyDescent="0.2">
      <c r="A68" s="1" t="s">
        <v>9021</v>
      </c>
      <c r="B68" s="14" t="str">
        <f>IFERROR(IF(FIND(DATA_EFORM_SHEET_REF,DB_TBL_DATA_FIELDS[[#This Row],[APPLICABLE_EFORM_LIST]])&gt;0,DATA_EFORM_SHEET_REF,""),"")</f>
        <v>_</v>
      </c>
      <c r="C68" s="1" t="s">
        <v>9035</v>
      </c>
      <c r="D68" s="1" t="b">
        <v>1</v>
      </c>
      <c r="E68" s="16" t="b">
        <v>0</v>
      </c>
      <c r="F68" s="2" t="s">
        <v>9064</v>
      </c>
      <c r="G68" s="19" t="str">
        <f>IF(DATA_EFORM_TYPE_CODE&lt;&gt;"RES","",IF(DB_TBL_DATA_FIELDS[[#This Row],[SHEET_REF_CALC]]="",FALSE,IF(DATA_HSEHLD_OTHER_GRANT_FHLBNY_FLAG=FALSE,FALSE,IFERROR(IF(DATA_HSEHLD_OTHER_GRANT_HDP_FLAG,TRUE,FALSE),FALSE))))</f>
        <v/>
      </c>
      <c r="I68" s="2" t="b">
        <f>(DB_TBL_DATA_FIELDS[[#This Row],[FIELD_VALUE_RAW]]="")</f>
        <v>1</v>
      </c>
      <c r="J68" s="2" t="s">
        <v>137</v>
      </c>
      <c r="K68" s="1" t="b">
        <f>AND(IF(DB_TBL_DATA_FIELDS[[#This Row],[FIELD_VALID_CUSTOM_LOGIC]]="",TRUE,DB_TBL_DATA_FIELDS[[#This Row],[FIELD_VALID_CUSTOM_LOGIC]]),DB_TBL_DATA_FIELDS[[#This Row],[RANGE_VALIDATION_PASSED_FLAG]])</f>
        <v>1</v>
      </c>
      <c r="L68" s="2" t="str">
        <f>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68" s="1">
        <f>IF(DB_TBL_DATA_FIELDS[[#This Row],[SHEET_REF_CALC]]="","",IF(DB_TBL_DATA_FIELDS[[#This Row],[FIELD_EMPTY_FLAG]],IF(NOT(DB_TBL_DATA_FIELDS[[#This Row],[FIELD_REQ_FLAG]]),-1,1),IF(NOT(DB_TBL_DATA_FIELDS[[#This Row],[FIELD_VALID_FLAG]]),0,2)))</f>
        <v>-1</v>
      </c>
      <c r="N68" s="1" t="str">
        <f>IFERROR(VLOOKUP(DB_TBL_DATA_FIELDS[[#This Row],[FIELD_STATUS_CODE]],DB_TBL_CONFIG_FIELDSTATUSCODES[#All],3,FALSE),"")</f>
        <v>Optional</v>
      </c>
      <c r="O68" s="1" t="str">
        <f>IFERROR(VLOOKUP(DB_TBL_DATA_FIELDS[[#This Row],[FIELD_STATUS_CODE]],DB_TBL_CONFIG_FIELDSTATUSCODES[#All],4,FALSE),"")</f>
        <v xml:space="preserve"> </v>
      </c>
      <c r="P68" s="1" t="b">
        <f>TRUE</f>
        <v>1</v>
      </c>
      <c r="Q68" s="1" t="b">
        <v>0</v>
      </c>
      <c r="S68" s="1">
        <f>IF(DB_TBL_DATA_FIELDS[[#This Row],[RANGE_VALIDATION_FLAG]]="Text",LEN(DB_TBL_DATA_FIELDS[[#This Row],[FIELD_VALUE_RAW]]),IFERROR(VALUE(DB_TBL_DATA_FIELDS[[#This Row],[FIELD_VALUE_RAW]]),-1))</f>
        <v>-1</v>
      </c>
      <c r="V68" s="1" t="b">
        <f>IF(NOT(DB_TBL_DATA_FIELDS[[#This Row],[RANGE_VALIDATION_ON_FLAG]]),TRUE,
AND(DB_TBL_DATA_FIELDS[[#This Row],[RANGE_VALUE_LEN]]&gt;=DB_TBL_DATA_FIELDS[[#This Row],[RANGE_VALIDATION_MIN]],DB_TBL_DATA_FIELDS[[#This Row],[RANGE_VALUE_LEN]]&lt;=DB_TBL_DATA_FIELDS[[#This Row],[RANGE_VALIDATION_MAX]]))</f>
        <v>1</v>
      </c>
      <c r="W68" s="1">
        <v>0</v>
      </c>
      <c r="X68" s="1" t="str">
        <f>IF(DB_TBL_DATA_FIELDS[[#This Row],[PCT_CALC_SHOW_STATUS_CODE]]=1,
DB_TBL_DATA_FIELDS[[#This Row],[FIELD_STATUS_CODE]],
IF(AND(DB_TBL_DATA_FIELDS[[#This Row],[PCT_CALC_SHOW_STATUS_CODE]]=2,DB_TBL_DATA_FIELDS[[#This Row],[FIELD_STATUS_CODE]]=0),
DB_TBL_DATA_FIELDS[[#This Row],[FIELD_STATUS_CODE]],
"")
)</f>
        <v/>
      </c>
      <c r="Y68" s="1" t="str">
        <f>IF(DB_TBL_DATA_FIELDS[[#This Row],[FIELD_STATUS_CODE]]=0,IF(NOT(DB_TBL_DATA_FIELDS[[#This Row],[FIELD_VALID_CUSTOM_LOGIC]]),
IF(IFERROR(SEARCH(".",RIGHT(DB_TBL_DATA_FIELDS[[#This Row],[FIELD_VALUE_RAW]],2)),0)&gt;0,"Invalid Domain Extension",
 IF(IFERROR(SEARCH("@",DB_TBL_DATA_FIELDS[[#This Row],[FIELD_VALUE_RAW]]),0)=0,"Missing '@' In Address",
  IF(IFERROR(SEARCH(".",DB_TBL_DATA_FIELDS[[#This Row],[FIELD_VALUE_RAW]],(SEARCH("@",DB_TBL_DATA_FIELDS[[#This Row],[FIELD_VALUE_RAW]],1))+2),0)=0,"Invalid Domain Name","Invalid Email Address")))),"")</f>
        <v/>
      </c>
    </row>
    <row r="69" spans="1:26" x14ac:dyDescent="0.2">
      <c r="A69" s="1" t="s">
        <v>9021</v>
      </c>
      <c r="B69" s="14" t="str">
        <f>IFERROR(IF(FIND(DATA_EFORM_SHEET_REF,DB_TBL_DATA_FIELDS[[#This Row],[APPLICABLE_EFORM_LIST]])&gt;0,DATA_EFORM_SHEET_REF,""),"")</f>
        <v>_</v>
      </c>
      <c r="C69" s="1" t="s">
        <v>9036</v>
      </c>
      <c r="D69" s="1" t="b">
        <v>1</v>
      </c>
      <c r="E69" s="16" t="b">
        <v>0</v>
      </c>
      <c r="F69" s="2" t="s">
        <v>9065</v>
      </c>
      <c r="G69" s="19" t="str">
        <f>IF(DATA_EFORM_TYPE_CODE&lt;&gt;"RES","",IF(DB_TBL_DATA_FIELDS[[#This Row],[SHEET_REF_CALC]]="",FALSE,IF(DATA_HSEHLD_OTHER_GRANT_FHLBNY_FLAG=FALSE,FALSE,IFERROR(IF(DATA_HSEHLD_OTHER_GRANT_HDPP_FLAG,TRUE,FALSE),FALSE))))</f>
        <v/>
      </c>
      <c r="I69" s="2" t="b">
        <f>(DB_TBL_DATA_FIELDS[[#This Row],[FIELD_VALUE_RAW]]="")</f>
        <v>1</v>
      </c>
      <c r="J69" s="2" t="s">
        <v>137</v>
      </c>
      <c r="K69" s="1" t="b">
        <f>AND(IF(DB_TBL_DATA_FIELDS[[#This Row],[FIELD_VALID_CUSTOM_LOGIC]]="",TRUE,DB_TBL_DATA_FIELDS[[#This Row],[FIELD_VALID_CUSTOM_LOGIC]]),DB_TBL_DATA_FIELDS[[#This Row],[RANGE_VALIDATION_PASSED_FLAG]])</f>
        <v>1</v>
      </c>
      <c r="L69" s="2" t="str">
        <f>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69" s="1">
        <f>IF(DB_TBL_DATA_FIELDS[[#This Row],[SHEET_REF_CALC]]="","",IF(DB_TBL_DATA_FIELDS[[#This Row],[FIELD_EMPTY_FLAG]],IF(NOT(DB_TBL_DATA_FIELDS[[#This Row],[FIELD_REQ_FLAG]]),-1,1),IF(NOT(DB_TBL_DATA_FIELDS[[#This Row],[FIELD_VALID_FLAG]]),0,2)))</f>
        <v>-1</v>
      </c>
      <c r="N69" s="1" t="str">
        <f>IFERROR(VLOOKUP(DB_TBL_DATA_FIELDS[[#This Row],[FIELD_STATUS_CODE]],DB_TBL_CONFIG_FIELDSTATUSCODES[#All],3,FALSE),"")</f>
        <v>Optional</v>
      </c>
      <c r="O69" s="1" t="str">
        <f>IFERROR(VLOOKUP(DB_TBL_DATA_FIELDS[[#This Row],[FIELD_STATUS_CODE]],DB_TBL_CONFIG_FIELDSTATUSCODES[#All],4,FALSE),"")</f>
        <v xml:space="preserve"> </v>
      </c>
      <c r="P69" s="1" t="b">
        <f>TRUE</f>
        <v>1</v>
      </c>
      <c r="Q69" s="1" t="b">
        <v>0</v>
      </c>
      <c r="S69" s="1">
        <f>IF(DB_TBL_DATA_FIELDS[[#This Row],[RANGE_VALIDATION_FLAG]]="Text",LEN(DB_TBL_DATA_FIELDS[[#This Row],[FIELD_VALUE_RAW]]),IFERROR(VALUE(DB_TBL_DATA_FIELDS[[#This Row],[FIELD_VALUE_RAW]]),-1))</f>
        <v>-1</v>
      </c>
      <c r="V69" s="1" t="b">
        <f>IF(NOT(DB_TBL_DATA_FIELDS[[#This Row],[RANGE_VALIDATION_ON_FLAG]]),TRUE,
AND(DB_TBL_DATA_FIELDS[[#This Row],[RANGE_VALUE_LEN]]&gt;=DB_TBL_DATA_FIELDS[[#This Row],[RANGE_VALIDATION_MIN]],DB_TBL_DATA_FIELDS[[#This Row],[RANGE_VALUE_LEN]]&lt;=DB_TBL_DATA_FIELDS[[#This Row],[RANGE_VALIDATION_MAX]]))</f>
        <v>1</v>
      </c>
      <c r="W69" s="1">
        <v>0</v>
      </c>
      <c r="X69" s="1" t="str">
        <f>IF(DB_TBL_DATA_FIELDS[[#This Row],[PCT_CALC_SHOW_STATUS_CODE]]=1,
DB_TBL_DATA_FIELDS[[#This Row],[FIELD_STATUS_CODE]],
IF(AND(DB_TBL_DATA_FIELDS[[#This Row],[PCT_CALC_SHOW_STATUS_CODE]]=2,DB_TBL_DATA_FIELDS[[#This Row],[FIELD_STATUS_CODE]]=0),
DB_TBL_DATA_FIELDS[[#This Row],[FIELD_STATUS_CODE]],
"")
)</f>
        <v/>
      </c>
      <c r="Y69" s="1" t="str">
        <f>IF(DB_TBL_DATA_FIELDS[[#This Row],[FIELD_STATUS_CODE]]=0,IF(NOT(DB_TBL_DATA_FIELDS[[#This Row],[FIELD_VALID_CUSTOM_LOGIC]]),
IF(IFERROR(SEARCH(".",RIGHT(DB_TBL_DATA_FIELDS[[#This Row],[FIELD_VALUE_RAW]],2)),0)&gt;0,"Invalid Domain Extension",
 IF(IFERROR(SEARCH("@",DB_TBL_DATA_FIELDS[[#This Row],[FIELD_VALUE_RAW]]),0)=0,"Missing '@' In Address",
  IF(IFERROR(SEARCH(".",DB_TBL_DATA_FIELDS[[#This Row],[FIELD_VALUE_RAW]],(SEARCH("@",DB_TBL_DATA_FIELDS[[#This Row],[FIELD_VALUE_RAW]],1))+2),0)=0,"Invalid Domain Name","Invalid Email Address")))),"")</f>
        <v/>
      </c>
    </row>
    <row r="70" spans="1:26" x14ac:dyDescent="0.2">
      <c r="A70" s="1" t="s">
        <v>8998</v>
      </c>
      <c r="B70" s="14" t="str">
        <f>IFERROR(IF(FIND(DATA_EFORM_SHEET_REF,DB_TBL_DATA_FIELDS[[#This Row],[APPLICABLE_EFORM_LIST]])&gt;0,DATA_EFORM_SHEET_REF,""),"")</f>
        <v>_</v>
      </c>
      <c r="C70" s="1" t="s">
        <v>9037</v>
      </c>
      <c r="D70" s="1" t="b">
        <v>1</v>
      </c>
      <c r="E70" s="16" t="b">
        <v>0</v>
      </c>
      <c r="F70" s="2" t="s">
        <v>9066</v>
      </c>
      <c r="G70" s="19" t="str">
        <f>IF(DATA_EFORM_TYPE_CODE&lt;&gt;"RES","",IF(DB_TBL_DATA_FIELDS[[#This Row],[SHEET_REF_CALC]]="",FALSE,IF(DATA_HSEHLD_OTHER_GRANT_FHLBNY_FLAG=FALSE,FALSE,IFERROR(IF(DATA_HSEHLD_OTHER_GRANT_HDPWB_FLAG,TRUE,FALSE),FALSE))))</f>
        <v/>
      </c>
      <c r="I70" s="2" t="b">
        <f>(DB_TBL_DATA_FIELDS[[#This Row],[FIELD_VALUE_RAW]]="")</f>
        <v>1</v>
      </c>
      <c r="J70" s="2" t="s">
        <v>137</v>
      </c>
      <c r="K70" s="1" t="b">
        <f>AND(IF(DB_TBL_DATA_FIELDS[[#This Row],[FIELD_VALID_CUSTOM_LOGIC]]="",TRUE,DB_TBL_DATA_FIELDS[[#This Row],[FIELD_VALID_CUSTOM_LOGIC]]),DB_TBL_DATA_FIELDS[[#This Row],[RANGE_VALIDATION_PASSED_FLAG]])</f>
        <v>1</v>
      </c>
      <c r="L70" s="2" t="str">
        <f>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70" s="1">
        <f>IF(DB_TBL_DATA_FIELDS[[#This Row],[SHEET_REF_CALC]]="","",IF(DB_TBL_DATA_FIELDS[[#This Row],[FIELD_EMPTY_FLAG]],IF(NOT(DB_TBL_DATA_FIELDS[[#This Row],[FIELD_REQ_FLAG]]),-1,1),IF(NOT(DB_TBL_DATA_FIELDS[[#This Row],[FIELD_VALID_FLAG]]),0,2)))</f>
        <v>-1</v>
      </c>
      <c r="N70" s="1" t="str">
        <f>IFERROR(VLOOKUP(DB_TBL_DATA_FIELDS[[#This Row],[FIELD_STATUS_CODE]],DB_TBL_CONFIG_FIELDSTATUSCODES[#All],3,FALSE),"")</f>
        <v>Optional</v>
      </c>
      <c r="O70" s="1" t="str">
        <f>IFERROR(VLOOKUP(DB_TBL_DATA_FIELDS[[#This Row],[FIELD_STATUS_CODE]],DB_TBL_CONFIG_FIELDSTATUSCODES[#All],4,FALSE),"")</f>
        <v xml:space="preserve"> </v>
      </c>
      <c r="P70" s="1" t="b">
        <f>TRUE</f>
        <v>1</v>
      </c>
      <c r="Q70" s="1" t="b">
        <v>0</v>
      </c>
      <c r="S70" s="1">
        <f>IF(DB_TBL_DATA_FIELDS[[#This Row],[RANGE_VALIDATION_FLAG]]="Text",LEN(DB_TBL_DATA_FIELDS[[#This Row],[FIELD_VALUE_RAW]]),IFERROR(VALUE(DB_TBL_DATA_FIELDS[[#This Row],[FIELD_VALUE_RAW]]),-1))</f>
        <v>-1</v>
      </c>
      <c r="V70" s="1" t="b">
        <f>IF(NOT(DB_TBL_DATA_FIELDS[[#This Row],[RANGE_VALIDATION_ON_FLAG]]),TRUE,
AND(DB_TBL_DATA_FIELDS[[#This Row],[RANGE_VALUE_LEN]]&gt;=DB_TBL_DATA_FIELDS[[#This Row],[RANGE_VALIDATION_MIN]],DB_TBL_DATA_FIELDS[[#This Row],[RANGE_VALUE_LEN]]&lt;=DB_TBL_DATA_FIELDS[[#This Row],[RANGE_VALIDATION_MAX]]))</f>
        <v>1</v>
      </c>
      <c r="W70" s="1">
        <v>0</v>
      </c>
      <c r="X70" s="1" t="str">
        <f>IF(DB_TBL_DATA_FIELDS[[#This Row],[PCT_CALC_SHOW_STATUS_CODE]]=1,
DB_TBL_DATA_FIELDS[[#This Row],[FIELD_STATUS_CODE]],
IF(AND(DB_TBL_DATA_FIELDS[[#This Row],[PCT_CALC_SHOW_STATUS_CODE]]=2,DB_TBL_DATA_FIELDS[[#This Row],[FIELD_STATUS_CODE]]=0),
DB_TBL_DATA_FIELDS[[#This Row],[FIELD_STATUS_CODE]],
"")
)</f>
        <v/>
      </c>
      <c r="Y70" s="1" t="str">
        <f>IF(DB_TBL_DATA_FIELDS[[#This Row],[FIELD_STATUS_CODE]]=0,IF(NOT(DB_TBL_DATA_FIELDS[[#This Row],[FIELD_VALID_CUSTOM_LOGIC]]),
IF(IFERROR(SEARCH(".",RIGHT(DB_TBL_DATA_FIELDS[[#This Row],[FIELD_VALUE_RAW]],2)),0)&gt;0,"Invalid Domain Extension",
 IF(IFERROR(SEARCH("@",DB_TBL_DATA_FIELDS[[#This Row],[FIELD_VALUE_RAW]]),0)=0,"Missing '@' In Address",
  IF(IFERROR(SEARCH(".",DB_TBL_DATA_FIELDS[[#This Row],[FIELD_VALUE_RAW]],(SEARCH("@",DB_TBL_DATA_FIELDS[[#This Row],[FIELD_VALUE_RAW]],1))+2),0)=0,"Invalid Domain Name","Invalid Email Address")))),"")</f>
        <v/>
      </c>
    </row>
    <row r="71" spans="1:26" x14ac:dyDescent="0.2">
      <c r="A71" s="1" t="s">
        <v>9022</v>
      </c>
      <c r="B71" s="14" t="str">
        <f>IFERROR(IF(FIND(DATA_EFORM_SHEET_REF,DB_TBL_DATA_FIELDS[[#This Row],[APPLICABLE_EFORM_LIST]])&gt;0,DATA_EFORM_SHEET_REF,""),"")</f>
        <v>_</v>
      </c>
      <c r="C71" s="1" t="s">
        <v>9038</v>
      </c>
      <c r="D71" s="1" t="b">
        <v>1</v>
      </c>
      <c r="E71" s="16" t="b">
        <v>0</v>
      </c>
      <c r="F71" s="2" t="s">
        <v>9067</v>
      </c>
      <c r="G71" s="19" t="str">
        <f>IF(DATA_EFORM_TYPE_CODE&lt;&gt;"RES","",IF(DB_TBL_DATA_FIELDS[[#This Row],[SHEET_REF_CALC]]="",FALSE,IF(DATA_HSEHLD_OTHER_GRANT_FHLBNY_FLAG=FALSE,FALSE,IFERROR(IF(DATA_HSEHLD_OTHER_GRANT_AHP_FLAG,TRUE,FALSE),FALSE))))</f>
        <v/>
      </c>
      <c r="I71" s="2" t="b">
        <f>(DB_TBL_DATA_FIELDS[[#This Row],[FIELD_VALUE_RAW]]="")</f>
        <v>1</v>
      </c>
      <c r="J71" s="2" t="s">
        <v>137</v>
      </c>
      <c r="K71" s="1" t="b">
        <f>AND(IF(DB_TBL_DATA_FIELDS[[#This Row],[FIELD_VALID_CUSTOM_LOGIC]]="",TRUE,DB_TBL_DATA_FIELDS[[#This Row],[FIELD_VALID_CUSTOM_LOGIC]]),DB_TBL_DATA_FIELDS[[#This Row],[RANGE_VALIDATION_PASSED_FLAG]])</f>
        <v>1</v>
      </c>
      <c r="L71" s="2" t="str">
        <f>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71" s="1">
        <f>IF(DB_TBL_DATA_FIELDS[[#This Row],[SHEET_REF_CALC]]="","",IF(DB_TBL_DATA_FIELDS[[#This Row],[FIELD_EMPTY_FLAG]],IF(NOT(DB_TBL_DATA_FIELDS[[#This Row],[FIELD_REQ_FLAG]]),-1,1),IF(NOT(DB_TBL_DATA_FIELDS[[#This Row],[FIELD_VALID_FLAG]]),0,2)))</f>
        <v>-1</v>
      </c>
      <c r="N71" s="1" t="str">
        <f>IFERROR(VLOOKUP(DB_TBL_DATA_FIELDS[[#This Row],[FIELD_STATUS_CODE]],DB_TBL_CONFIG_FIELDSTATUSCODES[#All],3,FALSE),"")</f>
        <v>Optional</v>
      </c>
      <c r="O71" s="1" t="str">
        <f>IFERROR(VLOOKUP(DB_TBL_DATA_FIELDS[[#This Row],[FIELD_STATUS_CODE]],DB_TBL_CONFIG_FIELDSTATUSCODES[#All],4,FALSE),"")</f>
        <v xml:space="preserve"> </v>
      </c>
      <c r="P71" s="1" t="b">
        <f>TRUE</f>
        <v>1</v>
      </c>
      <c r="Q71" s="1" t="b">
        <v>0</v>
      </c>
      <c r="S71" s="1">
        <f>IF(DB_TBL_DATA_FIELDS[[#This Row],[RANGE_VALIDATION_FLAG]]="Text",LEN(DB_TBL_DATA_FIELDS[[#This Row],[FIELD_VALUE_RAW]]),IFERROR(VALUE(DB_TBL_DATA_FIELDS[[#This Row],[FIELD_VALUE_RAW]]),-1))</f>
        <v>-1</v>
      </c>
      <c r="V71" s="1" t="b">
        <f>IF(NOT(DB_TBL_DATA_FIELDS[[#This Row],[RANGE_VALIDATION_ON_FLAG]]),TRUE,
AND(DB_TBL_DATA_FIELDS[[#This Row],[RANGE_VALUE_LEN]]&gt;=DB_TBL_DATA_FIELDS[[#This Row],[RANGE_VALIDATION_MIN]],DB_TBL_DATA_FIELDS[[#This Row],[RANGE_VALUE_LEN]]&lt;=DB_TBL_DATA_FIELDS[[#This Row],[RANGE_VALIDATION_MAX]]))</f>
        <v>1</v>
      </c>
      <c r="W71" s="1">
        <v>0</v>
      </c>
      <c r="X71" s="1" t="str">
        <f>IF(DB_TBL_DATA_FIELDS[[#This Row],[PCT_CALC_SHOW_STATUS_CODE]]=1,
DB_TBL_DATA_FIELDS[[#This Row],[FIELD_STATUS_CODE]],
IF(AND(DB_TBL_DATA_FIELDS[[#This Row],[PCT_CALC_SHOW_STATUS_CODE]]=2,DB_TBL_DATA_FIELDS[[#This Row],[FIELD_STATUS_CODE]]=0),
DB_TBL_DATA_FIELDS[[#This Row],[FIELD_STATUS_CODE]],
"")
)</f>
        <v/>
      </c>
      <c r="Y71" s="1" t="str">
        <f>IF(DB_TBL_DATA_FIELDS[[#This Row],[FIELD_STATUS_CODE]]=0,IF(NOT(DB_TBL_DATA_FIELDS[[#This Row],[FIELD_VALID_CUSTOM_LOGIC]]),
IF(IFERROR(SEARCH(".",RIGHT(DB_TBL_DATA_FIELDS[[#This Row],[FIELD_VALUE_RAW]],2)),0)&gt;0,"Invalid Domain Extension",
 IF(IFERROR(SEARCH("@",DB_TBL_DATA_FIELDS[[#This Row],[FIELD_VALUE_RAW]]),0)=0,"Missing '@' In Address",
  IF(IFERROR(SEARCH(".",DB_TBL_DATA_FIELDS[[#This Row],[FIELD_VALUE_RAW]],(SEARCH("@",DB_TBL_DATA_FIELDS[[#This Row],[FIELD_VALUE_RAW]],1))+2),0)=0,"Invalid Domain Name","Invalid Email Address")))),"")</f>
        <v/>
      </c>
    </row>
    <row r="72" spans="1:26" ht="13.5" thickBot="1" x14ac:dyDescent="0.25">
      <c r="A72" s="98" t="s">
        <v>9040</v>
      </c>
      <c r="B72" s="102" t="str">
        <f>IFERROR(IF(FIND(DATA_EFORM_SHEET_REF,DB_TBL_DATA_FIELDS[[#This Row],[APPLICABLE_EFORM_LIST]])&gt;0,DATA_EFORM_SHEET_REF,""),"")</f>
        <v>_</v>
      </c>
      <c r="C72" s="98" t="s">
        <v>2348</v>
      </c>
      <c r="D72" s="98" t="b">
        <v>1</v>
      </c>
      <c r="E72" s="99" t="b">
        <v>0</v>
      </c>
      <c r="F72" s="100" t="s">
        <v>2349</v>
      </c>
      <c r="G72" s="100" t="str">
        <f ca="1">IFERROR(VLOOKUP(DB_TBL_DATA_FIELDS[[#This Row],[FIELD_ID]],INDIRECT(DB_TBL_DATA_FIELDS[[#This Row],[SHEET_REF_CALC]]&amp;"!A:B"),2,FALSE),"")</f>
        <v/>
      </c>
      <c r="H72" s="100"/>
      <c r="I72" s="100" t="b">
        <f ca="1">(DB_TBL_DATA_FIELDS[[#This Row],[FIELD_VALUE_RAW]]="")</f>
        <v>1</v>
      </c>
      <c r="J72" s="100" t="s">
        <v>137</v>
      </c>
      <c r="K72" s="98" t="b">
        <f>AND(IF(DB_TBL_DATA_FIELDS[[#This Row],[FIELD_VALID_CUSTOM_LOGIC]]="",TRUE,DB_TBL_DATA_FIELDS[[#This Row],[FIELD_VALID_CUSTOM_LOGIC]]),DB_TBL_DATA_FIELDS[[#This Row],[RANGE_VALIDATION_PASSED_FLAG]])</f>
        <v>1</v>
      </c>
      <c r="L72" s="100"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72" s="98">
        <f ca="1">IF(DB_TBL_DATA_FIELDS[[#This Row],[SHEET_REF_CALC]]="","",IF(DB_TBL_DATA_FIELDS[[#This Row],[FIELD_EMPTY_FLAG]],IF(NOT(DB_TBL_DATA_FIELDS[[#This Row],[FIELD_REQ_FLAG]]),-1,1),IF(NOT(DB_TBL_DATA_FIELDS[[#This Row],[FIELD_VALID_FLAG]]),0,2)))</f>
        <v>-1</v>
      </c>
      <c r="N72" s="98" t="str">
        <f ca="1">IFERROR(VLOOKUP(DB_TBL_DATA_FIELDS[[#This Row],[FIELD_STATUS_CODE]],DB_TBL_CONFIG_FIELDSTATUSCODES[#All],3,FALSE),"")</f>
        <v>Optional</v>
      </c>
      <c r="O72" s="98" t="str">
        <f ca="1">IFERROR(VLOOKUP(DB_TBL_DATA_FIELDS[[#This Row],[FIELD_STATUS_CODE]],DB_TBL_CONFIG_FIELDSTATUSCODES[#All],4,FALSE),"")</f>
        <v xml:space="preserve"> </v>
      </c>
      <c r="P72" s="98" t="b">
        <f>TRUE</f>
        <v>1</v>
      </c>
      <c r="Q72" s="98" t="b">
        <v>0</v>
      </c>
      <c r="R72" s="98"/>
      <c r="S72" s="98">
        <f ca="1">IF(DB_TBL_DATA_FIELDS[[#This Row],[RANGE_VALIDATION_FLAG]]="Text",LEN(DB_TBL_DATA_FIELDS[[#This Row],[FIELD_VALUE_RAW]]),IFERROR(VALUE(DB_TBL_DATA_FIELDS[[#This Row],[FIELD_VALUE_RAW]]),-1))</f>
        <v>-1</v>
      </c>
      <c r="T72" s="98"/>
      <c r="U72" s="98"/>
      <c r="V72" s="98" t="b">
        <f>IF(NOT(DB_TBL_DATA_FIELDS[[#This Row],[RANGE_VALIDATION_ON_FLAG]]),TRUE,
AND(DB_TBL_DATA_FIELDS[[#This Row],[RANGE_VALUE_LEN]]&gt;=DB_TBL_DATA_FIELDS[[#This Row],[RANGE_VALIDATION_MIN]],DB_TBL_DATA_FIELDS[[#This Row],[RANGE_VALUE_LEN]]&lt;=DB_TBL_DATA_FIELDS[[#This Row],[RANGE_VALIDATION_MAX]]))</f>
        <v>1</v>
      </c>
      <c r="W72" s="98">
        <v>1</v>
      </c>
      <c r="X72" s="98">
        <f ca="1">IF(DB_TBL_DATA_FIELDS[[#This Row],[PCT_CALC_SHOW_STATUS_CODE]]=1,
DB_TBL_DATA_FIELDS[[#This Row],[FIELD_STATUS_CODE]],
IF(AND(DB_TBL_DATA_FIELDS[[#This Row],[PCT_CALC_SHOW_STATUS_CODE]]=2,DB_TBL_DATA_FIELDS[[#This Row],[FIELD_STATUS_CODE]]=0),
DB_TBL_DATA_FIELDS[[#This Row],[FIELD_STATUS_CODE]],
"")
)</f>
        <v>-1</v>
      </c>
      <c r="Y72" s="98"/>
      <c r="Z72" s="98"/>
    </row>
    <row r="73" spans="1:26" x14ac:dyDescent="0.2">
      <c r="A73" s="1" t="s">
        <v>9041</v>
      </c>
      <c r="B73" s="14" t="str">
        <f>IFERROR(IF(FIND(DATA_EFORM_SHEET_REF,DB_TBL_DATA_FIELDS[[#This Row],[APPLICABLE_EFORM_LIST]])&gt;0,DATA_EFORM_SHEET_REF,""),"")</f>
        <v>_</v>
      </c>
      <c r="C73" s="1" t="s">
        <v>2293</v>
      </c>
      <c r="D73" s="1" t="b">
        <v>1</v>
      </c>
      <c r="E73" s="81" t="b">
        <f ca="1">IF(DATA_EFORM_TYPE_CODE="RES",TRUE,DATA_ADL_ICW_FLAG=TRUE)</f>
        <v>0</v>
      </c>
      <c r="F73" s="2" t="s">
        <v>2300</v>
      </c>
      <c r="G73" s="2" t="str">
        <f ca="1">IFERROR(VLOOKUP(DB_TBL_DATA_FIELDS[[#This Row],[FIELD_ID]],INDIRECT(DB_TBL_DATA_FIELDS[[#This Row],[SHEET_REF_CALC]]&amp;"!A:B"),2,FALSE),"")</f>
        <v/>
      </c>
      <c r="H73" s="19" t="str">
        <f ca="1">IF(DB_TBL_DATA_FIELDS[[#This Row],[FIELD_EMPTY_FLAG]],"",DB_TBL_DATA_FIELDS[[#This Row],[FIELD_REQ_FLAG]])</f>
        <v/>
      </c>
      <c r="I73" s="2" t="b">
        <f ca="1">(DB_TBL_DATA_FIELDS[[#This Row],[FIELD_VALUE_RAW]]="")</f>
        <v>1</v>
      </c>
      <c r="J73" s="2" t="s">
        <v>9</v>
      </c>
      <c r="K73" s="1" t="b">
        <f ca="1">AND(IF(DB_TBL_DATA_FIELDS[[#This Row],[FIELD_VALID_CUSTOM_LOGIC]]="",TRUE,DB_TBL_DATA_FIELDS[[#This Row],[FIELD_VALID_CUSTOM_LOGIC]]),DB_TBL_DATA_FIELDS[[#This Row],[RANGE_VALIDATION_PASSED_FLAG]])</f>
        <v>1</v>
      </c>
      <c r="L73"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73" s="1">
        <f ca="1">IF(DB_TBL_DATA_FIELDS[[#This Row],[SHEET_REF_CALC]]="","",IF(DB_TBL_DATA_FIELDS[[#This Row],[FIELD_EMPTY_FLAG]],IF(NOT(DB_TBL_DATA_FIELDS[[#This Row],[FIELD_REQ_FLAG]]),-1,1),IF(NOT(DB_TBL_DATA_FIELDS[[#This Row],[FIELD_VALID_FLAG]]),0,2)))</f>
        <v>-1</v>
      </c>
      <c r="N73" s="1" t="str">
        <f ca="1">IFERROR(VLOOKUP(DB_TBL_DATA_FIELDS[[#This Row],[FIELD_STATUS_CODE]],DB_TBL_CONFIG_FIELDSTATUSCODES[#All],3,FALSE),"")</f>
        <v>Optional</v>
      </c>
      <c r="O73" s="1" t="str">
        <f ca="1">IFERROR(VLOOKUP(DB_TBL_DATA_FIELDS[[#This Row],[FIELD_STATUS_CODE]],DB_TBL_CONFIG_FIELDSTATUSCODES[#All],4,FALSE),"")</f>
        <v xml:space="preserve"> </v>
      </c>
      <c r="P73" s="1" t="b">
        <f>TRUE</f>
        <v>1</v>
      </c>
      <c r="Q73" s="1" t="b">
        <f>TRUE</f>
        <v>1</v>
      </c>
      <c r="R73" s="1" t="s">
        <v>9</v>
      </c>
      <c r="S73" s="1">
        <f ca="1">IF(DB_TBL_DATA_FIELDS[[#This Row],[RANGE_VALIDATION_FLAG]]="Text",LEN(DB_TBL_DATA_FIELDS[[#This Row],[FIELD_VALUE_RAW]]),IFERROR(VALUE(DB_TBL_DATA_FIELDS[[#This Row],[FIELD_VALUE_RAW]]),-1))</f>
        <v>0</v>
      </c>
      <c r="T73" s="1">
        <v>0</v>
      </c>
      <c r="U73" s="1">
        <v>75</v>
      </c>
      <c r="V73" s="1" t="b">
        <f ca="1">IF(NOT(DB_TBL_DATA_FIELDS[[#This Row],[RANGE_VALIDATION_ON_FLAG]]),TRUE,
AND(DB_TBL_DATA_FIELDS[[#This Row],[RANGE_VALUE_LEN]]&gt;=DB_TBL_DATA_FIELDS[[#This Row],[RANGE_VALIDATION_MIN]],DB_TBL_DATA_FIELDS[[#This Row],[RANGE_VALUE_LEN]]&lt;=DB_TBL_DATA_FIELDS[[#This Row],[RANGE_VALIDATION_MAX]]))</f>
        <v>1</v>
      </c>
      <c r="W73" s="1">
        <v>1</v>
      </c>
      <c r="X73" s="1">
        <f ca="1">IF(DB_TBL_DATA_FIELDS[[#This Row],[PCT_CALC_SHOW_STATUS_CODE]]=1,
DB_TBL_DATA_FIELDS[[#This Row],[FIELD_STATUS_CODE]],
IF(AND(DB_TBL_DATA_FIELDS[[#This Row],[PCT_CALC_SHOW_STATUS_CODE]]=2,DB_TBL_DATA_FIELDS[[#This Row],[FIELD_STATUS_CODE]]=0),
DB_TBL_DATA_FIELDS[[#This Row],[FIELD_STATUS_CODE]],
"")
)</f>
        <v>-1</v>
      </c>
    </row>
    <row r="74" spans="1:26" x14ac:dyDescent="0.2">
      <c r="A74" s="1" t="s">
        <v>9041</v>
      </c>
      <c r="B74" s="14" t="str">
        <f>IFERROR(IF(FIND(DATA_EFORM_SHEET_REF,DB_TBL_DATA_FIELDS[[#This Row],[APPLICABLE_EFORM_LIST]])&gt;0,DATA_EFORM_SHEET_REF,""),"")</f>
        <v>_</v>
      </c>
      <c r="C74" s="1" t="s">
        <v>2294</v>
      </c>
      <c r="D74" s="1" t="b">
        <v>1</v>
      </c>
      <c r="E74" s="81" t="b">
        <f ca="1">IF(DATA_EFORM_TYPE_CODE="RES",TRUE,DATA_ADL_ICW_FLAG=TRUE)</f>
        <v>0</v>
      </c>
      <c r="F74" s="2" t="s">
        <v>2301</v>
      </c>
      <c r="G74" s="2" t="str">
        <f ca="1">IFERROR(VLOOKUP(DB_TBL_DATA_FIELDS[[#This Row],[FIELD_ID]],INDIRECT(DB_TBL_DATA_FIELDS[[#This Row],[SHEET_REF_CALC]]&amp;"!A:B"),2,FALSE),"")</f>
        <v/>
      </c>
      <c r="H74" s="19" t="str">
        <f ca="1">IF(DB_TBL_DATA_FIELDS[[#This Row],[FIELD_EMPTY_FLAG]],"",DB_TBL_DATA_FIELDS[[#This Row],[FIELD_REQ_FLAG]])</f>
        <v/>
      </c>
      <c r="I74" s="2" t="b">
        <f ca="1">(DB_TBL_DATA_FIELDS[[#This Row],[FIELD_VALUE_RAW]]="")</f>
        <v>1</v>
      </c>
      <c r="J74" s="2" t="s">
        <v>9</v>
      </c>
      <c r="K74" s="1" t="b">
        <f ca="1">AND(IF(DB_TBL_DATA_FIELDS[[#This Row],[FIELD_VALID_CUSTOM_LOGIC]]="",TRUE,DB_TBL_DATA_FIELDS[[#This Row],[FIELD_VALID_CUSTOM_LOGIC]]),DB_TBL_DATA_FIELDS[[#This Row],[RANGE_VALIDATION_PASSED_FLAG]])</f>
        <v>1</v>
      </c>
      <c r="L74"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74" s="1">
        <f ca="1">IF(DB_TBL_DATA_FIELDS[[#This Row],[SHEET_REF_CALC]]="","",IF(DB_TBL_DATA_FIELDS[[#This Row],[FIELD_EMPTY_FLAG]],IF(NOT(DB_TBL_DATA_FIELDS[[#This Row],[FIELD_REQ_FLAG]]),-1,1),IF(NOT(DB_TBL_DATA_FIELDS[[#This Row],[FIELD_VALID_FLAG]]),0,2)))</f>
        <v>-1</v>
      </c>
      <c r="N74" s="1" t="str">
        <f ca="1">IFERROR(VLOOKUP(DB_TBL_DATA_FIELDS[[#This Row],[FIELD_STATUS_CODE]],DB_TBL_CONFIG_FIELDSTATUSCODES[#All],3,FALSE),"")</f>
        <v>Optional</v>
      </c>
      <c r="O74" s="1" t="str">
        <f ca="1">IFERROR(VLOOKUP(DB_TBL_DATA_FIELDS[[#This Row],[FIELD_STATUS_CODE]],DB_TBL_CONFIG_FIELDSTATUSCODES[#All],4,FALSE),"")</f>
        <v xml:space="preserve"> </v>
      </c>
      <c r="P74" s="1" t="b">
        <f>TRUE</f>
        <v>1</v>
      </c>
      <c r="Q74" s="1" t="b">
        <f>TRUE</f>
        <v>1</v>
      </c>
      <c r="R74" s="1" t="s">
        <v>9</v>
      </c>
      <c r="S74" s="1">
        <f ca="1">IF(DB_TBL_DATA_FIELDS[[#This Row],[RANGE_VALIDATION_FLAG]]="Text",LEN(DB_TBL_DATA_FIELDS[[#This Row],[FIELD_VALUE_RAW]]),IFERROR(VALUE(DB_TBL_DATA_FIELDS[[#This Row],[FIELD_VALUE_RAW]]),-1))</f>
        <v>0</v>
      </c>
      <c r="T74" s="1">
        <v>0</v>
      </c>
      <c r="U74" s="1">
        <v>30</v>
      </c>
      <c r="V74" s="1" t="b">
        <f ca="1">IF(NOT(DB_TBL_DATA_FIELDS[[#This Row],[RANGE_VALIDATION_ON_FLAG]]),TRUE,
AND(DB_TBL_DATA_FIELDS[[#This Row],[RANGE_VALUE_LEN]]&gt;=DB_TBL_DATA_FIELDS[[#This Row],[RANGE_VALIDATION_MIN]],DB_TBL_DATA_FIELDS[[#This Row],[RANGE_VALUE_LEN]]&lt;=DB_TBL_DATA_FIELDS[[#This Row],[RANGE_VALIDATION_MAX]]))</f>
        <v>1</v>
      </c>
      <c r="W74" s="1">
        <v>1</v>
      </c>
      <c r="X74" s="1">
        <f ca="1">IF(DB_TBL_DATA_FIELDS[[#This Row],[PCT_CALC_SHOW_STATUS_CODE]]=1,
DB_TBL_DATA_FIELDS[[#This Row],[FIELD_STATUS_CODE]],
IF(AND(DB_TBL_DATA_FIELDS[[#This Row],[PCT_CALC_SHOW_STATUS_CODE]]=2,DB_TBL_DATA_FIELDS[[#This Row],[FIELD_STATUS_CODE]]=0),
DB_TBL_DATA_FIELDS[[#This Row],[FIELD_STATUS_CODE]],
"")
)</f>
        <v>-1</v>
      </c>
    </row>
    <row r="75" spans="1:26" x14ac:dyDescent="0.2">
      <c r="A75" s="1" t="s">
        <v>9041</v>
      </c>
      <c r="B75" s="14" t="str">
        <f>IFERROR(IF(FIND(DATA_EFORM_SHEET_REF,DB_TBL_DATA_FIELDS[[#This Row],[APPLICABLE_EFORM_LIST]])&gt;0,DATA_EFORM_SHEET_REF,""),"")</f>
        <v>_</v>
      </c>
      <c r="C75" s="1" t="s">
        <v>2295</v>
      </c>
      <c r="D75" s="1" t="b">
        <v>1</v>
      </c>
      <c r="E75" s="81" t="b">
        <f ca="1">IF(DATA_EFORM_TYPE_CODE="RES",TRUE,DATA_ADL_ICW_FLAG=TRUE)</f>
        <v>0</v>
      </c>
      <c r="F75" s="2" t="s">
        <v>2302</v>
      </c>
      <c r="G75" s="19" t="str">
        <f ca="1">UPPER(IFERROR(VLOOKUP(DB_TBL_DATA_FIELDS[[#This Row],[FIELD_ID]],INDIRECT(DB_TBL_DATA_FIELDS[[#This Row],[SHEET_REF_CALC]]&amp;"!A:B"),2,FALSE),""))</f>
        <v/>
      </c>
      <c r="H75" s="19" t="str">
        <f ca="1">IF(DB_TBL_DATA_FIELDS[[#This Row],[FIELD_EMPTY_FLAG]],"",DB_TBL_DATA_FIELDS[[#This Row],[FIELD_REQ_FLAG]])</f>
        <v/>
      </c>
      <c r="I75" s="2" t="b">
        <f ca="1">(DB_TBL_DATA_FIELDS[[#This Row],[FIELD_VALUE_RAW]]="")</f>
        <v>1</v>
      </c>
      <c r="J75" s="2" t="s">
        <v>9</v>
      </c>
      <c r="K75" s="1" t="b">
        <f ca="1">AND(IF(DB_TBL_DATA_FIELDS[[#This Row],[FIELD_VALID_CUSTOM_LOGIC]]="",TRUE,DB_TBL_DATA_FIELDS[[#This Row],[FIELD_VALID_CUSTOM_LOGIC]]),DB_TBL_DATA_FIELDS[[#This Row],[RANGE_VALIDATION_PASSED_FLAG]])</f>
        <v>1</v>
      </c>
      <c r="L75"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75" s="1">
        <f ca="1">IF(DB_TBL_DATA_FIELDS[[#This Row],[SHEET_REF_CALC]]="","",IF(DB_TBL_DATA_FIELDS[[#This Row],[FIELD_EMPTY_FLAG]],IF(NOT(DB_TBL_DATA_FIELDS[[#This Row],[FIELD_REQ_FLAG]]),-1,1),IF(NOT(DB_TBL_DATA_FIELDS[[#This Row],[FIELD_VALID_FLAG]]),0,2)))</f>
        <v>-1</v>
      </c>
      <c r="N75" s="1" t="str">
        <f ca="1">IFERROR(VLOOKUP(DB_TBL_DATA_FIELDS[[#This Row],[FIELD_STATUS_CODE]],DB_TBL_CONFIG_FIELDSTATUSCODES[#All],3,FALSE),"")</f>
        <v>Optional</v>
      </c>
      <c r="O75" s="1" t="str">
        <f ca="1">IFERROR(VLOOKUP(DB_TBL_DATA_FIELDS[[#This Row],[FIELD_STATUS_CODE]],DB_TBL_CONFIG_FIELDSTATUSCODES[#All],4,FALSE),"")</f>
        <v xml:space="preserve"> </v>
      </c>
      <c r="P75" s="1" t="b">
        <f>TRUE</f>
        <v>1</v>
      </c>
      <c r="Q75" s="1" t="b">
        <f>TRUE</f>
        <v>1</v>
      </c>
      <c r="R75" s="1" t="s">
        <v>9</v>
      </c>
      <c r="S75" s="1">
        <f ca="1">IF(DB_TBL_DATA_FIELDS[[#This Row],[RANGE_VALIDATION_FLAG]]="Text",LEN(DB_TBL_DATA_FIELDS[[#This Row],[FIELD_VALUE_RAW]]),IFERROR(VALUE(DB_TBL_DATA_FIELDS[[#This Row],[FIELD_VALUE_RAW]]),-1))</f>
        <v>0</v>
      </c>
      <c r="T75" s="1">
        <v>0</v>
      </c>
      <c r="U75" s="1">
        <v>2</v>
      </c>
      <c r="V75" s="1" t="b">
        <f ca="1">IF(NOT(DB_TBL_DATA_FIELDS[[#This Row],[RANGE_VALIDATION_ON_FLAG]]),TRUE,
AND(DB_TBL_DATA_FIELDS[[#This Row],[RANGE_VALUE_LEN]]&gt;=DB_TBL_DATA_FIELDS[[#This Row],[RANGE_VALIDATION_MIN]],DB_TBL_DATA_FIELDS[[#This Row],[RANGE_VALUE_LEN]]&lt;=DB_TBL_DATA_FIELDS[[#This Row],[RANGE_VALIDATION_MAX]]))</f>
        <v>1</v>
      </c>
      <c r="W75" s="1">
        <v>1</v>
      </c>
      <c r="X75" s="1">
        <f ca="1">IF(DB_TBL_DATA_FIELDS[[#This Row],[PCT_CALC_SHOW_STATUS_CODE]]=1,
DB_TBL_DATA_FIELDS[[#This Row],[FIELD_STATUS_CODE]],
IF(AND(DB_TBL_DATA_FIELDS[[#This Row],[PCT_CALC_SHOW_STATUS_CODE]]=2,DB_TBL_DATA_FIELDS[[#This Row],[FIELD_STATUS_CODE]]=0),
DB_TBL_DATA_FIELDS[[#This Row],[FIELD_STATUS_CODE]],
"")
)</f>
        <v>-1</v>
      </c>
    </row>
    <row r="76" spans="1:26" x14ac:dyDescent="0.2">
      <c r="A76" s="1" t="s">
        <v>9041</v>
      </c>
      <c r="B76" s="14" t="str">
        <f>IFERROR(IF(FIND(DATA_EFORM_SHEET_REF,DB_TBL_DATA_FIELDS[[#This Row],[APPLICABLE_EFORM_LIST]])&gt;0,DATA_EFORM_SHEET_REF,""),"")</f>
        <v>_</v>
      </c>
      <c r="C76" s="1" t="s">
        <v>2296</v>
      </c>
      <c r="D76" s="1" t="b">
        <v>1</v>
      </c>
      <c r="E76" s="81" t="b">
        <f ca="1">IF(DATA_EFORM_TYPE_CODE="RES",TRUE,DATA_ADL_ICW_FLAG=TRUE)</f>
        <v>0</v>
      </c>
      <c r="F76" s="2" t="s">
        <v>2303</v>
      </c>
      <c r="G76" s="2" t="str">
        <f ca="1">IFERROR(VLOOKUP(DB_TBL_DATA_FIELDS[[#This Row],[FIELD_ID]],INDIRECT(DB_TBL_DATA_FIELDS[[#This Row],[SHEET_REF_CALC]]&amp;"!A:B"),2,FALSE),"")</f>
        <v/>
      </c>
      <c r="H76" s="19" t="str">
        <f ca="1">IF(DB_TBL_DATA_FIELDS[[#This Row],[FIELD_EMPTY_FLAG]],"",DB_TBL_DATA_FIELDS[[#This Row],[FIELD_REQ_FLAG]])</f>
        <v/>
      </c>
      <c r="I76" s="2" t="b">
        <f ca="1">(DB_TBL_DATA_FIELDS[[#This Row],[FIELD_VALUE_RAW]]="")</f>
        <v>1</v>
      </c>
      <c r="J76" s="2" t="s">
        <v>9</v>
      </c>
      <c r="K76" s="1" t="b">
        <f ca="1">AND(IF(DB_TBL_DATA_FIELDS[[#This Row],[FIELD_VALID_CUSTOM_LOGIC]]="",TRUE,DB_TBL_DATA_FIELDS[[#This Row],[FIELD_VALID_CUSTOM_LOGIC]]),DB_TBL_DATA_FIELDS[[#This Row],[RANGE_VALIDATION_PASSED_FLAG]])</f>
        <v>0</v>
      </c>
      <c r="L76"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76" s="1">
        <f ca="1">IF(DB_TBL_DATA_FIELDS[[#This Row],[SHEET_REF_CALC]]="","",IF(DB_TBL_DATA_FIELDS[[#This Row],[FIELD_EMPTY_FLAG]],IF(NOT(DB_TBL_DATA_FIELDS[[#This Row],[FIELD_REQ_FLAG]]),-1,1),IF(NOT(DB_TBL_DATA_FIELDS[[#This Row],[FIELD_VALID_FLAG]]),0,2)))</f>
        <v>-1</v>
      </c>
      <c r="N76" s="1" t="str">
        <f ca="1">IFERROR(VLOOKUP(DB_TBL_DATA_FIELDS[[#This Row],[FIELD_STATUS_CODE]],DB_TBL_CONFIG_FIELDSTATUSCODES[#All],3,FALSE),"")</f>
        <v>Optional</v>
      </c>
      <c r="O76" s="1" t="str">
        <f ca="1">IFERROR(VLOOKUP(DB_TBL_DATA_FIELDS[[#This Row],[FIELD_STATUS_CODE]],DB_TBL_CONFIG_FIELDSTATUSCODES[#All],4,FALSE),"")</f>
        <v xml:space="preserve"> </v>
      </c>
      <c r="P76" s="1" t="b">
        <f>TRUE</f>
        <v>1</v>
      </c>
      <c r="Q76" s="1" t="b">
        <f>TRUE</f>
        <v>1</v>
      </c>
      <c r="R76" s="1" t="s">
        <v>9</v>
      </c>
      <c r="S76" s="1">
        <f ca="1">IF(DB_TBL_DATA_FIELDS[[#This Row],[RANGE_VALIDATION_FLAG]]="Text",LEN(DB_TBL_DATA_FIELDS[[#This Row],[FIELD_VALUE_RAW]]),IFERROR(VALUE(DB_TBL_DATA_FIELDS[[#This Row],[FIELD_VALUE_RAW]]),-1))</f>
        <v>0</v>
      </c>
      <c r="T76" s="1">
        <v>5</v>
      </c>
      <c r="U76" s="1">
        <v>10</v>
      </c>
      <c r="V76" s="1" t="b">
        <f ca="1">IF(NOT(DB_TBL_DATA_FIELDS[[#This Row],[RANGE_VALIDATION_ON_FLAG]]),TRUE,
AND(DB_TBL_DATA_FIELDS[[#This Row],[RANGE_VALUE_LEN]]&gt;=DB_TBL_DATA_FIELDS[[#This Row],[RANGE_VALIDATION_MIN]],DB_TBL_DATA_FIELDS[[#This Row],[RANGE_VALUE_LEN]]&lt;=DB_TBL_DATA_FIELDS[[#This Row],[RANGE_VALIDATION_MAX]]))</f>
        <v>0</v>
      </c>
      <c r="W76" s="1">
        <v>1</v>
      </c>
      <c r="X76" s="1">
        <f ca="1">IF(DB_TBL_DATA_FIELDS[[#This Row],[PCT_CALC_SHOW_STATUS_CODE]]=1,
DB_TBL_DATA_FIELDS[[#This Row],[FIELD_STATUS_CODE]],
IF(AND(DB_TBL_DATA_FIELDS[[#This Row],[PCT_CALC_SHOW_STATUS_CODE]]=2,DB_TBL_DATA_FIELDS[[#This Row],[FIELD_STATUS_CODE]]=0),
DB_TBL_DATA_FIELDS[[#This Row],[FIELD_STATUS_CODE]],
"")
)</f>
        <v>-1</v>
      </c>
    </row>
    <row r="77" spans="1:26" x14ac:dyDescent="0.2">
      <c r="A77" s="1" t="s">
        <v>9022</v>
      </c>
      <c r="B77" s="14" t="str">
        <f>IFERROR(IF(FIND(DATA_EFORM_SHEET_REF,DB_TBL_DATA_FIELDS[[#This Row],[APPLICABLE_EFORM_LIST]])&gt;0,DATA_EFORM_SHEET_REF,""),"")</f>
        <v>_</v>
      </c>
      <c r="C77" s="1" t="s">
        <v>2297</v>
      </c>
      <c r="D77" s="1" t="b">
        <v>1</v>
      </c>
      <c r="E77" s="16" t="b">
        <v>1</v>
      </c>
      <c r="F77" s="2" t="s">
        <v>2304</v>
      </c>
      <c r="G77" s="19" t="str">
        <f ca="1">IFERROR(VLOOKUP(VLOOKUP(DB_TBL_DATA_FIELDS[[#This Row],[FIELD_ID]],INDIRECT(DB_TBL_DATA_FIELDS[[#This Row],[SHEET_REF_CALC]]&amp;"!A:B"),2,FALSE),COUNTY_LIST_ALLUSA,1,FALSE),"")</f>
        <v/>
      </c>
      <c r="H77" s="19" t="str">
        <f ca="1">IF(DB_TBL_DATA_FIELDS[[#This Row],[FIELD_VALUE_RAW]]="","",IFERROR(MATCH(UPPER(G75&amp;"_"&amp;DB_TBL_DATA_FIELDS[[#This Row],[FIELD_VALUE_RAW]]),'$DB.LOOKUP'!V:V,0),0)&gt;0)</f>
        <v/>
      </c>
      <c r="I77" s="2" t="b">
        <f ca="1">(DB_TBL_DATA_FIELDS[[#This Row],[FIELD_VALUE_RAW]]="")</f>
        <v>1</v>
      </c>
      <c r="J77" s="2" t="s">
        <v>9</v>
      </c>
      <c r="K77" s="1" t="b">
        <f ca="1">AND(IF(DB_TBL_DATA_FIELDS[[#This Row],[FIELD_VALID_CUSTOM_LOGIC]]="",TRUE,DB_TBL_DATA_FIELDS[[#This Row],[FIELD_VALID_CUSTOM_LOGIC]]),DB_TBL_DATA_FIELDS[[#This Row],[RANGE_VALIDATION_PASSED_FLAG]])</f>
        <v>1</v>
      </c>
      <c r="L77"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77" s="1">
        <f ca="1">IF(DB_TBL_DATA_FIELDS[[#This Row],[SHEET_REF_CALC]]="","",IF(DB_TBL_DATA_FIELDS[[#This Row],[FIELD_EMPTY_FLAG]],IF(NOT(DB_TBL_DATA_FIELDS[[#This Row],[FIELD_REQ_FLAG]]),-1,1),IF(NOT(DB_TBL_DATA_FIELDS[[#This Row],[FIELD_VALID_FLAG]]),0,2)))</f>
        <v>1</v>
      </c>
      <c r="N77" s="1" t="str">
        <f ca="1">IFERROR(VLOOKUP(DB_TBL_DATA_FIELDS[[#This Row],[FIELD_STATUS_CODE]],DB_TBL_CONFIG_FIELDSTATUSCODES[#All],3,FALSE),"")</f>
        <v>Required</v>
      </c>
      <c r="O77" s="1" t="str">
        <f ca="1">IFERROR(VLOOKUP(DB_TBL_DATA_FIELDS[[#This Row],[FIELD_STATUS_CODE]],DB_TBL_CONFIG_FIELDSTATUSCODES[#All],4,FALSE),"")</f>
        <v>i</v>
      </c>
      <c r="P77" s="1" t="b">
        <f>TRUE</f>
        <v>1</v>
      </c>
      <c r="Q77" s="1" t="b">
        <f>TRUE</f>
        <v>1</v>
      </c>
      <c r="R77" s="1" t="s">
        <v>9</v>
      </c>
      <c r="S77" s="1">
        <f ca="1">IF(DB_TBL_DATA_FIELDS[[#This Row],[RANGE_VALIDATION_FLAG]]="Text",LEN(DB_TBL_DATA_FIELDS[[#This Row],[FIELD_VALUE_RAW]]),IFERROR(VALUE(DB_TBL_DATA_FIELDS[[#This Row],[FIELD_VALUE_RAW]]),-1))</f>
        <v>0</v>
      </c>
      <c r="T77" s="1">
        <v>0</v>
      </c>
      <c r="U77" s="1">
        <v>50</v>
      </c>
      <c r="V77" s="1" t="b">
        <f ca="1">IF(NOT(DB_TBL_DATA_FIELDS[[#This Row],[RANGE_VALIDATION_ON_FLAG]]),TRUE,
AND(DB_TBL_DATA_FIELDS[[#This Row],[RANGE_VALUE_LEN]]&gt;=DB_TBL_DATA_FIELDS[[#This Row],[RANGE_VALIDATION_MIN]],DB_TBL_DATA_FIELDS[[#This Row],[RANGE_VALUE_LEN]]&lt;=DB_TBL_DATA_FIELDS[[#This Row],[RANGE_VALIDATION_MAX]]))</f>
        <v>1</v>
      </c>
      <c r="W77" s="1">
        <v>1</v>
      </c>
      <c r="X77" s="1">
        <f ca="1">IF(DB_TBL_DATA_FIELDS[[#This Row],[PCT_CALC_SHOW_STATUS_CODE]]=1,
DB_TBL_DATA_FIELDS[[#This Row],[FIELD_STATUS_CODE]],
IF(AND(DB_TBL_DATA_FIELDS[[#This Row],[PCT_CALC_SHOW_STATUS_CODE]]=2,DB_TBL_DATA_FIELDS[[#This Row],[FIELD_STATUS_CODE]]=0),
DB_TBL_DATA_FIELDS[[#This Row],[FIELD_STATUS_CODE]],
"")
)</f>
        <v>1</v>
      </c>
    </row>
    <row r="78" spans="1:26" x14ac:dyDescent="0.2">
      <c r="A78" s="1" t="s">
        <v>9022</v>
      </c>
      <c r="B78" s="14" t="str">
        <f>IFERROR(IF(FIND(DATA_EFORM_SHEET_REF,DB_TBL_DATA_FIELDS[[#This Row],[APPLICABLE_EFORM_LIST]])&gt;0,DATA_EFORM_SHEET_REF,""),"")</f>
        <v>_</v>
      </c>
      <c r="C78" s="1" t="s">
        <v>2834</v>
      </c>
      <c r="D78" s="1" t="b">
        <v>0</v>
      </c>
      <c r="E78" s="16" t="b">
        <v>0</v>
      </c>
      <c r="F78" s="2" t="s">
        <v>2835</v>
      </c>
      <c r="G78" s="19" t="str">
        <f ca="1">IF(OR(I73,I74,I75,I76),"",PROPER(DATA_PROPTY_ADDR)&amp;", "&amp;PROPER(G74)&amp;", "&amp;UPPER(DATA_PROPTY_STATE_CODE)&amp;" "&amp;DATA_PROPTY_ZIP_CODE)</f>
        <v/>
      </c>
      <c r="I78" s="2" t="b">
        <f ca="1">(DB_TBL_DATA_FIELDS[[#This Row],[FIELD_VALUE_RAW]]="")</f>
        <v>1</v>
      </c>
      <c r="J78" s="2" t="s">
        <v>9</v>
      </c>
      <c r="K78" s="1" t="b">
        <f>AND(IF(DB_TBL_DATA_FIELDS[[#This Row],[FIELD_VALID_CUSTOM_LOGIC]]="",TRUE,DB_TBL_DATA_FIELDS[[#This Row],[FIELD_VALID_CUSTOM_LOGIC]]),DB_TBL_DATA_FIELDS[[#This Row],[RANGE_VALIDATION_PASSED_FLAG]])</f>
        <v>1</v>
      </c>
      <c r="L78"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78" s="1">
        <f ca="1">IF(DB_TBL_DATA_FIELDS[[#This Row],[SHEET_REF_CALC]]="","",IF(DB_TBL_DATA_FIELDS[[#This Row],[FIELD_EMPTY_FLAG]],IF(NOT(DB_TBL_DATA_FIELDS[[#This Row],[FIELD_REQ_FLAG]]),-1,1),IF(NOT(DB_TBL_DATA_FIELDS[[#This Row],[FIELD_VALID_FLAG]]),0,2)))</f>
        <v>-1</v>
      </c>
      <c r="N78" s="1" t="str">
        <f ca="1">IFERROR(VLOOKUP(DB_TBL_DATA_FIELDS[[#This Row],[FIELD_STATUS_CODE]],DB_TBL_CONFIG_FIELDSTATUSCODES[#All],3,FALSE),"")</f>
        <v>Optional</v>
      </c>
      <c r="O78" s="1" t="str">
        <f ca="1">IFERROR(VLOOKUP(DB_TBL_DATA_FIELDS[[#This Row],[FIELD_STATUS_CODE]],DB_TBL_CONFIG_FIELDSTATUSCODES[#All],4,FALSE),"")</f>
        <v xml:space="preserve"> </v>
      </c>
      <c r="P78" s="1" t="b">
        <f>TRUE</f>
        <v>1</v>
      </c>
      <c r="Q78" s="1" t="b">
        <v>0</v>
      </c>
      <c r="S78" s="1">
        <f ca="1">IF(DB_TBL_DATA_FIELDS[[#This Row],[RANGE_VALIDATION_FLAG]]="Text",LEN(DB_TBL_DATA_FIELDS[[#This Row],[FIELD_VALUE_RAW]]),IFERROR(VALUE(DB_TBL_DATA_FIELDS[[#This Row],[FIELD_VALUE_RAW]]),-1))</f>
        <v>-1</v>
      </c>
      <c r="V78" s="1" t="b">
        <f>IF(NOT(DB_TBL_DATA_FIELDS[[#This Row],[RANGE_VALIDATION_ON_FLAG]]),TRUE,
AND(DB_TBL_DATA_FIELDS[[#This Row],[RANGE_VALUE_LEN]]&gt;=DB_TBL_DATA_FIELDS[[#This Row],[RANGE_VALIDATION_MIN]],DB_TBL_DATA_FIELDS[[#This Row],[RANGE_VALUE_LEN]]&lt;=DB_TBL_DATA_FIELDS[[#This Row],[RANGE_VALIDATION_MAX]]))</f>
        <v>1</v>
      </c>
      <c r="W78" s="1">
        <v>0</v>
      </c>
      <c r="X78" s="1" t="str">
        <f ca="1">IF(DB_TBL_DATA_FIELDS[[#This Row],[PCT_CALC_SHOW_STATUS_CODE]]=1,
DB_TBL_DATA_FIELDS[[#This Row],[FIELD_STATUS_CODE]],
IF(AND(DB_TBL_DATA_FIELDS[[#This Row],[PCT_CALC_SHOW_STATUS_CODE]]=2,DB_TBL_DATA_FIELDS[[#This Row],[FIELD_STATUS_CODE]]=0),
DB_TBL_DATA_FIELDS[[#This Row],[FIELD_STATUS_CODE]],
"")
)</f>
        <v/>
      </c>
      <c r="Y78" s="1" t="str">
        <f ca="1">IF(DB_TBL_DATA_FIELDS[[#This Row],[FIELD_STATUS_CODE]]=0,IF(NOT(DB_TBL_DATA_FIELDS[[#This Row],[FIELD_VALID_CUSTOM_LOGIC]]),
IF(IFERROR(SEARCH(".",RIGHT(DB_TBL_DATA_FIELDS[[#This Row],[FIELD_VALUE_RAW]],2)),0)&gt;0,"Invalid Domain Extension",
 IF(IFERROR(SEARCH("@",DB_TBL_DATA_FIELDS[[#This Row],[FIELD_VALUE_RAW]]),0)=0,"Missing '@' In Address",
  IF(IFERROR(SEARCH(".",DB_TBL_DATA_FIELDS[[#This Row],[FIELD_VALUE_RAW]],(SEARCH("@",DB_TBL_DATA_FIELDS[[#This Row],[FIELD_VALUE_RAW]],1))+2),0)=0,"Invalid Domain Name","Invalid Email Address")))),"")</f>
        <v/>
      </c>
      <c r="Z78" s="1" t="s">
        <v>2802</v>
      </c>
    </row>
    <row r="79" spans="1:26" x14ac:dyDescent="0.2">
      <c r="A79" s="1" t="s">
        <v>9022</v>
      </c>
      <c r="B79" s="14" t="str">
        <f>IFERROR(IF(FIND(DATA_EFORM_SHEET_REF,DB_TBL_DATA_FIELDS[[#This Row],[APPLICABLE_EFORM_LIST]])&gt;0,DATA_EFORM_SHEET_REF,""),"")</f>
        <v>_</v>
      </c>
      <c r="C79" s="1" t="s">
        <v>2894</v>
      </c>
      <c r="D79" s="1" t="b">
        <v>1</v>
      </c>
      <c r="E79" s="16" t="b">
        <v>1</v>
      </c>
      <c r="F79" s="2" t="s">
        <v>2895</v>
      </c>
      <c r="G79" s="2" t="str">
        <f ca="1">IFERROR(VLOOKUP(DB_TBL_DATA_FIELDS[[#This Row],[FIELD_ID]],INDIRECT(DB_TBL_DATA_FIELDS[[#This Row],[SHEET_REF_CALC]]&amp;"!A:B"),2,FALSE),"")</f>
        <v/>
      </c>
      <c r="I79" s="2" t="b">
        <f ca="1">(DB_TBL_DATA_FIELDS[[#This Row],[FIELD_VALUE_RAW]]="")</f>
        <v>1</v>
      </c>
      <c r="J79" s="2" t="s">
        <v>9</v>
      </c>
      <c r="K79" s="1" t="b">
        <f ca="1">AND(IF(DB_TBL_DATA_FIELDS[[#This Row],[FIELD_VALID_CUSTOM_LOGIC]]="",TRUE,DB_TBL_DATA_FIELDS[[#This Row],[FIELD_VALID_CUSTOM_LOGIC]]),DB_TBL_DATA_FIELDS[[#This Row],[RANGE_VALIDATION_PASSED_FLAG]])</f>
        <v>0</v>
      </c>
      <c r="L79"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79" s="1">
        <f ca="1">IF(DB_TBL_DATA_FIELDS[[#This Row],[SHEET_REF_CALC]]="","",IF(DB_TBL_DATA_FIELDS[[#This Row],[FIELD_EMPTY_FLAG]],IF(NOT(DB_TBL_DATA_FIELDS[[#This Row],[FIELD_REQ_FLAG]]),-1,1),IF(NOT(DB_TBL_DATA_FIELDS[[#This Row],[FIELD_VALID_FLAG]]),0,2)))</f>
        <v>1</v>
      </c>
      <c r="N79" s="1" t="str">
        <f ca="1">IFERROR(VLOOKUP(DB_TBL_DATA_FIELDS[[#This Row],[FIELD_STATUS_CODE]],DB_TBL_CONFIG_FIELDSTATUSCODES[#All],3,FALSE),"")</f>
        <v>Required</v>
      </c>
      <c r="O79" s="1" t="str">
        <f ca="1">IFERROR(VLOOKUP(DB_TBL_DATA_FIELDS[[#This Row],[FIELD_STATUS_CODE]],DB_TBL_CONFIG_FIELDSTATUSCODES[#All],4,FALSE),"")</f>
        <v>i</v>
      </c>
      <c r="P79" s="1" t="b">
        <f>TRUE</f>
        <v>1</v>
      </c>
      <c r="Q79" s="1" t="b">
        <f>TRUE</f>
        <v>1</v>
      </c>
      <c r="R79" s="1" t="s">
        <v>9</v>
      </c>
      <c r="S79" s="1">
        <f ca="1">IF(DB_TBL_DATA_FIELDS[[#This Row],[RANGE_VALIDATION_FLAG]]="Text",LEN(DB_TBL_DATA_FIELDS[[#This Row],[FIELD_VALUE_RAW]]),IFERROR(VALUE(DB_TBL_DATA_FIELDS[[#This Row],[FIELD_VALUE_RAW]]),-1))</f>
        <v>0</v>
      </c>
      <c r="T79" s="1">
        <v>1</v>
      </c>
      <c r="U79" s="1">
        <v>3</v>
      </c>
      <c r="V79" s="1" t="b">
        <f ca="1">IF(NOT(DB_TBL_DATA_FIELDS[[#This Row],[RANGE_VALIDATION_ON_FLAG]]),TRUE,
AND(DB_TBL_DATA_FIELDS[[#This Row],[RANGE_VALUE_LEN]]&gt;=DB_TBL_DATA_FIELDS[[#This Row],[RANGE_VALIDATION_MIN]],DB_TBL_DATA_FIELDS[[#This Row],[RANGE_VALUE_LEN]]&lt;=DB_TBL_DATA_FIELDS[[#This Row],[RANGE_VALIDATION_MAX]]))</f>
        <v>0</v>
      </c>
      <c r="W79" s="1">
        <v>1</v>
      </c>
      <c r="X79" s="1">
        <f ca="1">IF(DB_TBL_DATA_FIELDS[[#This Row],[PCT_CALC_SHOW_STATUS_CODE]]=1,
DB_TBL_DATA_FIELDS[[#This Row],[FIELD_STATUS_CODE]],
IF(AND(DB_TBL_DATA_FIELDS[[#This Row],[PCT_CALC_SHOW_STATUS_CODE]]=2,DB_TBL_DATA_FIELDS[[#This Row],[FIELD_STATUS_CODE]]=0),
DB_TBL_DATA_FIELDS[[#This Row],[FIELD_STATUS_CODE]],
"")
)</f>
        <v>1</v>
      </c>
      <c r="Y79" s="1" t="str">
        <f ca="1">IF(DB_TBL_DATA_FIELDS[[#This Row],[FIELD_STATUS_CODE]]=0,IF(NOT(DB_TBL_DATA_FIELDS[[#This Row],[FIELD_VALID_CUSTOM_LOGIC]]),
IF(IFERROR(SEARCH(".",RIGHT(DB_TBL_DATA_FIELDS[[#This Row],[FIELD_VALUE_RAW]],2)),0)&gt;0,"Invalid Domain Extension",
 IF(IFERROR(SEARCH("@",DB_TBL_DATA_FIELDS[[#This Row],[FIELD_VALUE_RAW]]),0)=0,"Missing '@' In Address",
  IF(IFERROR(SEARCH(".",DB_TBL_DATA_FIELDS[[#This Row],[FIELD_VALUE_RAW]],(SEARCH("@",DB_TBL_DATA_FIELDS[[#This Row],[FIELD_VALUE_RAW]],1))+2),0)=0,"Invalid Domain Name","Invalid Email Address")))),"")</f>
        <v/>
      </c>
      <c r="Z79" s="1" t="s">
        <v>2896</v>
      </c>
    </row>
    <row r="80" spans="1:26" x14ac:dyDescent="0.2">
      <c r="A80" s="1" t="s">
        <v>9022</v>
      </c>
      <c r="B80" s="14" t="str">
        <f>IFERROR(IF(FIND(DATA_EFORM_SHEET_REF,DB_TBL_DATA_FIELDS[[#This Row],[APPLICABLE_EFORM_LIST]])&gt;0,DATA_EFORM_SHEET_REF,""),"")</f>
        <v>_</v>
      </c>
      <c r="C80" s="1" t="s">
        <v>2298</v>
      </c>
      <c r="D80" s="1" t="b">
        <v>1</v>
      </c>
      <c r="E80" s="16" t="b">
        <v>0</v>
      </c>
      <c r="F80" s="2" t="s">
        <v>2305</v>
      </c>
      <c r="G80" s="2" t="str">
        <f ca="1">IFERROR(VLOOKUP(DB_TBL_DATA_FIELDS[[#This Row],[FIELD_ID]],INDIRECT(DB_TBL_DATA_FIELDS[[#This Row],[SHEET_REF_CALC]]&amp;"!A:B"),2,FALSE),"")</f>
        <v/>
      </c>
      <c r="I80" s="2" t="b">
        <f ca="1">(DB_TBL_DATA_FIELDS[[#This Row],[FIELD_VALUE_RAW]]="")</f>
        <v>1</v>
      </c>
      <c r="J80" s="2" t="s">
        <v>38</v>
      </c>
      <c r="K80" s="1" t="b">
        <f ca="1">AND(IF(DB_TBL_DATA_FIELDS[[#This Row],[FIELD_VALID_CUSTOM_LOGIC]]="",TRUE,DB_TBL_DATA_FIELDS[[#This Row],[FIELD_VALID_CUSTOM_LOGIC]]),DB_TBL_DATA_FIELDS[[#This Row],[RANGE_VALIDATION_PASSED_FLAG]])</f>
        <v>0</v>
      </c>
      <c r="L80"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80" s="1">
        <f ca="1">IF(DB_TBL_DATA_FIELDS[[#This Row],[SHEET_REF_CALC]]="","",IF(DB_TBL_DATA_FIELDS[[#This Row],[FIELD_EMPTY_FLAG]],IF(NOT(DB_TBL_DATA_FIELDS[[#This Row],[FIELD_REQ_FLAG]]),-1,1),IF(NOT(DB_TBL_DATA_FIELDS[[#This Row],[FIELD_VALID_FLAG]]),0,2)))</f>
        <v>-1</v>
      </c>
      <c r="N80" s="1" t="str">
        <f ca="1">IFERROR(VLOOKUP(DB_TBL_DATA_FIELDS[[#This Row],[FIELD_STATUS_CODE]],DB_TBL_CONFIG_FIELDSTATUSCODES[#All],3,FALSE),"")</f>
        <v>Optional</v>
      </c>
      <c r="O80" s="1" t="str">
        <f ca="1">IFERROR(VLOOKUP(DB_TBL_DATA_FIELDS[[#This Row],[FIELD_STATUS_CODE]],DB_TBL_CONFIG_FIELDSTATUSCODES[#All],4,FALSE),"")</f>
        <v xml:space="preserve"> </v>
      </c>
      <c r="P80" s="1" t="b">
        <f>TRUE</f>
        <v>1</v>
      </c>
      <c r="Q80" s="1" t="b">
        <f>TRUE</f>
        <v>1</v>
      </c>
      <c r="R80" s="1" t="s">
        <v>38</v>
      </c>
      <c r="S80" s="1">
        <f ca="1">IF(DB_TBL_DATA_FIELDS[[#This Row],[RANGE_VALIDATION_FLAG]]="Text",LEN(DB_TBL_DATA_FIELDS[[#This Row],[FIELD_VALUE_RAW]]),IFERROR(VALUE(DB_TBL_DATA_FIELDS[[#This Row],[FIELD_VALUE_RAW]]),-1))</f>
        <v>-1</v>
      </c>
      <c r="T80" s="1">
        <v>1</v>
      </c>
      <c r="U80" s="1">
        <v>99999</v>
      </c>
      <c r="V80" s="1" t="b">
        <f ca="1">IF(NOT(DB_TBL_DATA_FIELDS[[#This Row],[RANGE_VALIDATION_ON_FLAG]]),TRUE,
AND(DB_TBL_DATA_FIELDS[[#This Row],[RANGE_VALUE_LEN]]&gt;=DB_TBL_DATA_FIELDS[[#This Row],[RANGE_VALIDATION_MIN]],DB_TBL_DATA_FIELDS[[#This Row],[RANGE_VALUE_LEN]]&lt;=DB_TBL_DATA_FIELDS[[#This Row],[RANGE_VALIDATION_MAX]]))</f>
        <v>0</v>
      </c>
      <c r="W80" s="1">
        <v>1</v>
      </c>
      <c r="X80" s="1">
        <f ca="1">IF(DB_TBL_DATA_FIELDS[[#This Row],[PCT_CALC_SHOW_STATUS_CODE]]=1,
DB_TBL_DATA_FIELDS[[#This Row],[FIELD_STATUS_CODE]],
IF(AND(DB_TBL_DATA_FIELDS[[#This Row],[PCT_CALC_SHOW_STATUS_CODE]]=2,DB_TBL_DATA_FIELDS[[#This Row],[FIELD_STATUS_CODE]]=0),
DB_TBL_DATA_FIELDS[[#This Row],[FIELD_STATUS_CODE]],
"")
)</f>
        <v>-1</v>
      </c>
    </row>
    <row r="81" spans="1:26" x14ac:dyDescent="0.2">
      <c r="A81" s="1" t="s">
        <v>9022</v>
      </c>
      <c r="B81" s="14" t="str">
        <f>IFERROR(IF(FIND(DATA_EFORM_SHEET_REF,DB_TBL_DATA_FIELDS[[#This Row],[APPLICABLE_EFORM_LIST]])&gt;0,DATA_EFORM_SHEET_REF,""),"")</f>
        <v>_</v>
      </c>
      <c r="C81" s="1" t="s">
        <v>2299</v>
      </c>
      <c r="D81" s="1" t="b">
        <v>1</v>
      </c>
      <c r="E81" s="16" t="b">
        <v>1</v>
      </c>
      <c r="F81" s="2" t="s">
        <v>2306</v>
      </c>
      <c r="G81" s="2" t="str">
        <f ca="1">IFERROR(VLOOKUP(DB_TBL_DATA_FIELDS[[#This Row],[FIELD_ID]],INDIRECT(DB_TBL_DATA_FIELDS[[#This Row],[SHEET_REF_CALC]]&amp;"!A:B"),2,FALSE),"")</f>
        <v/>
      </c>
      <c r="I81" s="2" t="b">
        <f ca="1">(DB_TBL_DATA_FIELDS[[#This Row],[FIELD_VALUE_RAW]]="")</f>
        <v>1</v>
      </c>
      <c r="J81" s="2" t="s">
        <v>9</v>
      </c>
      <c r="K81" s="1" t="b">
        <f ca="1">AND(IF(DB_TBL_DATA_FIELDS[[#This Row],[FIELD_VALID_CUSTOM_LOGIC]]="",TRUE,DB_TBL_DATA_FIELDS[[#This Row],[FIELD_VALID_CUSTOM_LOGIC]]),DB_TBL_DATA_FIELDS[[#This Row],[RANGE_VALIDATION_PASSED_FLAG]])</f>
        <v>0</v>
      </c>
      <c r="L81"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81" s="1">
        <f ca="1">IF(DB_TBL_DATA_FIELDS[[#This Row],[SHEET_REF_CALC]]="","",IF(DB_TBL_DATA_FIELDS[[#This Row],[FIELD_EMPTY_FLAG]],IF(NOT(DB_TBL_DATA_FIELDS[[#This Row],[FIELD_REQ_FLAG]]),-1,1),IF(NOT(DB_TBL_DATA_FIELDS[[#This Row],[FIELD_VALID_FLAG]]),0,2)))</f>
        <v>1</v>
      </c>
      <c r="N81" s="1" t="str">
        <f ca="1">IFERROR(VLOOKUP(DB_TBL_DATA_FIELDS[[#This Row],[FIELD_STATUS_CODE]],DB_TBL_CONFIG_FIELDSTATUSCODES[#All],3,FALSE),"")</f>
        <v>Required</v>
      </c>
      <c r="O81" s="1" t="str">
        <f ca="1">IFERROR(VLOOKUP(DB_TBL_DATA_FIELDS[[#This Row],[FIELD_STATUS_CODE]],DB_TBL_CONFIG_FIELDSTATUSCODES[#All],4,FALSE),"")</f>
        <v>i</v>
      </c>
      <c r="P81" s="1" t="b">
        <f>TRUE</f>
        <v>1</v>
      </c>
      <c r="Q81" s="1" t="b">
        <f>TRUE</f>
        <v>1</v>
      </c>
      <c r="R81" s="1" t="s">
        <v>9</v>
      </c>
      <c r="S81" s="1">
        <f ca="1">IF(DB_TBL_DATA_FIELDS[[#This Row],[RANGE_VALIDATION_FLAG]]="Text",LEN(DB_TBL_DATA_FIELDS[[#This Row],[FIELD_VALUE_RAW]]),IFERROR(VALUE(DB_TBL_DATA_FIELDS[[#This Row],[FIELD_VALUE_RAW]]),-1))</f>
        <v>0</v>
      </c>
      <c r="T81" s="1">
        <v>7</v>
      </c>
      <c r="U81" s="1">
        <v>7</v>
      </c>
      <c r="V81" s="1" t="b">
        <f ca="1">IF(NOT(DB_TBL_DATA_FIELDS[[#This Row],[RANGE_VALIDATION_ON_FLAG]]),TRUE,
AND(DB_TBL_DATA_FIELDS[[#This Row],[RANGE_VALUE_LEN]]&gt;=DB_TBL_DATA_FIELDS[[#This Row],[RANGE_VALIDATION_MIN]],DB_TBL_DATA_FIELDS[[#This Row],[RANGE_VALUE_LEN]]&lt;=DB_TBL_DATA_FIELDS[[#This Row],[RANGE_VALIDATION_MAX]]))</f>
        <v>0</v>
      </c>
      <c r="W81" s="1">
        <v>1</v>
      </c>
      <c r="X81" s="1">
        <f ca="1">IF(DB_TBL_DATA_FIELDS[[#This Row],[PCT_CALC_SHOW_STATUS_CODE]]=1,
DB_TBL_DATA_FIELDS[[#This Row],[FIELD_STATUS_CODE]],
IF(AND(DB_TBL_DATA_FIELDS[[#This Row],[PCT_CALC_SHOW_STATUS_CODE]]=2,DB_TBL_DATA_FIELDS[[#This Row],[FIELD_STATUS_CODE]]=0),
DB_TBL_DATA_FIELDS[[#This Row],[FIELD_STATUS_CODE]],
"")
)</f>
        <v>1</v>
      </c>
    </row>
    <row r="82" spans="1:26" x14ac:dyDescent="0.2">
      <c r="A82" s="1" t="s">
        <v>9022</v>
      </c>
      <c r="B82" s="14" t="str">
        <f>IFERROR(IF(FIND(DATA_EFORM_SHEET_REF,DB_TBL_DATA_FIELDS[[#This Row],[APPLICABLE_EFORM_LIST]])&gt;0,DATA_EFORM_SHEET_REF,""),"")</f>
        <v>_</v>
      </c>
      <c r="C82" s="1" t="s">
        <v>2291</v>
      </c>
      <c r="D82" s="1" t="b">
        <v>0</v>
      </c>
      <c r="E82" s="16" t="b">
        <v>1</v>
      </c>
      <c r="F82" s="2" t="s">
        <v>2292</v>
      </c>
      <c r="G82" s="2" t="str">
        <f ca="1">IFERROR(VLOOKUP(DB_TBL_DATA_FIELDS[[#This Row],[FIELD_ID]],INDIRECT(DB_TBL_DATA_FIELDS[[#This Row],[SHEET_REF_CALC]]&amp;"!A:B"),2,FALSE),"")</f>
        <v/>
      </c>
      <c r="I82" s="2" t="b">
        <f ca="1">(DB_TBL_DATA_FIELDS[[#This Row],[FIELD_VALUE_RAW]]="")</f>
        <v>1</v>
      </c>
      <c r="J82" s="2" t="s">
        <v>137</v>
      </c>
      <c r="K82" s="1" t="b">
        <f>AND(IF(DB_TBL_DATA_FIELDS[[#This Row],[FIELD_VALID_CUSTOM_LOGIC]]="",TRUE,DB_TBL_DATA_FIELDS[[#This Row],[FIELD_VALID_CUSTOM_LOGIC]]),DB_TBL_DATA_FIELDS[[#This Row],[RANGE_VALIDATION_PASSED_FLAG]])</f>
        <v>1</v>
      </c>
      <c r="L82"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82" s="1">
        <f ca="1">IF(DB_TBL_DATA_FIELDS[[#This Row],[SHEET_REF_CALC]]="","",IF(DB_TBL_DATA_FIELDS[[#This Row],[FIELD_EMPTY_FLAG]],IF(NOT(DB_TBL_DATA_FIELDS[[#This Row],[FIELD_REQ_FLAG]]),-1,1),IF(NOT(DB_TBL_DATA_FIELDS[[#This Row],[FIELD_VALID_FLAG]]),0,2)))</f>
        <v>1</v>
      </c>
      <c r="N82" s="1" t="str">
        <f ca="1">IFERROR(VLOOKUP(DB_TBL_DATA_FIELDS[[#This Row],[FIELD_STATUS_CODE]],DB_TBL_CONFIG_FIELDSTATUSCODES[#All],3,FALSE),"")</f>
        <v>Required</v>
      </c>
      <c r="O82" s="1" t="str">
        <f ca="1">IFERROR(VLOOKUP(DB_TBL_DATA_FIELDS[[#This Row],[FIELD_STATUS_CODE]],DB_TBL_CONFIG_FIELDSTATUSCODES[#All],4,FALSE),"")</f>
        <v>i</v>
      </c>
      <c r="P82" s="1" t="b">
        <f>TRUE</f>
        <v>1</v>
      </c>
      <c r="Q82" s="1" t="b">
        <v>0</v>
      </c>
      <c r="S82" s="1">
        <f ca="1">IF(DB_TBL_DATA_FIELDS[[#This Row],[RANGE_VALIDATION_FLAG]]="Text",LEN(DB_TBL_DATA_FIELDS[[#This Row],[FIELD_VALUE_RAW]]),IFERROR(VALUE(DB_TBL_DATA_FIELDS[[#This Row],[FIELD_VALUE_RAW]]),-1))</f>
        <v>-1</v>
      </c>
      <c r="V82" s="1" t="b">
        <f>IF(NOT(DB_TBL_DATA_FIELDS[[#This Row],[RANGE_VALIDATION_ON_FLAG]]),TRUE,
AND(DB_TBL_DATA_FIELDS[[#This Row],[RANGE_VALUE_LEN]]&gt;=DB_TBL_DATA_FIELDS[[#This Row],[RANGE_VALIDATION_MIN]],DB_TBL_DATA_FIELDS[[#This Row],[RANGE_VALUE_LEN]]&lt;=DB_TBL_DATA_FIELDS[[#This Row],[RANGE_VALIDATION_MAX]]))</f>
        <v>1</v>
      </c>
      <c r="W82" s="1">
        <v>1</v>
      </c>
      <c r="X82" s="1">
        <f ca="1">IF(DB_TBL_DATA_FIELDS[[#This Row],[PCT_CALC_SHOW_STATUS_CODE]]=1,
DB_TBL_DATA_FIELDS[[#This Row],[FIELD_STATUS_CODE]],
IF(AND(DB_TBL_DATA_FIELDS[[#This Row],[PCT_CALC_SHOW_STATUS_CODE]]=2,DB_TBL_DATA_FIELDS[[#This Row],[FIELD_STATUS_CODE]]=0),
DB_TBL_DATA_FIELDS[[#This Row],[FIELD_STATUS_CODE]],
"")
)</f>
        <v>1</v>
      </c>
    </row>
    <row r="83" spans="1:26" x14ac:dyDescent="0.2">
      <c r="A83" s="1" t="s">
        <v>9022</v>
      </c>
      <c r="B83" s="14" t="str">
        <f>IFERROR(IF(FIND(DATA_EFORM_SHEET_REF,DB_TBL_DATA_FIELDS[[#This Row],[APPLICABLE_EFORM_LIST]])&gt;0,DATA_EFORM_SHEET_REF,""),"")</f>
        <v>_</v>
      </c>
      <c r="C83" s="1" t="s">
        <v>2307</v>
      </c>
      <c r="D83" s="1" t="b">
        <v>1</v>
      </c>
      <c r="E83" s="16" t="b">
        <v>1</v>
      </c>
      <c r="F83" s="2" t="s">
        <v>188</v>
      </c>
      <c r="G83" s="2" t="str">
        <f ca="1">IFERROR(VLOOKUP(DB_TBL_DATA_FIELDS[[#This Row],[FIELD_ID]],INDIRECT(DB_TBL_DATA_FIELDS[[#This Row],[SHEET_REF_CALC]]&amp;"!A:B"),2,FALSE),"")</f>
        <v/>
      </c>
      <c r="I83" s="2" t="b">
        <f ca="1">(DB_TBL_DATA_FIELDS[[#This Row],[FIELD_VALUE_RAW]]="")</f>
        <v>1</v>
      </c>
      <c r="J83" s="2" t="s">
        <v>38</v>
      </c>
      <c r="K83" s="1" t="b">
        <f ca="1">AND(IF(DB_TBL_DATA_FIELDS[[#This Row],[FIELD_VALID_CUSTOM_LOGIC]]="",TRUE,DB_TBL_DATA_FIELDS[[#This Row],[FIELD_VALID_CUSTOM_LOGIC]]),DB_TBL_DATA_FIELDS[[#This Row],[RANGE_VALIDATION_PASSED_FLAG]])</f>
        <v>0</v>
      </c>
      <c r="L83"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83" s="1">
        <f ca="1">IF(DB_TBL_DATA_FIELDS[[#This Row],[SHEET_REF_CALC]]="","",IF(DB_TBL_DATA_FIELDS[[#This Row],[FIELD_EMPTY_FLAG]],IF(NOT(DB_TBL_DATA_FIELDS[[#This Row],[FIELD_REQ_FLAG]]),-1,1),IF(NOT(DB_TBL_DATA_FIELDS[[#This Row],[FIELD_VALID_FLAG]]),0,2)))</f>
        <v>1</v>
      </c>
      <c r="N83" s="1" t="str">
        <f ca="1">IFERROR(VLOOKUP(DB_TBL_DATA_FIELDS[[#This Row],[FIELD_STATUS_CODE]],DB_TBL_CONFIG_FIELDSTATUSCODES[#All],3,FALSE),"")</f>
        <v>Required</v>
      </c>
      <c r="O83" s="1" t="str">
        <f ca="1">IFERROR(VLOOKUP(DB_TBL_DATA_FIELDS[[#This Row],[FIELD_STATUS_CODE]],DB_TBL_CONFIG_FIELDSTATUSCODES[#All],4,FALSE),"")</f>
        <v>i</v>
      </c>
      <c r="P83" s="1" t="b">
        <f>TRUE</f>
        <v>1</v>
      </c>
      <c r="Q83" s="1" t="b">
        <f>TRUE</f>
        <v>1</v>
      </c>
      <c r="R83" s="1" t="s">
        <v>38</v>
      </c>
      <c r="S83" s="1">
        <f ca="1">IF(DB_TBL_DATA_FIELDS[[#This Row],[RANGE_VALIDATION_FLAG]]="Text",LEN(DB_TBL_DATA_FIELDS[[#This Row],[FIELD_VALUE_RAW]]),IFERROR(VALUE(DB_TBL_DATA_FIELDS[[#This Row],[FIELD_VALUE_RAW]]),-1))</f>
        <v>-1</v>
      </c>
      <c r="T83" s="1">
        <v>0</v>
      </c>
      <c r="U83" s="1">
        <v>999999999</v>
      </c>
      <c r="V83" s="1" t="b">
        <f ca="1">IF(NOT(DB_TBL_DATA_FIELDS[[#This Row],[RANGE_VALIDATION_ON_FLAG]]),TRUE,
AND(DB_TBL_DATA_FIELDS[[#This Row],[RANGE_VALUE_LEN]]&gt;=DB_TBL_DATA_FIELDS[[#This Row],[RANGE_VALIDATION_MIN]],DB_TBL_DATA_FIELDS[[#This Row],[RANGE_VALUE_LEN]]&lt;=DB_TBL_DATA_FIELDS[[#This Row],[RANGE_VALIDATION_MAX]]))</f>
        <v>0</v>
      </c>
      <c r="W83" s="1">
        <v>1</v>
      </c>
      <c r="X83" s="1">
        <f ca="1">IF(DB_TBL_DATA_FIELDS[[#This Row],[PCT_CALC_SHOW_STATUS_CODE]]=1,
DB_TBL_DATA_FIELDS[[#This Row],[FIELD_STATUS_CODE]],
IF(AND(DB_TBL_DATA_FIELDS[[#This Row],[PCT_CALC_SHOW_STATUS_CODE]]=2,DB_TBL_DATA_FIELDS[[#This Row],[FIELD_STATUS_CODE]]=0),
DB_TBL_DATA_FIELDS[[#This Row],[FIELD_STATUS_CODE]],
"")
)</f>
        <v>1</v>
      </c>
    </row>
    <row r="84" spans="1:26" x14ac:dyDescent="0.2">
      <c r="A84" s="1" t="s">
        <v>9022</v>
      </c>
      <c r="B84" s="14" t="str">
        <f>IFERROR(IF(FIND(DATA_EFORM_SHEET_REF,DB_TBL_DATA_FIELDS[[#This Row],[APPLICABLE_EFORM_LIST]])&gt;0,DATA_EFORM_SHEET_REF,""),"")</f>
        <v>_</v>
      </c>
      <c r="C84" s="1" t="s">
        <v>2311</v>
      </c>
      <c r="D84" s="1" t="b">
        <v>0</v>
      </c>
      <c r="E84" s="16" t="b">
        <v>1</v>
      </c>
      <c r="F84" s="2" t="s">
        <v>2312</v>
      </c>
      <c r="G84" s="2" t="str">
        <f ca="1">IFERROR(VLOOKUP(DB_TBL_DATA_FIELDS[[#This Row],[FIELD_ID]],INDIRECT(DB_TBL_DATA_FIELDS[[#This Row],[SHEET_REF_CALC]]&amp;"!A:B"),2,FALSE),"")</f>
        <v/>
      </c>
      <c r="H84" s="19" t="str">
        <f ca="1">H85</f>
        <v/>
      </c>
      <c r="I84" s="2" t="b">
        <f ca="1">(DB_TBL_DATA_FIELDS[[#This Row],[FIELD_VALUE_RAW]]="")</f>
        <v>1</v>
      </c>
      <c r="J84" s="2" t="s">
        <v>9</v>
      </c>
      <c r="K84" s="1" t="b">
        <f ca="1">AND(IF(DB_TBL_DATA_FIELDS[[#This Row],[FIELD_VALID_CUSTOM_LOGIC]]="",TRUE,DB_TBL_DATA_FIELDS[[#This Row],[FIELD_VALID_CUSTOM_LOGIC]]),DB_TBL_DATA_FIELDS[[#This Row],[RANGE_VALIDATION_PASSED_FLAG]])</f>
        <v>1</v>
      </c>
      <c r="L84"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84" s="1">
        <f ca="1">IF(DB_TBL_DATA_FIELDS[[#This Row],[SHEET_REF_CALC]]="","",IF(DB_TBL_DATA_FIELDS[[#This Row],[FIELD_EMPTY_FLAG]],IF(NOT(DB_TBL_DATA_FIELDS[[#This Row],[FIELD_REQ_FLAG]]),-1,1),IF(NOT(DB_TBL_DATA_FIELDS[[#This Row],[FIELD_VALID_FLAG]]),0,2)))</f>
        <v>1</v>
      </c>
      <c r="N84" s="1" t="str">
        <f ca="1">IFERROR(VLOOKUP(DB_TBL_DATA_FIELDS[[#This Row],[FIELD_STATUS_CODE]],DB_TBL_CONFIG_FIELDSTATUSCODES[#All],3,FALSE),"")</f>
        <v>Required</v>
      </c>
      <c r="O84" s="1" t="str">
        <f ca="1">IFERROR(VLOOKUP(DB_TBL_DATA_FIELDS[[#This Row],[FIELD_STATUS_CODE]],DB_TBL_CONFIG_FIELDSTATUSCODES[#All],4,FALSE),"")</f>
        <v>i</v>
      </c>
      <c r="P84" s="1" t="b">
        <f>TRUE</f>
        <v>1</v>
      </c>
      <c r="Q84" s="1" t="b">
        <f>TRUE</f>
        <v>1</v>
      </c>
      <c r="R84" s="1" t="s">
        <v>9</v>
      </c>
      <c r="S84" s="1">
        <f ca="1">IF(DB_TBL_DATA_FIELDS[[#This Row],[RANGE_VALIDATION_FLAG]]="Text",LEN(DB_TBL_DATA_FIELDS[[#This Row],[FIELD_VALUE_RAW]]),IFERROR(VALUE(DB_TBL_DATA_FIELDS[[#This Row],[FIELD_VALUE_RAW]]),-1))</f>
        <v>0</v>
      </c>
      <c r="T84" s="1">
        <v>0</v>
      </c>
      <c r="U84" s="1">
        <v>50</v>
      </c>
      <c r="V84" s="1" t="b">
        <f ca="1">IF(NOT(DB_TBL_DATA_FIELDS[[#This Row],[RANGE_VALIDATION_ON_FLAG]]),TRUE,
AND(DB_TBL_DATA_FIELDS[[#This Row],[RANGE_VALUE_LEN]]&gt;=DB_TBL_DATA_FIELDS[[#This Row],[RANGE_VALIDATION_MIN]],DB_TBL_DATA_FIELDS[[#This Row],[RANGE_VALUE_LEN]]&lt;=DB_TBL_DATA_FIELDS[[#This Row],[RANGE_VALIDATION_MAX]]))</f>
        <v>1</v>
      </c>
      <c r="W84" s="1">
        <v>1</v>
      </c>
      <c r="X84" s="1">
        <f ca="1">IF(DB_TBL_DATA_FIELDS[[#This Row],[PCT_CALC_SHOW_STATUS_CODE]]=1,
DB_TBL_DATA_FIELDS[[#This Row],[FIELD_STATUS_CODE]],
IF(AND(DB_TBL_DATA_FIELDS[[#This Row],[PCT_CALC_SHOW_STATUS_CODE]]=2,DB_TBL_DATA_FIELDS[[#This Row],[FIELD_STATUS_CODE]]=0),
DB_TBL_DATA_FIELDS[[#This Row],[FIELD_STATUS_CODE]],
"")
)</f>
        <v>1</v>
      </c>
    </row>
    <row r="85" spans="1:26" x14ac:dyDescent="0.2">
      <c r="A85" s="1" t="s">
        <v>9022</v>
      </c>
      <c r="B85" s="14" t="str">
        <f>IFERROR(IF(FIND(DATA_EFORM_SHEET_REF,DB_TBL_DATA_FIELDS[[#This Row],[APPLICABLE_EFORM_LIST]])&gt;0,DATA_EFORM_SHEET_REF,""),"")</f>
        <v>_</v>
      </c>
      <c r="C85" s="1" t="s">
        <v>2308</v>
      </c>
      <c r="D85" s="1" t="b">
        <v>1</v>
      </c>
      <c r="E85" s="16" t="b">
        <v>1</v>
      </c>
      <c r="F85" s="2" t="s">
        <v>2313</v>
      </c>
      <c r="G85" s="19" t="str">
        <f ca="1">IF(DATA_PROPTY_BLDG_TYPE_UI="","",IFERROR(INDEX(RANGE_LOOKUP_PROPTY_BLDG_TYPE_CICODE,MATCH(DATA_PROPTY_BLDG_TYPE_UI,RANGE_LOOKUP_PROPTY_BLDG_TYPE_UI,0)),"[ERROR]"))</f>
        <v/>
      </c>
      <c r="H85" s="19" t="str">
        <f ca="1">IF(NOT(DB_TBL_DATA_FIELDS[[#This Row],[FIELD_EMPTY_FLAG]]),DB_TBL_DATA_FIELDS[[#This Row],[FIELD_VALUE_RAW]]&lt;&gt;"[ERROR]","")</f>
        <v/>
      </c>
      <c r="I85" s="2" t="b">
        <f ca="1">(DB_TBL_DATA_FIELDS[[#This Row],[FIELD_VALUE_RAW]]="")</f>
        <v>1</v>
      </c>
      <c r="J85" s="2" t="s">
        <v>9</v>
      </c>
      <c r="K85" s="1" t="b">
        <f ca="1">AND(IF(DB_TBL_DATA_FIELDS[[#This Row],[FIELD_VALID_CUSTOM_LOGIC]]="",TRUE,DB_TBL_DATA_FIELDS[[#This Row],[FIELD_VALID_CUSTOM_LOGIC]]),DB_TBL_DATA_FIELDS[[#This Row],[RANGE_VALIDATION_PASSED_FLAG]])</f>
        <v>1</v>
      </c>
      <c r="L85"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85" s="1">
        <f ca="1">IF(DB_TBL_DATA_FIELDS[[#This Row],[SHEET_REF_CALC]]="","",IF(DB_TBL_DATA_FIELDS[[#This Row],[FIELD_EMPTY_FLAG]],IF(NOT(DB_TBL_DATA_FIELDS[[#This Row],[FIELD_REQ_FLAG]]),-1,1),IF(NOT(DB_TBL_DATA_FIELDS[[#This Row],[FIELD_VALID_FLAG]]),0,2)))</f>
        <v>1</v>
      </c>
      <c r="N85" s="1" t="str">
        <f ca="1">IFERROR(VLOOKUP(DB_TBL_DATA_FIELDS[[#This Row],[FIELD_STATUS_CODE]],DB_TBL_CONFIG_FIELDSTATUSCODES[#All],3,FALSE),"")</f>
        <v>Required</v>
      </c>
      <c r="O85" s="1" t="str">
        <f ca="1">IFERROR(VLOOKUP(DB_TBL_DATA_FIELDS[[#This Row],[FIELD_STATUS_CODE]],DB_TBL_CONFIG_FIELDSTATUSCODES[#All],4,FALSE),"")</f>
        <v>i</v>
      </c>
      <c r="P85" s="1" t="b">
        <f>TRUE</f>
        <v>1</v>
      </c>
      <c r="Q85" s="1" t="b">
        <f>TRUE</f>
        <v>1</v>
      </c>
      <c r="R85" s="1" t="s">
        <v>9</v>
      </c>
      <c r="S85" s="1">
        <f ca="1">IF(DB_TBL_DATA_FIELDS[[#This Row],[RANGE_VALIDATION_FLAG]]="Text",LEN(DB_TBL_DATA_FIELDS[[#This Row],[FIELD_VALUE_RAW]]),IFERROR(VALUE(DB_TBL_DATA_FIELDS[[#This Row],[FIELD_VALUE_RAW]]),-1))</f>
        <v>0</v>
      </c>
      <c r="T85" s="1">
        <v>0</v>
      </c>
      <c r="U85" s="1">
        <v>50</v>
      </c>
      <c r="V85" s="1" t="b">
        <f ca="1">IF(NOT(DB_TBL_DATA_FIELDS[[#This Row],[RANGE_VALIDATION_ON_FLAG]]),TRUE,
AND(DB_TBL_DATA_FIELDS[[#This Row],[RANGE_VALUE_LEN]]&gt;=DB_TBL_DATA_FIELDS[[#This Row],[RANGE_VALIDATION_MIN]],DB_TBL_DATA_FIELDS[[#This Row],[RANGE_VALUE_LEN]]&lt;=DB_TBL_DATA_FIELDS[[#This Row],[RANGE_VALIDATION_MAX]]))</f>
        <v>1</v>
      </c>
      <c r="W85" s="1">
        <v>0</v>
      </c>
      <c r="X85" s="1" t="str">
        <f ca="1">IF(DB_TBL_DATA_FIELDS[[#This Row],[PCT_CALC_SHOW_STATUS_CODE]]=1,
DB_TBL_DATA_FIELDS[[#This Row],[FIELD_STATUS_CODE]],
IF(AND(DB_TBL_DATA_FIELDS[[#This Row],[PCT_CALC_SHOW_STATUS_CODE]]=2,DB_TBL_DATA_FIELDS[[#This Row],[FIELD_STATUS_CODE]]=0),
DB_TBL_DATA_FIELDS[[#This Row],[FIELD_STATUS_CODE]],
"")
)</f>
        <v/>
      </c>
    </row>
    <row r="86" spans="1:26" ht="13.5" thickBot="1" x14ac:dyDescent="0.25">
      <c r="A86" s="98" t="s">
        <v>9022</v>
      </c>
      <c r="B86" s="102" t="str">
        <f>IFERROR(IF(FIND(DATA_EFORM_SHEET_REF,DB_TBL_DATA_FIELDS[[#This Row],[APPLICABLE_EFORM_LIST]])&gt;0,DATA_EFORM_SHEET_REF,""),"")</f>
        <v>_</v>
      </c>
      <c r="C86" s="98" t="s">
        <v>2309</v>
      </c>
      <c r="D86" s="98" t="b">
        <v>1</v>
      </c>
      <c r="E86" s="99" t="b">
        <v>1</v>
      </c>
      <c r="F86" s="100" t="s">
        <v>2310</v>
      </c>
      <c r="G86" s="100" t="str">
        <f ca="1">IFERROR(VLOOKUP(DB_TBL_DATA_FIELDS[[#This Row],[FIELD_ID]],INDIRECT(DB_TBL_DATA_FIELDS[[#This Row],[SHEET_REF_CALC]]&amp;"!A:B"),2,FALSE),"")</f>
        <v/>
      </c>
      <c r="H86" s="100"/>
      <c r="I86" s="100" t="b">
        <f ca="1">(DB_TBL_DATA_FIELDS[[#This Row],[FIELD_VALUE_RAW]]="")</f>
        <v>1</v>
      </c>
      <c r="J86" s="100" t="s">
        <v>137</v>
      </c>
      <c r="K86" s="98" t="b">
        <f>AND(IF(DB_TBL_DATA_FIELDS[[#This Row],[FIELD_VALID_CUSTOM_LOGIC]]="",TRUE,DB_TBL_DATA_FIELDS[[#This Row],[FIELD_VALID_CUSTOM_LOGIC]]),DB_TBL_DATA_FIELDS[[#This Row],[RANGE_VALIDATION_PASSED_FLAG]])</f>
        <v>1</v>
      </c>
      <c r="L86" s="100"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86" s="98">
        <f ca="1">IF(DB_TBL_DATA_FIELDS[[#This Row],[SHEET_REF_CALC]]="","",IF(DB_TBL_DATA_FIELDS[[#This Row],[FIELD_EMPTY_FLAG]],IF(NOT(DB_TBL_DATA_FIELDS[[#This Row],[FIELD_REQ_FLAG]]),-1,1),IF(NOT(DB_TBL_DATA_FIELDS[[#This Row],[FIELD_VALID_FLAG]]),0,2)))</f>
        <v>1</v>
      </c>
      <c r="N86" s="98" t="str">
        <f ca="1">IFERROR(VLOOKUP(DB_TBL_DATA_FIELDS[[#This Row],[FIELD_STATUS_CODE]],DB_TBL_CONFIG_FIELDSTATUSCODES[#All],3,FALSE),"")</f>
        <v>Required</v>
      </c>
      <c r="O86" s="98" t="str">
        <f ca="1">IFERROR(VLOOKUP(DB_TBL_DATA_FIELDS[[#This Row],[FIELD_STATUS_CODE]],DB_TBL_CONFIG_FIELDSTATUSCODES[#All],4,FALSE),"")</f>
        <v>i</v>
      </c>
      <c r="P86" s="98" t="b">
        <f>TRUE</f>
        <v>1</v>
      </c>
      <c r="Q86" s="98" t="b">
        <v>0</v>
      </c>
      <c r="R86" s="98"/>
      <c r="S86" s="98">
        <f ca="1">IF(DB_TBL_DATA_FIELDS[[#This Row],[RANGE_VALIDATION_FLAG]]="Text",LEN(DB_TBL_DATA_FIELDS[[#This Row],[FIELD_VALUE_RAW]]),IFERROR(VALUE(DB_TBL_DATA_FIELDS[[#This Row],[FIELD_VALUE_RAW]]),-1))</f>
        <v>-1</v>
      </c>
      <c r="T86" s="98"/>
      <c r="U86" s="98"/>
      <c r="V86" s="98" t="b">
        <f>IF(NOT(DB_TBL_DATA_FIELDS[[#This Row],[RANGE_VALIDATION_ON_FLAG]]),TRUE,
AND(DB_TBL_DATA_FIELDS[[#This Row],[RANGE_VALUE_LEN]]&gt;=DB_TBL_DATA_FIELDS[[#This Row],[RANGE_VALIDATION_MIN]],DB_TBL_DATA_FIELDS[[#This Row],[RANGE_VALUE_LEN]]&lt;=DB_TBL_DATA_FIELDS[[#This Row],[RANGE_VALIDATION_MAX]]))</f>
        <v>1</v>
      </c>
      <c r="W86" s="98">
        <v>1</v>
      </c>
      <c r="X86" s="98">
        <f ca="1">IF(DB_TBL_DATA_FIELDS[[#This Row],[PCT_CALC_SHOW_STATUS_CODE]]=1,
DB_TBL_DATA_FIELDS[[#This Row],[FIELD_STATUS_CODE]],
IF(AND(DB_TBL_DATA_FIELDS[[#This Row],[PCT_CALC_SHOW_STATUS_CODE]]=2,DB_TBL_DATA_FIELDS[[#This Row],[FIELD_STATUS_CODE]]=0),
DB_TBL_DATA_FIELDS[[#This Row],[FIELD_STATUS_CODE]],
"")
)</f>
        <v>1</v>
      </c>
      <c r="Y86" s="98"/>
      <c r="Z86" s="98"/>
    </row>
    <row r="87" spans="1:26" x14ac:dyDescent="0.2">
      <c r="A87" s="1" t="s">
        <v>9041</v>
      </c>
      <c r="B87" s="14" t="str">
        <f>IFERROR(IF(FIND(DATA_EFORM_SHEET_REF,DB_TBL_DATA_FIELDS[[#This Row],[APPLICABLE_EFORM_LIST]])&gt;0,DATA_EFORM_SHEET_REF,""),"")</f>
        <v>_</v>
      </c>
      <c r="C87" s="1" t="s">
        <v>2314</v>
      </c>
      <c r="D87" s="1" t="b">
        <v>0</v>
      </c>
      <c r="E87" s="81" t="b">
        <v>0</v>
      </c>
      <c r="F87" s="2" t="s">
        <v>2315</v>
      </c>
      <c r="G87" s="104" t="str">
        <f ca="1">IFERROR(VLOOKUP(DB_TBL_DATA_FIELDS[[#This Row],[FIELD_ID]],INDIRECT(DB_TBL_DATA_FIELDS[[#This Row],[SHEET_REF_CALC]]&amp;"!A:B"),2,FALSE),"")</f>
        <v/>
      </c>
      <c r="I87" s="2" t="b">
        <f ca="1">(DB_TBL_DATA_FIELDS[[#This Row],[FIELD_VALUE_RAW]]="")</f>
        <v>1</v>
      </c>
      <c r="J87" s="2" t="s">
        <v>137</v>
      </c>
      <c r="K87" s="1" t="b">
        <f>AND(IF(DB_TBL_DATA_FIELDS[[#This Row],[FIELD_VALID_CUSTOM_LOGIC]]="",TRUE,DB_TBL_DATA_FIELDS[[#This Row],[FIELD_VALID_CUSTOM_LOGIC]]),DB_TBL_DATA_FIELDS[[#This Row],[RANGE_VALIDATION_PASSED_FLAG]])</f>
        <v>1</v>
      </c>
      <c r="L87"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87" s="1">
        <f ca="1">IF(DB_TBL_DATA_FIELDS[[#This Row],[SHEET_REF_CALC]]="","",IF(DB_TBL_DATA_FIELDS[[#This Row],[FIELD_EMPTY_FLAG]],IF(NOT(DB_TBL_DATA_FIELDS[[#This Row],[FIELD_REQ_FLAG]]),-1,1),IF(NOT(DB_TBL_DATA_FIELDS[[#This Row],[FIELD_VALID_FLAG]]),0,2)))</f>
        <v>-1</v>
      </c>
      <c r="N87" s="1" t="str">
        <f ca="1">IFERROR(VLOOKUP(DB_TBL_DATA_FIELDS[[#This Row],[FIELD_STATUS_CODE]],DB_TBL_CONFIG_FIELDSTATUSCODES[#All],3,FALSE),"")</f>
        <v>Optional</v>
      </c>
      <c r="O87" s="1" t="str">
        <f ca="1">IFERROR(VLOOKUP(DB_TBL_DATA_FIELDS[[#This Row],[FIELD_STATUS_CODE]],DB_TBL_CONFIG_FIELDSTATUSCODES[#All],4,FALSE),"")</f>
        <v xml:space="preserve"> </v>
      </c>
      <c r="P87" s="1" t="b">
        <f>TRUE</f>
        <v>1</v>
      </c>
      <c r="Q87" s="1" t="b">
        <v>0</v>
      </c>
      <c r="S87" s="1">
        <f ca="1">IF(DB_TBL_DATA_FIELDS[[#This Row],[RANGE_VALIDATION_FLAG]]="Text",LEN(DB_TBL_DATA_FIELDS[[#This Row],[FIELD_VALUE_RAW]]),IFERROR(VALUE(DB_TBL_DATA_FIELDS[[#This Row],[FIELD_VALUE_RAW]]),-1))</f>
        <v>-1</v>
      </c>
      <c r="V87" s="1" t="b">
        <f>IF(NOT(DB_TBL_DATA_FIELDS[[#This Row],[RANGE_VALIDATION_ON_FLAG]]),TRUE,
AND(DB_TBL_DATA_FIELDS[[#This Row],[RANGE_VALUE_LEN]]&gt;=DB_TBL_DATA_FIELDS[[#This Row],[RANGE_VALIDATION_MIN]],DB_TBL_DATA_FIELDS[[#This Row],[RANGE_VALUE_LEN]]&lt;=DB_TBL_DATA_FIELDS[[#This Row],[RANGE_VALIDATION_MAX]]))</f>
        <v>1</v>
      </c>
      <c r="W87" s="1">
        <v>0</v>
      </c>
      <c r="X87" s="1" t="str">
        <f ca="1">IF(DB_TBL_DATA_FIELDS[[#This Row],[PCT_CALC_SHOW_STATUS_CODE]]=1,
DB_TBL_DATA_FIELDS[[#This Row],[FIELD_STATUS_CODE]],
IF(AND(DB_TBL_DATA_FIELDS[[#This Row],[PCT_CALC_SHOW_STATUS_CODE]]=2,DB_TBL_DATA_FIELDS[[#This Row],[FIELD_STATUS_CODE]]=0),
DB_TBL_DATA_FIELDS[[#This Row],[FIELD_STATUS_CODE]],
"")
)</f>
        <v/>
      </c>
    </row>
    <row r="88" spans="1:26" x14ac:dyDescent="0.2">
      <c r="A88" s="1" t="s">
        <v>9041</v>
      </c>
      <c r="B88" s="14" t="str">
        <f>IFERROR(IF(FIND(DATA_EFORM_SHEET_REF,DB_TBL_DATA_FIELDS[[#This Row],[APPLICABLE_EFORM_LIST]])&gt;0,DATA_EFORM_SHEET_REF,""),"")</f>
        <v>_</v>
      </c>
      <c r="C88" s="1" t="s">
        <v>2316</v>
      </c>
      <c r="D88" s="1" t="b">
        <v>0</v>
      </c>
      <c r="E88" s="81" t="b">
        <f ca="1">IF(DATA_EFORM_TYPE_CODE="RES",TRUE,DATA_ADL_ICW_FLAG=TRUE)</f>
        <v>0</v>
      </c>
      <c r="F88" s="2" t="s">
        <v>2317</v>
      </c>
      <c r="G88" s="19" t="str">
        <f ca="1">IF(DATA_ICW_COMPLETE_FLAG=TRUE,TRUE,"")</f>
        <v/>
      </c>
      <c r="H88" s="19" t="str">
        <f ca="1">IF(DB_TBL_DATA_FIELDS[[#This Row],[FIELD_EMPTY_FLAG]],"",AND(NOT(I104),NOT(I90),ICW_BONUS_CERT_COMPLETE_FLAG))</f>
        <v/>
      </c>
      <c r="I88" s="2" t="b">
        <f ca="1">(DB_TBL_DATA_FIELDS[[#This Row],[FIELD_VALUE_RAW]]="")</f>
        <v>1</v>
      </c>
      <c r="J88" s="2" t="s">
        <v>137</v>
      </c>
      <c r="K88" s="1" t="b">
        <f ca="1">AND(IF(DB_TBL_DATA_FIELDS[[#This Row],[FIELD_VALID_CUSTOM_LOGIC]]="",TRUE,DB_TBL_DATA_FIELDS[[#This Row],[FIELD_VALID_CUSTOM_LOGIC]]),DB_TBL_DATA_FIELDS[[#This Row],[RANGE_VALIDATION_PASSED_FLAG]])</f>
        <v>1</v>
      </c>
      <c r="L88"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88" s="1">
        <f ca="1">IF(DB_TBL_DATA_FIELDS[[#This Row],[SHEET_REF_CALC]]="","",IF(DB_TBL_DATA_FIELDS[[#This Row],[FIELD_EMPTY_FLAG]],IF(NOT(DB_TBL_DATA_FIELDS[[#This Row],[FIELD_REQ_FLAG]]),-1,1),IF(NOT(DB_TBL_DATA_FIELDS[[#This Row],[FIELD_VALID_FLAG]]),0,2)))</f>
        <v>-1</v>
      </c>
      <c r="N88" s="1" t="str">
        <f ca="1">IFERROR(VLOOKUP(DB_TBL_DATA_FIELDS[[#This Row],[FIELD_STATUS_CODE]],DB_TBL_CONFIG_FIELDSTATUSCODES[#All],3,FALSE),"")</f>
        <v>Optional</v>
      </c>
      <c r="O88" s="1" t="str">
        <f ca="1">IFERROR(VLOOKUP(DB_TBL_DATA_FIELDS[[#This Row],[FIELD_STATUS_CODE]],DB_TBL_CONFIG_FIELDSTATUSCODES[#All],4,FALSE),"")</f>
        <v xml:space="preserve"> </v>
      </c>
      <c r="P88" s="1" t="b">
        <f>TRUE</f>
        <v>1</v>
      </c>
      <c r="Q88" s="1" t="b">
        <v>0</v>
      </c>
      <c r="S88" s="1">
        <f ca="1">IF(DB_TBL_DATA_FIELDS[[#This Row],[RANGE_VALIDATION_FLAG]]="Text",LEN(DB_TBL_DATA_FIELDS[[#This Row],[FIELD_VALUE_RAW]]),IFERROR(VALUE(DB_TBL_DATA_FIELDS[[#This Row],[FIELD_VALUE_RAW]]),-1))</f>
        <v>-1</v>
      </c>
      <c r="V88" s="1" t="b">
        <f>IF(NOT(DB_TBL_DATA_FIELDS[[#This Row],[RANGE_VALIDATION_ON_FLAG]]),TRUE,
AND(DB_TBL_DATA_FIELDS[[#This Row],[RANGE_VALUE_LEN]]&gt;=DB_TBL_DATA_FIELDS[[#This Row],[RANGE_VALIDATION_MIN]],DB_TBL_DATA_FIELDS[[#This Row],[RANGE_VALUE_LEN]]&lt;=DB_TBL_DATA_FIELDS[[#This Row],[RANGE_VALIDATION_MAX]]))</f>
        <v>1</v>
      </c>
      <c r="W88" s="1">
        <v>1</v>
      </c>
      <c r="X88" s="1">
        <f ca="1">IF(DB_TBL_DATA_FIELDS[[#This Row],[PCT_CALC_SHOW_STATUS_CODE]]=1,
DB_TBL_DATA_FIELDS[[#This Row],[FIELD_STATUS_CODE]],
IF(AND(DB_TBL_DATA_FIELDS[[#This Row],[PCT_CALC_SHOW_STATUS_CODE]]=2,DB_TBL_DATA_FIELDS[[#This Row],[FIELD_STATUS_CODE]]=0),
DB_TBL_DATA_FIELDS[[#This Row],[FIELD_STATUS_CODE]],
"")
)</f>
        <v>-1</v>
      </c>
      <c r="Y88" s="14" t="str">
        <f ca="1">IF(DB_TBL_DATA_FIELDS[[#This Row],[FIELD_STATUS_CODE]]=0,IF(NOT(DB_TBL_DATA_FIELDS[[#This Row],[FIELD_VALID_CUSTOM_LOGIC]]),"Income Calculation Worksheet is incomplete",""),"")</f>
        <v/>
      </c>
    </row>
    <row r="89" spans="1:26" x14ac:dyDescent="0.2">
      <c r="A89" s="1" t="s">
        <v>9022</v>
      </c>
      <c r="B89" s="14" t="str">
        <f>IFERROR(IF(FIND(DATA_EFORM_SHEET_REF,DB_TBL_DATA_FIELDS[[#This Row],[APPLICABLE_EFORM_LIST]])&gt;0,DATA_EFORM_SHEET_REF,""),"")</f>
        <v>_</v>
      </c>
      <c r="C89" s="1" t="s">
        <v>2318</v>
      </c>
      <c r="D89" s="1" t="b">
        <v>1</v>
      </c>
      <c r="E89" s="16" t="b">
        <v>1</v>
      </c>
      <c r="F89" s="2" t="s">
        <v>2328</v>
      </c>
      <c r="G89" s="19" t="str">
        <f ca="1">IFERROR(IF(DATA_PROPTY_STATE_CODE&lt;&gt;"",INDEX(RANGE_LOOKUP_INC_GUIDLN_CODE,MATCH(DATA_PROPTY_STATE_CODE,RANGE_LOOKUP_STATE,0)),""),INC_GUIDLN_CODE_CATCHALL)</f>
        <v/>
      </c>
      <c r="I89" s="2" t="b">
        <f ca="1">(DB_TBL_DATA_FIELDS[[#This Row],[FIELD_VALUE_RAW]]="")</f>
        <v>1</v>
      </c>
      <c r="J89" s="2" t="s">
        <v>9</v>
      </c>
      <c r="K89" s="1" t="b">
        <f ca="1">AND(IF(DB_TBL_DATA_FIELDS[[#This Row],[FIELD_VALID_CUSTOM_LOGIC]]="",TRUE,DB_TBL_DATA_FIELDS[[#This Row],[FIELD_VALID_CUSTOM_LOGIC]]),DB_TBL_DATA_FIELDS[[#This Row],[RANGE_VALIDATION_PASSED_FLAG]])</f>
        <v>1</v>
      </c>
      <c r="L89"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89" s="1">
        <f ca="1">IF(DB_TBL_DATA_FIELDS[[#This Row],[SHEET_REF_CALC]]="","",IF(DB_TBL_DATA_FIELDS[[#This Row],[FIELD_EMPTY_FLAG]],IF(NOT(DB_TBL_DATA_FIELDS[[#This Row],[FIELD_REQ_FLAG]]),-1,1),IF(NOT(DB_TBL_DATA_FIELDS[[#This Row],[FIELD_VALID_FLAG]]),0,2)))</f>
        <v>1</v>
      </c>
      <c r="N89" s="1" t="str">
        <f ca="1">IFERROR(VLOOKUP(DB_TBL_DATA_FIELDS[[#This Row],[FIELD_STATUS_CODE]],DB_TBL_CONFIG_FIELDSTATUSCODES[#All],3,FALSE),"")</f>
        <v>Required</v>
      </c>
      <c r="O89" s="1" t="str">
        <f ca="1">IFERROR(VLOOKUP(DB_TBL_DATA_FIELDS[[#This Row],[FIELD_STATUS_CODE]],DB_TBL_CONFIG_FIELDSTATUSCODES[#All],4,FALSE),"")</f>
        <v>i</v>
      </c>
      <c r="P89" s="1" t="b">
        <f>TRUE</f>
        <v>1</v>
      </c>
      <c r="Q89" s="1" t="b">
        <f>TRUE</f>
        <v>1</v>
      </c>
      <c r="R89" s="1" t="s">
        <v>9</v>
      </c>
      <c r="S89" s="1">
        <f ca="1">IF(DB_TBL_DATA_FIELDS[[#This Row],[RANGE_VALIDATION_FLAG]]="Text",LEN(DB_TBL_DATA_FIELDS[[#This Row],[FIELD_VALUE_RAW]]),IFERROR(VALUE(DB_TBL_DATA_FIELDS[[#This Row],[FIELD_VALUE_RAW]]),-1))</f>
        <v>0</v>
      </c>
      <c r="T89" s="1">
        <v>0</v>
      </c>
      <c r="U89" s="1">
        <v>4</v>
      </c>
      <c r="V89" s="1" t="b">
        <f ca="1">IF(NOT(DB_TBL_DATA_FIELDS[[#This Row],[RANGE_VALIDATION_ON_FLAG]]),TRUE,
AND(DB_TBL_DATA_FIELDS[[#This Row],[RANGE_VALUE_LEN]]&gt;=DB_TBL_DATA_FIELDS[[#This Row],[RANGE_VALIDATION_MIN]],DB_TBL_DATA_FIELDS[[#This Row],[RANGE_VALUE_LEN]]&lt;=DB_TBL_DATA_FIELDS[[#This Row],[RANGE_VALIDATION_MAX]]))</f>
        <v>1</v>
      </c>
      <c r="W89" s="1">
        <v>0</v>
      </c>
      <c r="X89" s="1" t="str">
        <f ca="1">IF(DB_TBL_DATA_FIELDS[[#This Row],[PCT_CALC_SHOW_STATUS_CODE]]=1,
DB_TBL_DATA_FIELDS[[#This Row],[FIELD_STATUS_CODE]],
IF(AND(DB_TBL_DATA_FIELDS[[#This Row],[PCT_CALC_SHOW_STATUS_CODE]]=2,DB_TBL_DATA_FIELDS[[#This Row],[FIELD_STATUS_CODE]]=0),
DB_TBL_DATA_FIELDS[[#This Row],[FIELD_STATUS_CODE]],
"")
)</f>
        <v/>
      </c>
    </row>
    <row r="90" spans="1:26" x14ac:dyDescent="0.2">
      <c r="A90" s="1" t="s">
        <v>9041</v>
      </c>
      <c r="B90" s="14" t="str">
        <f>IFERROR(IF(FIND(DATA_EFORM_SHEET_REF,DB_TBL_DATA_FIELDS[[#This Row],[APPLICABLE_EFORM_LIST]])&gt;0,DATA_EFORM_SHEET_REF,""),"")</f>
        <v>_</v>
      </c>
      <c r="C90" s="1" t="s">
        <v>2319</v>
      </c>
      <c r="D90" s="1" t="b">
        <v>1</v>
      </c>
      <c r="E90" s="81" t="b">
        <f ca="1">IF(DATA_EFORM_TYPE_CODE="RES",TRUE,DATA_ADL_ICW_FLAG=TRUE)</f>
        <v>0</v>
      </c>
      <c r="F90" s="2" t="s">
        <v>2327</v>
      </c>
      <c r="G90" s="2" t="str">
        <f ca="1">IFERROR(VLOOKUP(DB_TBL_DATA_FIELDS[[#This Row],[FIELD_ID]],INDIRECT(DB_TBL_DATA_FIELDS[[#This Row],[SHEET_REF_CALC]]&amp;"!A:B"),2,FALSE),"")</f>
        <v/>
      </c>
      <c r="H90" s="19" t="str">
        <f ca="1">IF(NOT(DB_TBL_DATA_FIELDS[[#This Row],[FIELD_EMPTY_FLAG]]),DB_TBL_DATA_FIELDS[[#This Row],[FIELD_REQ_FLAG]],"")</f>
        <v/>
      </c>
      <c r="I90" s="2" t="b">
        <f ca="1">(DB_TBL_DATA_FIELDS[[#This Row],[FIELD_VALUE_RAW]]="")</f>
        <v>1</v>
      </c>
      <c r="J90" s="2" t="s">
        <v>38</v>
      </c>
      <c r="K90" s="1" t="b">
        <f ca="1">AND(IF(DB_TBL_DATA_FIELDS[[#This Row],[FIELD_VALID_CUSTOM_LOGIC]]="",TRUE,DB_TBL_DATA_FIELDS[[#This Row],[FIELD_VALID_CUSTOM_LOGIC]]),DB_TBL_DATA_FIELDS[[#This Row],[RANGE_VALIDATION_PASSED_FLAG]])</f>
        <v>0</v>
      </c>
      <c r="L90"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90" s="1">
        <f ca="1">IF(DB_TBL_DATA_FIELDS[[#This Row],[SHEET_REF_CALC]]="","",IF(DB_TBL_DATA_FIELDS[[#This Row],[FIELD_EMPTY_FLAG]],IF(NOT(DB_TBL_DATA_FIELDS[[#This Row],[FIELD_REQ_FLAG]]),-1,1),IF(NOT(DB_TBL_DATA_FIELDS[[#This Row],[FIELD_VALID_FLAG]]),0,2)))</f>
        <v>-1</v>
      </c>
      <c r="N90" s="1" t="str">
        <f ca="1">IFERROR(VLOOKUP(DB_TBL_DATA_FIELDS[[#This Row],[FIELD_STATUS_CODE]],DB_TBL_CONFIG_FIELDSTATUSCODES[#All],3,FALSE),"")</f>
        <v>Optional</v>
      </c>
      <c r="O90" s="1" t="str">
        <f ca="1">IFERROR(VLOOKUP(DB_TBL_DATA_FIELDS[[#This Row],[FIELD_STATUS_CODE]],DB_TBL_CONFIG_FIELDSTATUSCODES[#All],4,FALSE),"")</f>
        <v xml:space="preserve"> </v>
      </c>
      <c r="P90" s="1" t="b">
        <f>TRUE</f>
        <v>1</v>
      </c>
      <c r="Q90" s="1" t="b">
        <f>TRUE</f>
        <v>1</v>
      </c>
      <c r="R90" s="1" t="s">
        <v>38</v>
      </c>
      <c r="S90" s="1">
        <f ca="1">IF(DB_TBL_DATA_FIELDS[[#This Row],[RANGE_VALIDATION_FLAG]]="Text",LEN(DB_TBL_DATA_FIELDS[[#This Row],[FIELD_VALUE_RAW]]),IFERROR(VALUE(DB_TBL_DATA_FIELDS[[#This Row],[FIELD_VALUE_RAW]]),-1))</f>
        <v>-1</v>
      </c>
      <c r="T90" s="1">
        <v>1</v>
      </c>
      <c r="U90" s="1">
        <v>20</v>
      </c>
      <c r="V90" s="1" t="b">
        <f ca="1">IF(NOT(DB_TBL_DATA_FIELDS[[#This Row],[RANGE_VALIDATION_ON_FLAG]]),TRUE,
AND(DB_TBL_DATA_FIELDS[[#This Row],[RANGE_VALUE_LEN]]&gt;=DB_TBL_DATA_FIELDS[[#This Row],[RANGE_VALIDATION_MIN]],DB_TBL_DATA_FIELDS[[#This Row],[RANGE_VALUE_LEN]]&lt;=DB_TBL_DATA_FIELDS[[#This Row],[RANGE_VALIDATION_MAX]]))</f>
        <v>0</v>
      </c>
      <c r="W90" s="1">
        <v>1</v>
      </c>
      <c r="X90" s="1">
        <f ca="1">IF(DB_TBL_DATA_FIELDS[[#This Row],[PCT_CALC_SHOW_STATUS_CODE]]=1,
DB_TBL_DATA_FIELDS[[#This Row],[FIELD_STATUS_CODE]],
IF(AND(DB_TBL_DATA_FIELDS[[#This Row],[PCT_CALC_SHOW_STATUS_CODE]]=2,DB_TBL_DATA_FIELDS[[#This Row],[FIELD_STATUS_CODE]]=0),
DB_TBL_DATA_FIELDS[[#This Row],[FIELD_STATUS_CODE]],
"")
)</f>
        <v>-1</v>
      </c>
    </row>
    <row r="91" spans="1:26" x14ac:dyDescent="0.2">
      <c r="A91" s="1" t="s">
        <v>9022</v>
      </c>
      <c r="B91" s="14" t="str">
        <f>IFERROR(IF(FIND(DATA_EFORM_SHEET_REF,DB_TBL_DATA_FIELDS[[#This Row],[APPLICABLE_EFORM_LIST]])&gt;0,DATA_EFORM_SHEET_REF,""),"")</f>
        <v>_</v>
      </c>
      <c r="C91" s="1" t="s">
        <v>8766</v>
      </c>
      <c r="D91" s="1" t="b">
        <v>0</v>
      </c>
      <c r="E91" s="141" t="b">
        <v>0</v>
      </c>
      <c r="F91" s="2" t="s">
        <v>8765</v>
      </c>
      <c r="G91" s="143" t="str">
        <f ca="1">IF(AND(DATA_PROPTY_CNTY_NAME&lt;&gt;"",DATA_PROPTY_CNTY_NAME_VALID,DATA_PROPTY_STATE_CODE&lt;&gt;""),
UPPER(DATA_PROPTY_STATE_CODE&amp;"_"&amp;DATA_PROPTY_CNTY_NAME),"")</f>
        <v/>
      </c>
      <c r="H91" s="142"/>
      <c r="I91" s="2" t="b">
        <f ca="1">(DB_TBL_DATA_FIELDS[[#This Row],[FIELD_VALUE_RAW]]="")</f>
        <v>1</v>
      </c>
      <c r="J91" s="2" t="s">
        <v>9</v>
      </c>
      <c r="K91" s="1" t="b">
        <f>AND(IF(DB_TBL_DATA_FIELDS[[#This Row],[FIELD_VALID_CUSTOM_LOGIC]]="",TRUE,DB_TBL_DATA_FIELDS[[#This Row],[FIELD_VALID_CUSTOM_LOGIC]]),DB_TBL_DATA_FIELDS[[#This Row],[RANGE_VALIDATION_PASSED_FLAG]])</f>
        <v>1</v>
      </c>
      <c r="L91"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91" s="1">
        <f ca="1">IF(DB_TBL_DATA_FIELDS[[#This Row],[SHEET_REF_CALC]]="","",IF(DB_TBL_DATA_FIELDS[[#This Row],[FIELD_EMPTY_FLAG]],IF(NOT(DB_TBL_DATA_FIELDS[[#This Row],[FIELD_REQ_FLAG]]),-1,1),IF(NOT(DB_TBL_DATA_FIELDS[[#This Row],[FIELD_VALID_FLAG]]),0,2)))</f>
        <v>-1</v>
      </c>
      <c r="N91" s="1" t="str">
        <f ca="1">IFERROR(VLOOKUP(DB_TBL_DATA_FIELDS[[#This Row],[FIELD_STATUS_CODE]],DB_TBL_CONFIG_FIELDSTATUSCODES[#All],3,FALSE),"")</f>
        <v>Optional</v>
      </c>
      <c r="O91" s="1" t="str">
        <f ca="1">IFERROR(VLOOKUP(DB_TBL_DATA_FIELDS[[#This Row],[FIELD_STATUS_CODE]],DB_TBL_CONFIG_FIELDSTATUSCODES[#All],4,FALSE),"")</f>
        <v xml:space="preserve"> </v>
      </c>
      <c r="P91" s="1" t="b">
        <f>TRUE</f>
        <v>1</v>
      </c>
      <c r="Q91" s="1" t="b">
        <v>0</v>
      </c>
      <c r="R91" s="1" t="s">
        <v>9</v>
      </c>
      <c r="S91" s="1">
        <f ca="1">IF(DB_TBL_DATA_FIELDS[[#This Row],[RANGE_VALIDATION_FLAG]]="Text",LEN(DB_TBL_DATA_FIELDS[[#This Row],[FIELD_VALUE_RAW]]),IFERROR(VALUE(DB_TBL_DATA_FIELDS[[#This Row],[FIELD_VALUE_RAW]]),-1))</f>
        <v>0</v>
      </c>
      <c r="V91" s="1" t="b">
        <f>IF(NOT(DB_TBL_DATA_FIELDS[[#This Row],[RANGE_VALIDATION_ON_FLAG]]),TRUE,
AND(DB_TBL_DATA_FIELDS[[#This Row],[RANGE_VALUE_LEN]]&gt;=DB_TBL_DATA_FIELDS[[#This Row],[RANGE_VALIDATION_MIN]],DB_TBL_DATA_FIELDS[[#This Row],[RANGE_VALUE_LEN]]&lt;=DB_TBL_DATA_FIELDS[[#This Row],[RANGE_VALIDATION_MAX]]))</f>
        <v>1</v>
      </c>
      <c r="W91" s="1">
        <v>0</v>
      </c>
      <c r="X91" s="1" t="str">
        <f ca="1">IF(DB_TBL_DATA_FIELDS[[#This Row],[PCT_CALC_SHOW_STATUS_CODE]]=1,
DB_TBL_DATA_FIELDS[[#This Row],[FIELD_STATUS_CODE]],
IF(AND(DB_TBL_DATA_FIELDS[[#This Row],[PCT_CALC_SHOW_STATUS_CODE]]=2,DB_TBL_DATA_FIELDS[[#This Row],[FIELD_STATUS_CODE]]=0),
DB_TBL_DATA_FIELDS[[#This Row],[FIELD_STATUS_CODE]],
"")
)</f>
        <v/>
      </c>
      <c r="Y91" s="1" t="str">
        <f ca="1">IF(DB_TBL_DATA_FIELDS[[#This Row],[FIELD_STATUS_CODE]]=0,IF(NOT(DB_TBL_DATA_FIELDS[[#This Row],[FIELD_VALID_CUSTOM_LOGIC]]),
IF(IFERROR(SEARCH(".",RIGHT(DB_TBL_DATA_FIELDS[[#This Row],[FIELD_VALUE_RAW]],2)),0)&gt;0,"Invalid Domain Extension",
 IF(IFERROR(SEARCH("@",DB_TBL_DATA_FIELDS[[#This Row],[FIELD_VALUE_RAW]]),0)=0,"Missing '@' In Address",
  IF(IFERROR(SEARCH(".",DB_TBL_DATA_FIELDS[[#This Row],[FIELD_VALUE_RAW]],(SEARCH("@",DB_TBL_DATA_FIELDS[[#This Row],[FIELD_VALUE_RAW]],1))+2),0)=0,"Invalid Domain Name","Invalid Email Address")))),"")</f>
        <v/>
      </c>
    </row>
    <row r="92" spans="1:26" x14ac:dyDescent="0.2">
      <c r="A92" s="1" t="s">
        <v>9022</v>
      </c>
      <c r="B92" s="14" t="str">
        <f>IFERROR(IF(FIND(DATA_EFORM_SHEET_REF,DB_TBL_DATA_FIELDS[[#This Row],[APPLICABLE_EFORM_LIST]])&gt;0,DATA_EFORM_SHEET_REF,""),"")</f>
        <v>_</v>
      </c>
      <c r="C92" s="1" t="s">
        <v>8767</v>
      </c>
      <c r="D92" s="1" t="b">
        <v>0</v>
      </c>
      <c r="E92" s="16" t="b">
        <v>0</v>
      </c>
      <c r="F92" s="2" t="s">
        <v>8768</v>
      </c>
      <c r="G92" s="19" t="str">
        <f ca="1">IF(DATA_INC_GUIDLN_CODE="","",IF(DATA_INC_GUIDLN_CODE="HUD","INCOME_AREA_NAME_HEADER_HUD","INCOME_AREA_NAME_HEADER_MRB"))</f>
        <v/>
      </c>
      <c r="I92" s="2" t="b">
        <f ca="1">(DB_TBL_DATA_FIELDS[[#This Row],[FIELD_VALUE_RAW]]="")</f>
        <v>1</v>
      </c>
      <c r="J92" s="2" t="s">
        <v>9</v>
      </c>
      <c r="K92" s="1" t="b">
        <f>AND(IF(DB_TBL_DATA_FIELDS[[#This Row],[FIELD_VALID_CUSTOM_LOGIC]]="",TRUE,DB_TBL_DATA_FIELDS[[#This Row],[FIELD_VALID_CUSTOM_LOGIC]]),DB_TBL_DATA_FIELDS[[#This Row],[RANGE_VALIDATION_PASSED_FLAG]])</f>
        <v>1</v>
      </c>
      <c r="L92"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92" s="1">
        <f ca="1">IF(DB_TBL_DATA_FIELDS[[#This Row],[SHEET_REF_CALC]]="","",IF(DB_TBL_DATA_FIELDS[[#This Row],[FIELD_EMPTY_FLAG]],IF(NOT(DB_TBL_DATA_FIELDS[[#This Row],[FIELD_REQ_FLAG]]),-1,1),IF(NOT(DB_TBL_DATA_FIELDS[[#This Row],[FIELD_VALID_FLAG]]),0,2)))</f>
        <v>-1</v>
      </c>
      <c r="N92" s="1" t="str">
        <f ca="1">IFERROR(VLOOKUP(DB_TBL_DATA_FIELDS[[#This Row],[FIELD_STATUS_CODE]],DB_TBL_CONFIG_FIELDSTATUSCODES[#All],3,FALSE),"")</f>
        <v>Optional</v>
      </c>
      <c r="O92" s="1" t="str">
        <f ca="1">IFERROR(VLOOKUP(DB_TBL_DATA_FIELDS[[#This Row],[FIELD_STATUS_CODE]],DB_TBL_CONFIG_FIELDSTATUSCODES[#All],4,FALSE),"")</f>
        <v xml:space="preserve"> </v>
      </c>
      <c r="P92" s="1" t="b">
        <f>TRUE</f>
        <v>1</v>
      </c>
      <c r="Q92" s="1" t="b">
        <v>0</v>
      </c>
      <c r="R92" s="1" t="s">
        <v>9</v>
      </c>
      <c r="S92" s="1">
        <f ca="1">IF(DB_TBL_DATA_FIELDS[[#This Row],[RANGE_VALIDATION_FLAG]]="Text",LEN(DB_TBL_DATA_FIELDS[[#This Row],[FIELD_VALUE_RAW]]),IFERROR(VALUE(DB_TBL_DATA_FIELDS[[#This Row],[FIELD_VALUE_RAW]]),-1))</f>
        <v>0</v>
      </c>
      <c r="V92" s="1" t="b">
        <f>IF(NOT(DB_TBL_DATA_FIELDS[[#This Row],[RANGE_VALIDATION_ON_FLAG]]),TRUE,
AND(DB_TBL_DATA_FIELDS[[#This Row],[RANGE_VALUE_LEN]]&gt;=DB_TBL_DATA_FIELDS[[#This Row],[RANGE_VALIDATION_MIN]],DB_TBL_DATA_FIELDS[[#This Row],[RANGE_VALUE_LEN]]&lt;=DB_TBL_DATA_FIELDS[[#This Row],[RANGE_VALIDATION_MAX]]))</f>
        <v>1</v>
      </c>
      <c r="W92" s="1">
        <v>0</v>
      </c>
      <c r="X92" s="1" t="str">
        <f ca="1">IF(DB_TBL_DATA_FIELDS[[#This Row],[PCT_CALC_SHOW_STATUS_CODE]]=1,
DB_TBL_DATA_FIELDS[[#This Row],[FIELD_STATUS_CODE]],
IF(AND(DB_TBL_DATA_FIELDS[[#This Row],[PCT_CALC_SHOW_STATUS_CODE]]=2,DB_TBL_DATA_FIELDS[[#This Row],[FIELD_STATUS_CODE]]=0),
DB_TBL_DATA_FIELDS[[#This Row],[FIELD_STATUS_CODE]],
"")
)</f>
        <v/>
      </c>
      <c r="Y92" s="1" t="str">
        <f ca="1">IF(DB_TBL_DATA_FIELDS[[#This Row],[FIELD_STATUS_CODE]]=0,IF(NOT(DB_TBL_DATA_FIELDS[[#This Row],[FIELD_VALID_CUSTOM_LOGIC]]),
IF(IFERROR(SEARCH(".",RIGHT(DB_TBL_DATA_FIELDS[[#This Row],[FIELD_VALUE_RAW]],2)),0)&gt;0,"Invalid Domain Extension",
 IF(IFERROR(SEARCH("@",DB_TBL_DATA_FIELDS[[#This Row],[FIELD_VALUE_RAW]]),0)=0,"Missing '@' In Address",
  IF(IFERROR(SEARCH(".",DB_TBL_DATA_FIELDS[[#This Row],[FIELD_VALUE_RAW]],(SEARCH("@",DB_TBL_DATA_FIELDS[[#This Row],[FIELD_VALUE_RAW]],1))+2),0)=0,"Invalid Domain Name","Invalid Email Address")))),"")</f>
        <v/>
      </c>
    </row>
    <row r="93" spans="1:26" x14ac:dyDescent="0.2">
      <c r="A93" s="1" t="s">
        <v>9022</v>
      </c>
      <c r="B93" s="14" t="str">
        <f>IFERROR(IF(FIND(DATA_EFORM_SHEET_REF,DB_TBL_DATA_FIELDS[[#This Row],[APPLICABLE_EFORM_LIST]])&gt;0,DATA_EFORM_SHEET_REF,""),"")</f>
        <v>_</v>
      </c>
      <c r="C93" s="1" t="s">
        <v>8769</v>
      </c>
      <c r="D93" s="1" t="b">
        <v>0</v>
      </c>
      <c r="E93" s="16" t="b">
        <v>0</v>
      </c>
      <c r="F93" s="2" t="s">
        <v>8770</v>
      </c>
      <c r="G93" s="19" t="str">
        <f ca="1">IF(AND(DATA_INC_LOOKUP_STATE_CNTY_KEY&lt;&gt;"",DATA_INC_LOOKUP_AREA_HEADER_PTR&lt;&gt;""),
MATCH(DATA_INC_LOOKUP_STATE_CNTY_KEY,
IF(DATA_INC_GUIDLN_CODE="HUD",TBL_LOOKUP_INCOMEAREAMAP_HUD[STATE_CNTY_KEY],TBL_LOOKUP_INCOMEAREAMAP_MRB[STATE_CNTY_KEY]),0),"")</f>
        <v/>
      </c>
      <c r="I93" s="2" t="b">
        <f ca="1">(DB_TBL_DATA_FIELDS[[#This Row],[FIELD_VALUE_RAW]]="")</f>
        <v>1</v>
      </c>
      <c r="J93" s="2" t="s">
        <v>38</v>
      </c>
      <c r="K93" s="1" t="b">
        <f>AND(IF(DB_TBL_DATA_FIELDS[[#This Row],[FIELD_VALID_CUSTOM_LOGIC]]="",TRUE,DB_TBL_DATA_FIELDS[[#This Row],[FIELD_VALID_CUSTOM_LOGIC]]),DB_TBL_DATA_FIELDS[[#This Row],[RANGE_VALIDATION_PASSED_FLAG]])</f>
        <v>1</v>
      </c>
      <c r="L93"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93" s="1">
        <f ca="1">IF(DB_TBL_DATA_FIELDS[[#This Row],[SHEET_REF_CALC]]="","",IF(DB_TBL_DATA_FIELDS[[#This Row],[FIELD_EMPTY_FLAG]],IF(NOT(DB_TBL_DATA_FIELDS[[#This Row],[FIELD_REQ_FLAG]]),-1,1),IF(NOT(DB_TBL_DATA_FIELDS[[#This Row],[FIELD_VALID_FLAG]]),0,2)))</f>
        <v>-1</v>
      </c>
      <c r="N93" s="1" t="str">
        <f ca="1">IFERROR(VLOOKUP(DB_TBL_DATA_FIELDS[[#This Row],[FIELD_STATUS_CODE]],DB_TBL_CONFIG_FIELDSTATUSCODES[#All],3,FALSE),"")</f>
        <v>Optional</v>
      </c>
      <c r="O93" s="1" t="str">
        <f ca="1">IFERROR(VLOOKUP(DB_TBL_DATA_FIELDS[[#This Row],[FIELD_STATUS_CODE]],DB_TBL_CONFIG_FIELDSTATUSCODES[#All],4,FALSE),"")</f>
        <v xml:space="preserve"> </v>
      </c>
      <c r="P93" s="1" t="b">
        <f>TRUE</f>
        <v>1</v>
      </c>
      <c r="Q93" s="1" t="b">
        <v>0</v>
      </c>
      <c r="R93" s="1" t="s">
        <v>38</v>
      </c>
      <c r="S93" s="1">
        <f ca="1">IF(DB_TBL_DATA_FIELDS[[#This Row],[RANGE_VALIDATION_FLAG]]="Text",LEN(DB_TBL_DATA_FIELDS[[#This Row],[FIELD_VALUE_RAW]]),IFERROR(VALUE(DB_TBL_DATA_FIELDS[[#This Row],[FIELD_VALUE_RAW]]),-1))</f>
        <v>-1</v>
      </c>
      <c r="V93" s="1" t="b">
        <f>IF(NOT(DB_TBL_DATA_FIELDS[[#This Row],[RANGE_VALIDATION_ON_FLAG]]),TRUE,
AND(DB_TBL_DATA_FIELDS[[#This Row],[RANGE_VALUE_LEN]]&gt;=DB_TBL_DATA_FIELDS[[#This Row],[RANGE_VALIDATION_MIN]],DB_TBL_DATA_FIELDS[[#This Row],[RANGE_VALUE_LEN]]&lt;=DB_TBL_DATA_FIELDS[[#This Row],[RANGE_VALIDATION_MAX]]))</f>
        <v>1</v>
      </c>
      <c r="W93" s="1">
        <v>0</v>
      </c>
      <c r="X93" s="1" t="str">
        <f ca="1">IF(DB_TBL_DATA_FIELDS[[#This Row],[PCT_CALC_SHOW_STATUS_CODE]]=1,
DB_TBL_DATA_FIELDS[[#This Row],[FIELD_STATUS_CODE]],
IF(AND(DB_TBL_DATA_FIELDS[[#This Row],[PCT_CALC_SHOW_STATUS_CODE]]=2,DB_TBL_DATA_FIELDS[[#This Row],[FIELD_STATUS_CODE]]=0),
DB_TBL_DATA_FIELDS[[#This Row],[FIELD_STATUS_CODE]],
"")
)</f>
        <v/>
      </c>
      <c r="Y93" s="1" t="str">
        <f ca="1">IF(DB_TBL_DATA_FIELDS[[#This Row],[FIELD_STATUS_CODE]]=0,IF(NOT(DB_TBL_DATA_FIELDS[[#This Row],[FIELD_VALID_CUSTOM_LOGIC]]),
IF(IFERROR(SEARCH(".",RIGHT(DB_TBL_DATA_FIELDS[[#This Row],[FIELD_VALUE_RAW]],2)),0)&gt;0,"Invalid Domain Extension",
 IF(IFERROR(SEARCH("@",DB_TBL_DATA_FIELDS[[#This Row],[FIELD_VALUE_RAW]]),0)=0,"Missing '@' In Address",
  IF(IFERROR(SEARCH(".",DB_TBL_DATA_FIELDS[[#This Row],[FIELD_VALUE_RAW]],(SEARCH("@",DB_TBL_DATA_FIELDS[[#This Row],[FIELD_VALUE_RAW]],1))+2),0)=0,"Invalid Domain Name","Invalid Email Address")))),"")</f>
        <v/>
      </c>
    </row>
    <row r="94" spans="1:26" x14ac:dyDescent="0.2">
      <c r="A94" s="1" t="s">
        <v>9022</v>
      </c>
      <c r="B94" s="14" t="str">
        <f>IFERROR(IF(FIND(DATA_EFORM_SHEET_REF,DB_TBL_DATA_FIELDS[[#This Row],[APPLICABLE_EFORM_LIST]])&gt;0,DATA_EFORM_SHEET_REF,""),"")</f>
        <v>_</v>
      </c>
      <c r="C94" s="1" t="s">
        <v>8775</v>
      </c>
      <c r="D94" s="1" t="b">
        <v>0</v>
      </c>
      <c r="E94" s="16" t="b">
        <v>0</v>
      </c>
      <c r="F94" s="2" t="s">
        <v>8771</v>
      </c>
      <c r="G94" s="19" t="str">
        <f ca="1">IF(AND(DATA_INC_LOOKUP_STATE_CNTY_KEY&lt;&gt;"",DATA_INC_LOOKUP_AREA_HEADER_PTR&lt;&gt;""),
COUNTIF(
IF(DATA_INC_GUIDLN_CODE="HUD",TBL_LOOKUP_INCOMEAREAMAP_HUD[STATE_CNTY_KEY],TBL_LOOKUP_INCOMEAREAMAP_MRB[STATE_CNTY_KEY]),
DATA_INC_LOOKUP_STATE_CNTY_KEY),"")</f>
        <v/>
      </c>
      <c r="I94" s="2" t="b">
        <f ca="1">(DB_TBL_DATA_FIELDS[[#This Row],[FIELD_VALUE_RAW]]="")</f>
        <v>1</v>
      </c>
      <c r="J94" s="2" t="s">
        <v>38</v>
      </c>
      <c r="K94" s="1" t="b">
        <f>AND(IF(DB_TBL_DATA_FIELDS[[#This Row],[FIELD_VALID_CUSTOM_LOGIC]]="",TRUE,DB_TBL_DATA_FIELDS[[#This Row],[FIELD_VALID_CUSTOM_LOGIC]]),DB_TBL_DATA_FIELDS[[#This Row],[RANGE_VALIDATION_PASSED_FLAG]])</f>
        <v>1</v>
      </c>
      <c r="L94"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94" s="1">
        <f ca="1">IF(DB_TBL_DATA_FIELDS[[#This Row],[SHEET_REF_CALC]]="","",IF(DB_TBL_DATA_FIELDS[[#This Row],[FIELD_EMPTY_FLAG]],IF(NOT(DB_TBL_DATA_FIELDS[[#This Row],[FIELD_REQ_FLAG]]),-1,1),IF(NOT(DB_TBL_DATA_FIELDS[[#This Row],[FIELD_VALID_FLAG]]),0,2)))</f>
        <v>-1</v>
      </c>
      <c r="N94" s="1" t="str">
        <f ca="1">IFERROR(VLOOKUP(DB_TBL_DATA_FIELDS[[#This Row],[FIELD_STATUS_CODE]],DB_TBL_CONFIG_FIELDSTATUSCODES[#All],3,FALSE),"")</f>
        <v>Optional</v>
      </c>
      <c r="O94" s="1" t="str">
        <f ca="1">IFERROR(VLOOKUP(DB_TBL_DATA_FIELDS[[#This Row],[FIELD_STATUS_CODE]],DB_TBL_CONFIG_FIELDSTATUSCODES[#All],4,FALSE),"")</f>
        <v xml:space="preserve"> </v>
      </c>
      <c r="P94" s="1" t="b">
        <f>TRUE</f>
        <v>1</v>
      </c>
      <c r="Q94" s="1" t="b">
        <v>0</v>
      </c>
      <c r="R94" s="1" t="s">
        <v>38</v>
      </c>
      <c r="S94" s="1">
        <f ca="1">IF(DB_TBL_DATA_FIELDS[[#This Row],[RANGE_VALIDATION_FLAG]]="Text",LEN(DB_TBL_DATA_FIELDS[[#This Row],[FIELD_VALUE_RAW]]),IFERROR(VALUE(DB_TBL_DATA_FIELDS[[#This Row],[FIELD_VALUE_RAW]]),-1))</f>
        <v>-1</v>
      </c>
      <c r="V94" s="1" t="b">
        <f>IF(NOT(DB_TBL_DATA_FIELDS[[#This Row],[RANGE_VALIDATION_ON_FLAG]]),TRUE,
AND(DB_TBL_DATA_FIELDS[[#This Row],[RANGE_VALUE_LEN]]&gt;=DB_TBL_DATA_FIELDS[[#This Row],[RANGE_VALIDATION_MIN]],DB_TBL_DATA_FIELDS[[#This Row],[RANGE_VALUE_LEN]]&lt;=DB_TBL_DATA_FIELDS[[#This Row],[RANGE_VALIDATION_MAX]]))</f>
        <v>1</v>
      </c>
      <c r="W94" s="1">
        <v>0</v>
      </c>
      <c r="X94" s="1" t="str">
        <f ca="1">IF(DB_TBL_DATA_FIELDS[[#This Row],[PCT_CALC_SHOW_STATUS_CODE]]=1,
DB_TBL_DATA_FIELDS[[#This Row],[FIELD_STATUS_CODE]],
IF(AND(DB_TBL_DATA_FIELDS[[#This Row],[PCT_CALC_SHOW_STATUS_CODE]]=2,DB_TBL_DATA_FIELDS[[#This Row],[FIELD_STATUS_CODE]]=0),
DB_TBL_DATA_FIELDS[[#This Row],[FIELD_STATUS_CODE]],
"")
)</f>
        <v/>
      </c>
      <c r="Y94" s="1" t="str">
        <f ca="1">IF(DB_TBL_DATA_FIELDS[[#This Row],[FIELD_STATUS_CODE]]=0,IF(NOT(DB_TBL_DATA_FIELDS[[#This Row],[FIELD_VALID_CUSTOM_LOGIC]]),
IF(IFERROR(SEARCH(".",RIGHT(DB_TBL_DATA_FIELDS[[#This Row],[FIELD_VALUE_RAW]],2)),0)&gt;0,"Invalid Domain Extension",
 IF(IFERROR(SEARCH("@",DB_TBL_DATA_FIELDS[[#This Row],[FIELD_VALUE_RAW]]),0)=0,"Missing '@' In Address",
  IF(IFERROR(SEARCH(".",DB_TBL_DATA_FIELDS[[#This Row],[FIELD_VALUE_RAW]],(SEARCH("@",DB_TBL_DATA_FIELDS[[#This Row],[FIELD_VALUE_RAW]],1))+2),0)=0,"Invalid Domain Name","Invalid Email Address")))),"")</f>
        <v/>
      </c>
    </row>
    <row r="95" spans="1:26" x14ac:dyDescent="0.2">
      <c r="A95" s="1" t="s">
        <v>9022</v>
      </c>
      <c r="B95" s="14" t="str">
        <f>IFERROR(IF(FIND(DATA_EFORM_SHEET_REF,DB_TBL_DATA_FIELDS[[#This Row],[APPLICABLE_EFORM_LIST]])&gt;0,DATA_EFORM_SHEET_REF,""),"")</f>
        <v>_</v>
      </c>
      <c r="C95" s="1" t="s">
        <v>2485</v>
      </c>
      <c r="D95" s="1" t="b">
        <v>0</v>
      </c>
      <c r="E95" s="16" t="b">
        <v>1</v>
      </c>
      <c r="F95" s="2" t="s">
        <v>8774</v>
      </c>
      <c r="G95" s="2" t="str">
        <f ca="1">IFERROR(VLOOKUP(DB_TBL_DATA_FIELDS[[#This Row],[FIELD_ID]],INDIRECT(DB_TBL_DATA_FIELDS[[#This Row],[SHEET_REF_CALC]]&amp;"!A:B"),2,FALSE),"")</f>
        <v/>
      </c>
      <c r="H95" s="19" t="str">
        <f ca="1">IF(DB_TBL_DATA_FIELDS[[#This Row],[FIELD_EMPTY_FLAG]],"",
IFERROR(IF(VLOOKUP(DATA_INC_AREA_NAME,OFFSET(INDIRECT(DATA_INC_LOOKUP_AREA_HEADER_PTR),DATA_INC_LOOKUP_OFFSET_ROW,0,DATA_INC_LOOKUP_AREA_ARR_LEN),1,FALSE)&lt;&gt;"",TRUE,FALSE),FALSE)
)</f>
        <v/>
      </c>
      <c r="I95" s="2" t="b">
        <f ca="1">(DB_TBL_DATA_FIELDS[[#This Row],[FIELD_VALUE_RAW]]="")</f>
        <v>1</v>
      </c>
      <c r="J95" s="2" t="s">
        <v>9</v>
      </c>
      <c r="K95" s="1" t="b">
        <f ca="1">AND(IF(DB_TBL_DATA_FIELDS[[#This Row],[FIELD_VALID_CUSTOM_LOGIC]]="",TRUE,DB_TBL_DATA_FIELDS[[#This Row],[FIELD_VALID_CUSTOM_LOGIC]]),DB_TBL_DATA_FIELDS[[#This Row],[RANGE_VALIDATION_PASSED_FLAG]])</f>
        <v>1</v>
      </c>
      <c r="L95"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95" s="1">
        <f ca="1">IF(DB_TBL_DATA_FIELDS[[#This Row],[SHEET_REF_CALC]]="","",IF(DB_TBL_DATA_FIELDS[[#This Row],[FIELD_EMPTY_FLAG]],IF(NOT(DB_TBL_DATA_FIELDS[[#This Row],[FIELD_REQ_FLAG]]),-1,1),IF(NOT(DB_TBL_DATA_FIELDS[[#This Row],[FIELD_VALID_FLAG]]),0,2)))</f>
        <v>1</v>
      </c>
      <c r="N95" s="1" t="str">
        <f ca="1">IFERROR(VLOOKUP(DB_TBL_DATA_FIELDS[[#This Row],[FIELD_STATUS_CODE]],DB_TBL_CONFIG_FIELDSTATUSCODES[#All],3,FALSE),"")</f>
        <v>Required</v>
      </c>
      <c r="O95" s="1" t="str">
        <f ca="1">IFERROR(VLOOKUP(DB_TBL_DATA_FIELDS[[#This Row],[FIELD_STATUS_CODE]],DB_TBL_CONFIG_FIELDSTATUSCODES[#All],4,FALSE),"")</f>
        <v>i</v>
      </c>
      <c r="P95" s="1" t="b">
        <f>TRUE</f>
        <v>1</v>
      </c>
      <c r="Q95" s="1" t="b">
        <v>0</v>
      </c>
      <c r="R95" s="1" t="s">
        <v>9</v>
      </c>
      <c r="S95" s="1">
        <f ca="1">IF(DB_TBL_DATA_FIELDS[[#This Row],[RANGE_VALIDATION_FLAG]]="Text",LEN(DB_TBL_DATA_FIELDS[[#This Row],[FIELD_VALUE_RAW]]),IFERROR(VALUE(DB_TBL_DATA_FIELDS[[#This Row],[FIELD_VALUE_RAW]]),-1))</f>
        <v>0</v>
      </c>
      <c r="V95" s="1" t="b">
        <f>IF(NOT(DB_TBL_DATA_FIELDS[[#This Row],[RANGE_VALIDATION_ON_FLAG]]),TRUE,
AND(DB_TBL_DATA_FIELDS[[#This Row],[RANGE_VALUE_LEN]]&gt;=DB_TBL_DATA_FIELDS[[#This Row],[RANGE_VALIDATION_MIN]],DB_TBL_DATA_FIELDS[[#This Row],[RANGE_VALUE_LEN]]&lt;=DB_TBL_DATA_FIELDS[[#This Row],[RANGE_VALIDATION_MAX]]))</f>
        <v>1</v>
      </c>
      <c r="W95" s="1">
        <v>1</v>
      </c>
      <c r="X95" s="1">
        <f ca="1">IF(DB_TBL_DATA_FIELDS[[#This Row],[PCT_CALC_SHOW_STATUS_CODE]]=1,
DB_TBL_DATA_FIELDS[[#This Row],[FIELD_STATUS_CODE]],
IF(AND(DB_TBL_DATA_FIELDS[[#This Row],[PCT_CALC_SHOW_STATUS_CODE]]=2,DB_TBL_DATA_FIELDS[[#This Row],[FIELD_STATUS_CODE]]=0),
DB_TBL_DATA_FIELDS[[#This Row],[FIELD_STATUS_CODE]],
"")
)</f>
        <v>1</v>
      </c>
      <c r="Y95" s="1" t="str">
        <f ca="1">IF(DB_TBL_DATA_FIELDS[[#This Row],[FIELD_STATUS_CODE]]=0,IF(NOT(DB_TBL_DATA_FIELDS[[#This Row],[FIELD_VALID_CUSTOM_LOGIC]]),
IF(IFERROR(SEARCH(".",RIGHT(DB_TBL_DATA_FIELDS[[#This Row],[FIELD_VALUE_RAW]],2)),0)&gt;0,"Invalid Domain Extension",
 IF(IFERROR(SEARCH("@",DB_TBL_DATA_FIELDS[[#This Row],[FIELD_VALUE_RAW]]),0)=0,"Missing '@' In Address",
  IF(IFERROR(SEARCH(".",DB_TBL_DATA_FIELDS[[#This Row],[FIELD_VALUE_RAW]],(SEARCH("@",DB_TBL_DATA_FIELDS[[#This Row],[FIELD_VALUE_RAW]],1))+2),0)=0,"Invalid Domain Name","Invalid Email Address")))),"")</f>
        <v/>
      </c>
    </row>
    <row r="96" spans="1:26" x14ac:dyDescent="0.2">
      <c r="A96" s="1" t="s">
        <v>9022</v>
      </c>
      <c r="B96" s="14" t="str">
        <f>IFERROR(IF(FIND(DATA_EFORM_SHEET_REF,DB_TBL_DATA_FIELDS[[#This Row],[APPLICABLE_EFORM_LIST]])&gt;0,DATA_EFORM_SHEET_REF,""),"")</f>
        <v>_</v>
      </c>
      <c r="C96" s="1" t="s">
        <v>5325</v>
      </c>
      <c r="D96" s="1" t="b">
        <v>0</v>
      </c>
      <c r="E96" s="16" t="b">
        <v>0</v>
      </c>
      <c r="F96" s="2" t="s">
        <v>8776</v>
      </c>
      <c r="G96" s="143" t="str" cm="1">
        <f t="array" aca="1" ref="G96" ca="1">IF(AND(DATA_INC_AREA_NAME&lt;&gt;"",DATA_INC_AREA_NAME_VALID),
IF(DATA_INC_GUIDLN_CODE="HUD",
VLOOKUP(DATA_INC_AREA_KEY,CHOOSE({1,2},TBL_LOOKUP_INCOMEAREAMAP_HUD[STATE_ABBR]&amp;"_"&amp;TBL_LOOKUP_INCOMEAREAMAP_HUD[INCOME_AREA_NAME],TBL_LOOKUP_INCOMEAREAMAP_HUD[INC_AREA_ID]),2,FALSE),
VLOOKUP(DATA_INC_AREA_KEY,TBL_LOOKUP_INCOMEAREAMAP_MRB[[STATE_CNTY_KEY]:[INC_AREA_ID]],3,FALSE)),"")</f>
        <v/>
      </c>
      <c r="I96" s="2" t="b">
        <f ca="1">(DB_TBL_DATA_FIELDS[[#This Row],[FIELD_VALUE_RAW]]="")</f>
        <v>1</v>
      </c>
      <c r="J96" s="2" t="s">
        <v>9</v>
      </c>
      <c r="K96" s="1" t="b">
        <f>AND(IF(DB_TBL_DATA_FIELDS[[#This Row],[FIELD_VALID_CUSTOM_LOGIC]]="",TRUE,DB_TBL_DATA_FIELDS[[#This Row],[FIELD_VALID_CUSTOM_LOGIC]]),DB_TBL_DATA_FIELDS[[#This Row],[RANGE_VALIDATION_PASSED_FLAG]])</f>
        <v>1</v>
      </c>
      <c r="L96"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96" s="1">
        <f ca="1">IF(DB_TBL_DATA_FIELDS[[#This Row],[SHEET_REF_CALC]]="","",IF(DB_TBL_DATA_FIELDS[[#This Row],[FIELD_EMPTY_FLAG]],IF(NOT(DB_TBL_DATA_FIELDS[[#This Row],[FIELD_REQ_FLAG]]),-1,1),IF(NOT(DB_TBL_DATA_FIELDS[[#This Row],[FIELD_VALID_FLAG]]),0,2)))</f>
        <v>-1</v>
      </c>
      <c r="N96" s="1" t="str">
        <f ca="1">IFERROR(VLOOKUP(DB_TBL_DATA_FIELDS[[#This Row],[FIELD_STATUS_CODE]],DB_TBL_CONFIG_FIELDSTATUSCODES[#All],3,FALSE),"")</f>
        <v>Optional</v>
      </c>
      <c r="O96" s="1" t="str">
        <f ca="1">IFERROR(VLOOKUP(DB_TBL_DATA_FIELDS[[#This Row],[FIELD_STATUS_CODE]],DB_TBL_CONFIG_FIELDSTATUSCODES[#All],4,FALSE),"")</f>
        <v xml:space="preserve"> </v>
      </c>
      <c r="P96" s="1" t="b">
        <f>TRUE</f>
        <v>1</v>
      </c>
      <c r="Q96" s="1" t="b">
        <v>0</v>
      </c>
      <c r="R96" s="1" t="s">
        <v>9</v>
      </c>
      <c r="S96" s="1">
        <f ca="1">IF(DB_TBL_DATA_FIELDS[[#This Row],[RANGE_VALIDATION_FLAG]]="Text",LEN(DB_TBL_DATA_FIELDS[[#This Row],[FIELD_VALUE_RAW]]),IFERROR(VALUE(DB_TBL_DATA_FIELDS[[#This Row],[FIELD_VALUE_RAW]]),-1))</f>
        <v>0</v>
      </c>
      <c r="V96" s="1" t="b">
        <f>IF(NOT(DB_TBL_DATA_FIELDS[[#This Row],[RANGE_VALIDATION_ON_FLAG]]),TRUE,
AND(DB_TBL_DATA_FIELDS[[#This Row],[RANGE_VALUE_LEN]]&gt;=DB_TBL_DATA_FIELDS[[#This Row],[RANGE_VALIDATION_MIN]],DB_TBL_DATA_FIELDS[[#This Row],[RANGE_VALUE_LEN]]&lt;=DB_TBL_DATA_FIELDS[[#This Row],[RANGE_VALIDATION_MAX]]))</f>
        <v>1</v>
      </c>
      <c r="W96" s="1">
        <v>0</v>
      </c>
      <c r="X96" s="1" t="str">
        <f ca="1">IF(DB_TBL_DATA_FIELDS[[#This Row],[PCT_CALC_SHOW_STATUS_CODE]]=1,
DB_TBL_DATA_FIELDS[[#This Row],[FIELD_STATUS_CODE]],
IF(AND(DB_TBL_DATA_FIELDS[[#This Row],[PCT_CALC_SHOW_STATUS_CODE]]=2,DB_TBL_DATA_FIELDS[[#This Row],[FIELD_STATUS_CODE]]=0),
DB_TBL_DATA_FIELDS[[#This Row],[FIELD_STATUS_CODE]],
"")
)</f>
        <v/>
      </c>
      <c r="Y96" s="1" t="str">
        <f ca="1">IF(DB_TBL_DATA_FIELDS[[#This Row],[FIELD_STATUS_CODE]]=0,IF(NOT(DB_TBL_DATA_FIELDS[[#This Row],[FIELD_VALID_CUSTOM_LOGIC]]),
IF(IFERROR(SEARCH(".",RIGHT(DB_TBL_DATA_FIELDS[[#This Row],[FIELD_VALUE_RAW]],2)),0)&gt;0,"Invalid Domain Extension",
 IF(IFERROR(SEARCH("@",DB_TBL_DATA_FIELDS[[#This Row],[FIELD_VALUE_RAW]]),0)=0,"Missing '@' In Address",
  IF(IFERROR(SEARCH(".",DB_TBL_DATA_FIELDS[[#This Row],[FIELD_VALUE_RAW]],(SEARCH("@",DB_TBL_DATA_FIELDS[[#This Row],[FIELD_VALUE_RAW]],1))+2),0)=0,"Invalid Domain Name","Invalid Email Address")))),"")</f>
        <v/>
      </c>
    </row>
    <row r="97" spans="1:26" x14ac:dyDescent="0.2">
      <c r="A97" s="1" t="s">
        <v>9022</v>
      </c>
      <c r="B97" s="14" t="str">
        <f>IFERROR(IF(FIND(DATA_EFORM_SHEET_REF,DB_TBL_DATA_FIELDS[[#This Row],[APPLICABLE_EFORM_LIST]])&gt;0,DATA_EFORM_SHEET_REF,""),"")</f>
        <v>_</v>
      </c>
      <c r="C97" s="1" t="s">
        <v>8772</v>
      </c>
      <c r="D97" s="140" t="b">
        <v>0</v>
      </c>
      <c r="E97" s="141" t="b">
        <v>0</v>
      </c>
      <c r="F97" s="2" t="s">
        <v>8773</v>
      </c>
      <c r="G97" s="143" t="str">
        <f ca="1">IF(AND(DATA_INC_AREA_NAME&lt;&gt;"",DATA_INC_AREA_NAME_VALID),
    UPPER(
     DATA_PROPTY_STATE_CODE &amp;"_"&amp;
     IF(DATA_INC_GUIDLN_CODE="HUD",DATA_INC_AREA_NAME,DATA_PROPTY_CNTY_NAME)
    ),"")</f>
        <v/>
      </c>
      <c r="H97" s="142"/>
      <c r="I97" s="142" t="b">
        <f ca="1">(DB_TBL_DATA_FIELDS[[#This Row],[FIELD_VALUE_RAW]]="")</f>
        <v>1</v>
      </c>
      <c r="J97" s="142" t="s">
        <v>9</v>
      </c>
      <c r="K97" s="140" t="b">
        <f>AND(IF(DB_TBL_DATA_FIELDS[[#This Row],[FIELD_VALID_CUSTOM_LOGIC]]="",TRUE,DB_TBL_DATA_FIELDS[[#This Row],[FIELD_VALID_CUSTOM_LOGIC]]),DB_TBL_DATA_FIELDS[[#This Row],[RANGE_VALIDATION_PASSED_FLAG]])</f>
        <v>1</v>
      </c>
      <c r="L97" s="14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97" s="140">
        <f ca="1">IF(DB_TBL_DATA_FIELDS[[#This Row],[SHEET_REF_CALC]]="","",IF(DB_TBL_DATA_FIELDS[[#This Row],[FIELD_EMPTY_FLAG]],IF(NOT(DB_TBL_DATA_FIELDS[[#This Row],[FIELD_REQ_FLAG]]),-1,1),IF(NOT(DB_TBL_DATA_FIELDS[[#This Row],[FIELD_VALID_FLAG]]),0,2)))</f>
        <v>-1</v>
      </c>
      <c r="N97" s="140" t="str">
        <f ca="1">IFERROR(VLOOKUP(DB_TBL_DATA_FIELDS[[#This Row],[FIELD_STATUS_CODE]],DB_TBL_CONFIG_FIELDSTATUSCODES[#All],3,FALSE),"")</f>
        <v>Optional</v>
      </c>
      <c r="O97" s="140" t="str">
        <f ca="1">IFERROR(VLOOKUP(DB_TBL_DATA_FIELDS[[#This Row],[FIELD_STATUS_CODE]],DB_TBL_CONFIG_FIELDSTATUSCODES[#All],4,FALSE),"")</f>
        <v xml:space="preserve"> </v>
      </c>
      <c r="P97" s="140" t="b">
        <f>TRUE</f>
        <v>1</v>
      </c>
      <c r="Q97" s="140" t="b">
        <v>0</v>
      </c>
      <c r="R97" s="140" t="s">
        <v>9</v>
      </c>
      <c r="S97" s="140">
        <f ca="1">IF(DB_TBL_DATA_FIELDS[[#This Row],[RANGE_VALIDATION_FLAG]]="Text",LEN(DB_TBL_DATA_FIELDS[[#This Row],[FIELD_VALUE_RAW]]),IFERROR(VALUE(DB_TBL_DATA_FIELDS[[#This Row],[FIELD_VALUE_RAW]]),-1))</f>
        <v>0</v>
      </c>
      <c r="T97" s="140"/>
      <c r="U97" s="140"/>
      <c r="V97" s="140" t="b">
        <f>IF(NOT(DB_TBL_DATA_FIELDS[[#This Row],[RANGE_VALIDATION_ON_FLAG]]),TRUE,
AND(DB_TBL_DATA_FIELDS[[#This Row],[RANGE_VALUE_LEN]]&gt;=DB_TBL_DATA_FIELDS[[#This Row],[RANGE_VALIDATION_MIN]],DB_TBL_DATA_FIELDS[[#This Row],[RANGE_VALUE_LEN]]&lt;=DB_TBL_DATA_FIELDS[[#This Row],[RANGE_VALIDATION_MAX]]))</f>
        <v>1</v>
      </c>
      <c r="W97" s="140">
        <v>0</v>
      </c>
      <c r="X97" s="140" t="str">
        <f ca="1">IF(DB_TBL_DATA_FIELDS[[#This Row],[PCT_CALC_SHOW_STATUS_CODE]]=1,
DB_TBL_DATA_FIELDS[[#This Row],[FIELD_STATUS_CODE]],
IF(AND(DB_TBL_DATA_FIELDS[[#This Row],[PCT_CALC_SHOW_STATUS_CODE]]=2,DB_TBL_DATA_FIELDS[[#This Row],[FIELD_STATUS_CODE]]=0),
DB_TBL_DATA_FIELDS[[#This Row],[FIELD_STATUS_CODE]],
"")
)</f>
        <v/>
      </c>
      <c r="Y97" s="140" t="str">
        <f ca="1">IF(DB_TBL_DATA_FIELDS[[#This Row],[FIELD_STATUS_CODE]]=0,IF(NOT(DB_TBL_DATA_FIELDS[[#This Row],[FIELD_VALID_CUSTOM_LOGIC]]),
IF(IFERROR(SEARCH(".",RIGHT(DB_TBL_DATA_FIELDS[[#This Row],[FIELD_VALUE_RAW]],2)),0)&gt;0,"Invalid Domain Extension",
 IF(IFERROR(SEARCH("@",DB_TBL_DATA_FIELDS[[#This Row],[FIELD_VALUE_RAW]]),0)=0,"Missing '@' In Address",
  IF(IFERROR(SEARCH(".",DB_TBL_DATA_FIELDS[[#This Row],[FIELD_VALUE_RAW]],(SEARCH("@",DB_TBL_DATA_FIELDS[[#This Row],[FIELD_VALUE_RAW]],1))+2),0)=0,"Invalid Domain Name","Invalid Email Address")))),"")</f>
        <v/>
      </c>
      <c r="Z97" s="140"/>
    </row>
    <row r="98" spans="1:26" x14ac:dyDescent="0.2">
      <c r="A98" s="1" t="s">
        <v>9022</v>
      </c>
      <c r="B98" s="1" t="e">
        <f>IF('$DB.CONFIG'!$D$3="R",#REF!,DB_TBL_DATA_FIELDS[APPLICABLE_EFORM_LIST])</f>
        <v>#N/A</v>
      </c>
      <c r="C98" s="1" t="s">
        <v>8991</v>
      </c>
      <c r="D98" s="1" t="b">
        <v>0</v>
      </c>
      <c r="E98" s="16" t="b">
        <v>0</v>
      </c>
      <c r="F98" s="2" t="s">
        <v>8992</v>
      </c>
      <c r="G98" s="19" t="str">
        <f ca="1">UPPER(IF(DATA_PROPTY_STATE_CODE&lt;&gt;"",
   IF(OR(UPPER(DATA_PROPTY_STATE_CODE)="NY",UPPER(DATA_PROPTY_STATE_CODE)="NJ",UPPER(DATA_PROPTY_STATE_CODE)="PR",UPPER(DATA_PROPTY_STATE_CODE)="VI"),DATA_PROPTY_STATE_CODE,"OOD"),
  ""))</f>
        <v/>
      </c>
      <c r="I98" s="2" t="b">
        <f ca="1">(DB_TBL_DATA_FIELDS[[#This Row],[FIELD_VALUE_RAW]]="")</f>
        <v>1</v>
      </c>
      <c r="J98" s="2" t="s">
        <v>9</v>
      </c>
      <c r="K98" s="1" t="b">
        <f>AND(IF(DB_TBL_DATA_FIELDS[[#This Row],[FIELD_VALID_CUSTOM_LOGIC]]="",TRUE,DB_TBL_DATA_FIELDS[[#This Row],[FIELD_VALID_CUSTOM_LOGIC]]),DB_TBL_DATA_FIELDS[[#This Row],[RANGE_VALIDATION_PASSED_FLAG]])</f>
        <v>1</v>
      </c>
      <c r="L98"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98" s="1" t="e">
        <f>IF(DB_TBL_DATA_FIELDS[[#This Row],[SHEET_REF_CALC]]="","",IF(DB_TBL_DATA_FIELDS[[#This Row],[FIELD_EMPTY_FLAG]],IF(NOT(DB_TBL_DATA_FIELDS[[#This Row],[FIELD_REQ_FLAG]]),-1,1),IF(NOT(DB_TBL_DATA_FIELDS[[#This Row],[FIELD_VALID_FLAG]]),0,2)))</f>
        <v>#N/A</v>
      </c>
      <c r="N98" s="1" t="str">
        <f>IFERROR(VLOOKUP(DB_TBL_DATA_FIELDS[[#This Row],[FIELD_STATUS_CODE]],DB_TBL_CONFIG_FIELDSTATUSCODES[#All],3,FALSE),"")</f>
        <v/>
      </c>
      <c r="O98" s="1" t="str">
        <f>IFERROR(VLOOKUP(DB_TBL_DATA_FIELDS[[#This Row],[FIELD_STATUS_CODE]],DB_TBL_CONFIG_FIELDSTATUSCODES[#All],4,FALSE),"")</f>
        <v/>
      </c>
      <c r="P98" s="1" t="b">
        <f>TRUE</f>
        <v>1</v>
      </c>
      <c r="Q98" s="1" t="b">
        <v>0</v>
      </c>
      <c r="S98" s="1">
        <f ca="1">IF(DB_TBL_DATA_FIELDS[[#This Row],[RANGE_VALIDATION_FLAG]]="Text",LEN(DB_TBL_DATA_FIELDS[[#This Row],[FIELD_VALUE_RAW]]),IFERROR(VALUE(DB_TBL_DATA_FIELDS[[#This Row],[FIELD_VALUE_RAW]]),-1))</f>
        <v>-1</v>
      </c>
      <c r="T98" s="1" t="e">
        <f>IF(#REF!="","",VLOOKUP("VMIN_"&amp;#REF!,DB_TBL_CONFIG_APP[#All],4,FALSE))</f>
        <v>#REF!</v>
      </c>
      <c r="U98" s="1" t="e">
        <f>IF(#REF!="","",VLOOKUP("VMAX_"&amp;#REF!,DB_TBL_CONFIG_APP[#All],4,FALSE))</f>
        <v>#REF!</v>
      </c>
      <c r="V98" s="1" t="b">
        <f>IF(NOT(DB_TBL_DATA_FIELDS[[#This Row],[RANGE_VALIDATION_ON_FLAG]]),TRUE,
AND(DB_TBL_DATA_FIELDS[[#This Row],[RANGE_VALUE_LEN]]&gt;=DB_TBL_DATA_FIELDS[[#This Row],[RANGE_VALIDATION_MIN]],DB_TBL_DATA_FIELDS[[#This Row],[RANGE_VALUE_LEN]]&lt;=DB_TBL_DATA_FIELDS[[#This Row],[RANGE_VALIDATION_MAX]]))</f>
        <v>1</v>
      </c>
      <c r="X98" s="1" t="e">
        <f>IF(DB_TBL_DATA_FIELDS[[#This Row],[PCT_CALC_SHOW_STATUS_CODE]]=1,
DB_TBL_DATA_FIELDS[[#This Row],[FIELD_STATUS_CODE]],
IF(AND(DB_TBL_DATA_FIELDS[[#This Row],[PCT_CALC_SHOW_STATUS_CODE]]=2,DB_TBL_DATA_FIELDS[[#This Row],[FIELD_STATUS_CODE]]=0),
DB_TBL_DATA_FIELDS[[#This Row],[FIELD_STATUS_CODE]],
"")
)</f>
        <v>#N/A</v>
      </c>
      <c r="Y98" s="1" t="e">
        <f>IF(DB_TBL_DATA_FIELDS[[#This Row],[FIELD_STATUS_CODE]]=0,IF(NOT(DB_TBL_DATA_FIELDS[[#This Row],[FIELD_VALID_CUSTOM_LOGIC]]),
IF(IFERROR(SEARCH(".",RIGHT(DB_TBL_DATA_FIELDS[[#This Row],[FIELD_VALUE_RAW]],2)),0)&gt;0,"Invalid Domain Extension",
 IF(IFERROR(SEARCH("@",DB_TBL_DATA_FIELDS[[#This Row],[FIELD_VALUE_RAW]]),0)=0,"Missing '@' In Address",
  IF(IFERROR(SEARCH(".",DB_TBL_DATA_FIELDS[[#This Row],[FIELD_VALUE_RAW]],(SEARCH("@",DB_TBL_DATA_FIELDS[[#This Row],[FIELD_VALUE_RAW]],1))+2),0)=0,"Invalid Domain Name","Invalid Email Address")))),"")</f>
        <v>#N/A</v>
      </c>
    </row>
    <row r="99" spans="1:26" x14ac:dyDescent="0.2">
      <c r="A99" s="1" t="s">
        <v>9022</v>
      </c>
      <c r="B99" s="14" t="str">
        <f>IFERROR(IF(FIND(DATA_EFORM_SHEET_REF,DB_TBL_DATA_FIELDS[[#This Row],[APPLICABLE_EFORM_LIST]])&gt;0,DATA_EFORM_SHEET_REF,""),"")</f>
        <v>_</v>
      </c>
      <c r="C99" s="1" t="s">
        <v>8983</v>
      </c>
      <c r="D99" s="1" t="b">
        <v>0</v>
      </c>
      <c r="E99" s="16" t="b">
        <v>1</v>
      </c>
      <c r="F99" s="2" t="s">
        <v>8984</v>
      </c>
      <c r="G99" s="19" t="str" cm="1">
        <f t="array" aca="1" ref="G99" ca="1">IF(DATA_INC_AREA_KEY&lt;&gt;"",INDIRECT("AMI_MIN_PCT_"&amp;UPPER(DATA_INC_AREA_STATE_CODE)&amp;"_"&amp;CONFIG_FHC_PROG_ID),"")</f>
        <v/>
      </c>
      <c r="I99" s="2" t="b">
        <f ca="1">(DB_TBL_DATA_FIELDS[[#This Row],[FIELD_VALUE_RAW]]="")</f>
        <v>1</v>
      </c>
      <c r="J99" s="2" t="s">
        <v>38</v>
      </c>
      <c r="K99" s="1" t="b">
        <f>AND(IF(DB_TBL_DATA_FIELDS[[#This Row],[FIELD_VALID_CUSTOM_LOGIC]]="",TRUE,DB_TBL_DATA_FIELDS[[#This Row],[FIELD_VALID_CUSTOM_LOGIC]]),DB_TBL_DATA_FIELDS[[#This Row],[RANGE_VALIDATION_PASSED_FLAG]])</f>
        <v>1</v>
      </c>
      <c r="L99"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99" s="1">
        <f ca="1">IF(DB_TBL_DATA_FIELDS[[#This Row],[SHEET_REF_CALC]]="","",IF(DB_TBL_DATA_FIELDS[[#This Row],[FIELD_EMPTY_FLAG]],IF(NOT(DB_TBL_DATA_FIELDS[[#This Row],[FIELD_REQ_FLAG]]),-1,1),IF(NOT(DB_TBL_DATA_FIELDS[[#This Row],[FIELD_VALID_FLAG]]),0,2)))</f>
        <v>1</v>
      </c>
      <c r="N99" s="1" t="str">
        <f ca="1">IFERROR(VLOOKUP(DB_TBL_DATA_FIELDS[[#This Row],[FIELD_STATUS_CODE]],DB_TBL_CONFIG_FIELDSTATUSCODES[#All],3,FALSE),"")</f>
        <v>Required</v>
      </c>
      <c r="O99" s="1" t="str">
        <f ca="1">IFERROR(VLOOKUP(DB_TBL_DATA_FIELDS[[#This Row],[FIELD_STATUS_CODE]],DB_TBL_CONFIG_FIELDSTATUSCODES[#All],4,FALSE),"")</f>
        <v>i</v>
      </c>
      <c r="P99" s="1" t="b">
        <f>TRUE</f>
        <v>1</v>
      </c>
      <c r="Q99" s="1" t="b">
        <v>0</v>
      </c>
      <c r="S99" s="1">
        <f ca="1">IF(DB_TBL_DATA_FIELDS[[#This Row],[RANGE_VALIDATION_FLAG]]="Text",LEN(DB_TBL_DATA_FIELDS[[#This Row],[FIELD_VALUE_RAW]]),IFERROR(VALUE(DB_TBL_DATA_FIELDS[[#This Row],[FIELD_VALUE_RAW]]),-1))</f>
        <v>-1</v>
      </c>
      <c r="V99" s="1" t="b">
        <f>IF(NOT(DB_TBL_DATA_FIELDS[[#This Row],[RANGE_VALIDATION_ON_FLAG]]),TRUE,
AND(DB_TBL_DATA_FIELDS[[#This Row],[RANGE_VALUE_LEN]]&gt;=DB_TBL_DATA_FIELDS[[#This Row],[RANGE_VALIDATION_MIN]],DB_TBL_DATA_FIELDS[[#This Row],[RANGE_VALUE_LEN]]&lt;=DB_TBL_DATA_FIELDS[[#This Row],[RANGE_VALIDATION_MAX]]))</f>
        <v>1</v>
      </c>
      <c r="W99" s="1">
        <v>0</v>
      </c>
      <c r="X99" s="1" t="str">
        <f ca="1">IF(DB_TBL_DATA_FIELDS[[#This Row],[PCT_CALC_SHOW_STATUS_CODE]]=1,
DB_TBL_DATA_FIELDS[[#This Row],[FIELD_STATUS_CODE]],
IF(AND(DB_TBL_DATA_FIELDS[[#This Row],[PCT_CALC_SHOW_STATUS_CODE]]=2,DB_TBL_DATA_FIELDS[[#This Row],[FIELD_STATUS_CODE]]=0),
DB_TBL_DATA_FIELDS[[#This Row],[FIELD_STATUS_CODE]],
"")
)</f>
        <v/>
      </c>
      <c r="Y99" s="1" t="str">
        <f ca="1">IF(DB_TBL_DATA_FIELDS[[#This Row],[FIELD_STATUS_CODE]]=0,IF(NOT(DB_TBL_DATA_FIELDS[[#This Row],[FIELD_VALID_CUSTOM_LOGIC]]),
IF(IFERROR(SEARCH(".",RIGHT(DB_TBL_DATA_FIELDS[[#This Row],[FIELD_VALUE_RAW]],2)),0)&gt;0,"Invalid Domain Extension",
 IF(IFERROR(SEARCH("@",DB_TBL_DATA_FIELDS[[#This Row],[FIELD_VALUE_RAW]]),0)=0,"Missing '@' In Address",
  IF(IFERROR(SEARCH(".",DB_TBL_DATA_FIELDS[[#This Row],[FIELD_VALUE_RAW]],(SEARCH("@",DB_TBL_DATA_FIELDS[[#This Row],[FIELD_VALUE_RAW]],1))+2),0)=0,"Invalid Domain Name","Invalid Email Address")))),"")</f>
        <v/>
      </c>
    </row>
    <row r="100" spans="1:26" x14ac:dyDescent="0.2">
      <c r="A100" s="1" t="s">
        <v>9022</v>
      </c>
      <c r="B100" s="14" t="str">
        <f>IFERROR(IF(FIND(DATA_EFORM_SHEET_REF,DB_TBL_DATA_FIELDS[[#This Row],[APPLICABLE_EFORM_LIST]])&gt;0,DATA_EFORM_SHEET_REF,""),"")</f>
        <v>_</v>
      </c>
      <c r="C100" s="1" t="s">
        <v>8985</v>
      </c>
      <c r="D100" s="1" t="b">
        <v>0</v>
      </c>
      <c r="E100" s="16" t="b">
        <v>1</v>
      </c>
      <c r="F100" s="2" t="s">
        <v>8986</v>
      </c>
      <c r="G100" s="19" t="str" cm="1">
        <f t="array" aca="1" ref="G100" ca="1">IF(DATA_INC_AREA_KEY&lt;&gt;"",INDIRECT("AMI_MAX_PCT_"&amp;UPPER(DATA_INC_AREA_STATE_CODE)&amp;"_"&amp;CONFIG_FHC_PROG_ID),"")</f>
        <v/>
      </c>
      <c r="I100" s="2" t="b">
        <f ca="1">(DB_TBL_DATA_FIELDS[[#This Row],[FIELD_VALUE_RAW]]="")</f>
        <v>1</v>
      </c>
      <c r="J100" s="2" t="s">
        <v>38</v>
      </c>
      <c r="K100" s="1" t="b">
        <f>AND(IF(DB_TBL_DATA_FIELDS[[#This Row],[FIELD_VALID_CUSTOM_LOGIC]]="",TRUE,DB_TBL_DATA_FIELDS[[#This Row],[FIELD_VALID_CUSTOM_LOGIC]]),DB_TBL_DATA_FIELDS[[#This Row],[RANGE_VALIDATION_PASSED_FLAG]])</f>
        <v>1</v>
      </c>
      <c r="L100"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100" s="1">
        <f ca="1">IF(DB_TBL_DATA_FIELDS[[#This Row],[SHEET_REF_CALC]]="","",IF(DB_TBL_DATA_FIELDS[[#This Row],[FIELD_EMPTY_FLAG]],IF(NOT(DB_TBL_DATA_FIELDS[[#This Row],[FIELD_REQ_FLAG]]),-1,1),IF(NOT(DB_TBL_DATA_FIELDS[[#This Row],[FIELD_VALID_FLAG]]),0,2)))</f>
        <v>1</v>
      </c>
      <c r="N100" s="1" t="str">
        <f ca="1">IFERROR(VLOOKUP(DB_TBL_DATA_FIELDS[[#This Row],[FIELD_STATUS_CODE]],DB_TBL_CONFIG_FIELDSTATUSCODES[#All],3,FALSE),"")</f>
        <v>Required</v>
      </c>
      <c r="O100" s="1" t="str">
        <f ca="1">IFERROR(VLOOKUP(DB_TBL_DATA_FIELDS[[#This Row],[FIELD_STATUS_CODE]],DB_TBL_CONFIG_FIELDSTATUSCODES[#All],4,FALSE),"")</f>
        <v>i</v>
      </c>
      <c r="P100" s="1" t="b">
        <f>TRUE</f>
        <v>1</v>
      </c>
      <c r="Q100" s="1" t="b">
        <v>0</v>
      </c>
      <c r="S100" s="1">
        <f ca="1">IF(DB_TBL_DATA_FIELDS[[#This Row],[RANGE_VALIDATION_FLAG]]="Text",LEN(DB_TBL_DATA_FIELDS[[#This Row],[FIELD_VALUE_RAW]]),IFERROR(VALUE(DB_TBL_DATA_FIELDS[[#This Row],[FIELD_VALUE_RAW]]),-1))</f>
        <v>-1</v>
      </c>
      <c r="V100" s="1" t="b">
        <f>IF(NOT(DB_TBL_DATA_FIELDS[[#This Row],[RANGE_VALIDATION_ON_FLAG]]),TRUE,
AND(DB_TBL_DATA_FIELDS[[#This Row],[RANGE_VALUE_LEN]]&gt;=DB_TBL_DATA_FIELDS[[#This Row],[RANGE_VALIDATION_MIN]],DB_TBL_DATA_FIELDS[[#This Row],[RANGE_VALUE_LEN]]&lt;=DB_TBL_DATA_FIELDS[[#This Row],[RANGE_VALIDATION_MAX]]))</f>
        <v>1</v>
      </c>
      <c r="W100" s="1">
        <v>0</v>
      </c>
      <c r="X100" s="1" t="str">
        <f ca="1">IF(DB_TBL_DATA_FIELDS[[#This Row],[PCT_CALC_SHOW_STATUS_CODE]]=1,
DB_TBL_DATA_FIELDS[[#This Row],[FIELD_STATUS_CODE]],
IF(AND(DB_TBL_DATA_FIELDS[[#This Row],[PCT_CALC_SHOW_STATUS_CODE]]=2,DB_TBL_DATA_FIELDS[[#This Row],[FIELD_STATUS_CODE]]=0),
DB_TBL_DATA_FIELDS[[#This Row],[FIELD_STATUS_CODE]],
"")
)</f>
        <v/>
      </c>
      <c r="Y100" s="1" t="str">
        <f ca="1">IF(DB_TBL_DATA_FIELDS[[#This Row],[FIELD_STATUS_CODE]]=0,IF(NOT(DB_TBL_DATA_FIELDS[[#This Row],[FIELD_VALID_CUSTOM_LOGIC]]),
IF(IFERROR(SEARCH(".",RIGHT(DB_TBL_DATA_FIELDS[[#This Row],[FIELD_VALUE_RAW]],2)),0)&gt;0,"Invalid Domain Extension",
 IF(IFERROR(SEARCH("@",DB_TBL_DATA_FIELDS[[#This Row],[FIELD_VALUE_RAW]]),0)=0,"Missing '@' In Address",
  IF(IFERROR(SEARCH(".",DB_TBL_DATA_FIELDS[[#This Row],[FIELD_VALUE_RAW]],(SEARCH("@",DB_TBL_DATA_FIELDS[[#This Row],[FIELD_VALUE_RAW]],1))+2),0)=0,"Invalid Domain Name","Invalid Email Address")))),"")</f>
        <v/>
      </c>
    </row>
    <row r="101" spans="1:26" x14ac:dyDescent="0.2">
      <c r="A101" s="1" t="s">
        <v>9022</v>
      </c>
      <c r="B101" s="14" t="str">
        <f>IFERROR(IF(FIND(DATA_EFORM_SHEET_REF,DB_TBL_DATA_FIELDS[[#This Row],[APPLICABLE_EFORM_LIST]])&gt;0,DATA_EFORM_SHEET_REF,""),"")</f>
        <v>_</v>
      </c>
      <c r="C101" s="1" t="s">
        <v>8987</v>
      </c>
      <c r="D101" s="1" t="b">
        <v>0</v>
      </c>
      <c r="E101" s="16" t="b">
        <v>0</v>
      </c>
      <c r="F101" s="2" t="s">
        <v>8988</v>
      </c>
      <c r="G101" s="19" t="str">
        <f ca="1">IF(AND(DATA_FAMILY_SIZE_NO&lt;&gt;"",DATA_FAMILY_SIZE_NO&gt;0,DATA_INC_AREA_KEY&lt;&gt;""),
VLOOKUP(DATA_INC_AREA_KEY,LOOKUP_AMI_TABLE,5+((MIN(DATA_FAMILY_SIZE_NO,8)-1)),FALSE)/CONFIG_MFI_PERCENTAGE,
"")</f>
        <v/>
      </c>
      <c r="I101" s="2" t="b">
        <f ca="1">(DB_TBL_DATA_FIELDS[[#This Row],[FIELD_VALUE_RAW]]="")</f>
        <v>1</v>
      </c>
      <c r="J101" s="2" t="s">
        <v>38</v>
      </c>
      <c r="K101" s="1" t="b">
        <f>AND(IF(DB_TBL_DATA_FIELDS[[#This Row],[FIELD_VALID_CUSTOM_LOGIC]]="",TRUE,DB_TBL_DATA_FIELDS[[#This Row],[FIELD_VALID_CUSTOM_LOGIC]]),DB_TBL_DATA_FIELDS[[#This Row],[RANGE_VALIDATION_PASSED_FLAG]])</f>
        <v>1</v>
      </c>
      <c r="L101"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101" s="1">
        <f ca="1">IF(DB_TBL_DATA_FIELDS[[#This Row],[SHEET_REF_CALC]]="","",IF(DB_TBL_DATA_FIELDS[[#This Row],[FIELD_EMPTY_FLAG]],IF(NOT(DB_TBL_DATA_FIELDS[[#This Row],[FIELD_REQ_FLAG]]),-1,1),IF(NOT(DB_TBL_DATA_FIELDS[[#This Row],[FIELD_VALID_FLAG]]),0,2)))</f>
        <v>-1</v>
      </c>
      <c r="N101" s="1" t="str">
        <f ca="1">IFERROR(VLOOKUP(DB_TBL_DATA_FIELDS[[#This Row],[FIELD_STATUS_CODE]],DB_TBL_CONFIG_FIELDSTATUSCODES[#All],3,FALSE),"")</f>
        <v>Optional</v>
      </c>
      <c r="O101" s="1" t="str">
        <f ca="1">IFERROR(VLOOKUP(DB_TBL_DATA_FIELDS[[#This Row],[FIELD_STATUS_CODE]],DB_TBL_CONFIG_FIELDSTATUSCODES[#All],4,FALSE),"")</f>
        <v xml:space="preserve"> </v>
      </c>
      <c r="P101" s="1" t="b">
        <f>TRUE</f>
        <v>1</v>
      </c>
      <c r="Q101" s="1" t="b">
        <v>0</v>
      </c>
      <c r="S101" s="1">
        <f ca="1">IF(DB_TBL_DATA_FIELDS[[#This Row],[RANGE_VALIDATION_FLAG]]="Text",LEN(DB_TBL_DATA_FIELDS[[#This Row],[FIELD_VALUE_RAW]]),IFERROR(VALUE(DB_TBL_DATA_FIELDS[[#This Row],[FIELD_VALUE_RAW]]),-1))</f>
        <v>-1</v>
      </c>
      <c r="V101" s="1" t="b">
        <f>IF(NOT(DB_TBL_DATA_FIELDS[[#This Row],[RANGE_VALIDATION_ON_FLAG]]),TRUE,
AND(DB_TBL_DATA_FIELDS[[#This Row],[RANGE_VALUE_LEN]]&gt;=DB_TBL_DATA_FIELDS[[#This Row],[RANGE_VALIDATION_MIN]],DB_TBL_DATA_FIELDS[[#This Row],[RANGE_VALUE_LEN]]&lt;=DB_TBL_DATA_FIELDS[[#This Row],[RANGE_VALIDATION_MAX]]))</f>
        <v>1</v>
      </c>
      <c r="W101" s="1">
        <v>0</v>
      </c>
      <c r="X101" s="1" t="str">
        <f ca="1">IF(DB_TBL_DATA_FIELDS[[#This Row],[PCT_CALC_SHOW_STATUS_CODE]]=1,
DB_TBL_DATA_FIELDS[[#This Row],[FIELD_STATUS_CODE]],
IF(AND(DB_TBL_DATA_FIELDS[[#This Row],[PCT_CALC_SHOW_STATUS_CODE]]=2,DB_TBL_DATA_FIELDS[[#This Row],[FIELD_STATUS_CODE]]=0),
DB_TBL_DATA_FIELDS[[#This Row],[FIELD_STATUS_CODE]],
"")
)</f>
        <v/>
      </c>
      <c r="Y101" s="1" t="str">
        <f ca="1">IF(DB_TBL_DATA_FIELDS[[#This Row],[FIELD_STATUS_CODE]]=0,IF(NOT(DB_TBL_DATA_FIELDS[[#This Row],[FIELD_VALID_CUSTOM_LOGIC]]),
IF(IFERROR(SEARCH(".",RIGHT(DB_TBL_DATA_FIELDS[[#This Row],[FIELD_VALUE_RAW]],2)),0)&gt;0,"Invalid Domain Extension",
 IF(IFERROR(SEARCH("@",DB_TBL_DATA_FIELDS[[#This Row],[FIELD_VALUE_RAW]]),0)=0,"Missing '@' In Address",
  IF(IFERROR(SEARCH(".",DB_TBL_DATA_FIELDS[[#This Row],[FIELD_VALUE_RAW]],(SEARCH("@",DB_TBL_DATA_FIELDS[[#This Row],[FIELD_VALUE_RAW]],1))+2),0)=0,"Invalid Domain Name","Invalid Email Address")))),"")</f>
        <v/>
      </c>
    </row>
    <row r="102" spans="1:26" x14ac:dyDescent="0.2">
      <c r="A102" s="1" t="s">
        <v>9022</v>
      </c>
      <c r="B102" s="14" t="str">
        <f>IFERROR(IF(FIND(DATA_EFORM_SHEET_REF,DB_TBL_DATA_FIELDS[[#This Row],[APPLICABLE_EFORM_LIST]])&gt;0,DATA_EFORM_SHEET_REF,""),"")</f>
        <v>_</v>
      </c>
      <c r="C102" s="1" t="s">
        <v>8989</v>
      </c>
      <c r="D102" s="1" t="b">
        <v>0</v>
      </c>
      <c r="E102" s="16" t="b">
        <v>1</v>
      </c>
      <c r="F102" s="2" t="s">
        <v>8990</v>
      </c>
      <c r="G102" s="19" t="str" cm="1">
        <f t="array" aca="1" ref="G102" ca="1">IF(DATA_INC_MFI_AMT&lt;&gt;"",
(DATA_INC_MFI_AMT*DATA_MIN_ALLOWABLE_INCOME_PCT)+0.01,
"")</f>
        <v/>
      </c>
      <c r="I102" s="2" t="b">
        <f ca="1">(DB_TBL_DATA_FIELDS[[#This Row],[FIELD_VALUE_RAW]]="")</f>
        <v>1</v>
      </c>
      <c r="J102" s="2" t="s">
        <v>38</v>
      </c>
      <c r="K102" s="1" t="b">
        <f ca="1">AND(IF(DB_TBL_DATA_FIELDS[[#This Row],[FIELD_VALID_CUSTOM_LOGIC]]="",TRUE,DB_TBL_DATA_FIELDS[[#This Row],[FIELD_VALID_CUSTOM_LOGIC]]),DB_TBL_DATA_FIELDS[[#This Row],[RANGE_VALIDATION_PASSED_FLAG]])</f>
        <v>0</v>
      </c>
      <c r="L102"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102" s="1">
        <f ca="1">IF(DB_TBL_DATA_FIELDS[[#This Row],[SHEET_REF_CALC]]="","",IF(DB_TBL_DATA_FIELDS[[#This Row],[FIELD_EMPTY_FLAG]],IF(NOT(DB_TBL_DATA_FIELDS[[#This Row],[FIELD_REQ_FLAG]]),-1,1),IF(NOT(DB_TBL_DATA_FIELDS[[#This Row],[FIELD_VALID_FLAG]]),0,2)))</f>
        <v>1</v>
      </c>
      <c r="N102" s="1" t="str">
        <f ca="1">IFERROR(VLOOKUP(DB_TBL_DATA_FIELDS[[#This Row],[FIELD_STATUS_CODE]],DB_TBL_CONFIG_FIELDSTATUSCODES[#All],3,FALSE),"")</f>
        <v>Required</v>
      </c>
      <c r="O102" s="1" t="str">
        <f ca="1">IFERROR(VLOOKUP(DB_TBL_DATA_FIELDS[[#This Row],[FIELD_STATUS_CODE]],DB_TBL_CONFIG_FIELDSTATUSCODES[#All],4,FALSE),"")</f>
        <v>i</v>
      </c>
      <c r="P102" s="1" t="b">
        <f>TRUE</f>
        <v>1</v>
      </c>
      <c r="Q102" s="1" t="b">
        <f>TRUE</f>
        <v>1</v>
      </c>
      <c r="R102" s="1" t="s">
        <v>38</v>
      </c>
      <c r="S102" s="1">
        <f ca="1">IF(DB_TBL_DATA_FIELDS[[#This Row],[RANGE_VALIDATION_FLAG]]="Text",LEN(DB_TBL_DATA_FIELDS[[#This Row],[FIELD_VALUE_RAW]]),IFERROR(VALUE(DB_TBL_DATA_FIELDS[[#This Row],[FIELD_VALUE_RAW]]),-1))</f>
        <v>-1</v>
      </c>
      <c r="T102" s="1">
        <v>0</v>
      </c>
      <c r="U102" s="1">
        <v>999999999</v>
      </c>
      <c r="V102" s="1" t="b">
        <f ca="1">IF(NOT(DB_TBL_DATA_FIELDS[[#This Row],[RANGE_VALIDATION_ON_FLAG]]),TRUE,
AND(DB_TBL_DATA_FIELDS[[#This Row],[RANGE_VALUE_LEN]]&gt;=DB_TBL_DATA_FIELDS[[#This Row],[RANGE_VALIDATION_MIN]],DB_TBL_DATA_FIELDS[[#This Row],[RANGE_VALUE_LEN]]&lt;=DB_TBL_DATA_FIELDS[[#This Row],[RANGE_VALIDATION_MAX]]))</f>
        <v>0</v>
      </c>
      <c r="W102" s="1">
        <v>1</v>
      </c>
      <c r="X102" s="1">
        <f ca="1">IF(DB_TBL_DATA_FIELDS[[#This Row],[PCT_CALC_SHOW_STATUS_CODE]]=1,
DB_TBL_DATA_FIELDS[[#This Row],[FIELD_STATUS_CODE]],
IF(AND(DB_TBL_DATA_FIELDS[[#This Row],[PCT_CALC_SHOW_STATUS_CODE]]=2,DB_TBL_DATA_FIELDS[[#This Row],[FIELD_STATUS_CODE]]=0),
DB_TBL_DATA_FIELDS[[#This Row],[FIELD_STATUS_CODE]],
"")
)</f>
        <v>1</v>
      </c>
      <c r="Y102" s="1" t="str">
        <f ca="1">IF(DB_TBL_DATA_FIELDS[[#This Row],[FIELD_STATUS_CODE]]=0,IF(NOT(DB_TBL_DATA_FIELDS[[#This Row],[FIELD_VALID_CUSTOM_LOGIC]]),
IF(IFERROR(SEARCH(".",RIGHT(DB_TBL_DATA_FIELDS[[#This Row],[FIELD_VALUE_RAW]],2)),0)&gt;0,"Invalid Domain Extension",
 IF(IFERROR(SEARCH("@",DB_TBL_DATA_FIELDS[[#This Row],[FIELD_VALUE_RAW]]),0)=0,"Missing '@' In Address",
  IF(IFERROR(SEARCH(".",DB_TBL_DATA_FIELDS[[#This Row],[FIELD_VALUE_RAW]],(SEARCH("@",DB_TBL_DATA_FIELDS[[#This Row],[FIELD_VALUE_RAW]],1))+2),0)=0,"Invalid Domain Name","Invalid Email Address")))),"")</f>
        <v/>
      </c>
    </row>
    <row r="103" spans="1:26" x14ac:dyDescent="0.2">
      <c r="A103" s="1" t="s">
        <v>9022</v>
      </c>
      <c r="B103" s="14" t="str">
        <f>IFERROR(IF(FIND(DATA_EFORM_SHEET_REF,DB_TBL_DATA_FIELDS[[#This Row],[APPLICABLE_EFORM_LIST]])&gt;0,DATA_EFORM_SHEET_REF,""),"")</f>
        <v>_</v>
      </c>
      <c r="C103" s="1" t="s">
        <v>2321</v>
      </c>
      <c r="D103" s="1" t="b">
        <v>1</v>
      </c>
      <c r="E103" s="16" t="b">
        <v>1</v>
      </c>
      <c r="F103" s="2" t="s">
        <v>2326</v>
      </c>
      <c r="G103" s="19" t="str">
        <f ca="1">IF(DATA_INC_MFI_AMT&lt;&gt;"",
(DATA_INC_MFI_AMT*DATA_MAX_ALLOWABLE_INCOME_PCT),
"")</f>
        <v/>
      </c>
      <c r="I103" s="2" t="b">
        <f ca="1">(DB_TBL_DATA_FIELDS[[#This Row],[FIELD_VALUE_RAW]]="")</f>
        <v>1</v>
      </c>
      <c r="J103" s="2" t="s">
        <v>38</v>
      </c>
      <c r="K103" s="1" t="b">
        <f ca="1">AND(IF(DB_TBL_DATA_FIELDS[[#This Row],[FIELD_VALID_CUSTOM_LOGIC]]="",TRUE,DB_TBL_DATA_FIELDS[[#This Row],[FIELD_VALID_CUSTOM_LOGIC]]),DB_TBL_DATA_FIELDS[[#This Row],[RANGE_VALIDATION_PASSED_FLAG]])</f>
        <v>0</v>
      </c>
      <c r="L103"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103" s="1">
        <f ca="1">IF(DB_TBL_DATA_FIELDS[[#This Row],[SHEET_REF_CALC]]="","",IF(DB_TBL_DATA_FIELDS[[#This Row],[FIELD_EMPTY_FLAG]],IF(NOT(DB_TBL_DATA_FIELDS[[#This Row],[FIELD_REQ_FLAG]]),-1,1),IF(NOT(DB_TBL_DATA_FIELDS[[#This Row],[FIELD_VALID_FLAG]]),0,2)))</f>
        <v>1</v>
      </c>
      <c r="N103" s="1" t="str">
        <f ca="1">IFERROR(VLOOKUP(DB_TBL_DATA_FIELDS[[#This Row],[FIELD_STATUS_CODE]],DB_TBL_CONFIG_FIELDSTATUSCODES[#All],3,FALSE),"")</f>
        <v>Required</v>
      </c>
      <c r="O103" s="1" t="str">
        <f ca="1">IFERROR(VLOOKUP(DB_TBL_DATA_FIELDS[[#This Row],[FIELD_STATUS_CODE]],DB_TBL_CONFIG_FIELDSTATUSCODES[#All],4,FALSE),"")</f>
        <v>i</v>
      </c>
      <c r="P103" s="1" t="b">
        <f>TRUE</f>
        <v>1</v>
      </c>
      <c r="Q103" s="1" t="b">
        <f>TRUE</f>
        <v>1</v>
      </c>
      <c r="R103" s="1" t="s">
        <v>38</v>
      </c>
      <c r="S103" s="1">
        <f ca="1">IF(DB_TBL_DATA_FIELDS[[#This Row],[RANGE_VALIDATION_FLAG]]="Text",LEN(DB_TBL_DATA_FIELDS[[#This Row],[FIELD_VALUE_RAW]]),IFERROR(VALUE(DB_TBL_DATA_FIELDS[[#This Row],[FIELD_VALUE_RAW]]),-1))</f>
        <v>-1</v>
      </c>
      <c r="T103" s="1">
        <v>0</v>
      </c>
      <c r="U103" s="1">
        <v>999999999</v>
      </c>
      <c r="V103" s="1" t="b">
        <f ca="1">IF(NOT(DB_TBL_DATA_FIELDS[[#This Row],[RANGE_VALIDATION_ON_FLAG]]),TRUE,
AND(DB_TBL_DATA_FIELDS[[#This Row],[RANGE_VALUE_LEN]]&gt;=DB_TBL_DATA_FIELDS[[#This Row],[RANGE_VALIDATION_MIN]],DB_TBL_DATA_FIELDS[[#This Row],[RANGE_VALUE_LEN]]&lt;=DB_TBL_DATA_FIELDS[[#This Row],[RANGE_VALIDATION_MAX]]))</f>
        <v>0</v>
      </c>
      <c r="W103" s="1">
        <v>1</v>
      </c>
      <c r="X103" s="1">
        <f ca="1">IF(DB_TBL_DATA_FIELDS[[#This Row],[PCT_CALC_SHOW_STATUS_CODE]]=1,
DB_TBL_DATA_FIELDS[[#This Row],[FIELD_STATUS_CODE]],
IF(AND(DB_TBL_DATA_FIELDS[[#This Row],[PCT_CALC_SHOW_STATUS_CODE]]=2,DB_TBL_DATA_FIELDS[[#This Row],[FIELD_STATUS_CODE]]=0),
DB_TBL_DATA_FIELDS[[#This Row],[FIELD_STATUS_CODE]],
"")
)</f>
        <v>1</v>
      </c>
    </row>
    <row r="104" spans="1:26" x14ac:dyDescent="0.2">
      <c r="A104" s="1" t="s">
        <v>9041</v>
      </c>
      <c r="B104" s="14" t="str">
        <f>IFERROR(IF(FIND(DATA_EFORM_SHEET_REF,DB_TBL_DATA_FIELDS[[#This Row],[APPLICABLE_EFORM_LIST]])&gt;0,DATA_EFORM_SHEET_REF,""),"")</f>
        <v>_</v>
      </c>
      <c r="C104" s="1" t="s">
        <v>2320</v>
      </c>
      <c r="D104" s="1" t="b">
        <v>1</v>
      </c>
      <c r="E104" s="81" t="b">
        <f ca="1">IF(DATA_EFORM_TYPE_CODE="RES",TRUE,DATA_ADL_ICW_FLAG=TRUE)</f>
        <v>0</v>
      </c>
      <c r="F104" s="2" t="s">
        <v>2325</v>
      </c>
      <c r="G104" s="2" t="str">
        <f ca="1">IFERROR(VLOOKUP(DB_TBL_DATA_FIELDS[[#This Row],[FIELD_ID]],INDIRECT(DB_TBL_DATA_FIELDS[[#This Row],[SHEET_REF_CALC]]&amp;"!A:B"),2,FALSE),"")</f>
        <v/>
      </c>
      <c r="H104" s="19" t="str" cm="1">
        <f t="array" aca="1" ref="H104" ca="1">IF(NOT(DB_TBL_DATA_FIELDS[[#This Row],[FIELD_EMPTY_FLAG]]),
    IF(CONFIG_FHC_PROG_ID=2,
     DB_TBL_DATA_FIELDS[[#This Row],[FIELD_REQ_FLAG]],
     AND(
      DB_TBL_DATA_FIELDS[[#This Row],[FIELD_REQ_FLAG]],
      IF(CONFIG_EFORM_TYPE_CODE="RES",
         IF(AND(DATA_MIN_ALLOWABLE_INCOME&lt;&gt;"",DATA_MAX_ALLOWABLE_INCOME&lt;&gt;""),
             AND(DATA_HSEHLD_INC_AMT&gt;=DATA_MIN_ALLOWABLE_INCOME,DATA_HSEHLD_INC_AMT&lt;=DATA_MAX_ALLOWABLE_INCOME),
             TRUE),
       TRUE)
     )
   ),
"")</f>
        <v/>
      </c>
      <c r="I104" s="2" t="b">
        <f ca="1">(DB_TBL_DATA_FIELDS[[#This Row],[FIELD_VALUE_RAW]]="")</f>
        <v>1</v>
      </c>
      <c r="J104" s="2" t="s">
        <v>38</v>
      </c>
      <c r="K104" s="1" t="b">
        <f ca="1">AND(IF(DB_TBL_DATA_FIELDS[[#This Row],[FIELD_VALID_CUSTOM_LOGIC]]="",TRUE,DB_TBL_DATA_FIELDS[[#This Row],[FIELD_VALID_CUSTOM_LOGIC]]),DB_TBL_DATA_FIELDS[[#This Row],[RANGE_VALIDATION_PASSED_FLAG]])</f>
        <v>0</v>
      </c>
      <c r="L104"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104" s="1">
        <f ca="1">IF(DB_TBL_DATA_FIELDS[[#This Row],[SHEET_REF_CALC]]="","",IF(DB_TBL_DATA_FIELDS[[#This Row],[FIELD_EMPTY_FLAG]],IF(NOT(DB_TBL_DATA_FIELDS[[#This Row],[FIELD_REQ_FLAG]]),-1,1),IF(NOT(DB_TBL_DATA_FIELDS[[#This Row],[FIELD_VALID_FLAG]]),0,2)))</f>
        <v>-1</v>
      </c>
      <c r="N104" s="1" t="str">
        <f ca="1">IFERROR(VLOOKUP(DB_TBL_DATA_FIELDS[[#This Row],[FIELD_STATUS_CODE]],DB_TBL_CONFIG_FIELDSTATUSCODES[#All],3,FALSE),"")</f>
        <v>Optional</v>
      </c>
      <c r="O104" s="1" t="str">
        <f ca="1">IFERROR(VLOOKUP(DB_TBL_DATA_FIELDS[[#This Row],[FIELD_STATUS_CODE]],DB_TBL_CONFIG_FIELDSTATUSCODES[#All],4,FALSE),"")</f>
        <v xml:space="preserve"> </v>
      </c>
      <c r="P104" s="1" t="b">
        <f>TRUE</f>
        <v>1</v>
      </c>
      <c r="Q104" s="1" t="b">
        <f>TRUE</f>
        <v>1</v>
      </c>
      <c r="R104" s="1" t="s">
        <v>38</v>
      </c>
      <c r="S104" s="1">
        <f ca="1">IF(DB_TBL_DATA_FIELDS[[#This Row],[RANGE_VALIDATION_FLAG]]="Text",LEN(DB_TBL_DATA_FIELDS[[#This Row],[FIELD_VALUE_RAW]]),IFERROR(VALUE(DB_TBL_DATA_FIELDS[[#This Row],[FIELD_VALUE_RAW]]),-1))</f>
        <v>-1</v>
      </c>
      <c r="T104" s="1">
        <v>0</v>
      </c>
      <c r="U104" s="1">
        <v>999999999</v>
      </c>
      <c r="V104" s="1" t="b">
        <f ca="1">IF(NOT(DB_TBL_DATA_FIELDS[[#This Row],[RANGE_VALIDATION_ON_FLAG]]),TRUE,
AND(DB_TBL_DATA_FIELDS[[#This Row],[RANGE_VALUE_LEN]]&gt;=DB_TBL_DATA_FIELDS[[#This Row],[RANGE_VALIDATION_MIN]],DB_TBL_DATA_FIELDS[[#This Row],[RANGE_VALUE_LEN]]&lt;=DB_TBL_DATA_FIELDS[[#This Row],[RANGE_VALIDATION_MAX]]))</f>
        <v>0</v>
      </c>
      <c r="W104" s="1">
        <v>1</v>
      </c>
      <c r="X104" s="1">
        <f ca="1">IF(DB_TBL_DATA_FIELDS[[#This Row],[PCT_CALC_SHOW_STATUS_CODE]]=1,
DB_TBL_DATA_FIELDS[[#This Row],[FIELD_STATUS_CODE]],
IF(AND(DB_TBL_DATA_FIELDS[[#This Row],[PCT_CALC_SHOW_STATUS_CODE]]=2,DB_TBL_DATA_FIELDS[[#This Row],[FIELD_STATUS_CODE]]=0),
DB_TBL_DATA_FIELDS[[#This Row],[FIELD_STATUS_CODE]],
"")
)</f>
        <v>-1</v>
      </c>
    </row>
    <row r="105" spans="1:26" x14ac:dyDescent="0.2">
      <c r="A105" s="1" t="s">
        <v>9022</v>
      </c>
      <c r="B105" s="14" t="str">
        <f>IFERROR(IF(FIND(DATA_EFORM_SHEET_REF,DB_TBL_DATA_FIELDS[[#This Row],[APPLICABLE_EFORM_LIST]])&gt;0,DATA_EFORM_SHEET_REF,""),"")</f>
        <v>_</v>
      </c>
      <c r="C105" s="1" t="s">
        <v>2323</v>
      </c>
      <c r="D105" s="1" t="b">
        <v>1</v>
      </c>
      <c r="E105" s="16" t="b">
        <v>1</v>
      </c>
      <c r="F105" s="2" t="s">
        <v>2324</v>
      </c>
      <c r="G105" s="19" t="str">
        <f ca="1">IF(AND(DATA_HSEHLD_INC_AMT&lt;&gt;"",DATA_HSEHLD_INC_AMT&gt;=0,DATA_INC_MFI_AMT&lt;&gt;"",DATA_INC_MFI_AMT&gt;0),DATA_HSEHLD_INC_AMT/DATA_INC_MFI_AMT,"")</f>
        <v/>
      </c>
      <c r="I105" s="2" t="b">
        <f ca="1">(DB_TBL_DATA_FIELDS[[#This Row],[FIELD_VALUE_RAW]]="")</f>
        <v>1</v>
      </c>
      <c r="J105" s="2" t="s">
        <v>38</v>
      </c>
      <c r="K105" s="1" t="b">
        <f ca="1">AND(IF(DB_TBL_DATA_FIELDS[[#This Row],[FIELD_VALID_CUSTOM_LOGIC]]="",TRUE,DB_TBL_DATA_FIELDS[[#This Row],[FIELD_VALID_CUSTOM_LOGIC]]),DB_TBL_DATA_FIELDS[[#This Row],[RANGE_VALIDATION_PASSED_FLAG]])</f>
        <v>0</v>
      </c>
      <c r="L105"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105" s="1">
        <f ca="1">IF(DB_TBL_DATA_FIELDS[[#This Row],[SHEET_REF_CALC]]="","",IF(DB_TBL_DATA_FIELDS[[#This Row],[FIELD_EMPTY_FLAG]],IF(NOT(DB_TBL_DATA_FIELDS[[#This Row],[FIELD_REQ_FLAG]]),-1,1),IF(NOT(DB_TBL_DATA_FIELDS[[#This Row],[FIELD_VALID_FLAG]]),0,2)))</f>
        <v>1</v>
      </c>
      <c r="N105" s="1" t="str">
        <f ca="1">IFERROR(VLOOKUP(DB_TBL_DATA_FIELDS[[#This Row],[FIELD_STATUS_CODE]],DB_TBL_CONFIG_FIELDSTATUSCODES[#All],3,FALSE),"")</f>
        <v>Required</v>
      </c>
      <c r="O105" s="1" t="str">
        <f ca="1">IFERROR(VLOOKUP(DB_TBL_DATA_FIELDS[[#This Row],[FIELD_STATUS_CODE]],DB_TBL_CONFIG_FIELDSTATUSCODES[#All],4,FALSE),"")</f>
        <v>i</v>
      </c>
      <c r="P105" s="1" t="b">
        <f>TRUE</f>
        <v>1</v>
      </c>
      <c r="Q105" s="1" t="b">
        <f>TRUE</f>
        <v>1</v>
      </c>
      <c r="R105" s="1" t="s">
        <v>38</v>
      </c>
      <c r="S105" s="1">
        <f ca="1">IF(DB_TBL_DATA_FIELDS[[#This Row],[RANGE_VALIDATION_FLAG]]="Text",LEN(DB_TBL_DATA_FIELDS[[#This Row],[FIELD_VALUE_RAW]]),IFERROR(VALUE(DB_TBL_DATA_FIELDS[[#This Row],[FIELD_VALUE_RAW]]),-1))</f>
        <v>-1</v>
      </c>
      <c r="T105" s="1">
        <v>0</v>
      </c>
      <c r="U105" s="1">
        <v>999999999</v>
      </c>
      <c r="V105" s="1" t="b">
        <f ca="1">IF(NOT(DB_TBL_DATA_FIELDS[[#This Row],[RANGE_VALIDATION_ON_FLAG]]),TRUE,
AND(DB_TBL_DATA_FIELDS[[#This Row],[RANGE_VALUE_LEN]]&gt;=DB_TBL_DATA_FIELDS[[#This Row],[RANGE_VALIDATION_MIN]],DB_TBL_DATA_FIELDS[[#This Row],[RANGE_VALUE_LEN]]&lt;=DB_TBL_DATA_FIELDS[[#This Row],[RANGE_VALIDATION_MAX]]))</f>
        <v>0</v>
      </c>
      <c r="W105" s="1">
        <v>1</v>
      </c>
      <c r="X105" s="1">
        <f ca="1">IF(DB_TBL_DATA_FIELDS[[#This Row],[PCT_CALC_SHOW_STATUS_CODE]]=1,
DB_TBL_DATA_FIELDS[[#This Row],[FIELD_STATUS_CODE]],
IF(AND(DB_TBL_DATA_FIELDS[[#This Row],[PCT_CALC_SHOW_STATUS_CODE]]=2,DB_TBL_DATA_FIELDS[[#This Row],[FIELD_STATUS_CODE]]=0),
DB_TBL_DATA_FIELDS[[#This Row],[FIELD_STATUS_CODE]],
"")
)</f>
        <v>1</v>
      </c>
    </row>
    <row r="106" spans="1:26" x14ac:dyDescent="0.2">
      <c r="A106" s="1" t="s">
        <v>9022</v>
      </c>
      <c r="B106" s="14" t="str">
        <f>IFERROR(IF(FIND(DATA_EFORM_SHEET_REF,DB_TBL_DATA_FIELDS[[#This Row],[APPLICABLE_EFORM_LIST]])&gt;0,DATA_EFORM_SHEET_REF,""),"")</f>
        <v>_</v>
      </c>
      <c r="C106" s="1" t="s">
        <v>2720</v>
      </c>
      <c r="D106" s="1" t="b">
        <v>0</v>
      </c>
      <c r="E106" s="16" t="b">
        <v>1</v>
      </c>
      <c r="F106" s="2" t="s">
        <v>2722</v>
      </c>
      <c r="G106" s="2" t="str">
        <f ca="1">IFERROR(VLOOKUP(DB_TBL_DATA_FIELDS[[#This Row],[FIELD_ID]],INDIRECT(DB_TBL_DATA_FIELDS[[#This Row],[SHEET_REF_CALC]]&amp;"!A:B"),2,FALSE),"")</f>
        <v/>
      </c>
      <c r="I106" s="2" t="b">
        <f ca="1">(DB_TBL_DATA_FIELDS[[#This Row],[FIELD_VALUE_RAW]]="")</f>
        <v>1</v>
      </c>
      <c r="J106" s="2" t="s">
        <v>9</v>
      </c>
      <c r="K106" s="1" t="b">
        <f ca="1">AND(IF(DB_TBL_DATA_FIELDS[[#This Row],[FIELD_VALID_CUSTOM_LOGIC]]="",TRUE,DB_TBL_DATA_FIELDS[[#This Row],[FIELD_VALID_CUSTOM_LOGIC]]),DB_TBL_DATA_FIELDS[[#This Row],[RANGE_VALIDATION_PASSED_FLAG]])</f>
        <v>1</v>
      </c>
      <c r="L106"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106" s="1">
        <f ca="1">IF(DB_TBL_DATA_FIELDS[[#This Row],[SHEET_REF_CALC]]="","",IF(DB_TBL_DATA_FIELDS[[#This Row],[FIELD_EMPTY_FLAG]],IF(NOT(DB_TBL_DATA_FIELDS[[#This Row],[FIELD_REQ_FLAG]]),-1,1),IF(NOT(DB_TBL_DATA_FIELDS[[#This Row],[FIELD_VALID_FLAG]]),0,2)))</f>
        <v>1</v>
      </c>
      <c r="N106" s="1" t="str">
        <f ca="1">IFERROR(VLOOKUP(DB_TBL_DATA_FIELDS[[#This Row],[FIELD_STATUS_CODE]],DB_TBL_CONFIG_FIELDSTATUSCODES[#All],3,FALSE),"")</f>
        <v>Required</v>
      </c>
      <c r="O106" s="1" t="str">
        <f ca="1">IFERROR(VLOOKUP(DB_TBL_DATA_FIELDS[[#This Row],[FIELD_STATUS_CODE]],DB_TBL_CONFIG_FIELDSTATUSCODES[#All],4,FALSE),"")</f>
        <v>i</v>
      </c>
      <c r="P106" s="1" t="b">
        <f>TRUE</f>
        <v>1</v>
      </c>
      <c r="Q106" s="1" t="b">
        <f>TRUE</f>
        <v>1</v>
      </c>
      <c r="R106" s="1" t="s">
        <v>9</v>
      </c>
      <c r="S106" s="1">
        <f ca="1">IF(DB_TBL_DATA_FIELDS[[#This Row],[RANGE_VALIDATION_FLAG]]="Text",LEN(DB_TBL_DATA_FIELDS[[#This Row],[FIELD_VALUE_RAW]]),IFERROR(VALUE(DB_TBL_DATA_FIELDS[[#This Row],[FIELD_VALUE_RAW]]),-1))</f>
        <v>0</v>
      </c>
      <c r="T106" s="1">
        <v>0</v>
      </c>
      <c r="U106" s="1">
        <v>50</v>
      </c>
      <c r="V106" s="1" t="b">
        <f ca="1">IF(NOT(DB_TBL_DATA_FIELDS[[#This Row],[RANGE_VALIDATION_ON_FLAG]]),TRUE,
AND(DB_TBL_DATA_FIELDS[[#This Row],[RANGE_VALUE_LEN]]&gt;=DB_TBL_DATA_FIELDS[[#This Row],[RANGE_VALIDATION_MIN]],DB_TBL_DATA_FIELDS[[#This Row],[RANGE_VALUE_LEN]]&lt;=DB_TBL_DATA_FIELDS[[#This Row],[RANGE_VALIDATION_MAX]]))</f>
        <v>1</v>
      </c>
      <c r="W106" s="1">
        <v>1</v>
      </c>
      <c r="X106" s="1">
        <f ca="1">IF(DB_TBL_DATA_FIELDS[[#This Row],[PCT_CALC_SHOW_STATUS_CODE]]=1,
DB_TBL_DATA_FIELDS[[#This Row],[FIELD_STATUS_CODE]],
IF(AND(DB_TBL_DATA_FIELDS[[#This Row],[PCT_CALC_SHOW_STATUS_CODE]]=2,DB_TBL_DATA_FIELDS[[#This Row],[FIELD_STATUS_CODE]]=0),
DB_TBL_DATA_FIELDS[[#This Row],[FIELD_STATUS_CODE]],
"")
)</f>
        <v>1</v>
      </c>
    </row>
    <row r="107" spans="1:26" x14ac:dyDescent="0.2">
      <c r="A107" s="1" t="s">
        <v>9022</v>
      </c>
      <c r="B107" s="14" t="str">
        <f>IFERROR(IF(FIND(DATA_EFORM_SHEET_REF,DB_TBL_DATA_FIELDS[[#This Row],[APPLICABLE_EFORM_LIST]])&gt;0,DATA_EFORM_SHEET_REF,""),"")</f>
        <v>_</v>
      </c>
      <c r="C107" s="1" t="s">
        <v>2721</v>
      </c>
      <c r="D107" s="1" t="b">
        <v>0</v>
      </c>
      <c r="E107" s="81" t="b">
        <f ca="1">(DATA_NONPROF_AGCY_NAME_SELECT=COUNSELING_AGENCY_NAME_OTHER)</f>
        <v>0</v>
      </c>
      <c r="F107" s="2" t="s">
        <v>2723</v>
      </c>
      <c r="G107" s="2" t="str">
        <f ca="1">IFERROR(VLOOKUP(DB_TBL_DATA_FIELDS[[#This Row],[FIELD_ID]],INDIRECT(DB_TBL_DATA_FIELDS[[#This Row],[SHEET_REF_CALC]]&amp;"!A:B"),2,FALSE),"")</f>
        <v/>
      </c>
      <c r="H107" s="19" t="str">
        <f ca="1">IF(NOT(DB_TBL_DATA_FIELDS[[#This Row],[FIELD_EMPTY_FLAG]]),DB_TBL_DATA_FIELDS[[#This Row],[FIELD_REQ_FLAG]],"")</f>
        <v/>
      </c>
      <c r="I107" s="2" t="b">
        <f ca="1">(DB_TBL_DATA_FIELDS[[#This Row],[FIELD_VALUE_RAW]]="")</f>
        <v>1</v>
      </c>
      <c r="J107" s="2" t="s">
        <v>9</v>
      </c>
      <c r="K107" s="1" t="b">
        <f ca="1">AND(IF(DB_TBL_DATA_FIELDS[[#This Row],[FIELD_VALID_CUSTOM_LOGIC]]="",TRUE,DB_TBL_DATA_FIELDS[[#This Row],[FIELD_VALID_CUSTOM_LOGIC]]),DB_TBL_DATA_FIELDS[[#This Row],[RANGE_VALIDATION_PASSED_FLAG]])</f>
        <v>1</v>
      </c>
      <c r="L107"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107" s="1">
        <f ca="1">IF(DB_TBL_DATA_FIELDS[[#This Row],[SHEET_REF_CALC]]="","",IF(DB_TBL_DATA_FIELDS[[#This Row],[FIELD_EMPTY_FLAG]],IF(NOT(DB_TBL_DATA_FIELDS[[#This Row],[FIELD_REQ_FLAG]]),-1,1),IF(NOT(DB_TBL_DATA_FIELDS[[#This Row],[FIELD_VALID_FLAG]]),0,2)))</f>
        <v>-1</v>
      </c>
      <c r="N107" s="1" t="str">
        <f ca="1">IFERROR(VLOOKUP(DB_TBL_DATA_FIELDS[[#This Row],[FIELD_STATUS_CODE]],DB_TBL_CONFIG_FIELDSTATUSCODES[#All],3,FALSE),"")</f>
        <v>Optional</v>
      </c>
      <c r="O107" s="1" t="str">
        <f ca="1">IFERROR(VLOOKUP(DB_TBL_DATA_FIELDS[[#This Row],[FIELD_STATUS_CODE]],DB_TBL_CONFIG_FIELDSTATUSCODES[#All],4,FALSE),"")</f>
        <v xml:space="preserve"> </v>
      </c>
      <c r="P107" s="1" t="b">
        <f>TRUE</f>
        <v>1</v>
      </c>
      <c r="Q107" s="1" t="b">
        <f>TRUE</f>
        <v>1</v>
      </c>
      <c r="R107" s="1" t="s">
        <v>9</v>
      </c>
      <c r="S107" s="1">
        <f ca="1">IF(DB_TBL_DATA_FIELDS[[#This Row],[RANGE_VALIDATION_FLAG]]="Text",LEN(DB_TBL_DATA_FIELDS[[#This Row],[FIELD_VALUE_RAW]]),IFERROR(VALUE(DB_TBL_DATA_FIELDS[[#This Row],[FIELD_VALUE_RAW]]),-1))</f>
        <v>0</v>
      </c>
      <c r="T107" s="1">
        <v>0</v>
      </c>
      <c r="U107" s="1">
        <v>50</v>
      </c>
      <c r="V107" s="1" t="b">
        <f ca="1">IF(NOT(DB_TBL_DATA_FIELDS[[#This Row],[RANGE_VALIDATION_ON_FLAG]]),TRUE,
AND(DB_TBL_DATA_FIELDS[[#This Row],[RANGE_VALUE_LEN]]&gt;=DB_TBL_DATA_FIELDS[[#This Row],[RANGE_VALIDATION_MIN]],DB_TBL_DATA_FIELDS[[#This Row],[RANGE_VALUE_LEN]]&lt;=DB_TBL_DATA_FIELDS[[#This Row],[RANGE_VALIDATION_MAX]]))</f>
        <v>1</v>
      </c>
      <c r="W107" s="1">
        <v>1</v>
      </c>
      <c r="X107" s="1">
        <f ca="1">IF(DB_TBL_DATA_FIELDS[[#This Row],[PCT_CALC_SHOW_STATUS_CODE]]=1,
DB_TBL_DATA_FIELDS[[#This Row],[FIELD_STATUS_CODE]],
IF(AND(DB_TBL_DATA_FIELDS[[#This Row],[PCT_CALC_SHOW_STATUS_CODE]]=2,DB_TBL_DATA_FIELDS[[#This Row],[FIELD_STATUS_CODE]]=0),
DB_TBL_DATA_FIELDS[[#This Row],[FIELD_STATUS_CODE]],
"")
)</f>
        <v>-1</v>
      </c>
    </row>
    <row r="108" spans="1:26" x14ac:dyDescent="0.2">
      <c r="A108" s="1" t="s">
        <v>9022</v>
      </c>
      <c r="B108" s="14" t="str">
        <f>IFERROR(IF(FIND(DATA_EFORM_SHEET_REF,DB_TBL_DATA_FIELDS[[#This Row],[APPLICABLE_EFORM_LIST]])&gt;0,DATA_EFORM_SHEET_REF,""),"")</f>
        <v>_</v>
      </c>
      <c r="C108" s="1" t="s">
        <v>2290</v>
      </c>
      <c r="D108" s="1" t="b">
        <v>1</v>
      </c>
      <c r="E108" s="16" t="b">
        <v>1</v>
      </c>
      <c r="F108" s="2" t="s">
        <v>2724</v>
      </c>
      <c r="G108" s="19" t="str">
        <f ca="1">IF(DATA_NONPROF_AGCY_NAME_SELECT="","",
IF(DATA_NONPROF_AGCY_NAME_SELECT=COUNSELING_AGENCY_NAME_OTHER,DATA_NONPROF_AGCY_NAME_OTHER,DATA_NONPROF_AGCY_NAME_SELECT))</f>
        <v/>
      </c>
      <c r="I108" s="2" t="b">
        <f ca="1">(DB_TBL_DATA_FIELDS[[#This Row],[FIELD_VALUE_RAW]]="")</f>
        <v>1</v>
      </c>
      <c r="J108" s="2" t="s">
        <v>9</v>
      </c>
      <c r="K108" s="1" t="b">
        <f ca="1">AND(IF(DB_TBL_DATA_FIELDS[[#This Row],[FIELD_VALID_CUSTOM_LOGIC]]="",TRUE,DB_TBL_DATA_FIELDS[[#This Row],[FIELD_VALID_CUSTOM_LOGIC]]),DB_TBL_DATA_FIELDS[[#This Row],[RANGE_VALIDATION_PASSED_FLAG]])</f>
        <v>1</v>
      </c>
      <c r="L108"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108" s="1">
        <f ca="1">IF(DB_TBL_DATA_FIELDS[[#This Row],[SHEET_REF_CALC]]="","",IF(DB_TBL_DATA_FIELDS[[#This Row],[FIELD_EMPTY_FLAG]],IF(NOT(DB_TBL_DATA_FIELDS[[#This Row],[FIELD_REQ_FLAG]]),-1,1),IF(NOT(DB_TBL_DATA_FIELDS[[#This Row],[FIELD_VALID_FLAG]]),0,2)))</f>
        <v>1</v>
      </c>
      <c r="N108" s="1" t="str">
        <f ca="1">IFERROR(VLOOKUP(DB_TBL_DATA_FIELDS[[#This Row],[FIELD_STATUS_CODE]],DB_TBL_CONFIG_FIELDSTATUSCODES[#All],3,FALSE),"")</f>
        <v>Required</v>
      </c>
      <c r="O108" s="1" t="str">
        <f ca="1">IFERROR(VLOOKUP(DB_TBL_DATA_FIELDS[[#This Row],[FIELD_STATUS_CODE]],DB_TBL_CONFIG_FIELDSTATUSCODES[#All],4,FALSE),"")</f>
        <v>i</v>
      </c>
      <c r="P108" s="1" t="b">
        <f>TRUE</f>
        <v>1</v>
      </c>
      <c r="Q108" s="1" t="b">
        <f>TRUE</f>
        <v>1</v>
      </c>
      <c r="R108" s="1" t="s">
        <v>9</v>
      </c>
      <c r="S108" s="1">
        <f ca="1">IF(DB_TBL_DATA_FIELDS[[#This Row],[RANGE_VALIDATION_FLAG]]="Text",LEN(DB_TBL_DATA_FIELDS[[#This Row],[FIELD_VALUE_RAW]]),IFERROR(VALUE(DB_TBL_DATA_FIELDS[[#This Row],[FIELD_VALUE_RAW]]),-1))</f>
        <v>0</v>
      </c>
      <c r="T108" s="1">
        <v>0</v>
      </c>
      <c r="U108" s="1">
        <v>50</v>
      </c>
      <c r="V108" s="1" t="b">
        <f ca="1">IF(NOT(DB_TBL_DATA_FIELDS[[#This Row],[RANGE_VALIDATION_ON_FLAG]]),TRUE,
AND(DB_TBL_DATA_FIELDS[[#This Row],[RANGE_VALUE_LEN]]&gt;=DB_TBL_DATA_FIELDS[[#This Row],[RANGE_VALIDATION_MIN]],DB_TBL_DATA_FIELDS[[#This Row],[RANGE_VALUE_LEN]]&lt;=DB_TBL_DATA_FIELDS[[#This Row],[RANGE_VALIDATION_MAX]]))</f>
        <v>1</v>
      </c>
      <c r="W108" s="1">
        <v>0</v>
      </c>
      <c r="X108" s="1" t="str">
        <f ca="1">IF(DB_TBL_DATA_FIELDS[[#This Row],[PCT_CALC_SHOW_STATUS_CODE]]=1,
DB_TBL_DATA_FIELDS[[#This Row],[FIELD_STATUS_CODE]],
IF(AND(DB_TBL_DATA_FIELDS[[#This Row],[PCT_CALC_SHOW_STATUS_CODE]]=2,DB_TBL_DATA_FIELDS[[#This Row],[FIELD_STATUS_CODE]]=0),
DB_TBL_DATA_FIELDS[[#This Row],[FIELD_STATUS_CODE]],
"")
)</f>
        <v/>
      </c>
    </row>
    <row r="109" spans="1:26" ht="13.5" thickBot="1" x14ac:dyDescent="0.25">
      <c r="A109" s="145" t="s">
        <v>9022</v>
      </c>
      <c r="B109" s="102" t="str">
        <f>IFERROR(IF(FIND(DATA_EFORM_SHEET_REF,DB_TBL_DATA_FIELDS[[#This Row],[APPLICABLE_EFORM_LIST]])&gt;0,DATA_EFORM_SHEET_REF,""),"")</f>
        <v>_</v>
      </c>
      <c r="C109" s="145" t="s">
        <v>2342</v>
      </c>
      <c r="D109" s="145" t="b">
        <v>1</v>
      </c>
      <c r="E109" s="146" t="b">
        <v>1</v>
      </c>
      <c r="F109" s="147" t="s">
        <v>2343</v>
      </c>
      <c r="G109" s="147" t="str">
        <f ca="1">IFERROR(VLOOKUP(DB_TBL_DATA_FIELDS[[#This Row],[FIELD_ID]],INDIRECT(DB_TBL_DATA_FIELDS[[#This Row],[SHEET_REF_CALC]]&amp;"!A:B"),2,FALSE),"")</f>
        <v/>
      </c>
      <c r="H109" s="160" t="str">
        <f ca="1">IF(AND(DATA_CNSLNG_COMPLETE_DATE&lt;&gt;"",DATA_RESERVATION_DATE&lt;&gt;""),
IF(OR(DATA_CNSLNG_COMPLETE_DATE&gt;DATA_RESERVATION_DATE,DATA_CNSLNG_COMPLETE_DATE&lt;DATE(YEAR(DATA_RESERVATION_DATE)-CONFIG_COUNSEL_DATE_AGE_MAX,MONTH(DATA_RESERVATION_DATE),DAY(DATA_RESERVATION_DATE))),FALSE,TRUE),"")</f>
        <v/>
      </c>
      <c r="I109" s="147" t="b">
        <f ca="1">(DB_TBL_DATA_FIELDS[[#This Row],[FIELD_VALUE_RAW]]="")</f>
        <v>1</v>
      </c>
      <c r="J109" s="147" t="s">
        <v>31</v>
      </c>
      <c r="K109" s="145" t="b">
        <f ca="1">AND(IF(DB_TBL_DATA_FIELDS[[#This Row],[FIELD_VALID_CUSTOM_LOGIC]]="",TRUE,DB_TBL_DATA_FIELDS[[#This Row],[FIELD_VALID_CUSTOM_LOGIC]]),DB_TBL_DATA_FIELDS[[#This Row],[RANGE_VALIDATION_PASSED_FLAG]])</f>
        <v>1</v>
      </c>
      <c r="L109" s="147"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109" s="145">
        <f ca="1">IF(DB_TBL_DATA_FIELDS[[#This Row],[SHEET_REF_CALC]]="","",IF(DB_TBL_DATA_FIELDS[[#This Row],[FIELD_EMPTY_FLAG]],IF(NOT(DB_TBL_DATA_FIELDS[[#This Row],[FIELD_REQ_FLAG]]),-1,1),IF(NOT(DB_TBL_DATA_FIELDS[[#This Row],[FIELD_VALID_FLAG]]),0,2)))</f>
        <v>1</v>
      </c>
      <c r="N109" s="145" t="str">
        <f ca="1">IFERROR(VLOOKUP(DB_TBL_DATA_FIELDS[[#This Row],[FIELD_STATUS_CODE]],DB_TBL_CONFIG_FIELDSTATUSCODES[#All],3,FALSE),"")</f>
        <v>Required</v>
      </c>
      <c r="O109" s="145" t="str">
        <f ca="1">IFERROR(VLOOKUP(DB_TBL_DATA_FIELDS[[#This Row],[FIELD_STATUS_CODE]],DB_TBL_CONFIG_FIELDSTATUSCODES[#All],4,FALSE),"")</f>
        <v>i</v>
      </c>
      <c r="P109" s="145" t="b">
        <f>TRUE</f>
        <v>1</v>
      </c>
      <c r="Q109" s="145" t="b">
        <v>0</v>
      </c>
      <c r="R109" s="145"/>
      <c r="S109" s="145">
        <f ca="1">IF(DB_TBL_DATA_FIELDS[[#This Row],[RANGE_VALIDATION_FLAG]]="Text",LEN(DB_TBL_DATA_FIELDS[[#This Row],[FIELD_VALUE_RAW]]),IFERROR(VALUE(DB_TBL_DATA_FIELDS[[#This Row],[FIELD_VALUE_RAW]]),-1))</f>
        <v>-1</v>
      </c>
      <c r="T109" s="145"/>
      <c r="U109" s="145"/>
      <c r="V109" s="145" t="b">
        <f>IF(NOT(DB_TBL_DATA_FIELDS[[#This Row],[RANGE_VALIDATION_ON_FLAG]]),TRUE,
AND(DB_TBL_DATA_FIELDS[[#This Row],[RANGE_VALUE_LEN]]&gt;=DB_TBL_DATA_FIELDS[[#This Row],[RANGE_VALIDATION_MIN]],DB_TBL_DATA_FIELDS[[#This Row],[RANGE_VALUE_LEN]]&lt;=DB_TBL_DATA_FIELDS[[#This Row],[RANGE_VALIDATION_MAX]]))</f>
        <v>1</v>
      </c>
      <c r="W109" s="145">
        <v>1</v>
      </c>
      <c r="X109" s="145">
        <f ca="1">IF(DB_TBL_DATA_FIELDS[[#This Row],[PCT_CALC_SHOW_STATUS_CODE]]=1,
DB_TBL_DATA_FIELDS[[#This Row],[FIELD_STATUS_CODE]],
IF(AND(DB_TBL_DATA_FIELDS[[#This Row],[PCT_CALC_SHOW_STATUS_CODE]]=2,DB_TBL_DATA_FIELDS[[#This Row],[FIELD_STATUS_CODE]]=0),
DB_TBL_DATA_FIELDS[[#This Row],[FIELD_STATUS_CODE]],
"")
)</f>
        <v>1</v>
      </c>
      <c r="Y109" s="145" t="str">
        <f ca="1">IF(DB_TBL_DATA_FIELDS[[#This Row],[FIELD_STATUS_CODE]]=0,IF(NOT(DB_TBL_DATA_FIELDS[[#This Row],[FIELD_VALID_CUSTOM_LOGIC]]),
IF(DATA_CNSLNG_COMPLETE_DATE&gt;DATA_RESERVATION_DATE,"Must not be after Reservation Submission Date","Must be within "&amp;CONFIG_COUNSEL_DATE_AGE_MAX&amp;" year"&amp;IF(CONFIG_COUNSEL_DATE_AGE_MAX&lt;&gt;1,"s","")&amp;" of Reservation Submission Date"),""),"")</f>
        <v/>
      </c>
      <c r="Z109" s="145"/>
    </row>
    <row r="110" spans="1:26" x14ac:dyDescent="0.2">
      <c r="A110" s="1" t="s">
        <v>9042</v>
      </c>
      <c r="B110" s="14" t="str">
        <f>IFERROR(IF(FIND(DATA_EFORM_SHEET_REF,DB_TBL_DATA_FIELDS[[#This Row],[APPLICABLE_EFORM_LIST]])&gt;0,DATA_EFORM_SHEET_REF,""),"")</f>
        <v>_</v>
      </c>
      <c r="C110" s="1" t="s">
        <v>2487</v>
      </c>
      <c r="D110" s="1" t="b">
        <v>1</v>
      </c>
      <c r="E110" s="16" t="b">
        <v>1</v>
      </c>
      <c r="F110" s="2" t="s">
        <v>2488</v>
      </c>
      <c r="G110" s="2" t="str">
        <f ca="1">IFERROR(VLOOKUP(DB_TBL_DATA_FIELDS[[#This Row],[FIELD_ID]],INDIRECT(DB_TBL_DATA_FIELDS[[#This Row],[SHEET_REF_CALC]]&amp;"!A:B"),2,FALSE),"")</f>
        <v/>
      </c>
      <c r="I110" s="2" t="b">
        <f ca="1">(DB_TBL_DATA_FIELDS[[#This Row],[FIELD_VALUE_RAW]]="")</f>
        <v>1</v>
      </c>
      <c r="J110" s="2" t="s">
        <v>9</v>
      </c>
      <c r="K110" s="1" t="b">
        <f ca="1">AND(IF(DB_TBL_DATA_FIELDS[[#This Row],[FIELD_VALID_CUSTOM_LOGIC]]="",TRUE,DB_TBL_DATA_FIELDS[[#This Row],[FIELD_VALID_CUSTOM_LOGIC]]),DB_TBL_DATA_FIELDS[[#This Row],[RANGE_VALIDATION_PASSED_FLAG]])</f>
        <v>0</v>
      </c>
      <c r="L110"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110" s="1">
        <f ca="1">IF(DB_TBL_DATA_FIELDS[[#This Row],[SHEET_REF_CALC]]="","",IF(DB_TBL_DATA_FIELDS[[#This Row],[FIELD_EMPTY_FLAG]],IF(NOT(DB_TBL_DATA_FIELDS[[#This Row],[FIELD_REQ_FLAG]]),-1,1),IF(NOT(DB_TBL_DATA_FIELDS[[#This Row],[FIELD_VALID_FLAG]]),0,2)))</f>
        <v>1</v>
      </c>
      <c r="N110" s="1" t="str">
        <f ca="1">IFERROR(VLOOKUP(DB_TBL_DATA_FIELDS[[#This Row],[FIELD_STATUS_CODE]],DB_TBL_CONFIG_FIELDSTATUSCODES[#All],3,FALSE),"")</f>
        <v>Required</v>
      </c>
      <c r="O110" s="1" t="str">
        <f ca="1">IFERROR(VLOOKUP(DB_TBL_DATA_FIELDS[[#This Row],[FIELD_STATUS_CODE]],DB_TBL_CONFIG_FIELDSTATUSCODES[#All],4,FALSE),"")</f>
        <v>i</v>
      </c>
      <c r="P110" s="1" t="b">
        <f>TRUE</f>
        <v>1</v>
      </c>
      <c r="Q110" s="1" t="b">
        <f>TRUE</f>
        <v>1</v>
      </c>
      <c r="R110" s="1" t="s">
        <v>9</v>
      </c>
      <c r="S110" s="1">
        <f ca="1">IF(DB_TBL_DATA_FIELDS[[#This Row],[RANGE_VALIDATION_FLAG]]="Text",LEN(DB_TBL_DATA_FIELDS[[#This Row],[FIELD_VALUE_RAW]]),IFERROR(VALUE(DB_TBL_DATA_FIELDS[[#This Row],[FIELD_VALUE_RAW]]),-1))</f>
        <v>0</v>
      </c>
      <c r="T110" s="1">
        <v>1</v>
      </c>
      <c r="U110" s="1">
        <v>400</v>
      </c>
      <c r="V110" s="1" t="b">
        <f ca="1">IF(NOT(DB_TBL_DATA_FIELDS[[#This Row],[RANGE_VALIDATION_ON_FLAG]]),TRUE,
AND(DB_TBL_DATA_FIELDS[[#This Row],[RANGE_VALUE_LEN]]&gt;=DB_TBL_DATA_FIELDS[[#This Row],[RANGE_VALIDATION_MIN]],DB_TBL_DATA_FIELDS[[#This Row],[RANGE_VALUE_LEN]]&lt;=DB_TBL_DATA_FIELDS[[#This Row],[RANGE_VALIDATION_MAX]]))</f>
        <v>0</v>
      </c>
      <c r="W110" s="1">
        <v>1</v>
      </c>
      <c r="X110" s="1">
        <f ca="1">IF(DB_TBL_DATA_FIELDS[[#This Row],[PCT_CALC_SHOW_STATUS_CODE]]=1,
DB_TBL_DATA_FIELDS[[#This Row],[FIELD_STATUS_CODE]],
IF(AND(DB_TBL_DATA_FIELDS[[#This Row],[PCT_CALC_SHOW_STATUS_CODE]]=2,DB_TBL_DATA_FIELDS[[#This Row],[FIELD_STATUS_CODE]]=0),
DB_TBL_DATA_FIELDS[[#This Row],[FIELD_STATUS_CODE]],
"")
)</f>
        <v>1</v>
      </c>
    </row>
    <row r="111" spans="1:26" x14ac:dyDescent="0.2">
      <c r="A111" s="1" t="s">
        <v>9042</v>
      </c>
      <c r="B111" s="14" t="str">
        <f>IFERROR(IF(FIND(DATA_EFORM_SHEET_REF,DB_TBL_DATA_FIELDS[[#This Row],[APPLICABLE_EFORM_LIST]])&gt;0,DATA_EFORM_SHEET_REF,""),"")</f>
        <v>_</v>
      </c>
      <c r="C111" s="1" t="s">
        <v>2844</v>
      </c>
      <c r="D111" s="1" t="b">
        <v>1</v>
      </c>
      <c r="E111" s="16" t="b">
        <v>0</v>
      </c>
      <c r="F111" s="2" t="s">
        <v>2846</v>
      </c>
      <c r="G111" s="2" t="str">
        <f ca="1">IFERROR(VLOOKUP(DB_TBL_DATA_FIELDS[[#This Row],[FIELD_ID]],INDIRECT(DB_TBL_DATA_FIELDS[[#This Row],[SHEET_REF_CALC]]&amp;"!A:B"),2,FALSE),"")</f>
        <v/>
      </c>
      <c r="I111" s="2" t="b">
        <f ca="1">(DB_TBL_DATA_FIELDS[[#This Row],[FIELD_VALUE_RAW]]="")</f>
        <v>1</v>
      </c>
      <c r="J111" s="2" t="s">
        <v>137</v>
      </c>
      <c r="K111" s="1" t="b">
        <f>AND(IF(DB_TBL_DATA_FIELDS[[#This Row],[FIELD_VALID_CUSTOM_LOGIC]]="",TRUE,DB_TBL_DATA_FIELDS[[#This Row],[FIELD_VALID_CUSTOM_LOGIC]]),DB_TBL_DATA_FIELDS[[#This Row],[RANGE_VALIDATION_PASSED_FLAG]])</f>
        <v>1</v>
      </c>
      <c r="L111"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111" s="1">
        <f ca="1">IF(DB_TBL_DATA_FIELDS[[#This Row],[SHEET_REF_CALC]]="","",IF(DB_TBL_DATA_FIELDS[[#This Row],[FIELD_EMPTY_FLAG]],IF(NOT(DB_TBL_DATA_FIELDS[[#This Row],[FIELD_REQ_FLAG]]),-1,1),IF(NOT(DB_TBL_DATA_FIELDS[[#This Row],[FIELD_VALID_FLAG]]),0,2)))</f>
        <v>-1</v>
      </c>
      <c r="N111" s="1" t="str">
        <f ca="1">IFERROR(VLOOKUP(DB_TBL_DATA_FIELDS[[#This Row],[FIELD_STATUS_CODE]],DB_TBL_CONFIG_FIELDSTATUSCODES[#All],3,FALSE),"")</f>
        <v>Optional</v>
      </c>
      <c r="O111" s="1" t="str">
        <f ca="1">IFERROR(VLOOKUP(DB_TBL_DATA_FIELDS[[#This Row],[FIELD_STATUS_CODE]],DB_TBL_CONFIG_FIELDSTATUSCODES[#All],4,FALSE),"")</f>
        <v xml:space="preserve"> </v>
      </c>
      <c r="P111" s="1" t="b">
        <f>TRUE</f>
        <v>1</v>
      </c>
      <c r="Q111" s="1" t="b">
        <v>0</v>
      </c>
      <c r="S111" s="1">
        <f ca="1">IF(DB_TBL_DATA_FIELDS[[#This Row],[RANGE_VALIDATION_FLAG]]="Text",LEN(DB_TBL_DATA_FIELDS[[#This Row],[FIELD_VALUE_RAW]]),IFERROR(VALUE(DB_TBL_DATA_FIELDS[[#This Row],[FIELD_VALUE_RAW]]),-1))</f>
        <v>-1</v>
      </c>
      <c r="V111" s="1" t="b">
        <f>IF(NOT(DB_TBL_DATA_FIELDS[[#This Row],[RANGE_VALIDATION_ON_FLAG]]),TRUE,
AND(DB_TBL_DATA_FIELDS[[#This Row],[RANGE_VALUE_LEN]]&gt;=DB_TBL_DATA_FIELDS[[#This Row],[RANGE_VALIDATION_MIN]],DB_TBL_DATA_FIELDS[[#This Row],[RANGE_VALUE_LEN]]&lt;=DB_TBL_DATA_FIELDS[[#This Row],[RANGE_VALIDATION_MAX]]))</f>
        <v>1</v>
      </c>
      <c r="W111" s="1">
        <v>1</v>
      </c>
      <c r="X111" s="1">
        <f ca="1">IF(DB_TBL_DATA_FIELDS[[#This Row],[PCT_CALC_SHOW_STATUS_CODE]]=1,
DB_TBL_DATA_FIELDS[[#This Row],[FIELD_STATUS_CODE]],
IF(AND(DB_TBL_DATA_FIELDS[[#This Row],[PCT_CALC_SHOW_STATUS_CODE]]=2,DB_TBL_DATA_FIELDS[[#This Row],[FIELD_STATUS_CODE]]=0),
DB_TBL_DATA_FIELDS[[#This Row],[FIELD_STATUS_CODE]],
"")
)</f>
        <v>-1</v>
      </c>
      <c r="Y111" s="1" t="str">
        <f ca="1">IF(DB_TBL_DATA_FIELDS[[#This Row],[FIELD_STATUS_CODE]]=0,IF(NOT(DB_TBL_DATA_FIELDS[[#This Row],[FIELD_VALID_CUSTOM_LOGIC]]),
IF(IFERROR(SEARCH(".",RIGHT(DB_TBL_DATA_FIELDS[[#This Row],[FIELD_VALUE_RAW]],2)),0)&gt;0,"Invalid Domain Extension",
 IF(IFERROR(SEARCH("@",DB_TBL_DATA_FIELDS[[#This Row],[FIELD_VALUE_RAW]]),0)=0,"Missing '@' In Address",
  IF(IFERROR(SEARCH(".",DB_TBL_DATA_FIELDS[[#This Row],[FIELD_VALUE_RAW]],(SEARCH("@",DB_TBL_DATA_FIELDS[[#This Row],[FIELD_VALUE_RAW]],1))+2),0)=0,"Invalid Domain Name","Invalid Email Address")))),"")</f>
        <v/>
      </c>
    </row>
    <row r="112" spans="1:26" ht="13.5" thickBot="1" x14ac:dyDescent="0.25">
      <c r="A112" s="98" t="s">
        <v>9042</v>
      </c>
      <c r="B112" s="102" t="str">
        <f>IFERROR(IF(FIND(DATA_EFORM_SHEET_REF,DB_TBL_DATA_FIELDS[[#This Row],[APPLICABLE_EFORM_LIST]])&gt;0,DATA_EFORM_SHEET_REF,""),"")</f>
        <v>_</v>
      </c>
      <c r="C112" s="98" t="s">
        <v>2845</v>
      </c>
      <c r="D112" s="98" t="b">
        <v>1</v>
      </c>
      <c r="E112" s="158" t="b">
        <f ca="1">(DATA_ADL_ICW_FLAG=TRUE)</f>
        <v>0</v>
      </c>
      <c r="F112" s="100" t="s">
        <v>2847</v>
      </c>
      <c r="G112" s="100" t="str">
        <f ca="1">IFERROR(VLOOKUP(DB_TBL_DATA_FIELDS[[#This Row],[FIELD_ID]],INDIRECT(DB_TBL_DATA_FIELDS[[#This Row],[SHEET_REF_CALC]]&amp;"!A:B"),2,FALSE),"")</f>
        <v/>
      </c>
      <c r="H112" s="101" t="str">
        <f ca="1">IF(NOT(DB_TBL_DATA_FIELDS[[#This Row],[FIELD_EMPTY_FLAG]]),DB_TBL_DATA_FIELDS[[#This Row],[FIELD_REQ_FLAG]],"")</f>
        <v/>
      </c>
      <c r="I112" s="100" t="b">
        <f ca="1">(DB_TBL_DATA_FIELDS[[#This Row],[FIELD_VALUE_RAW]]="")</f>
        <v>1</v>
      </c>
      <c r="J112" s="100" t="s">
        <v>31</v>
      </c>
      <c r="K112" s="98" t="b">
        <f ca="1">AND(IF(DB_TBL_DATA_FIELDS[[#This Row],[FIELD_VALID_CUSTOM_LOGIC]]="",TRUE,DB_TBL_DATA_FIELDS[[#This Row],[FIELD_VALID_CUSTOM_LOGIC]]),DB_TBL_DATA_FIELDS[[#This Row],[RANGE_VALIDATION_PASSED_FLAG]])</f>
        <v>1</v>
      </c>
      <c r="L112" s="100"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112" s="98">
        <f ca="1">IF(DB_TBL_DATA_FIELDS[[#This Row],[SHEET_REF_CALC]]="","",IF(DB_TBL_DATA_FIELDS[[#This Row],[FIELD_EMPTY_FLAG]],IF(NOT(DB_TBL_DATA_FIELDS[[#This Row],[FIELD_REQ_FLAG]]),-1,1),IF(NOT(DB_TBL_DATA_FIELDS[[#This Row],[FIELD_VALID_FLAG]]),0,2)))</f>
        <v>-1</v>
      </c>
      <c r="N112" s="98" t="str">
        <f ca="1">IFERROR(VLOOKUP(DB_TBL_DATA_FIELDS[[#This Row],[FIELD_STATUS_CODE]],DB_TBL_CONFIG_FIELDSTATUSCODES[#All],3,FALSE),"")</f>
        <v>Optional</v>
      </c>
      <c r="O112" s="98" t="str">
        <f ca="1">IFERROR(VLOOKUP(DB_TBL_DATA_FIELDS[[#This Row],[FIELD_STATUS_CODE]],DB_TBL_CONFIG_FIELDSTATUSCODES[#All],4,FALSE),"")</f>
        <v xml:space="preserve"> </v>
      </c>
      <c r="P112" s="98" t="b">
        <f>TRUE</f>
        <v>1</v>
      </c>
      <c r="Q112" s="98" t="b">
        <v>0</v>
      </c>
      <c r="R112" s="98"/>
      <c r="S112" s="98">
        <f ca="1">IF(DB_TBL_DATA_FIELDS[[#This Row],[RANGE_VALIDATION_FLAG]]="Text",LEN(DB_TBL_DATA_FIELDS[[#This Row],[FIELD_VALUE_RAW]]),IFERROR(VALUE(DB_TBL_DATA_FIELDS[[#This Row],[FIELD_VALUE_RAW]]),-1))</f>
        <v>-1</v>
      </c>
      <c r="T112" s="98"/>
      <c r="U112" s="98"/>
      <c r="V112" s="98" t="b">
        <f>IF(NOT(DB_TBL_DATA_FIELDS[[#This Row],[RANGE_VALIDATION_ON_FLAG]]),TRUE,
AND(DB_TBL_DATA_FIELDS[[#This Row],[RANGE_VALUE_LEN]]&gt;=DB_TBL_DATA_FIELDS[[#This Row],[RANGE_VALIDATION_MIN]],DB_TBL_DATA_FIELDS[[#This Row],[RANGE_VALUE_LEN]]&lt;=DB_TBL_DATA_FIELDS[[#This Row],[RANGE_VALIDATION_MAX]]))</f>
        <v>1</v>
      </c>
      <c r="W112" s="98">
        <v>1</v>
      </c>
      <c r="X112" s="98">
        <f ca="1">IF(DB_TBL_DATA_FIELDS[[#This Row],[PCT_CALC_SHOW_STATUS_CODE]]=1,
DB_TBL_DATA_FIELDS[[#This Row],[FIELD_STATUS_CODE]],
IF(AND(DB_TBL_DATA_FIELDS[[#This Row],[PCT_CALC_SHOW_STATUS_CODE]]=2,DB_TBL_DATA_FIELDS[[#This Row],[FIELD_STATUS_CODE]]=0),
DB_TBL_DATA_FIELDS[[#This Row],[FIELD_STATUS_CODE]],
"")
)</f>
        <v>-1</v>
      </c>
      <c r="Y112" s="98" t="str">
        <f ca="1">IF(DB_TBL_DATA_FIELDS[[#This Row],[FIELD_STATUS_CODE]]=0,IF(NOT(DB_TBL_DATA_FIELDS[[#This Row],[FIELD_VALID_CUSTOM_LOGIC]]),
IF(IFERROR(SEARCH(".",RIGHT(DB_TBL_DATA_FIELDS[[#This Row],[FIELD_VALUE_RAW]],2)),0)&gt;0,"Invalid Domain Extension",
 IF(IFERROR(SEARCH("@",DB_TBL_DATA_FIELDS[[#This Row],[FIELD_VALUE_RAW]]),0)=0,"Missing '@' In Address",
  IF(IFERROR(SEARCH(".",DB_TBL_DATA_FIELDS[[#This Row],[FIELD_VALUE_RAW]],(SEARCH("@",DB_TBL_DATA_FIELDS[[#This Row],[FIELD_VALUE_RAW]],1))+2),0)=0,"Invalid Domain Name","Invalid Email Address")))),"")</f>
        <v/>
      </c>
      <c r="Z112" s="98"/>
    </row>
    <row r="113" spans="1:26" x14ac:dyDescent="0.2">
      <c r="A113" s="1" t="s">
        <v>9043</v>
      </c>
      <c r="B113" s="14" t="str">
        <f>IFERROR(IF(FIND(DATA_EFORM_SHEET_REF,DB_TBL_DATA_FIELDS[[#This Row],[APPLICABLE_EFORM_LIST]])&gt;0,DATA_EFORM_SHEET_REF,""),"")</f>
        <v>_</v>
      </c>
      <c r="C113" s="1" t="s">
        <v>2489</v>
      </c>
      <c r="D113" s="1" t="b">
        <v>1</v>
      </c>
      <c r="E113" s="16" t="b">
        <v>1</v>
      </c>
      <c r="F113" s="2" t="s">
        <v>2490</v>
      </c>
      <c r="G113" s="2" t="str">
        <f ca="1">IFERROR(VLOOKUP(DB_TBL_DATA_FIELDS[[#This Row],[FIELD_ID]],INDIRECT(DB_TBL_DATA_FIELDS[[#This Row],[SHEET_REF_CALC]]&amp;"!A:B"),2,FALSE),"")</f>
        <v/>
      </c>
      <c r="I113" s="2" t="b">
        <f ca="1">(DB_TBL_DATA_FIELDS[[#This Row],[FIELD_VALUE_RAW]]="")</f>
        <v>1</v>
      </c>
      <c r="J113" s="2" t="s">
        <v>38</v>
      </c>
      <c r="K113" s="1" t="b">
        <f ca="1">AND(IF(DB_TBL_DATA_FIELDS[[#This Row],[FIELD_VALID_CUSTOM_LOGIC]]="",TRUE,DB_TBL_DATA_FIELDS[[#This Row],[FIELD_VALID_CUSTOM_LOGIC]]),DB_TBL_DATA_FIELDS[[#This Row],[RANGE_VALIDATION_PASSED_FLAG]])</f>
        <v>0</v>
      </c>
      <c r="L113"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113" s="1">
        <f ca="1">IF(DB_TBL_DATA_FIELDS[[#This Row],[SHEET_REF_CALC]]="","",IF(DB_TBL_DATA_FIELDS[[#This Row],[FIELD_EMPTY_FLAG]],IF(NOT(DB_TBL_DATA_FIELDS[[#This Row],[FIELD_REQ_FLAG]]),-1,1),IF(NOT(DB_TBL_DATA_FIELDS[[#This Row],[FIELD_VALID_FLAG]]),0,2)))</f>
        <v>1</v>
      </c>
      <c r="N113" s="1" t="str">
        <f ca="1">IFERROR(VLOOKUP(DB_TBL_DATA_FIELDS[[#This Row],[FIELD_STATUS_CODE]],DB_TBL_CONFIG_FIELDSTATUSCODES[#All],3,FALSE),"")</f>
        <v>Required</v>
      </c>
      <c r="O113" s="1" t="str">
        <f ca="1">IFERROR(VLOOKUP(DB_TBL_DATA_FIELDS[[#This Row],[FIELD_STATUS_CODE]],DB_TBL_CONFIG_FIELDSTATUSCODES[#All],4,FALSE),"")</f>
        <v>i</v>
      </c>
      <c r="P113" s="1" t="b">
        <f>TRUE</f>
        <v>1</v>
      </c>
      <c r="Q113" s="1" t="b">
        <v>1</v>
      </c>
      <c r="R113" s="1" t="s">
        <v>38</v>
      </c>
      <c r="S113" s="1">
        <f ca="1">IF(DB_TBL_DATA_FIELDS[[#This Row],[RANGE_VALIDATION_FLAG]]="Text",LEN(DB_TBL_DATA_FIELDS[[#This Row],[FIELD_VALUE_RAW]]),IFERROR(VALUE(DB_TBL_DATA_FIELDS[[#This Row],[FIELD_VALUE_RAW]]),-1))</f>
        <v>-1</v>
      </c>
      <c r="T113" s="108" t="str">
        <f>CONFIG_MIN_HOUSEHOLD_ID_CURR</f>
        <v/>
      </c>
      <c r="U113" s="1">
        <v>999999</v>
      </c>
      <c r="V113" s="1" t="b">
        <f ca="1">IF(NOT(DB_TBL_DATA_FIELDS[[#This Row],[RANGE_VALIDATION_ON_FLAG]]),TRUE,
AND(DB_TBL_DATA_FIELDS[[#This Row],[RANGE_VALUE_LEN]]&gt;=DB_TBL_DATA_FIELDS[[#This Row],[RANGE_VALIDATION_MIN]],DB_TBL_DATA_FIELDS[[#This Row],[RANGE_VALUE_LEN]]&lt;=DB_TBL_DATA_FIELDS[[#This Row],[RANGE_VALIDATION_MAX]]))</f>
        <v>0</v>
      </c>
      <c r="W113" s="1">
        <v>1</v>
      </c>
      <c r="X113" s="1">
        <f ca="1">IF(DB_TBL_DATA_FIELDS[[#This Row],[PCT_CALC_SHOW_STATUS_CODE]]=1,
DB_TBL_DATA_FIELDS[[#This Row],[FIELD_STATUS_CODE]],
IF(AND(DB_TBL_DATA_FIELDS[[#This Row],[PCT_CALC_SHOW_STATUS_CODE]]=2,DB_TBL_DATA_FIELDS[[#This Row],[FIELD_STATUS_CODE]]=0),
DB_TBL_DATA_FIELDS[[#This Row],[FIELD_STATUS_CODE]],
"")
)</f>
        <v>1</v>
      </c>
    </row>
    <row r="114" spans="1:26" ht="13.5" thickBot="1" x14ac:dyDescent="0.25">
      <c r="A114" s="98" t="s">
        <v>9043</v>
      </c>
      <c r="B114" s="102" t="str">
        <f>IFERROR(IF(FIND(DATA_EFORM_SHEET_REF,DB_TBL_DATA_FIELDS[[#This Row],[APPLICABLE_EFORM_LIST]])&gt;0,DATA_EFORM_SHEET_REF,""),"")</f>
        <v>_</v>
      </c>
      <c r="C114" s="98" t="s">
        <v>2491</v>
      </c>
      <c r="D114" s="98" t="b">
        <v>0</v>
      </c>
      <c r="E114" s="99" t="b">
        <v>0</v>
      </c>
      <c r="F114" s="100" t="s">
        <v>2492</v>
      </c>
      <c r="G114" s="101" t="str">
        <f ca="1">IF(AND(DATA_PRIM_BORW_FULL_NAME&lt;&gt;"",DATA_HSEHLD_NO&lt;&gt;""),"#"&amp;DATA_HSEHLD_NO&amp;" ("&amp;DATA_PRIM_BORW_FULL_NAME&amp;")","")</f>
        <v/>
      </c>
      <c r="H114" s="100"/>
      <c r="I114" s="100" t="b">
        <f ca="1">(DB_TBL_DATA_FIELDS[[#This Row],[FIELD_VALUE_RAW]]="")</f>
        <v>1</v>
      </c>
      <c r="J114" s="100" t="s">
        <v>9</v>
      </c>
      <c r="K114" s="98" t="b">
        <f>AND(IF(DB_TBL_DATA_FIELDS[[#This Row],[FIELD_VALID_CUSTOM_LOGIC]]="",TRUE,DB_TBL_DATA_FIELDS[[#This Row],[FIELD_VALID_CUSTOM_LOGIC]]),DB_TBL_DATA_FIELDS[[#This Row],[RANGE_VALIDATION_PASSED_FLAG]])</f>
        <v>1</v>
      </c>
      <c r="L114" s="100"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114" s="98">
        <f ca="1">IF(DB_TBL_DATA_FIELDS[[#This Row],[SHEET_REF_CALC]]="","",IF(DB_TBL_DATA_FIELDS[[#This Row],[FIELD_EMPTY_FLAG]],IF(NOT(DB_TBL_DATA_FIELDS[[#This Row],[FIELD_REQ_FLAG]]),-1,1),IF(NOT(DB_TBL_DATA_FIELDS[[#This Row],[FIELD_VALID_FLAG]]),0,2)))</f>
        <v>-1</v>
      </c>
      <c r="N114" s="98" t="str">
        <f ca="1">IFERROR(VLOOKUP(DB_TBL_DATA_FIELDS[[#This Row],[FIELD_STATUS_CODE]],DB_TBL_CONFIG_FIELDSTATUSCODES[#All],3,FALSE),"")</f>
        <v>Optional</v>
      </c>
      <c r="O114" s="98" t="str">
        <f ca="1">IFERROR(VLOOKUP(DB_TBL_DATA_FIELDS[[#This Row],[FIELD_STATUS_CODE]],DB_TBL_CONFIG_FIELDSTATUSCODES[#All],4,FALSE),"")</f>
        <v xml:space="preserve"> </v>
      </c>
      <c r="P114" s="98" t="b">
        <f>TRUE</f>
        <v>1</v>
      </c>
      <c r="Q114" s="98" t="b">
        <v>0</v>
      </c>
      <c r="R114" s="98"/>
      <c r="S114" s="98">
        <f ca="1">IF(DB_TBL_DATA_FIELDS[[#This Row],[RANGE_VALIDATION_FLAG]]="Text",LEN(DB_TBL_DATA_FIELDS[[#This Row],[FIELD_VALUE_RAW]]),IFERROR(VALUE(DB_TBL_DATA_FIELDS[[#This Row],[FIELD_VALUE_RAW]]),-1))</f>
        <v>-1</v>
      </c>
      <c r="T114" s="98"/>
      <c r="U114" s="98"/>
      <c r="V114" s="98" t="b">
        <f>IF(NOT(DB_TBL_DATA_FIELDS[[#This Row],[RANGE_VALIDATION_ON_FLAG]]),TRUE,
AND(DB_TBL_DATA_FIELDS[[#This Row],[RANGE_VALUE_LEN]]&gt;=DB_TBL_DATA_FIELDS[[#This Row],[RANGE_VALIDATION_MIN]],DB_TBL_DATA_FIELDS[[#This Row],[RANGE_VALUE_LEN]]&lt;=DB_TBL_DATA_FIELDS[[#This Row],[RANGE_VALIDATION_MAX]]))</f>
        <v>1</v>
      </c>
      <c r="W114" s="98">
        <v>0</v>
      </c>
      <c r="X114" s="98" t="str">
        <f ca="1">IF(DB_TBL_DATA_FIELDS[[#This Row],[PCT_CALC_SHOW_STATUS_CODE]]=1,
DB_TBL_DATA_FIELDS[[#This Row],[FIELD_STATUS_CODE]],
IF(AND(DB_TBL_DATA_FIELDS[[#This Row],[PCT_CALC_SHOW_STATUS_CODE]]=2,DB_TBL_DATA_FIELDS[[#This Row],[FIELD_STATUS_CODE]]=0),
DB_TBL_DATA_FIELDS[[#This Row],[FIELD_STATUS_CODE]],
"")
)</f>
        <v/>
      </c>
      <c r="Y114" s="98"/>
      <c r="Z114" s="98"/>
    </row>
    <row r="115" spans="1:26" x14ac:dyDescent="0.2">
      <c r="A115" s="1" t="s">
        <v>9039</v>
      </c>
      <c r="B115" s="14" t="str">
        <f>IFERROR(IF(FIND(DATA_EFORM_SHEET_REF,DB_TBL_DATA_FIELDS[[#This Row],[APPLICABLE_EFORM_LIST]])&gt;0,DATA_EFORM_SHEET_REF,""),"")</f>
        <v>_</v>
      </c>
      <c r="C115" s="1" t="s">
        <v>2513</v>
      </c>
      <c r="D115" s="1" t="b">
        <v>1</v>
      </c>
      <c r="E115" s="16" t="b">
        <v>1</v>
      </c>
      <c r="F115" s="2" t="s">
        <v>2541</v>
      </c>
      <c r="G115" s="2" t="str">
        <f ca="1">IFERROR(VLOOKUP(DB_TBL_DATA_FIELDS[[#This Row],[FIELD_ID]],INDIRECT(DB_TBL_DATA_FIELDS[[#This Row],[SHEET_REF_CALC]]&amp;"!A:B"),2,FALSE),"")</f>
        <v/>
      </c>
      <c r="I115" s="2" t="b">
        <f ca="1">(DB_TBL_DATA_FIELDS[[#This Row],[FIELD_VALUE_RAW]]="")</f>
        <v>1</v>
      </c>
      <c r="J115" s="2" t="s">
        <v>31</v>
      </c>
      <c r="K115" s="1" t="b">
        <f>AND(IF(DB_TBL_DATA_FIELDS[[#This Row],[FIELD_VALID_CUSTOM_LOGIC]]="",TRUE,DB_TBL_DATA_FIELDS[[#This Row],[FIELD_VALID_CUSTOM_LOGIC]]),DB_TBL_DATA_FIELDS[[#This Row],[RANGE_VALIDATION_PASSED_FLAG]])</f>
        <v>1</v>
      </c>
      <c r="L115"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115" s="1">
        <f ca="1">IF(DB_TBL_DATA_FIELDS[[#This Row],[SHEET_REF_CALC]]="","",IF(DB_TBL_DATA_FIELDS[[#This Row],[FIELD_EMPTY_FLAG]],IF(NOT(DB_TBL_DATA_FIELDS[[#This Row],[FIELD_REQ_FLAG]]),-1,1),IF(NOT(DB_TBL_DATA_FIELDS[[#This Row],[FIELD_VALID_FLAG]]),0,2)))</f>
        <v>1</v>
      </c>
      <c r="N115" s="1" t="str">
        <f ca="1">IFERROR(VLOOKUP(DB_TBL_DATA_FIELDS[[#This Row],[FIELD_STATUS_CODE]],DB_TBL_CONFIG_FIELDSTATUSCODES[#All],3,FALSE),"")</f>
        <v>Required</v>
      </c>
      <c r="O115" s="1" t="str">
        <f ca="1">IFERROR(VLOOKUP(DB_TBL_DATA_FIELDS[[#This Row],[FIELD_STATUS_CODE]],DB_TBL_CONFIG_FIELDSTATUSCODES[#All],4,FALSE),"")</f>
        <v>i</v>
      </c>
      <c r="P115" s="1" t="b">
        <f>TRUE</f>
        <v>1</v>
      </c>
      <c r="Q115" s="1" t="b">
        <v>0</v>
      </c>
      <c r="S115" s="1">
        <f ca="1">IF(DB_TBL_DATA_FIELDS[[#This Row],[RANGE_VALIDATION_FLAG]]="Text",LEN(DB_TBL_DATA_FIELDS[[#This Row],[FIELD_VALUE_RAW]]),IFERROR(VALUE(DB_TBL_DATA_FIELDS[[#This Row],[FIELD_VALUE_RAW]]),-1))</f>
        <v>-1</v>
      </c>
      <c r="V115" s="1" t="b">
        <f>IF(NOT(DB_TBL_DATA_FIELDS[[#This Row],[RANGE_VALIDATION_ON_FLAG]]),TRUE,
AND(DB_TBL_DATA_FIELDS[[#This Row],[RANGE_VALUE_LEN]]&gt;=DB_TBL_DATA_FIELDS[[#This Row],[RANGE_VALIDATION_MIN]],DB_TBL_DATA_FIELDS[[#This Row],[RANGE_VALUE_LEN]]&lt;=DB_TBL_DATA_FIELDS[[#This Row],[RANGE_VALIDATION_MAX]]))</f>
        <v>1</v>
      </c>
      <c r="W115" s="1">
        <v>1</v>
      </c>
      <c r="X115" s="1">
        <f ca="1">IF(DB_TBL_DATA_FIELDS[[#This Row],[PCT_CALC_SHOW_STATUS_CODE]]=1,
DB_TBL_DATA_FIELDS[[#This Row],[FIELD_STATUS_CODE]],
IF(AND(DB_TBL_DATA_FIELDS[[#This Row],[PCT_CALC_SHOW_STATUS_CODE]]=2,DB_TBL_DATA_FIELDS[[#This Row],[FIELD_STATUS_CODE]]=0),
DB_TBL_DATA_FIELDS[[#This Row],[FIELD_STATUS_CODE]],
"")
)</f>
        <v>1</v>
      </c>
    </row>
    <row r="116" spans="1:26" x14ac:dyDescent="0.2">
      <c r="A116" s="1" t="s">
        <v>9039</v>
      </c>
      <c r="B116" s="14" t="str">
        <f>IFERROR(IF(FIND(DATA_EFORM_SHEET_REF,DB_TBL_DATA_FIELDS[[#This Row],[APPLICABLE_EFORM_LIST]])&gt;0,DATA_EFORM_SHEET_REF,""),"")</f>
        <v>_</v>
      </c>
      <c r="C116" s="1" t="s">
        <v>2508</v>
      </c>
      <c r="D116" s="1" t="b">
        <v>1</v>
      </c>
      <c r="E116" s="16" t="b">
        <v>1</v>
      </c>
      <c r="F116" s="2" t="s">
        <v>2535</v>
      </c>
      <c r="G116" s="2" t="str">
        <f ca="1">IFERROR(VLOOKUP(DB_TBL_DATA_FIELDS[[#This Row],[FIELD_ID]],INDIRECT(DB_TBL_DATA_FIELDS[[#This Row],[SHEET_REF_CALC]]&amp;"!A:B"),2,FALSE),"")</f>
        <v/>
      </c>
      <c r="I116" s="2" t="b">
        <f ca="1">(DB_TBL_DATA_FIELDS[[#This Row],[FIELD_VALUE_RAW]]="")</f>
        <v>1</v>
      </c>
      <c r="J116" s="2" t="s">
        <v>38</v>
      </c>
      <c r="K116" s="1" t="b">
        <f ca="1">AND(IF(DB_TBL_DATA_FIELDS[[#This Row],[FIELD_VALID_CUSTOM_LOGIC]]="",TRUE,DB_TBL_DATA_FIELDS[[#This Row],[FIELD_VALID_CUSTOM_LOGIC]]),DB_TBL_DATA_FIELDS[[#This Row],[RANGE_VALIDATION_PASSED_FLAG]])</f>
        <v>0</v>
      </c>
      <c r="L116"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116" s="1">
        <f ca="1">IF(DB_TBL_DATA_FIELDS[[#This Row],[SHEET_REF_CALC]]="","",IF(DB_TBL_DATA_FIELDS[[#This Row],[FIELD_EMPTY_FLAG]],IF(NOT(DB_TBL_DATA_FIELDS[[#This Row],[FIELD_REQ_FLAG]]),-1,1),IF(NOT(DB_TBL_DATA_FIELDS[[#This Row],[FIELD_VALID_FLAG]]),0,2)))</f>
        <v>1</v>
      </c>
      <c r="N116" s="1" t="str">
        <f ca="1">IFERROR(VLOOKUP(DB_TBL_DATA_FIELDS[[#This Row],[FIELD_STATUS_CODE]],DB_TBL_CONFIG_FIELDSTATUSCODES[#All],3,FALSE),"")</f>
        <v>Required</v>
      </c>
      <c r="O116" s="1" t="str">
        <f ca="1">IFERROR(VLOOKUP(DB_TBL_DATA_FIELDS[[#This Row],[FIELD_STATUS_CODE]],DB_TBL_CONFIG_FIELDSTATUSCODES[#All],4,FALSE),"")</f>
        <v>i</v>
      </c>
      <c r="P116" s="1" t="b">
        <f>TRUE</f>
        <v>1</v>
      </c>
      <c r="Q116" s="1" t="b">
        <f>TRUE</f>
        <v>1</v>
      </c>
      <c r="R116" s="1" t="s">
        <v>38</v>
      </c>
      <c r="S116" s="1">
        <f ca="1">IF(DB_TBL_DATA_FIELDS[[#This Row],[RANGE_VALIDATION_FLAG]]="Text",LEN(DB_TBL_DATA_FIELDS[[#This Row],[FIELD_VALUE_RAW]]),IFERROR(VALUE(DB_TBL_DATA_FIELDS[[#This Row],[FIELD_VALUE_RAW]]),-1))</f>
        <v>-1</v>
      </c>
      <c r="T116" s="1">
        <v>0</v>
      </c>
      <c r="U116" s="1">
        <v>999999999</v>
      </c>
      <c r="V116" s="1" t="b">
        <f ca="1">IF(NOT(DB_TBL_DATA_FIELDS[[#This Row],[RANGE_VALIDATION_ON_FLAG]]),TRUE,
AND(DB_TBL_DATA_FIELDS[[#This Row],[RANGE_VALUE_LEN]]&gt;=DB_TBL_DATA_FIELDS[[#This Row],[RANGE_VALIDATION_MIN]],DB_TBL_DATA_FIELDS[[#This Row],[RANGE_VALUE_LEN]]&lt;=DB_TBL_DATA_FIELDS[[#This Row],[RANGE_VALIDATION_MAX]]))</f>
        <v>0</v>
      </c>
      <c r="W116" s="1">
        <v>1</v>
      </c>
      <c r="X116" s="1">
        <f ca="1">IF(DB_TBL_DATA_FIELDS[[#This Row],[PCT_CALC_SHOW_STATUS_CODE]]=1,
DB_TBL_DATA_FIELDS[[#This Row],[FIELD_STATUS_CODE]],
IF(AND(DB_TBL_DATA_FIELDS[[#This Row],[PCT_CALC_SHOW_STATUS_CODE]]=2,DB_TBL_DATA_FIELDS[[#This Row],[FIELD_STATUS_CODE]]=0),
DB_TBL_DATA_FIELDS[[#This Row],[FIELD_STATUS_CODE]],
"")
)</f>
        <v>1</v>
      </c>
    </row>
    <row r="117" spans="1:26" x14ac:dyDescent="0.2">
      <c r="A117" s="1" t="s">
        <v>9039</v>
      </c>
      <c r="B117" s="14" t="str">
        <f>IFERROR(IF(FIND(DATA_EFORM_SHEET_REF,DB_TBL_DATA_FIELDS[[#This Row],[APPLICABLE_EFORM_LIST]])&gt;0,DATA_EFORM_SHEET_REF,""),"")</f>
        <v>_</v>
      </c>
      <c r="C117" s="1" t="s">
        <v>2509</v>
      </c>
      <c r="D117" s="1" t="b">
        <v>1</v>
      </c>
      <c r="E117" s="16" t="b">
        <v>1</v>
      </c>
      <c r="F117" s="2" t="s">
        <v>2536</v>
      </c>
      <c r="G117" s="2" t="str">
        <f ca="1">IFERROR(VLOOKUP(DB_TBL_DATA_FIELDS[[#This Row],[FIELD_ID]],INDIRECT(DB_TBL_DATA_FIELDS[[#This Row],[SHEET_REF_CALC]]&amp;"!A:B"),2,FALSE),"")</f>
        <v/>
      </c>
      <c r="H117" s="19" t="str">
        <f ca="1">IF(NOT(DB_TBL_DATA_FIELDS[[#This Row],[FIELD_EMPTY_FLAG]]),
IF(DATA_HOUSING_EXP_INC_RATIO&lt;&gt;"",DATA_TOTAL_DEBT_INC_RATIO&gt;=DATA_HOUSING_EXP_INC_RATIO,""),"")</f>
        <v/>
      </c>
      <c r="I117" s="2" t="b">
        <f ca="1">(DB_TBL_DATA_FIELDS[[#This Row],[FIELD_VALUE_RAW]]="")</f>
        <v>1</v>
      </c>
      <c r="J117" s="2" t="s">
        <v>38</v>
      </c>
      <c r="K117" s="1" t="b">
        <f ca="1">AND(IF(DB_TBL_DATA_FIELDS[[#This Row],[FIELD_VALID_CUSTOM_LOGIC]]="",TRUE,DB_TBL_DATA_FIELDS[[#This Row],[FIELD_VALID_CUSTOM_LOGIC]]),DB_TBL_DATA_FIELDS[[#This Row],[RANGE_VALIDATION_PASSED_FLAG]])</f>
        <v>0</v>
      </c>
      <c r="L117"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117" s="1">
        <f ca="1">IF(DB_TBL_DATA_FIELDS[[#This Row],[SHEET_REF_CALC]]="","",IF(DB_TBL_DATA_FIELDS[[#This Row],[FIELD_EMPTY_FLAG]],IF(NOT(DB_TBL_DATA_FIELDS[[#This Row],[FIELD_REQ_FLAG]]),-1,1),IF(NOT(DB_TBL_DATA_FIELDS[[#This Row],[FIELD_VALID_FLAG]]),0,2)))</f>
        <v>1</v>
      </c>
      <c r="N117" s="1" t="str">
        <f ca="1">IFERROR(VLOOKUP(DB_TBL_DATA_FIELDS[[#This Row],[FIELD_STATUS_CODE]],DB_TBL_CONFIG_FIELDSTATUSCODES[#All],3,FALSE),"")</f>
        <v>Required</v>
      </c>
      <c r="O117" s="1" t="str">
        <f ca="1">IFERROR(VLOOKUP(DB_TBL_DATA_FIELDS[[#This Row],[FIELD_STATUS_CODE]],DB_TBL_CONFIG_FIELDSTATUSCODES[#All],4,FALSE),"")</f>
        <v>i</v>
      </c>
      <c r="P117" s="1" t="b">
        <f>TRUE</f>
        <v>1</v>
      </c>
      <c r="Q117" s="1" t="b">
        <f>TRUE</f>
        <v>1</v>
      </c>
      <c r="R117" s="1" t="s">
        <v>38</v>
      </c>
      <c r="S117" s="1">
        <f ca="1">IF(DB_TBL_DATA_FIELDS[[#This Row],[RANGE_VALIDATION_FLAG]]="Text",LEN(DB_TBL_DATA_FIELDS[[#This Row],[FIELD_VALUE_RAW]]),IFERROR(VALUE(DB_TBL_DATA_FIELDS[[#This Row],[FIELD_VALUE_RAW]]),-1))</f>
        <v>-1</v>
      </c>
      <c r="T117" s="1">
        <v>0</v>
      </c>
      <c r="U117" s="1">
        <v>999999999</v>
      </c>
      <c r="V117" s="1" t="b">
        <f ca="1">IF(NOT(DB_TBL_DATA_FIELDS[[#This Row],[RANGE_VALIDATION_ON_FLAG]]),TRUE,
AND(DB_TBL_DATA_FIELDS[[#This Row],[RANGE_VALUE_LEN]]&gt;=DB_TBL_DATA_FIELDS[[#This Row],[RANGE_VALIDATION_MIN]],DB_TBL_DATA_FIELDS[[#This Row],[RANGE_VALUE_LEN]]&lt;=DB_TBL_DATA_FIELDS[[#This Row],[RANGE_VALIDATION_MAX]]))</f>
        <v>0</v>
      </c>
      <c r="W117" s="1">
        <v>1</v>
      </c>
      <c r="X117" s="1">
        <f ca="1">IF(DB_TBL_DATA_FIELDS[[#This Row],[PCT_CALC_SHOW_STATUS_CODE]]=1,
DB_TBL_DATA_FIELDS[[#This Row],[FIELD_STATUS_CODE]],
IF(AND(DB_TBL_DATA_FIELDS[[#This Row],[PCT_CALC_SHOW_STATUS_CODE]]=2,DB_TBL_DATA_FIELDS[[#This Row],[FIELD_STATUS_CODE]]=0),
DB_TBL_DATA_FIELDS[[#This Row],[FIELD_STATUS_CODE]],
"")
)</f>
        <v>1</v>
      </c>
      <c r="Y117" s="108" t="str">
        <f ca="1">IF(DB_TBL_DATA_FIELDS[[#This Row],[FIELD_STATUS_CODE]]=0,IF(NOT(DB_TBL_DATA_FIELDS[[#This Row],[FIELD_VALID_CUSTOM_LOGIC]]),"Debt to Income Ratio must be greater than or equal to Housing Expense to Income Ratio",""),"")</f>
        <v/>
      </c>
    </row>
    <row r="118" spans="1:26" x14ac:dyDescent="0.2">
      <c r="A118" s="1" t="s">
        <v>9039</v>
      </c>
      <c r="B118" s="14" t="str">
        <f>IFERROR(IF(FIND(DATA_EFORM_SHEET_REF,DB_TBL_DATA_FIELDS[[#This Row],[APPLICABLE_EFORM_LIST]])&gt;0,DATA_EFORM_SHEET_REF,""),"")</f>
        <v>_</v>
      </c>
      <c r="C118" s="1" t="s">
        <v>2840</v>
      </c>
      <c r="D118" s="1" t="b">
        <v>1</v>
      </c>
      <c r="E118" s="81" t="b">
        <f ca="1">AND(DATA_TOTAL_DEBT_INC_RATIO&lt;&gt;"",DATA_TOTAL_DEBT_INC_RATIO&gt;CONFIG_DTI_THRESH_AFFORDABILITY)</f>
        <v>0</v>
      </c>
      <c r="F118" s="2" t="s">
        <v>2841</v>
      </c>
      <c r="G118" s="2" t="str">
        <f ca="1">IFERROR(VLOOKUP(DB_TBL_DATA_FIELDS[[#This Row],[FIELD_ID]],INDIRECT(DB_TBL_DATA_FIELDS[[#This Row],[SHEET_REF_CALC]]&amp;"!A:B"),2,FALSE),"")</f>
        <v/>
      </c>
      <c r="H118" s="19" t="str">
        <f ca="1">IF(DB_TBL_DATA_FIELDS[[#This Row],[FIELD_VALUE_RAW]]="","",DB_TBL_DATA_FIELDS[[#This Row],[FIELD_REQ_FLAG]])</f>
        <v/>
      </c>
      <c r="I118" s="2" t="b">
        <f ca="1">(DB_TBL_DATA_FIELDS[[#This Row],[FIELD_VALUE_RAW]]="")</f>
        <v>1</v>
      </c>
      <c r="J118" s="2" t="s">
        <v>9</v>
      </c>
      <c r="K118" s="1" t="b">
        <f ca="1">AND(IF(DB_TBL_DATA_FIELDS[[#This Row],[FIELD_VALID_CUSTOM_LOGIC]]="",TRUE,DB_TBL_DATA_FIELDS[[#This Row],[FIELD_VALID_CUSTOM_LOGIC]]),DB_TBL_DATA_FIELDS[[#This Row],[RANGE_VALIDATION_PASSED_FLAG]])</f>
        <v>1</v>
      </c>
      <c r="L118"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118" s="1">
        <f ca="1">IF(DB_TBL_DATA_FIELDS[[#This Row],[SHEET_REF_CALC]]="","",IF(DB_TBL_DATA_FIELDS[[#This Row],[FIELD_EMPTY_FLAG]],IF(NOT(DB_TBL_DATA_FIELDS[[#This Row],[FIELD_REQ_FLAG]]),-1,1),IF(NOT(DB_TBL_DATA_FIELDS[[#This Row],[FIELD_VALID_FLAG]]),0,2)))</f>
        <v>-1</v>
      </c>
      <c r="N118" s="1" t="str">
        <f ca="1">IFERROR(VLOOKUP(DB_TBL_DATA_FIELDS[[#This Row],[FIELD_STATUS_CODE]],DB_TBL_CONFIG_FIELDSTATUSCODES[#All],3,FALSE),"")</f>
        <v>Optional</v>
      </c>
      <c r="O118" s="1" t="str">
        <f ca="1">IFERROR(VLOOKUP(DB_TBL_DATA_FIELDS[[#This Row],[FIELD_STATUS_CODE]],DB_TBL_CONFIG_FIELDSTATUSCODES[#All],4,FALSE),"")</f>
        <v xml:space="preserve"> </v>
      </c>
      <c r="P118" s="1" t="b">
        <f>TRUE</f>
        <v>1</v>
      </c>
      <c r="Q118" s="1" t="b">
        <f>TRUE</f>
        <v>1</v>
      </c>
      <c r="R118" s="1" t="s">
        <v>9</v>
      </c>
      <c r="S118" s="1">
        <f ca="1">IF(DB_TBL_DATA_FIELDS[[#This Row],[RANGE_VALIDATION_FLAG]]="Text",LEN(DB_TBL_DATA_FIELDS[[#This Row],[FIELD_VALUE_RAW]]),IFERROR(VALUE(DB_TBL_DATA_FIELDS[[#This Row],[FIELD_VALUE_RAW]]),-1))</f>
        <v>0</v>
      </c>
      <c r="T118" s="1">
        <v>0</v>
      </c>
      <c r="U118" s="1">
        <v>1000</v>
      </c>
      <c r="V118" s="1" t="b">
        <f ca="1">IF(NOT(DB_TBL_DATA_FIELDS[[#This Row],[RANGE_VALIDATION_ON_FLAG]]),TRUE,
AND(DB_TBL_DATA_FIELDS[[#This Row],[RANGE_VALUE_LEN]]&gt;=DB_TBL_DATA_FIELDS[[#This Row],[RANGE_VALIDATION_MIN]],DB_TBL_DATA_FIELDS[[#This Row],[RANGE_VALUE_LEN]]&lt;=DB_TBL_DATA_FIELDS[[#This Row],[RANGE_VALIDATION_MAX]]))</f>
        <v>1</v>
      </c>
      <c r="W118" s="1">
        <v>1</v>
      </c>
      <c r="X118" s="1">
        <f ca="1">IF(DB_TBL_DATA_FIELDS[[#This Row],[PCT_CALC_SHOW_STATUS_CODE]]=1,
DB_TBL_DATA_FIELDS[[#This Row],[FIELD_STATUS_CODE]],
IF(AND(DB_TBL_DATA_FIELDS[[#This Row],[PCT_CALC_SHOW_STATUS_CODE]]=2,DB_TBL_DATA_FIELDS[[#This Row],[FIELD_STATUS_CODE]]=0),
DB_TBL_DATA_FIELDS[[#This Row],[FIELD_STATUS_CODE]],
"")
)</f>
        <v>-1</v>
      </c>
    </row>
    <row r="119" spans="1:26" x14ac:dyDescent="0.2">
      <c r="A119" s="1" t="s">
        <v>9039</v>
      </c>
      <c r="B119" s="14" t="str">
        <f>IFERROR(IF(FIND(DATA_EFORM_SHEET_REF,DB_TBL_DATA_FIELDS[[#This Row],[APPLICABLE_EFORM_LIST]])&gt;0,DATA_EFORM_SHEET_REF,""),"")</f>
        <v>_</v>
      </c>
      <c r="C119" s="1" t="s">
        <v>9293</v>
      </c>
      <c r="D119" s="1" t="b">
        <v>0</v>
      </c>
      <c r="E119" s="16" t="b">
        <v>1</v>
      </c>
      <c r="F119" s="2" t="s">
        <v>9295</v>
      </c>
      <c r="G119" s="2" t="str">
        <f ca="1">IFERROR(VLOOKUP(DB_TBL_DATA_FIELDS[[#This Row],[FIELD_ID]],INDIRECT(DB_TBL_DATA_FIELDS[[#This Row],[SHEET_REF_CALC]]&amp;"!A:B"),2,FALSE),"")</f>
        <v/>
      </c>
      <c r="I119" s="2" t="b">
        <f ca="1">(DB_TBL_DATA_FIELDS[[#This Row],[FIELD_VALUE_RAW]]="")</f>
        <v>1</v>
      </c>
      <c r="J119" s="2" t="s">
        <v>38</v>
      </c>
      <c r="K119" s="1" t="b">
        <f ca="1">AND(IF(DB_TBL_DATA_FIELDS[[#This Row],[FIELD_VALID_CUSTOM_LOGIC]]="",TRUE,DB_TBL_DATA_FIELDS[[#This Row],[FIELD_VALID_CUSTOM_LOGIC]]),DB_TBL_DATA_FIELDS[[#This Row],[RANGE_VALIDATION_PASSED_FLAG]])</f>
        <v>0</v>
      </c>
      <c r="L119"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119" s="1">
        <f ca="1">IF(DB_TBL_DATA_FIELDS[[#This Row],[SHEET_REF_CALC]]="","",IF(DB_TBL_DATA_FIELDS[[#This Row],[FIELD_EMPTY_FLAG]],IF(NOT(DB_TBL_DATA_FIELDS[[#This Row],[FIELD_REQ_FLAG]]),-1,1),IF(NOT(DB_TBL_DATA_FIELDS[[#This Row],[FIELD_VALID_FLAG]]),0,2)))</f>
        <v>1</v>
      </c>
      <c r="N119" s="1" t="str">
        <f ca="1">IFERROR(VLOOKUP(DB_TBL_DATA_FIELDS[[#This Row],[FIELD_STATUS_CODE]],DB_TBL_CONFIG_FIELDSTATUSCODES[#All],3,FALSE),"")</f>
        <v>Required</v>
      </c>
      <c r="O119" s="1" t="str">
        <f ca="1">IFERROR(VLOOKUP(DB_TBL_DATA_FIELDS[[#This Row],[FIELD_STATUS_CODE]],DB_TBL_CONFIG_FIELDSTATUSCODES[#All],4,FALSE),"")</f>
        <v>i</v>
      </c>
      <c r="P119" s="1" t="b">
        <f>TRUE</f>
        <v>1</v>
      </c>
      <c r="Q119" s="1" t="b">
        <f>TRUE</f>
        <v>1</v>
      </c>
      <c r="R119" s="1" t="s">
        <v>38</v>
      </c>
      <c r="S119" s="1">
        <f ca="1">IF(DB_TBL_DATA_FIELDS[[#This Row],[RANGE_VALIDATION_FLAG]]="Text",LEN(DB_TBL_DATA_FIELDS[[#This Row],[FIELD_VALUE_RAW]]),IFERROR(VALUE(DB_TBL_DATA_FIELDS[[#This Row],[FIELD_VALUE_RAW]]),-1))</f>
        <v>-1</v>
      </c>
      <c r="T119" s="1">
        <v>1</v>
      </c>
      <c r="U119" s="1">
        <v>999999999</v>
      </c>
      <c r="V119" s="1" t="b">
        <f ca="1">IF(NOT(DB_TBL_DATA_FIELDS[[#This Row],[RANGE_VALIDATION_ON_FLAG]]),TRUE,
AND(DB_TBL_DATA_FIELDS[[#This Row],[RANGE_VALUE_LEN]]&gt;=DB_TBL_DATA_FIELDS[[#This Row],[RANGE_VALIDATION_MIN]],DB_TBL_DATA_FIELDS[[#This Row],[RANGE_VALUE_LEN]]&lt;=DB_TBL_DATA_FIELDS[[#This Row],[RANGE_VALIDATION_MAX]]))</f>
        <v>0</v>
      </c>
      <c r="W119" s="1">
        <v>1</v>
      </c>
      <c r="X119" s="1">
        <f ca="1">IF(DB_TBL_DATA_FIELDS[[#This Row],[PCT_CALC_SHOW_STATUS_CODE]]=1,
DB_TBL_DATA_FIELDS[[#This Row],[FIELD_STATUS_CODE]],
IF(AND(DB_TBL_DATA_FIELDS[[#This Row],[PCT_CALC_SHOW_STATUS_CODE]]=2,DB_TBL_DATA_FIELDS[[#This Row],[FIELD_STATUS_CODE]]=0),
DB_TBL_DATA_FIELDS[[#This Row],[FIELD_STATUS_CODE]],
"")
)</f>
        <v>1</v>
      </c>
    </row>
    <row r="120" spans="1:26" x14ac:dyDescent="0.2">
      <c r="A120" s="1" t="s">
        <v>9039</v>
      </c>
      <c r="B120" s="14" t="str">
        <f>IFERROR(IF(FIND(DATA_EFORM_SHEET_REF,DB_TBL_DATA_FIELDS[[#This Row],[APPLICABLE_EFORM_LIST]])&gt;0,DATA_EFORM_SHEET_REF,""),"")</f>
        <v>_</v>
      </c>
      <c r="C120" s="1" t="s">
        <v>9294</v>
      </c>
      <c r="D120" s="1" t="b">
        <v>0</v>
      </c>
      <c r="E120" s="16" t="b">
        <v>0</v>
      </c>
      <c r="F120" s="2" t="s">
        <v>9296</v>
      </c>
      <c r="G120" s="2" t="str">
        <f ca="1">IFERROR(VLOOKUP(DB_TBL_DATA_FIELDS[[#This Row],[FIELD_ID]],INDIRECT(DB_TBL_DATA_FIELDS[[#This Row],[SHEET_REF_CALC]]&amp;"!A:B"),2,FALSE),"")</f>
        <v/>
      </c>
      <c r="I120" s="2" t="b">
        <f ca="1">(DB_TBL_DATA_FIELDS[[#This Row],[FIELD_VALUE_RAW]]="")</f>
        <v>1</v>
      </c>
      <c r="J120" s="2" t="s">
        <v>38</v>
      </c>
      <c r="K120" s="1" t="b">
        <f ca="1">AND(IF(DB_TBL_DATA_FIELDS[[#This Row],[FIELD_VALID_CUSTOM_LOGIC]]="",TRUE,DB_TBL_DATA_FIELDS[[#This Row],[FIELD_VALID_CUSTOM_LOGIC]]),DB_TBL_DATA_FIELDS[[#This Row],[RANGE_VALIDATION_PASSED_FLAG]])</f>
        <v>0</v>
      </c>
      <c r="L120"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120" s="1">
        <f ca="1">IF(DB_TBL_DATA_FIELDS[[#This Row],[SHEET_REF_CALC]]="","",IF(DB_TBL_DATA_FIELDS[[#This Row],[FIELD_EMPTY_FLAG]],IF(NOT(DB_TBL_DATA_FIELDS[[#This Row],[FIELD_REQ_FLAG]]),-1,1),IF(NOT(DB_TBL_DATA_FIELDS[[#This Row],[FIELD_VALID_FLAG]]),0,2)))</f>
        <v>-1</v>
      </c>
      <c r="N120" s="1" t="str">
        <f ca="1">IFERROR(VLOOKUP(DB_TBL_DATA_FIELDS[[#This Row],[FIELD_STATUS_CODE]],DB_TBL_CONFIG_FIELDSTATUSCODES[#All],3,FALSE),"")</f>
        <v>Optional</v>
      </c>
      <c r="O120" s="1" t="str">
        <f ca="1">IFERROR(VLOOKUP(DB_TBL_DATA_FIELDS[[#This Row],[FIELD_STATUS_CODE]],DB_TBL_CONFIG_FIELDSTATUSCODES[#All],4,FALSE),"")</f>
        <v xml:space="preserve"> </v>
      </c>
      <c r="P120" s="1" t="b">
        <f>TRUE</f>
        <v>1</v>
      </c>
      <c r="Q120" s="1" t="b">
        <f>TRUE</f>
        <v>1</v>
      </c>
      <c r="R120" s="1" t="s">
        <v>38</v>
      </c>
      <c r="S120" s="1">
        <f ca="1">IF(DB_TBL_DATA_FIELDS[[#This Row],[RANGE_VALIDATION_FLAG]]="Text",LEN(DB_TBL_DATA_FIELDS[[#This Row],[FIELD_VALUE_RAW]]),IFERROR(VALUE(DB_TBL_DATA_FIELDS[[#This Row],[FIELD_VALUE_RAW]]),-1))</f>
        <v>-1</v>
      </c>
      <c r="T120" s="1">
        <v>0</v>
      </c>
      <c r="U120" s="1">
        <v>999999999</v>
      </c>
      <c r="V120" s="1" t="b">
        <f ca="1">IF(NOT(DB_TBL_DATA_FIELDS[[#This Row],[RANGE_VALIDATION_ON_FLAG]]),TRUE,
AND(DB_TBL_DATA_FIELDS[[#This Row],[RANGE_VALUE_LEN]]&gt;=DB_TBL_DATA_FIELDS[[#This Row],[RANGE_VALIDATION_MIN]],DB_TBL_DATA_FIELDS[[#This Row],[RANGE_VALUE_LEN]]&lt;=DB_TBL_DATA_FIELDS[[#This Row],[RANGE_VALIDATION_MAX]]))</f>
        <v>0</v>
      </c>
      <c r="W120" s="1">
        <v>1</v>
      </c>
      <c r="X120" s="1">
        <f ca="1">IF(DB_TBL_DATA_FIELDS[[#This Row],[PCT_CALC_SHOW_STATUS_CODE]]=1,
DB_TBL_DATA_FIELDS[[#This Row],[FIELD_STATUS_CODE]],
IF(AND(DB_TBL_DATA_FIELDS[[#This Row],[PCT_CALC_SHOW_STATUS_CODE]]=2,DB_TBL_DATA_FIELDS[[#This Row],[FIELD_STATUS_CODE]]=0),
DB_TBL_DATA_FIELDS[[#This Row],[FIELD_STATUS_CODE]],
"")
)</f>
        <v>-1</v>
      </c>
    </row>
    <row r="121" spans="1:26" x14ac:dyDescent="0.2">
      <c r="A121" s="1" t="s">
        <v>9039</v>
      </c>
      <c r="B121" s="14" t="str">
        <f>IFERROR(IF(FIND(DATA_EFORM_SHEET_REF,DB_TBL_DATA_FIELDS[[#This Row],[APPLICABLE_EFORM_LIST]])&gt;0,DATA_EFORM_SHEET_REF,""),"")</f>
        <v>_</v>
      </c>
      <c r="C121" s="1" t="s">
        <v>2510</v>
      </c>
      <c r="D121" s="1" t="b">
        <v>1</v>
      </c>
      <c r="E121" s="16" t="b">
        <v>1</v>
      </c>
      <c r="F121" s="2" t="s">
        <v>2510</v>
      </c>
      <c r="G121" s="19" t="str">
        <f ca="1">IF(
AND(DATA_ACQUISITION_COST_LTV&lt;&gt;"",DATA_ACQUISITION_COST_LTV&gt;=0,DATA_FIRST_MTG_LOAN_AMT&lt;&gt;"",DATA_FIRST_MTG_LOAN_AMT&gt;0),
ROUND((DATA_FIRST_MTG_LOAN_AMT - IF(AND(DATA_FEES_EXCLUDED_LTV&lt;&gt;"",DATA_FEES_EXCLUDED_LTV&gt;0),DATA_FEES_EXCLUDED_LTV,0)) / DATA_ACQUISITION_COST_LTV,4),
"")</f>
        <v/>
      </c>
      <c r="I121" s="2" t="b">
        <f ca="1">(DB_TBL_DATA_FIELDS[[#This Row],[FIELD_VALUE_RAW]]="")</f>
        <v>1</v>
      </c>
      <c r="J121" s="2" t="s">
        <v>38</v>
      </c>
      <c r="K121" s="1" t="b">
        <f ca="1">AND(IF(DB_TBL_DATA_FIELDS[[#This Row],[FIELD_VALID_CUSTOM_LOGIC]]="",TRUE,DB_TBL_DATA_FIELDS[[#This Row],[FIELD_VALID_CUSTOM_LOGIC]]),DB_TBL_DATA_FIELDS[[#This Row],[RANGE_VALIDATION_PASSED_FLAG]])</f>
        <v>0</v>
      </c>
      <c r="L121"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121" s="1">
        <f ca="1">IF(DB_TBL_DATA_FIELDS[[#This Row],[SHEET_REF_CALC]]="","",IF(DB_TBL_DATA_FIELDS[[#This Row],[FIELD_EMPTY_FLAG]],IF(NOT(DB_TBL_DATA_FIELDS[[#This Row],[FIELD_REQ_FLAG]]),-1,1),IF(NOT(DB_TBL_DATA_FIELDS[[#This Row],[FIELD_VALID_FLAG]]),0,2)))</f>
        <v>1</v>
      </c>
      <c r="N121" s="1" t="str">
        <f ca="1">IFERROR(VLOOKUP(DB_TBL_DATA_FIELDS[[#This Row],[FIELD_STATUS_CODE]],DB_TBL_CONFIG_FIELDSTATUSCODES[#All],3,FALSE),"")</f>
        <v>Required</v>
      </c>
      <c r="O121" s="1" t="str">
        <f ca="1">IFERROR(VLOOKUP(DB_TBL_DATA_FIELDS[[#This Row],[FIELD_STATUS_CODE]],DB_TBL_CONFIG_FIELDSTATUSCODES[#All],4,FALSE),"")</f>
        <v>i</v>
      </c>
      <c r="P121" s="1" t="b">
        <f>TRUE</f>
        <v>1</v>
      </c>
      <c r="Q121" s="1" t="b">
        <f>TRUE</f>
        <v>1</v>
      </c>
      <c r="R121" s="1" t="s">
        <v>38</v>
      </c>
      <c r="S121" s="1">
        <f ca="1">IF(DB_TBL_DATA_FIELDS[[#This Row],[RANGE_VALIDATION_FLAG]]="Text",LEN(DB_TBL_DATA_FIELDS[[#This Row],[FIELD_VALUE_RAW]]),IFERROR(VALUE(DB_TBL_DATA_FIELDS[[#This Row],[FIELD_VALUE_RAW]]),-1))</f>
        <v>-1</v>
      </c>
      <c r="T121" s="1">
        <v>0</v>
      </c>
      <c r="U121" s="1">
        <v>999999999</v>
      </c>
      <c r="V121" s="1" t="b">
        <f ca="1">IF(NOT(DB_TBL_DATA_FIELDS[[#This Row],[RANGE_VALIDATION_ON_FLAG]]),TRUE,
AND(DB_TBL_DATA_FIELDS[[#This Row],[RANGE_VALUE_LEN]]&gt;=DB_TBL_DATA_FIELDS[[#This Row],[RANGE_VALIDATION_MIN]],DB_TBL_DATA_FIELDS[[#This Row],[RANGE_VALUE_LEN]]&lt;=DB_TBL_DATA_FIELDS[[#This Row],[RANGE_VALIDATION_MAX]]))</f>
        <v>0</v>
      </c>
      <c r="W121" s="1">
        <v>1</v>
      </c>
      <c r="X121" s="1">
        <f ca="1">IF(DB_TBL_DATA_FIELDS[[#This Row],[PCT_CALC_SHOW_STATUS_CODE]]=1,
DB_TBL_DATA_FIELDS[[#This Row],[FIELD_STATUS_CODE]],
IF(AND(DB_TBL_DATA_FIELDS[[#This Row],[PCT_CALC_SHOW_STATUS_CODE]]=2,DB_TBL_DATA_FIELDS[[#This Row],[FIELD_STATUS_CODE]]=0),
DB_TBL_DATA_FIELDS[[#This Row],[FIELD_STATUS_CODE]],
"")
)</f>
        <v>1</v>
      </c>
    </row>
    <row r="122" spans="1:26" x14ac:dyDescent="0.2">
      <c r="A122" s="1" t="s">
        <v>9039</v>
      </c>
      <c r="B122" s="14" t="str">
        <f>IFERROR(IF(FIND(DATA_EFORM_SHEET_REF,DB_TBL_DATA_FIELDS[[#This Row],[APPLICABLE_EFORM_LIST]])&gt;0,DATA_EFORM_SHEET_REF,""),"")</f>
        <v>_</v>
      </c>
      <c r="C122" s="1" t="s">
        <v>2511</v>
      </c>
      <c r="D122" s="1" t="b">
        <v>1</v>
      </c>
      <c r="E122" s="16" t="b">
        <v>1</v>
      </c>
      <c r="F122" s="2" t="s">
        <v>2537</v>
      </c>
      <c r="G122" s="2" t="str">
        <f ca="1">IFERROR(VLOOKUP(DB_TBL_DATA_FIELDS[[#This Row],[FIELD_ID]],INDIRECT(DB_TBL_DATA_FIELDS[[#This Row],[SHEET_REF_CALC]]&amp;"!A:B"),2,FALSE),"")</f>
        <v/>
      </c>
      <c r="I122" s="2" t="b">
        <f ca="1">(DB_TBL_DATA_FIELDS[[#This Row],[FIELD_VALUE_RAW]]="")</f>
        <v>1</v>
      </c>
      <c r="J122" s="2" t="s">
        <v>38</v>
      </c>
      <c r="K122" s="1" t="b">
        <f ca="1">AND(IF(DB_TBL_DATA_FIELDS[[#This Row],[FIELD_VALID_CUSTOM_LOGIC]]="",TRUE,DB_TBL_DATA_FIELDS[[#This Row],[FIELD_VALID_CUSTOM_LOGIC]]),DB_TBL_DATA_FIELDS[[#This Row],[RANGE_VALIDATION_PASSED_FLAG]])</f>
        <v>0</v>
      </c>
      <c r="L122"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122" s="1">
        <f ca="1">IF(DB_TBL_DATA_FIELDS[[#This Row],[SHEET_REF_CALC]]="","",IF(DB_TBL_DATA_FIELDS[[#This Row],[FIELD_EMPTY_FLAG]],IF(NOT(DB_TBL_DATA_FIELDS[[#This Row],[FIELD_REQ_FLAG]]),-1,1),IF(NOT(DB_TBL_DATA_FIELDS[[#This Row],[FIELD_VALID_FLAG]]),0,2)))</f>
        <v>1</v>
      </c>
      <c r="N122" s="1" t="str">
        <f ca="1">IFERROR(VLOOKUP(DB_TBL_DATA_FIELDS[[#This Row],[FIELD_STATUS_CODE]],DB_TBL_CONFIG_FIELDSTATUSCODES[#All],3,FALSE),"")</f>
        <v>Required</v>
      </c>
      <c r="O122" s="1" t="str">
        <f ca="1">IFERROR(VLOOKUP(DB_TBL_DATA_FIELDS[[#This Row],[FIELD_STATUS_CODE]],DB_TBL_CONFIG_FIELDSTATUSCODES[#All],4,FALSE),"")</f>
        <v>i</v>
      </c>
      <c r="P122" s="1" t="b">
        <f>TRUE</f>
        <v>1</v>
      </c>
      <c r="Q122" s="1" t="b">
        <f>TRUE</f>
        <v>1</v>
      </c>
      <c r="R122" s="1" t="s">
        <v>38</v>
      </c>
      <c r="S122" s="1">
        <f ca="1">IF(DB_TBL_DATA_FIELDS[[#This Row],[RANGE_VALIDATION_FLAG]]="Text",LEN(DB_TBL_DATA_FIELDS[[#This Row],[FIELD_VALUE_RAW]]),IFERROR(VALUE(DB_TBL_DATA_FIELDS[[#This Row],[FIELD_VALUE_RAW]]),-1))</f>
        <v>-1</v>
      </c>
      <c r="T122" s="1">
        <v>0</v>
      </c>
      <c r="U122" s="1">
        <v>999999999</v>
      </c>
      <c r="V122" s="1" t="b">
        <f ca="1">IF(NOT(DB_TBL_DATA_FIELDS[[#This Row],[RANGE_VALIDATION_ON_FLAG]]),TRUE,
AND(DB_TBL_DATA_FIELDS[[#This Row],[RANGE_VALUE_LEN]]&gt;=DB_TBL_DATA_FIELDS[[#This Row],[RANGE_VALIDATION_MIN]],DB_TBL_DATA_FIELDS[[#This Row],[RANGE_VALUE_LEN]]&lt;=DB_TBL_DATA_FIELDS[[#This Row],[RANGE_VALIDATION_MAX]]))</f>
        <v>0</v>
      </c>
      <c r="W122" s="1">
        <v>1</v>
      </c>
      <c r="X122" s="1">
        <f ca="1">IF(DB_TBL_DATA_FIELDS[[#This Row],[PCT_CALC_SHOW_STATUS_CODE]]=1,
DB_TBL_DATA_FIELDS[[#This Row],[FIELD_STATUS_CODE]],
IF(AND(DB_TBL_DATA_FIELDS[[#This Row],[PCT_CALC_SHOW_STATUS_CODE]]=2,DB_TBL_DATA_FIELDS[[#This Row],[FIELD_STATUS_CODE]]=0),
DB_TBL_DATA_FIELDS[[#This Row],[FIELD_STATUS_CODE]],
"")
)</f>
        <v>1</v>
      </c>
    </row>
    <row r="123" spans="1:26" x14ac:dyDescent="0.2">
      <c r="A123" s="1" t="s">
        <v>9039</v>
      </c>
      <c r="B123" s="14" t="str">
        <f>IFERROR(IF(FIND(DATA_EFORM_SHEET_REF,DB_TBL_DATA_FIELDS[[#This Row],[APPLICABLE_EFORM_LIST]])&gt;0,DATA_EFORM_SHEET_REF,""),"")</f>
        <v>_</v>
      </c>
      <c r="C123" s="1" t="s">
        <v>2514</v>
      </c>
      <c r="D123" s="1" t="b">
        <v>1</v>
      </c>
      <c r="E123" s="16" t="b">
        <v>1</v>
      </c>
      <c r="F123" s="2" t="s">
        <v>2538</v>
      </c>
      <c r="G123" s="2" t="str">
        <f ca="1">IFERROR(VLOOKUP(DB_TBL_DATA_FIELDS[[#This Row],[FIELD_ID]],INDIRECT(DB_TBL_DATA_FIELDS[[#This Row],[SHEET_REF_CALC]]&amp;"!A:B"),2,FALSE),"")</f>
        <v/>
      </c>
      <c r="I123" s="2" t="b">
        <f ca="1">(DB_TBL_DATA_FIELDS[[#This Row],[FIELD_VALUE_RAW]]="")</f>
        <v>1</v>
      </c>
      <c r="J123" s="2" t="s">
        <v>38</v>
      </c>
      <c r="K123" s="1" t="b">
        <f ca="1">AND(IF(DB_TBL_DATA_FIELDS[[#This Row],[FIELD_VALID_CUSTOM_LOGIC]]="",TRUE,DB_TBL_DATA_FIELDS[[#This Row],[FIELD_VALID_CUSTOM_LOGIC]]),DB_TBL_DATA_FIELDS[[#This Row],[RANGE_VALIDATION_PASSED_FLAG]])</f>
        <v>0</v>
      </c>
      <c r="L123"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123" s="1">
        <f ca="1">IF(DB_TBL_DATA_FIELDS[[#This Row],[SHEET_REF_CALC]]="","",IF(DB_TBL_DATA_FIELDS[[#This Row],[FIELD_EMPTY_FLAG]],IF(NOT(DB_TBL_DATA_FIELDS[[#This Row],[FIELD_REQ_FLAG]]),-1,1),IF(NOT(DB_TBL_DATA_FIELDS[[#This Row],[FIELD_VALID_FLAG]]),0,2)))</f>
        <v>1</v>
      </c>
      <c r="N123" s="1" t="str">
        <f ca="1">IFERROR(VLOOKUP(DB_TBL_DATA_FIELDS[[#This Row],[FIELD_STATUS_CODE]],DB_TBL_CONFIG_FIELDSTATUSCODES[#All],3,FALSE),"")</f>
        <v>Required</v>
      </c>
      <c r="O123" s="1" t="str">
        <f ca="1">IFERROR(VLOOKUP(DB_TBL_DATA_FIELDS[[#This Row],[FIELD_STATUS_CODE]],DB_TBL_CONFIG_FIELDSTATUSCODES[#All],4,FALSE),"")</f>
        <v>i</v>
      </c>
      <c r="P123" s="1" t="b">
        <f>TRUE</f>
        <v>1</v>
      </c>
      <c r="Q123" s="1" t="b">
        <f>TRUE</f>
        <v>1</v>
      </c>
      <c r="R123" s="1" t="s">
        <v>38</v>
      </c>
      <c r="S123" s="1">
        <f ca="1">IF(DB_TBL_DATA_FIELDS[[#This Row],[RANGE_VALIDATION_FLAG]]="Text",LEN(DB_TBL_DATA_FIELDS[[#This Row],[FIELD_VALUE_RAW]]),IFERROR(VALUE(DB_TBL_DATA_FIELDS[[#This Row],[FIELD_VALUE_RAW]]),-1))</f>
        <v>-1</v>
      </c>
      <c r="T123" s="1">
        <v>0</v>
      </c>
      <c r="U123" s="1">
        <v>999999999</v>
      </c>
      <c r="V123" s="1" t="b">
        <f ca="1">IF(NOT(DB_TBL_DATA_FIELDS[[#This Row],[RANGE_VALIDATION_ON_FLAG]]),TRUE,
AND(DB_TBL_DATA_FIELDS[[#This Row],[RANGE_VALUE_LEN]]&gt;=DB_TBL_DATA_FIELDS[[#This Row],[RANGE_VALIDATION_MIN]],DB_TBL_DATA_FIELDS[[#This Row],[RANGE_VALUE_LEN]]&lt;=DB_TBL_DATA_FIELDS[[#This Row],[RANGE_VALIDATION_MAX]]))</f>
        <v>0</v>
      </c>
      <c r="W123" s="1">
        <v>1</v>
      </c>
      <c r="X123" s="1">
        <f ca="1">IF(DB_TBL_DATA_FIELDS[[#This Row],[PCT_CALC_SHOW_STATUS_CODE]]=1,
DB_TBL_DATA_FIELDS[[#This Row],[FIELD_STATUS_CODE]],
IF(AND(DB_TBL_DATA_FIELDS[[#This Row],[PCT_CALC_SHOW_STATUS_CODE]]=2,DB_TBL_DATA_FIELDS[[#This Row],[FIELD_STATUS_CODE]]=0),
DB_TBL_DATA_FIELDS[[#This Row],[FIELD_STATUS_CODE]],
"")
)</f>
        <v>1</v>
      </c>
    </row>
    <row r="124" spans="1:26" x14ac:dyDescent="0.2">
      <c r="A124" s="1" t="s">
        <v>9039</v>
      </c>
      <c r="B124" s="14" t="str">
        <f>IFERROR(IF(FIND(DATA_EFORM_SHEET_REF,DB_TBL_DATA_FIELDS[[#This Row],[APPLICABLE_EFORM_LIST]])&gt;0,DATA_EFORM_SHEET_REF,""),"")</f>
        <v>_</v>
      </c>
      <c r="C124" s="1" t="s">
        <v>2512</v>
      </c>
      <c r="D124" s="1" t="b">
        <v>1</v>
      </c>
      <c r="E124" s="16" t="b">
        <v>1</v>
      </c>
      <c r="F124" s="2" t="s">
        <v>2539</v>
      </c>
      <c r="G124" s="2" t="str">
        <f ca="1">IFERROR(VLOOKUP(DB_TBL_DATA_FIELDS[[#This Row],[FIELD_ID]],INDIRECT(DB_TBL_DATA_FIELDS[[#This Row],[SHEET_REF_CALC]]&amp;"!A:B"),2,FALSE),"")</f>
        <v/>
      </c>
      <c r="I124" s="2" t="b">
        <f ca="1">(DB_TBL_DATA_FIELDS[[#This Row],[FIELD_VALUE_RAW]]="")</f>
        <v>1</v>
      </c>
      <c r="J124" s="2" t="s">
        <v>38</v>
      </c>
      <c r="K124" s="1" t="b">
        <f ca="1">AND(IF(DB_TBL_DATA_FIELDS[[#This Row],[FIELD_VALID_CUSTOM_LOGIC]]="",TRUE,DB_TBL_DATA_FIELDS[[#This Row],[FIELD_VALID_CUSTOM_LOGIC]]),DB_TBL_DATA_FIELDS[[#This Row],[RANGE_VALIDATION_PASSED_FLAG]])</f>
        <v>0</v>
      </c>
      <c r="L124"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124" s="1">
        <f ca="1">IF(DB_TBL_DATA_FIELDS[[#This Row],[SHEET_REF_CALC]]="","",IF(DB_TBL_DATA_FIELDS[[#This Row],[FIELD_EMPTY_FLAG]],IF(NOT(DB_TBL_DATA_FIELDS[[#This Row],[FIELD_REQ_FLAG]]),-1,1),IF(NOT(DB_TBL_DATA_FIELDS[[#This Row],[FIELD_VALID_FLAG]]),0,2)))</f>
        <v>1</v>
      </c>
      <c r="N124" s="1" t="str">
        <f ca="1">IFERROR(VLOOKUP(DB_TBL_DATA_FIELDS[[#This Row],[FIELD_STATUS_CODE]],DB_TBL_CONFIG_FIELDSTATUSCODES[#All],3,FALSE),"")</f>
        <v>Required</v>
      </c>
      <c r="O124" s="1" t="str">
        <f ca="1">IFERROR(VLOOKUP(DB_TBL_DATA_FIELDS[[#This Row],[FIELD_STATUS_CODE]],DB_TBL_CONFIG_FIELDSTATUSCODES[#All],4,FALSE),"")</f>
        <v>i</v>
      </c>
      <c r="P124" s="1" t="b">
        <f>TRUE</f>
        <v>1</v>
      </c>
      <c r="Q124" s="1" t="b">
        <f>TRUE</f>
        <v>1</v>
      </c>
      <c r="R124" s="1" t="s">
        <v>38</v>
      </c>
      <c r="S124" s="1">
        <f ca="1">IF(DB_TBL_DATA_FIELDS[[#This Row],[RANGE_VALIDATION_FLAG]]="Text",LEN(DB_TBL_DATA_FIELDS[[#This Row],[FIELD_VALUE_RAW]]),IFERROR(VALUE(DB_TBL_DATA_FIELDS[[#This Row],[FIELD_VALUE_RAW]]),-1))</f>
        <v>-1</v>
      </c>
      <c r="T124" s="1">
        <v>1</v>
      </c>
      <c r="U124" s="1">
        <v>999999999</v>
      </c>
      <c r="V124" s="1" t="b">
        <f ca="1">IF(NOT(DB_TBL_DATA_FIELDS[[#This Row],[RANGE_VALIDATION_ON_FLAG]]),TRUE,
AND(DB_TBL_DATA_FIELDS[[#This Row],[RANGE_VALUE_LEN]]&gt;=DB_TBL_DATA_FIELDS[[#This Row],[RANGE_VALIDATION_MIN]],DB_TBL_DATA_FIELDS[[#This Row],[RANGE_VALUE_LEN]]&lt;=DB_TBL_DATA_FIELDS[[#This Row],[RANGE_VALIDATION_MAX]]))</f>
        <v>0</v>
      </c>
      <c r="W124" s="1">
        <v>1</v>
      </c>
      <c r="X124" s="1">
        <f ca="1">IF(DB_TBL_DATA_FIELDS[[#This Row],[PCT_CALC_SHOW_STATUS_CODE]]=1,
DB_TBL_DATA_FIELDS[[#This Row],[FIELD_STATUS_CODE]],
IF(AND(DB_TBL_DATA_FIELDS[[#This Row],[PCT_CALC_SHOW_STATUS_CODE]]=2,DB_TBL_DATA_FIELDS[[#This Row],[FIELD_STATUS_CODE]]=0),
DB_TBL_DATA_FIELDS[[#This Row],[FIELD_STATUS_CODE]],
"")
)</f>
        <v>1</v>
      </c>
    </row>
    <row r="125" spans="1:26" x14ac:dyDescent="0.2">
      <c r="A125" s="1" t="s">
        <v>9039</v>
      </c>
      <c r="B125" s="14" t="str">
        <f>IFERROR(IF(FIND(DATA_EFORM_SHEET_REF,DB_TBL_DATA_FIELDS[[#This Row],[APPLICABLE_EFORM_LIST]])&gt;0,DATA_EFORM_SHEET_REF,""),"")</f>
        <v>_</v>
      </c>
      <c r="C125" s="1" t="s">
        <v>2515</v>
      </c>
      <c r="D125" s="1" t="b">
        <v>1</v>
      </c>
      <c r="E125" s="16" t="b">
        <v>1</v>
      </c>
      <c r="F125" s="2" t="s">
        <v>2546</v>
      </c>
      <c r="G125" s="2" t="str">
        <f ca="1">IFERROR(VLOOKUP(DB_TBL_DATA_FIELDS[[#This Row],[FIELD_ID]],INDIRECT(DB_TBL_DATA_FIELDS[[#This Row],[SHEET_REF_CALC]]&amp;"!A:B"),2,FALSE),"")</f>
        <v/>
      </c>
      <c r="I125" s="2" t="b">
        <f ca="1">(DB_TBL_DATA_FIELDS[[#This Row],[FIELD_VALUE_RAW]]="")</f>
        <v>1</v>
      </c>
      <c r="J125" s="2" t="s">
        <v>38</v>
      </c>
      <c r="K125" s="1" t="b">
        <f ca="1">AND(IF(DB_TBL_DATA_FIELDS[[#This Row],[FIELD_VALID_CUSTOM_LOGIC]]="",TRUE,DB_TBL_DATA_FIELDS[[#This Row],[FIELD_VALID_CUSTOM_LOGIC]]),DB_TBL_DATA_FIELDS[[#This Row],[RANGE_VALIDATION_PASSED_FLAG]])</f>
        <v>0</v>
      </c>
      <c r="L125"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125" s="1">
        <f ca="1">IF(DB_TBL_DATA_FIELDS[[#This Row],[SHEET_REF_CALC]]="","",IF(DB_TBL_DATA_FIELDS[[#This Row],[FIELD_EMPTY_FLAG]],IF(NOT(DB_TBL_DATA_FIELDS[[#This Row],[FIELD_REQ_FLAG]]),-1,1),IF(NOT(DB_TBL_DATA_FIELDS[[#This Row],[FIELD_VALID_FLAG]]),0,2)))</f>
        <v>1</v>
      </c>
      <c r="N125" s="1" t="str">
        <f ca="1">IFERROR(VLOOKUP(DB_TBL_DATA_FIELDS[[#This Row],[FIELD_STATUS_CODE]],DB_TBL_CONFIG_FIELDSTATUSCODES[#All],3,FALSE),"")</f>
        <v>Required</v>
      </c>
      <c r="O125" s="1" t="str">
        <f ca="1">IFERROR(VLOOKUP(DB_TBL_DATA_FIELDS[[#This Row],[FIELD_STATUS_CODE]],DB_TBL_CONFIG_FIELDSTATUSCODES[#All],4,FALSE),"")</f>
        <v>i</v>
      </c>
      <c r="P125" s="1" t="b">
        <f>TRUE</f>
        <v>1</v>
      </c>
      <c r="Q125" s="1" t="b">
        <f>TRUE</f>
        <v>1</v>
      </c>
      <c r="R125" s="1" t="s">
        <v>38</v>
      </c>
      <c r="S125" s="1">
        <f ca="1">IF(DB_TBL_DATA_FIELDS[[#This Row],[RANGE_VALIDATION_FLAG]]="Text",LEN(DB_TBL_DATA_FIELDS[[#This Row],[FIELD_VALUE_RAW]]),IFERROR(VALUE(DB_TBL_DATA_FIELDS[[#This Row],[FIELD_VALUE_RAW]]),-1))</f>
        <v>-1</v>
      </c>
      <c r="T125" s="1">
        <v>0</v>
      </c>
      <c r="U125" s="1">
        <v>0.5</v>
      </c>
      <c r="V125" s="1" t="b">
        <f ca="1">IF(NOT(DB_TBL_DATA_FIELDS[[#This Row],[RANGE_VALIDATION_ON_FLAG]]),TRUE,
AND(DB_TBL_DATA_FIELDS[[#This Row],[RANGE_VALUE_LEN]]&gt;=DB_TBL_DATA_FIELDS[[#This Row],[RANGE_VALIDATION_MIN]],DB_TBL_DATA_FIELDS[[#This Row],[RANGE_VALUE_LEN]]&lt;=DB_TBL_DATA_FIELDS[[#This Row],[RANGE_VALIDATION_MAX]]))</f>
        <v>0</v>
      </c>
      <c r="W125" s="1">
        <v>1</v>
      </c>
      <c r="X125" s="1">
        <f ca="1">IF(DB_TBL_DATA_FIELDS[[#This Row],[PCT_CALC_SHOW_STATUS_CODE]]=1,
DB_TBL_DATA_FIELDS[[#This Row],[FIELD_STATUS_CODE]],
IF(AND(DB_TBL_DATA_FIELDS[[#This Row],[PCT_CALC_SHOW_STATUS_CODE]]=2,DB_TBL_DATA_FIELDS[[#This Row],[FIELD_STATUS_CODE]]=0),
DB_TBL_DATA_FIELDS[[#This Row],[FIELD_STATUS_CODE]],
"")
)</f>
        <v>1</v>
      </c>
    </row>
    <row r="126" spans="1:26" x14ac:dyDescent="0.2">
      <c r="A126" s="1" t="s">
        <v>9039</v>
      </c>
      <c r="B126" s="14" t="str">
        <f>IFERROR(IF(FIND(DATA_EFORM_SHEET_REF,DB_TBL_DATA_FIELDS[[#This Row],[APPLICABLE_EFORM_LIST]])&gt;0,DATA_EFORM_SHEET_REF,""),"")</f>
        <v>_</v>
      </c>
      <c r="C126" s="1" t="s">
        <v>2516</v>
      </c>
      <c r="D126" s="1" t="b">
        <v>1</v>
      </c>
      <c r="E126" s="16" t="b">
        <v>1</v>
      </c>
      <c r="F126" s="2" t="s">
        <v>2547</v>
      </c>
      <c r="G126" s="2" t="str">
        <f ca="1">IFERROR(VLOOKUP(DB_TBL_DATA_FIELDS[[#This Row],[FIELD_ID]],INDIRECT(DB_TBL_DATA_FIELDS[[#This Row],[SHEET_REF_CALC]]&amp;"!A:B"),2,FALSE),"")</f>
        <v/>
      </c>
      <c r="I126" s="2" t="b">
        <f ca="1">(DB_TBL_DATA_FIELDS[[#This Row],[FIELD_VALUE_RAW]]="")</f>
        <v>1</v>
      </c>
      <c r="J126" s="2" t="s">
        <v>38</v>
      </c>
      <c r="K126" s="1" t="b">
        <f ca="1">AND(IF(DB_TBL_DATA_FIELDS[[#This Row],[FIELD_VALID_CUSTOM_LOGIC]]="",TRUE,DB_TBL_DATA_FIELDS[[#This Row],[FIELD_VALID_CUSTOM_LOGIC]]),DB_TBL_DATA_FIELDS[[#This Row],[RANGE_VALIDATION_PASSED_FLAG]])</f>
        <v>0</v>
      </c>
      <c r="L126"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126" s="1">
        <f ca="1">IF(DB_TBL_DATA_FIELDS[[#This Row],[SHEET_REF_CALC]]="","",IF(DB_TBL_DATA_FIELDS[[#This Row],[FIELD_EMPTY_FLAG]],IF(NOT(DB_TBL_DATA_FIELDS[[#This Row],[FIELD_REQ_FLAG]]),-1,1),IF(NOT(DB_TBL_DATA_FIELDS[[#This Row],[FIELD_VALID_FLAG]]),0,2)))</f>
        <v>1</v>
      </c>
      <c r="N126" s="1" t="str">
        <f ca="1">IFERROR(VLOOKUP(DB_TBL_DATA_FIELDS[[#This Row],[FIELD_STATUS_CODE]],DB_TBL_CONFIG_FIELDSTATUSCODES[#All],3,FALSE),"")</f>
        <v>Required</v>
      </c>
      <c r="O126" s="1" t="str">
        <f ca="1">IFERROR(VLOOKUP(DB_TBL_DATA_FIELDS[[#This Row],[FIELD_STATUS_CODE]],DB_TBL_CONFIG_FIELDSTATUSCODES[#All],4,FALSE),"")</f>
        <v>i</v>
      </c>
      <c r="P126" s="1" t="b">
        <f>TRUE</f>
        <v>1</v>
      </c>
      <c r="Q126" s="1" t="b">
        <f>TRUE</f>
        <v>1</v>
      </c>
      <c r="R126" s="1" t="s">
        <v>38</v>
      </c>
      <c r="S126" s="1">
        <f ca="1">IF(DB_TBL_DATA_FIELDS[[#This Row],[RANGE_VALIDATION_FLAG]]="Text",LEN(DB_TBL_DATA_FIELDS[[#This Row],[FIELD_VALUE_RAW]]),IFERROR(VALUE(DB_TBL_DATA_FIELDS[[#This Row],[FIELD_VALUE_RAW]]),-1))</f>
        <v>-1</v>
      </c>
      <c r="T126" s="1">
        <v>1</v>
      </c>
      <c r="U126" s="1">
        <v>600</v>
      </c>
      <c r="V126" s="1" t="b">
        <f ca="1">IF(NOT(DB_TBL_DATA_FIELDS[[#This Row],[RANGE_VALIDATION_ON_FLAG]]),TRUE,
AND(DB_TBL_DATA_FIELDS[[#This Row],[RANGE_VALUE_LEN]]&gt;=DB_TBL_DATA_FIELDS[[#This Row],[RANGE_VALIDATION_MIN]],DB_TBL_DATA_FIELDS[[#This Row],[RANGE_VALUE_LEN]]&lt;=DB_TBL_DATA_FIELDS[[#This Row],[RANGE_VALIDATION_MAX]]))</f>
        <v>0</v>
      </c>
      <c r="W126" s="1">
        <v>1</v>
      </c>
      <c r="X126" s="1">
        <f ca="1">IF(DB_TBL_DATA_FIELDS[[#This Row],[PCT_CALC_SHOW_STATUS_CODE]]=1,
DB_TBL_DATA_FIELDS[[#This Row],[FIELD_STATUS_CODE]],
IF(AND(DB_TBL_DATA_FIELDS[[#This Row],[PCT_CALC_SHOW_STATUS_CODE]]=2,DB_TBL_DATA_FIELDS[[#This Row],[FIELD_STATUS_CODE]]=0),
DB_TBL_DATA_FIELDS[[#This Row],[FIELD_STATUS_CODE]],
"")
)</f>
        <v>1</v>
      </c>
    </row>
    <row r="127" spans="1:26" x14ac:dyDescent="0.2">
      <c r="A127" s="1" t="s">
        <v>9039</v>
      </c>
      <c r="B127" s="14" t="str">
        <f>IFERROR(IF(FIND(DATA_EFORM_SHEET_REF,DB_TBL_DATA_FIELDS[[#This Row],[APPLICABLE_EFORM_LIST]])&gt;0,DATA_EFORM_SHEET_REF,""),"")</f>
        <v>_</v>
      </c>
      <c r="C127" s="1" t="s">
        <v>2517</v>
      </c>
      <c r="D127" s="1" t="b">
        <v>1</v>
      </c>
      <c r="E127" s="16" t="b">
        <v>1</v>
      </c>
      <c r="F127" s="2" t="s">
        <v>2540</v>
      </c>
      <c r="G127" s="2" t="str">
        <f ca="1">IFERROR(VLOOKUP(DB_TBL_DATA_FIELDS[[#This Row],[FIELD_ID]],INDIRECT(DB_TBL_DATA_FIELDS[[#This Row],[SHEET_REF_CALC]]&amp;"!A:B"),2,FALSE),"")</f>
        <v/>
      </c>
      <c r="I127" s="2" t="b">
        <f ca="1">(DB_TBL_DATA_FIELDS[[#This Row],[FIELD_VALUE_RAW]]="")</f>
        <v>1</v>
      </c>
      <c r="J127" s="2" t="s">
        <v>9</v>
      </c>
      <c r="K127" s="1" t="b">
        <f ca="1">AND(IF(DB_TBL_DATA_FIELDS[[#This Row],[FIELD_VALID_CUSTOM_LOGIC]]="",TRUE,DB_TBL_DATA_FIELDS[[#This Row],[FIELD_VALID_CUSTOM_LOGIC]]),DB_TBL_DATA_FIELDS[[#This Row],[RANGE_VALIDATION_PASSED_FLAG]])</f>
        <v>1</v>
      </c>
      <c r="L127"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127" s="1">
        <f ca="1">IF(DB_TBL_DATA_FIELDS[[#This Row],[SHEET_REF_CALC]]="","",IF(DB_TBL_DATA_FIELDS[[#This Row],[FIELD_EMPTY_FLAG]],IF(NOT(DB_TBL_DATA_FIELDS[[#This Row],[FIELD_REQ_FLAG]]),-1,1),IF(NOT(DB_TBL_DATA_FIELDS[[#This Row],[FIELD_VALID_FLAG]]),0,2)))</f>
        <v>1</v>
      </c>
      <c r="N127" s="1" t="str">
        <f ca="1">IFERROR(VLOOKUP(DB_TBL_DATA_FIELDS[[#This Row],[FIELD_STATUS_CODE]],DB_TBL_CONFIG_FIELDSTATUSCODES[#All],3,FALSE),"")</f>
        <v>Required</v>
      </c>
      <c r="O127" s="1" t="str">
        <f ca="1">IFERROR(VLOOKUP(DB_TBL_DATA_FIELDS[[#This Row],[FIELD_STATUS_CODE]],DB_TBL_CONFIG_FIELDSTATUSCODES[#All],4,FALSE),"")</f>
        <v>i</v>
      </c>
      <c r="P127" s="1" t="b">
        <f>TRUE</f>
        <v>1</v>
      </c>
      <c r="Q127" s="1" t="b">
        <f>TRUE</f>
        <v>1</v>
      </c>
      <c r="R127" s="1" t="s">
        <v>9</v>
      </c>
      <c r="S127" s="1">
        <f ca="1">IF(DB_TBL_DATA_FIELDS[[#This Row],[RANGE_VALIDATION_FLAG]]="Text",LEN(DB_TBL_DATA_FIELDS[[#This Row],[FIELD_VALUE_RAW]]),IFERROR(VALUE(DB_TBL_DATA_FIELDS[[#This Row],[FIELD_VALUE_RAW]]),-1))</f>
        <v>0</v>
      </c>
      <c r="T127" s="1">
        <v>0</v>
      </c>
      <c r="U127" s="1">
        <v>100</v>
      </c>
      <c r="V127" s="1" t="b">
        <f ca="1">IF(NOT(DB_TBL_DATA_FIELDS[[#This Row],[RANGE_VALIDATION_ON_FLAG]]),TRUE,
AND(DB_TBL_DATA_FIELDS[[#This Row],[RANGE_VALUE_LEN]]&gt;=DB_TBL_DATA_FIELDS[[#This Row],[RANGE_VALIDATION_MIN]],DB_TBL_DATA_FIELDS[[#This Row],[RANGE_VALUE_LEN]]&lt;=DB_TBL_DATA_FIELDS[[#This Row],[RANGE_VALIDATION_MAX]]))</f>
        <v>1</v>
      </c>
      <c r="W127" s="1">
        <v>1</v>
      </c>
      <c r="X127" s="1">
        <f ca="1">IF(DB_TBL_DATA_FIELDS[[#This Row],[PCT_CALC_SHOW_STATUS_CODE]]=1,
DB_TBL_DATA_FIELDS[[#This Row],[FIELD_STATUS_CODE]],
IF(AND(DB_TBL_DATA_FIELDS[[#This Row],[PCT_CALC_SHOW_STATUS_CODE]]=2,DB_TBL_DATA_FIELDS[[#This Row],[FIELD_STATUS_CODE]]=0),
DB_TBL_DATA_FIELDS[[#This Row],[FIELD_STATUS_CODE]],
"")
)</f>
        <v>1</v>
      </c>
    </row>
    <row r="128" spans="1:26" x14ac:dyDescent="0.2">
      <c r="A128" s="1" t="s">
        <v>9039</v>
      </c>
      <c r="B128" s="14" t="str">
        <f>IFERROR(IF(FIND(DATA_EFORM_SHEET_REF,DB_TBL_DATA_FIELDS[[#This Row],[APPLICABLE_EFORM_LIST]])&gt;0,DATA_EFORM_SHEET_REF,""),"")</f>
        <v>_</v>
      </c>
      <c r="C128" s="1" t="s">
        <v>2518</v>
      </c>
      <c r="D128" s="1" t="b">
        <v>1</v>
      </c>
      <c r="E128" s="16" t="b">
        <v>1</v>
      </c>
      <c r="F128" s="2" t="s">
        <v>2542</v>
      </c>
      <c r="G128" s="19" t="str">
        <f ca="1">IF(DATA_FIRST_MTG_LOAN_TYPE="","",IF(DATA_FIRST_MTG_LOAN_TYPE=MTG_TYPE_FIXED,TRUE,FALSE))</f>
        <v/>
      </c>
      <c r="I128" s="2" t="b">
        <f ca="1">(DB_TBL_DATA_FIELDS[[#This Row],[FIELD_VALUE_RAW]]="")</f>
        <v>1</v>
      </c>
      <c r="J128" s="2" t="s">
        <v>137</v>
      </c>
      <c r="K128" s="1" t="b">
        <f>AND(IF(DB_TBL_DATA_FIELDS[[#This Row],[FIELD_VALID_CUSTOM_LOGIC]]="",TRUE,DB_TBL_DATA_FIELDS[[#This Row],[FIELD_VALID_CUSTOM_LOGIC]]),DB_TBL_DATA_FIELDS[[#This Row],[RANGE_VALIDATION_PASSED_FLAG]])</f>
        <v>1</v>
      </c>
      <c r="L128"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128" s="1">
        <f ca="1">IF(DB_TBL_DATA_FIELDS[[#This Row],[SHEET_REF_CALC]]="","",IF(DB_TBL_DATA_FIELDS[[#This Row],[FIELD_EMPTY_FLAG]],IF(NOT(DB_TBL_DATA_FIELDS[[#This Row],[FIELD_REQ_FLAG]]),-1,1),IF(NOT(DB_TBL_DATA_FIELDS[[#This Row],[FIELD_VALID_FLAG]]),0,2)))</f>
        <v>1</v>
      </c>
      <c r="N128" s="1" t="str">
        <f ca="1">IFERROR(VLOOKUP(DB_TBL_DATA_FIELDS[[#This Row],[FIELD_STATUS_CODE]],DB_TBL_CONFIG_FIELDSTATUSCODES[#All],3,FALSE),"")</f>
        <v>Required</v>
      </c>
      <c r="O128" s="1" t="str">
        <f ca="1">IFERROR(VLOOKUP(DB_TBL_DATA_FIELDS[[#This Row],[FIELD_STATUS_CODE]],DB_TBL_CONFIG_FIELDSTATUSCODES[#All],4,FALSE),"")</f>
        <v>i</v>
      </c>
      <c r="P128" s="1" t="b">
        <f>TRUE</f>
        <v>1</v>
      </c>
      <c r="Q128" s="1" t="b">
        <v>0</v>
      </c>
      <c r="S128" s="1">
        <f ca="1">IF(DB_TBL_DATA_FIELDS[[#This Row],[RANGE_VALIDATION_FLAG]]="Text",LEN(DB_TBL_DATA_FIELDS[[#This Row],[FIELD_VALUE_RAW]]),IFERROR(VALUE(DB_TBL_DATA_FIELDS[[#This Row],[FIELD_VALUE_RAW]]),-1))</f>
        <v>-1</v>
      </c>
      <c r="V128" s="1" t="b">
        <f>IF(NOT(DB_TBL_DATA_FIELDS[[#This Row],[RANGE_VALIDATION_ON_FLAG]]),TRUE,
AND(DB_TBL_DATA_FIELDS[[#This Row],[RANGE_VALUE_LEN]]&gt;=DB_TBL_DATA_FIELDS[[#This Row],[RANGE_VALIDATION_MIN]],DB_TBL_DATA_FIELDS[[#This Row],[RANGE_VALUE_LEN]]&lt;=DB_TBL_DATA_FIELDS[[#This Row],[RANGE_VALIDATION_MAX]]))</f>
        <v>1</v>
      </c>
      <c r="W128" s="1">
        <v>0</v>
      </c>
      <c r="X128" s="1" t="str">
        <f ca="1">IF(DB_TBL_DATA_FIELDS[[#This Row],[PCT_CALC_SHOW_STATUS_CODE]]=1,
DB_TBL_DATA_FIELDS[[#This Row],[FIELD_STATUS_CODE]],
IF(AND(DB_TBL_DATA_FIELDS[[#This Row],[PCT_CALC_SHOW_STATUS_CODE]]=2,DB_TBL_DATA_FIELDS[[#This Row],[FIELD_STATUS_CODE]]=0),
DB_TBL_DATA_FIELDS[[#This Row],[FIELD_STATUS_CODE]],
"")
)</f>
        <v/>
      </c>
    </row>
    <row r="129" spans="1:26" x14ac:dyDescent="0.2">
      <c r="A129" s="1" t="s">
        <v>9039</v>
      </c>
      <c r="B129" s="14" t="str">
        <f>IFERROR(IF(FIND(DATA_EFORM_SHEET_REF,DB_TBL_DATA_FIELDS[[#This Row],[APPLICABLE_EFORM_LIST]])&gt;0,DATA_EFORM_SHEET_REF,""),"")</f>
        <v>_</v>
      </c>
      <c r="C129" s="1" t="s">
        <v>2532</v>
      </c>
      <c r="D129" s="1" t="b">
        <v>0</v>
      </c>
      <c r="E129" s="16" t="b">
        <v>1</v>
      </c>
      <c r="F129" s="2" t="s">
        <v>2544</v>
      </c>
      <c r="G129" s="2" t="str">
        <f ca="1">IFERROR(VLOOKUP(DB_TBL_DATA_FIELDS[[#This Row],[FIELD_ID]],INDIRECT(DB_TBL_DATA_FIELDS[[#This Row],[SHEET_REF_CALC]]&amp;"!A:B"),2,FALSE),"")</f>
        <v/>
      </c>
      <c r="I129" s="2" t="b">
        <f ca="1">(DB_TBL_DATA_FIELDS[[#This Row],[FIELD_VALUE_RAW]]="")</f>
        <v>1</v>
      </c>
      <c r="J129" s="2" t="s">
        <v>137</v>
      </c>
      <c r="K129" s="1" t="b">
        <f>AND(IF(DB_TBL_DATA_FIELDS[[#This Row],[FIELD_VALID_CUSTOM_LOGIC]]="",TRUE,DB_TBL_DATA_FIELDS[[#This Row],[FIELD_VALID_CUSTOM_LOGIC]]),DB_TBL_DATA_FIELDS[[#This Row],[RANGE_VALIDATION_PASSED_FLAG]])</f>
        <v>1</v>
      </c>
      <c r="L129"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129" s="1">
        <f ca="1">IF(DB_TBL_DATA_FIELDS[[#This Row],[SHEET_REF_CALC]]="","",IF(DB_TBL_DATA_FIELDS[[#This Row],[FIELD_EMPTY_FLAG]],IF(NOT(DB_TBL_DATA_FIELDS[[#This Row],[FIELD_REQ_FLAG]]),-1,1),IF(NOT(DB_TBL_DATA_FIELDS[[#This Row],[FIELD_VALID_FLAG]]),0,2)))</f>
        <v>1</v>
      </c>
      <c r="N129" s="1" t="str">
        <f ca="1">IFERROR(VLOOKUP(DB_TBL_DATA_FIELDS[[#This Row],[FIELD_STATUS_CODE]],DB_TBL_CONFIG_FIELDSTATUSCODES[#All],3,FALSE),"")</f>
        <v>Required</v>
      </c>
      <c r="O129" s="1" t="str">
        <f ca="1">IFERROR(VLOOKUP(DB_TBL_DATA_FIELDS[[#This Row],[FIELD_STATUS_CODE]],DB_TBL_CONFIG_FIELDSTATUSCODES[#All],4,FALSE),"")</f>
        <v>i</v>
      </c>
      <c r="P129" s="1" t="b">
        <f>TRUE</f>
        <v>1</v>
      </c>
      <c r="Q129" s="1" t="b">
        <v>0</v>
      </c>
      <c r="S129" s="1">
        <f ca="1">IF(DB_TBL_DATA_FIELDS[[#This Row],[RANGE_VALIDATION_FLAG]]="Text",LEN(DB_TBL_DATA_FIELDS[[#This Row],[FIELD_VALUE_RAW]]),IFERROR(VALUE(DB_TBL_DATA_FIELDS[[#This Row],[FIELD_VALUE_RAW]]),-1))</f>
        <v>-1</v>
      </c>
      <c r="V129" s="1" t="b">
        <f>IF(NOT(DB_TBL_DATA_FIELDS[[#This Row],[RANGE_VALIDATION_ON_FLAG]]),TRUE,
AND(DB_TBL_DATA_FIELDS[[#This Row],[RANGE_VALUE_LEN]]&gt;=DB_TBL_DATA_FIELDS[[#This Row],[RANGE_VALIDATION_MIN]],DB_TBL_DATA_FIELDS[[#This Row],[RANGE_VALUE_LEN]]&lt;=DB_TBL_DATA_FIELDS[[#This Row],[RANGE_VALIDATION_MAX]]))</f>
        <v>1</v>
      </c>
      <c r="W129" s="1">
        <v>1</v>
      </c>
      <c r="X129" s="1">
        <f ca="1">IF(DB_TBL_DATA_FIELDS[[#This Row],[PCT_CALC_SHOW_STATUS_CODE]]=1,
DB_TBL_DATA_FIELDS[[#This Row],[FIELD_STATUS_CODE]],
IF(AND(DB_TBL_DATA_FIELDS[[#This Row],[PCT_CALC_SHOW_STATUS_CODE]]=2,DB_TBL_DATA_FIELDS[[#This Row],[FIELD_STATUS_CODE]]=0),
DB_TBL_DATA_FIELDS[[#This Row],[FIELD_STATUS_CODE]],
"")
)</f>
        <v>1</v>
      </c>
    </row>
    <row r="130" spans="1:26" x14ac:dyDescent="0.2">
      <c r="A130" s="1" t="s">
        <v>9039</v>
      </c>
      <c r="B130" s="14" t="str">
        <f>IFERROR(IF(FIND(DATA_EFORM_SHEET_REF,DB_TBL_DATA_FIELDS[[#This Row],[APPLICABLE_EFORM_LIST]])&gt;0,DATA_EFORM_SHEET_REF,""),"")</f>
        <v>_</v>
      </c>
      <c r="C130" s="1" t="s">
        <v>2519</v>
      </c>
      <c r="D130" s="1" t="b">
        <v>1</v>
      </c>
      <c r="E130" s="81" t="b">
        <f ca="1">IF(DATA_SECOND_MTG_FLAG=TRUE,TRUE,FALSE)</f>
        <v>0</v>
      </c>
      <c r="F130" s="2" t="s">
        <v>2545</v>
      </c>
      <c r="G130" s="2" t="str">
        <f ca="1">IFERROR(VLOOKUP(DB_TBL_DATA_FIELDS[[#This Row],[FIELD_ID]],INDIRECT(DB_TBL_DATA_FIELDS[[#This Row],[SHEET_REF_CALC]]&amp;"!A:B"),2,FALSE),"")</f>
        <v/>
      </c>
      <c r="H130" s="19" t="str">
        <f ca="1">IF(NOT(DB_TBL_DATA_FIELDS[[#This Row],[FIELD_EMPTY_FLAG]]),DATA_SECOND_MTG_FLAG=TRUE,"")</f>
        <v/>
      </c>
      <c r="I130" s="2" t="b">
        <f ca="1">(DB_TBL_DATA_FIELDS[[#This Row],[FIELD_VALUE_RAW]]="")</f>
        <v>1</v>
      </c>
      <c r="J130" s="2" t="s">
        <v>38</v>
      </c>
      <c r="K130" s="1" t="b">
        <f ca="1">AND(IF(DB_TBL_DATA_FIELDS[[#This Row],[FIELD_VALID_CUSTOM_LOGIC]]="",TRUE,DB_TBL_DATA_FIELDS[[#This Row],[FIELD_VALID_CUSTOM_LOGIC]]),DB_TBL_DATA_FIELDS[[#This Row],[RANGE_VALIDATION_PASSED_FLAG]])</f>
        <v>0</v>
      </c>
      <c r="L130"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130" s="1">
        <f ca="1">IF(DB_TBL_DATA_FIELDS[[#This Row],[SHEET_REF_CALC]]="","",IF(DB_TBL_DATA_FIELDS[[#This Row],[FIELD_EMPTY_FLAG]],IF(NOT(DB_TBL_DATA_FIELDS[[#This Row],[FIELD_REQ_FLAG]]),-1,1),IF(NOT(DB_TBL_DATA_FIELDS[[#This Row],[FIELD_VALID_FLAG]]),0,2)))</f>
        <v>-1</v>
      </c>
      <c r="N130" s="1" t="str">
        <f ca="1">IFERROR(VLOOKUP(DB_TBL_DATA_FIELDS[[#This Row],[FIELD_STATUS_CODE]],DB_TBL_CONFIG_FIELDSTATUSCODES[#All],3,FALSE),"")</f>
        <v>Optional</v>
      </c>
      <c r="O130" s="1" t="str">
        <f ca="1">IFERROR(VLOOKUP(DB_TBL_DATA_FIELDS[[#This Row],[FIELD_STATUS_CODE]],DB_TBL_CONFIG_FIELDSTATUSCODES[#All],4,FALSE),"")</f>
        <v xml:space="preserve"> </v>
      </c>
      <c r="P130" s="1" t="b">
        <f>TRUE</f>
        <v>1</v>
      </c>
      <c r="Q130" s="1" t="b">
        <f>TRUE</f>
        <v>1</v>
      </c>
      <c r="R130" s="1" t="s">
        <v>38</v>
      </c>
      <c r="S130" s="1">
        <f ca="1">IF(DB_TBL_DATA_FIELDS[[#This Row],[RANGE_VALIDATION_FLAG]]="Text",LEN(DB_TBL_DATA_FIELDS[[#This Row],[FIELD_VALUE_RAW]]),IFERROR(VALUE(DB_TBL_DATA_FIELDS[[#This Row],[FIELD_VALUE_RAW]]),-1))</f>
        <v>-1</v>
      </c>
      <c r="T130" s="1">
        <v>1</v>
      </c>
      <c r="U130" s="1">
        <v>999999999</v>
      </c>
      <c r="V130" s="1" t="b">
        <f ca="1">IF(NOT(DB_TBL_DATA_FIELDS[[#This Row],[RANGE_VALIDATION_ON_FLAG]]),TRUE,
AND(DB_TBL_DATA_FIELDS[[#This Row],[RANGE_VALUE_LEN]]&gt;=DB_TBL_DATA_FIELDS[[#This Row],[RANGE_VALIDATION_MIN]],DB_TBL_DATA_FIELDS[[#This Row],[RANGE_VALUE_LEN]]&lt;=DB_TBL_DATA_FIELDS[[#This Row],[RANGE_VALIDATION_MAX]]))</f>
        <v>0</v>
      </c>
      <c r="W130" s="1">
        <v>1</v>
      </c>
      <c r="X130" s="1">
        <f ca="1">IF(DB_TBL_DATA_FIELDS[[#This Row],[PCT_CALC_SHOW_STATUS_CODE]]=1,
DB_TBL_DATA_FIELDS[[#This Row],[FIELD_STATUS_CODE]],
IF(AND(DB_TBL_DATA_FIELDS[[#This Row],[PCT_CALC_SHOW_STATUS_CODE]]=2,DB_TBL_DATA_FIELDS[[#This Row],[FIELD_STATUS_CODE]]=0),
DB_TBL_DATA_FIELDS[[#This Row],[FIELD_STATUS_CODE]],
"")
)</f>
        <v>-1</v>
      </c>
    </row>
    <row r="131" spans="1:26" x14ac:dyDescent="0.2">
      <c r="A131" s="1" t="s">
        <v>9039</v>
      </c>
      <c r="B131" s="14" t="str">
        <f>IFERROR(IF(FIND(DATA_EFORM_SHEET_REF,DB_TBL_DATA_FIELDS[[#This Row],[APPLICABLE_EFORM_LIST]])&gt;0,DATA_EFORM_SHEET_REF,""),"")</f>
        <v>_</v>
      </c>
      <c r="C131" s="1" t="s">
        <v>2520</v>
      </c>
      <c r="D131" s="1" t="b">
        <v>1</v>
      </c>
      <c r="E131" s="81" t="b">
        <f ca="1">IF(DATA_SECOND_MTG_FLAG=TRUE,TRUE,FALSE)</f>
        <v>0</v>
      </c>
      <c r="F131" s="2" t="s">
        <v>2552</v>
      </c>
      <c r="G131" s="2" t="str">
        <f ca="1">IFERROR(VLOOKUP(DB_TBL_DATA_FIELDS[[#This Row],[FIELD_ID]],INDIRECT(DB_TBL_DATA_FIELDS[[#This Row],[SHEET_REF_CALC]]&amp;"!A:B"),2,FALSE),"")</f>
        <v/>
      </c>
      <c r="H131" s="19" t="str">
        <f ca="1">IF(NOT(DB_TBL_DATA_FIELDS[[#This Row],[FIELD_EMPTY_FLAG]]),DATA_SECOND_MTG_FLAG=TRUE,"")</f>
        <v/>
      </c>
      <c r="I131" s="2" t="b">
        <f ca="1">(DB_TBL_DATA_FIELDS[[#This Row],[FIELD_VALUE_RAW]]="")</f>
        <v>1</v>
      </c>
      <c r="J131" s="2" t="s">
        <v>38</v>
      </c>
      <c r="K131" s="1" t="b">
        <f ca="1">AND(IF(DB_TBL_DATA_FIELDS[[#This Row],[FIELD_VALID_CUSTOM_LOGIC]]="",TRUE,DB_TBL_DATA_FIELDS[[#This Row],[FIELD_VALID_CUSTOM_LOGIC]]),DB_TBL_DATA_FIELDS[[#This Row],[RANGE_VALIDATION_PASSED_FLAG]])</f>
        <v>0</v>
      </c>
      <c r="L131"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131" s="1">
        <f ca="1">IF(DB_TBL_DATA_FIELDS[[#This Row],[SHEET_REF_CALC]]="","",IF(DB_TBL_DATA_FIELDS[[#This Row],[FIELD_EMPTY_FLAG]],IF(NOT(DB_TBL_DATA_FIELDS[[#This Row],[FIELD_REQ_FLAG]]),-1,1),IF(NOT(DB_TBL_DATA_FIELDS[[#This Row],[FIELD_VALID_FLAG]]),0,2)))</f>
        <v>-1</v>
      </c>
      <c r="N131" s="1" t="str">
        <f ca="1">IFERROR(VLOOKUP(DB_TBL_DATA_FIELDS[[#This Row],[FIELD_STATUS_CODE]],DB_TBL_CONFIG_FIELDSTATUSCODES[#All],3,FALSE),"")</f>
        <v>Optional</v>
      </c>
      <c r="O131" s="1" t="str">
        <f ca="1">IFERROR(VLOOKUP(DB_TBL_DATA_FIELDS[[#This Row],[FIELD_STATUS_CODE]],DB_TBL_CONFIG_FIELDSTATUSCODES[#All],4,FALSE),"")</f>
        <v xml:space="preserve"> </v>
      </c>
      <c r="P131" s="1" t="b">
        <f>TRUE</f>
        <v>1</v>
      </c>
      <c r="Q131" s="1" t="b">
        <f>TRUE</f>
        <v>1</v>
      </c>
      <c r="R131" s="1" t="s">
        <v>38</v>
      </c>
      <c r="S131" s="1">
        <f ca="1">IF(DB_TBL_DATA_FIELDS[[#This Row],[RANGE_VALIDATION_FLAG]]="Text",LEN(DB_TBL_DATA_FIELDS[[#This Row],[FIELD_VALUE_RAW]]),IFERROR(VALUE(DB_TBL_DATA_FIELDS[[#This Row],[FIELD_VALUE_RAW]]),-1))</f>
        <v>-1</v>
      </c>
      <c r="T131" s="1">
        <v>0</v>
      </c>
      <c r="U131" s="1">
        <v>0.5</v>
      </c>
      <c r="V131" s="1" t="b">
        <f ca="1">IF(NOT(DB_TBL_DATA_FIELDS[[#This Row],[RANGE_VALIDATION_ON_FLAG]]),TRUE,
AND(DB_TBL_DATA_FIELDS[[#This Row],[RANGE_VALUE_LEN]]&gt;=DB_TBL_DATA_FIELDS[[#This Row],[RANGE_VALIDATION_MIN]],DB_TBL_DATA_FIELDS[[#This Row],[RANGE_VALUE_LEN]]&lt;=DB_TBL_DATA_FIELDS[[#This Row],[RANGE_VALIDATION_MAX]]))</f>
        <v>0</v>
      </c>
      <c r="W131" s="1">
        <v>1</v>
      </c>
      <c r="X131" s="1">
        <f ca="1">IF(DB_TBL_DATA_FIELDS[[#This Row],[PCT_CALC_SHOW_STATUS_CODE]]=1,
DB_TBL_DATA_FIELDS[[#This Row],[FIELD_STATUS_CODE]],
IF(AND(DB_TBL_DATA_FIELDS[[#This Row],[PCT_CALC_SHOW_STATUS_CODE]]=2,DB_TBL_DATA_FIELDS[[#This Row],[FIELD_STATUS_CODE]]=0),
DB_TBL_DATA_FIELDS[[#This Row],[FIELD_STATUS_CODE]],
"")
)</f>
        <v>-1</v>
      </c>
    </row>
    <row r="132" spans="1:26" ht="13.5" thickBot="1" x14ac:dyDescent="0.25">
      <c r="A132" s="98" t="s">
        <v>9039</v>
      </c>
      <c r="B132" s="102" t="str">
        <f>IFERROR(IF(FIND(DATA_EFORM_SHEET_REF,DB_TBL_DATA_FIELDS[[#This Row],[APPLICABLE_EFORM_LIST]])&gt;0,DATA_EFORM_SHEET_REF,""),"")</f>
        <v>_</v>
      </c>
      <c r="C132" s="98" t="s">
        <v>2521</v>
      </c>
      <c r="D132" s="98" t="b">
        <v>1</v>
      </c>
      <c r="E132" s="158" t="b">
        <f ca="1">IF(DATA_SECOND_MTG_FLAG=TRUE,TRUE,FALSE)</f>
        <v>0</v>
      </c>
      <c r="F132" s="100" t="s">
        <v>2553</v>
      </c>
      <c r="G132" s="100" t="str">
        <f ca="1">IFERROR(VLOOKUP(DB_TBL_DATA_FIELDS[[#This Row],[FIELD_ID]],INDIRECT(DB_TBL_DATA_FIELDS[[#This Row],[SHEET_REF_CALC]]&amp;"!A:B"),2,FALSE),"")</f>
        <v/>
      </c>
      <c r="H132" s="101" t="str">
        <f ca="1">IF(NOT(DB_TBL_DATA_FIELDS[[#This Row],[FIELD_EMPTY_FLAG]]),DATA_SECOND_MTG_FLAG=TRUE,"")</f>
        <v/>
      </c>
      <c r="I132" s="100" t="b">
        <f ca="1">(DB_TBL_DATA_FIELDS[[#This Row],[FIELD_VALUE_RAW]]="")</f>
        <v>1</v>
      </c>
      <c r="J132" s="100" t="s">
        <v>38</v>
      </c>
      <c r="K132" s="98" t="b">
        <f ca="1">AND(IF(DB_TBL_DATA_FIELDS[[#This Row],[FIELD_VALID_CUSTOM_LOGIC]]="",TRUE,DB_TBL_DATA_FIELDS[[#This Row],[FIELD_VALID_CUSTOM_LOGIC]]),DB_TBL_DATA_FIELDS[[#This Row],[RANGE_VALIDATION_PASSED_FLAG]])</f>
        <v>0</v>
      </c>
      <c r="L132" s="100"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132" s="98">
        <f ca="1">IF(DB_TBL_DATA_FIELDS[[#This Row],[SHEET_REF_CALC]]="","",IF(DB_TBL_DATA_FIELDS[[#This Row],[FIELD_EMPTY_FLAG]],IF(NOT(DB_TBL_DATA_FIELDS[[#This Row],[FIELD_REQ_FLAG]]),-1,1),IF(NOT(DB_TBL_DATA_FIELDS[[#This Row],[FIELD_VALID_FLAG]]),0,2)))</f>
        <v>-1</v>
      </c>
      <c r="N132" s="98" t="str">
        <f ca="1">IFERROR(VLOOKUP(DB_TBL_DATA_FIELDS[[#This Row],[FIELD_STATUS_CODE]],DB_TBL_CONFIG_FIELDSTATUSCODES[#All],3,FALSE),"")</f>
        <v>Optional</v>
      </c>
      <c r="O132" s="98" t="str">
        <f ca="1">IFERROR(VLOOKUP(DB_TBL_DATA_FIELDS[[#This Row],[FIELD_STATUS_CODE]],DB_TBL_CONFIG_FIELDSTATUSCODES[#All],4,FALSE),"")</f>
        <v xml:space="preserve"> </v>
      </c>
      <c r="P132" s="98" t="b">
        <f>TRUE</f>
        <v>1</v>
      </c>
      <c r="Q132" s="98" t="b">
        <f>TRUE</f>
        <v>1</v>
      </c>
      <c r="R132" s="98" t="s">
        <v>38</v>
      </c>
      <c r="S132" s="98">
        <f ca="1">IF(DB_TBL_DATA_FIELDS[[#This Row],[RANGE_VALIDATION_FLAG]]="Text",LEN(DB_TBL_DATA_FIELDS[[#This Row],[FIELD_VALUE_RAW]]),IFERROR(VALUE(DB_TBL_DATA_FIELDS[[#This Row],[FIELD_VALUE_RAW]]),-1))</f>
        <v>-1</v>
      </c>
      <c r="T132" s="98">
        <v>1</v>
      </c>
      <c r="U132" s="98">
        <v>600</v>
      </c>
      <c r="V132" s="98" t="b">
        <f ca="1">IF(NOT(DB_TBL_DATA_FIELDS[[#This Row],[RANGE_VALIDATION_ON_FLAG]]),TRUE,
AND(DB_TBL_DATA_FIELDS[[#This Row],[RANGE_VALUE_LEN]]&gt;=DB_TBL_DATA_FIELDS[[#This Row],[RANGE_VALIDATION_MIN]],DB_TBL_DATA_FIELDS[[#This Row],[RANGE_VALUE_LEN]]&lt;=DB_TBL_DATA_FIELDS[[#This Row],[RANGE_VALIDATION_MAX]]))</f>
        <v>0</v>
      </c>
      <c r="W132" s="98">
        <v>1</v>
      </c>
      <c r="X132" s="98">
        <f ca="1">IF(DB_TBL_DATA_FIELDS[[#This Row],[PCT_CALC_SHOW_STATUS_CODE]]=1,
DB_TBL_DATA_FIELDS[[#This Row],[FIELD_STATUS_CODE]],
IF(AND(DB_TBL_DATA_FIELDS[[#This Row],[PCT_CALC_SHOW_STATUS_CODE]]=2,DB_TBL_DATA_FIELDS[[#This Row],[FIELD_STATUS_CODE]]=0),
DB_TBL_DATA_FIELDS[[#This Row],[FIELD_STATUS_CODE]],
"")
)</f>
        <v>-1</v>
      </c>
      <c r="Y132" s="98"/>
      <c r="Z132" s="98"/>
    </row>
    <row r="133" spans="1:26" x14ac:dyDescent="0.2">
      <c r="A133" s="1" t="s">
        <v>9039</v>
      </c>
      <c r="B133" s="14" t="str">
        <f>IFERROR(IF(FIND(DATA_EFORM_SHEET_REF,DB_TBL_DATA_FIELDS[[#This Row],[APPLICABLE_EFORM_LIST]])&gt;0,DATA_EFORM_SHEET_REF,""),"")</f>
        <v>_</v>
      </c>
      <c r="C133" s="1" t="s">
        <v>2533</v>
      </c>
      <c r="D133" s="1" t="b">
        <v>0</v>
      </c>
      <c r="E133" s="16" t="b">
        <v>1</v>
      </c>
      <c r="F133" s="2" t="s">
        <v>2548</v>
      </c>
      <c r="G133" s="2" t="str">
        <f ca="1">IFERROR(VLOOKUP(DB_TBL_DATA_FIELDS[[#This Row],[FIELD_ID]],INDIRECT(DB_TBL_DATA_FIELDS[[#This Row],[SHEET_REF_CALC]]&amp;"!A:B"),2,FALSE),"")</f>
        <v/>
      </c>
      <c r="I133" s="2" t="b">
        <f ca="1">(DB_TBL_DATA_FIELDS[[#This Row],[FIELD_VALUE_RAW]]="")</f>
        <v>1</v>
      </c>
      <c r="J133" s="2" t="s">
        <v>137</v>
      </c>
      <c r="K133" s="1" t="b">
        <f>AND(IF(DB_TBL_DATA_FIELDS[[#This Row],[FIELD_VALID_CUSTOM_LOGIC]]="",TRUE,DB_TBL_DATA_FIELDS[[#This Row],[FIELD_VALID_CUSTOM_LOGIC]]),DB_TBL_DATA_FIELDS[[#This Row],[RANGE_VALIDATION_PASSED_FLAG]])</f>
        <v>1</v>
      </c>
      <c r="L133"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133" s="1">
        <f ca="1">IF(DB_TBL_DATA_FIELDS[[#This Row],[SHEET_REF_CALC]]="","",IF(DB_TBL_DATA_FIELDS[[#This Row],[FIELD_EMPTY_FLAG]],IF(NOT(DB_TBL_DATA_FIELDS[[#This Row],[FIELD_REQ_FLAG]]),-1,1),IF(NOT(DB_TBL_DATA_FIELDS[[#This Row],[FIELD_VALID_FLAG]]),0,2)))</f>
        <v>1</v>
      </c>
      <c r="N133" s="1" t="str">
        <f ca="1">IFERROR(VLOOKUP(DB_TBL_DATA_FIELDS[[#This Row],[FIELD_STATUS_CODE]],DB_TBL_CONFIG_FIELDSTATUSCODES[#All],3,FALSE),"")</f>
        <v>Required</v>
      </c>
      <c r="O133" s="1" t="str">
        <f ca="1">IFERROR(VLOOKUP(DB_TBL_DATA_FIELDS[[#This Row],[FIELD_STATUS_CODE]],DB_TBL_CONFIG_FIELDSTATUSCODES[#All],4,FALSE),"")</f>
        <v>i</v>
      </c>
      <c r="P133" s="1" t="b">
        <f>TRUE</f>
        <v>1</v>
      </c>
      <c r="Q133" s="1" t="b">
        <v>0</v>
      </c>
      <c r="S133" s="1">
        <f ca="1">IF(DB_TBL_DATA_FIELDS[[#This Row],[RANGE_VALIDATION_FLAG]]="Text",LEN(DB_TBL_DATA_FIELDS[[#This Row],[FIELD_VALUE_RAW]]),IFERROR(VALUE(DB_TBL_DATA_FIELDS[[#This Row],[FIELD_VALUE_RAW]]),-1))</f>
        <v>-1</v>
      </c>
      <c r="V133" s="1" t="b">
        <f>IF(NOT(DB_TBL_DATA_FIELDS[[#This Row],[RANGE_VALIDATION_ON_FLAG]]),TRUE,
AND(DB_TBL_DATA_FIELDS[[#This Row],[RANGE_VALUE_LEN]]&gt;=DB_TBL_DATA_FIELDS[[#This Row],[RANGE_VALIDATION_MIN]],DB_TBL_DATA_FIELDS[[#This Row],[RANGE_VALUE_LEN]]&lt;=DB_TBL_DATA_FIELDS[[#This Row],[RANGE_VALIDATION_MAX]]))</f>
        <v>1</v>
      </c>
      <c r="W133" s="1">
        <v>1</v>
      </c>
      <c r="X133" s="1">
        <f ca="1">IF(DB_TBL_DATA_FIELDS[[#This Row],[PCT_CALC_SHOW_STATUS_CODE]]=1,
DB_TBL_DATA_FIELDS[[#This Row],[FIELD_STATUS_CODE]],
IF(AND(DB_TBL_DATA_FIELDS[[#This Row],[PCT_CALC_SHOW_STATUS_CODE]]=2,DB_TBL_DATA_FIELDS[[#This Row],[FIELD_STATUS_CODE]]=0),
DB_TBL_DATA_FIELDS[[#This Row],[FIELD_STATUS_CODE]],
"")
)</f>
        <v>1</v>
      </c>
    </row>
    <row r="134" spans="1:26" x14ac:dyDescent="0.2">
      <c r="A134" s="1" t="s">
        <v>9039</v>
      </c>
      <c r="B134" s="14" t="str">
        <f>IFERROR(IF(FIND(DATA_EFORM_SHEET_REF,DB_TBL_DATA_FIELDS[[#This Row],[APPLICABLE_EFORM_LIST]])&gt;0,DATA_EFORM_SHEET_REF,""),"")</f>
        <v>_</v>
      </c>
      <c r="C134" s="1" t="s">
        <v>2522</v>
      </c>
      <c r="D134" s="1" t="b">
        <v>1</v>
      </c>
      <c r="E134" s="81" t="b">
        <f ca="1">IF(DATA_OTHER_NON_FHLB_GRANT_FLAG=TRUE,TRUE,FALSE)</f>
        <v>0</v>
      </c>
      <c r="F134" s="2" t="s">
        <v>2554</v>
      </c>
      <c r="G134" s="2" t="str">
        <f ca="1">IFERROR(VLOOKUP(DB_TBL_DATA_FIELDS[[#This Row],[FIELD_ID]],INDIRECT(DB_TBL_DATA_FIELDS[[#This Row],[SHEET_REF_CALC]]&amp;"!A:B"),2,FALSE),"")</f>
        <v/>
      </c>
      <c r="H134" s="19" t="str">
        <f ca="1">IF(NOT(DB_TBL_DATA_FIELDS[[#This Row],[FIELD_EMPTY_FLAG]]),DATA_OTHER_NON_FHLB_GRANT_FLAG=TRUE,"")</f>
        <v/>
      </c>
      <c r="I134" s="2" t="b">
        <f ca="1">(DB_TBL_DATA_FIELDS[[#This Row],[FIELD_VALUE_RAW]]="")</f>
        <v>1</v>
      </c>
      <c r="J134" s="2" t="s">
        <v>9</v>
      </c>
      <c r="K134" s="1" t="b">
        <f ca="1">AND(IF(DB_TBL_DATA_FIELDS[[#This Row],[FIELD_VALID_CUSTOM_LOGIC]]="",TRUE,DB_TBL_DATA_FIELDS[[#This Row],[FIELD_VALID_CUSTOM_LOGIC]]),DB_TBL_DATA_FIELDS[[#This Row],[RANGE_VALIDATION_PASSED_FLAG]])</f>
        <v>1</v>
      </c>
      <c r="L134"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134" s="1">
        <f ca="1">IF(DB_TBL_DATA_FIELDS[[#This Row],[SHEET_REF_CALC]]="","",IF(DB_TBL_DATA_FIELDS[[#This Row],[FIELD_EMPTY_FLAG]],IF(NOT(DB_TBL_DATA_FIELDS[[#This Row],[FIELD_REQ_FLAG]]),-1,1),IF(NOT(DB_TBL_DATA_FIELDS[[#This Row],[FIELD_VALID_FLAG]]),0,2)))</f>
        <v>-1</v>
      </c>
      <c r="N134" s="1" t="str">
        <f ca="1">IFERROR(VLOOKUP(DB_TBL_DATA_FIELDS[[#This Row],[FIELD_STATUS_CODE]],DB_TBL_CONFIG_FIELDSTATUSCODES[#All],3,FALSE),"")</f>
        <v>Optional</v>
      </c>
      <c r="O134" s="1" t="str">
        <f ca="1">IFERROR(VLOOKUP(DB_TBL_DATA_FIELDS[[#This Row],[FIELD_STATUS_CODE]],DB_TBL_CONFIG_FIELDSTATUSCODES[#All],4,FALSE),"")</f>
        <v xml:space="preserve"> </v>
      </c>
      <c r="P134" s="1" t="b">
        <f>TRUE</f>
        <v>1</v>
      </c>
      <c r="Q134" s="1" t="b">
        <f>TRUE</f>
        <v>1</v>
      </c>
      <c r="R134" s="1" t="s">
        <v>9</v>
      </c>
      <c r="S134" s="1">
        <f ca="1">IF(DB_TBL_DATA_FIELDS[[#This Row],[RANGE_VALIDATION_FLAG]]="Text",LEN(DB_TBL_DATA_FIELDS[[#This Row],[FIELD_VALUE_RAW]]),IFERROR(VALUE(DB_TBL_DATA_FIELDS[[#This Row],[FIELD_VALUE_RAW]]),-1))</f>
        <v>0</v>
      </c>
      <c r="T134" s="1">
        <v>0</v>
      </c>
      <c r="U134" s="1">
        <v>100</v>
      </c>
      <c r="V134" s="1" t="b">
        <f ca="1">IF(NOT(DB_TBL_DATA_FIELDS[[#This Row],[RANGE_VALIDATION_ON_FLAG]]),TRUE,
AND(DB_TBL_DATA_FIELDS[[#This Row],[RANGE_VALUE_LEN]]&gt;=DB_TBL_DATA_FIELDS[[#This Row],[RANGE_VALIDATION_MIN]],DB_TBL_DATA_FIELDS[[#This Row],[RANGE_VALUE_LEN]]&lt;=DB_TBL_DATA_FIELDS[[#This Row],[RANGE_VALIDATION_MAX]]))</f>
        <v>1</v>
      </c>
      <c r="W134" s="1">
        <v>1</v>
      </c>
      <c r="X134" s="1">
        <f ca="1">IF(DB_TBL_DATA_FIELDS[[#This Row],[PCT_CALC_SHOW_STATUS_CODE]]=1,
DB_TBL_DATA_FIELDS[[#This Row],[FIELD_STATUS_CODE]],
IF(AND(DB_TBL_DATA_FIELDS[[#This Row],[PCT_CALC_SHOW_STATUS_CODE]]=2,DB_TBL_DATA_FIELDS[[#This Row],[FIELD_STATUS_CODE]]=0),
DB_TBL_DATA_FIELDS[[#This Row],[FIELD_STATUS_CODE]],
"")
)</f>
        <v>-1</v>
      </c>
    </row>
    <row r="135" spans="1:26" x14ac:dyDescent="0.2">
      <c r="A135" s="1" t="s">
        <v>9039</v>
      </c>
      <c r="B135" s="14" t="str">
        <f>IFERROR(IF(FIND(DATA_EFORM_SHEET_REF,DB_TBL_DATA_FIELDS[[#This Row],[APPLICABLE_EFORM_LIST]])&gt;0,DATA_EFORM_SHEET_REF,""),"")</f>
        <v>_</v>
      </c>
      <c r="C135" s="1" t="s">
        <v>2523</v>
      </c>
      <c r="D135" s="1" t="b">
        <v>1</v>
      </c>
      <c r="E135" s="81" t="b">
        <f ca="1">IF(DATA_OTHER_NON_FHLB_GRANT_FLAG=TRUE,TRUE,FALSE)</f>
        <v>0</v>
      </c>
      <c r="F135" s="2" t="s">
        <v>2555</v>
      </c>
      <c r="G135" s="2" t="str">
        <f ca="1">IFERROR(VLOOKUP(DB_TBL_DATA_FIELDS[[#This Row],[FIELD_ID]],INDIRECT(DB_TBL_DATA_FIELDS[[#This Row],[SHEET_REF_CALC]]&amp;"!A:B"),2,FALSE),"")</f>
        <v/>
      </c>
      <c r="H135" s="19" t="str">
        <f ca="1">IF(NOT(DB_TBL_DATA_FIELDS[[#This Row],[FIELD_EMPTY_FLAG]]),DATA_OTHER_NON_FHLB_GRANT_FLAG=TRUE,"")</f>
        <v/>
      </c>
      <c r="I135" s="2" t="b">
        <f ca="1">(DB_TBL_DATA_FIELDS[[#This Row],[FIELD_VALUE_RAW]]="")</f>
        <v>1</v>
      </c>
      <c r="J135" s="2" t="s">
        <v>38</v>
      </c>
      <c r="K135" s="1" t="b">
        <f ca="1">AND(IF(DB_TBL_DATA_FIELDS[[#This Row],[FIELD_VALID_CUSTOM_LOGIC]]="",TRUE,DB_TBL_DATA_FIELDS[[#This Row],[FIELD_VALID_CUSTOM_LOGIC]]),DB_TBL_DATA_FIELDS[[#This Row],[RANGE_VALIDATION_PASSED_FLAG]])</f>
        <v>0</v>
      </c>
      <c r="L135"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135" s="1">
        <f ca="1">IF(DB_TBL_DATA_FIELDS[[#This Row],[SHEET_REF_CALC]]="","",IF(DB_TBL_DATA_FIELDS[[#This Row],[FIELD_EMPTY_FLAG]],IF(NOT(DB_TBL_DATA_FIELDS[[#This Row],[FIELD_REQ_FLAG]]),-1,1),IF(NOT(DB_TBL_DATA_FIELDS[[#This Row],[FIELD_VALID_FLAG]]),0,2)))</f>
        <v>-1</v>
      </c>
      <c r="N135" s="1" t="str">
        <f ca="1">IFERROR(VLOOKUP(DB_TBL_DATA_FIELDS[[#This Row],[FIELD_STATUS_CODE]],DB_TBL_CONFIG_FIELDSTATUSCODES[#All],3,FALSE),"")</f>
        <v>Optional</v>
      </c>
      <c r="O135" s="1" t="str">
        <f ca="1">IFERROR(VLOOKUP(DB_TBL_DATA_FIELDS[[#This Row],[FIELD_STATUS_CODE]],DB_TBL_CONFIG_FIELDSTATUSCODES[#All],4,FALSE),"")</f>
        <v xml:space="preserve"> </v>
      </c>
      <c r="P135" s="1" t="b">
        <f>TRUE</f>
        <v>1</v>
      </c>
      <c r="Q135" s="1" t="b">
        <f>TRUE</f>
        <v>1</v>
      </c>
      <c r="R135" s="1" t="s">
        <v>38</v>
      </c>
      <c r="S135" s="1">
        <f ca="1">IF(DB_TBL_DATA_FIELDS[[#This Row],[RANGE_VALIDATION_FLAG]]="Text",LEN(DB_TBL_DATA_FIELDS[[#This Row],[FIELD_VALUE_RAW]]),IFERROR(VALUE(DB_TBL_DATA_FIELDS[[#This Row],[FIELD_VALUE_RAW]]),-1))</f>
        <v>-1</v>
      </c>
      <c r="T135" s="1">
        <v>0</v>
      </c>
      <c r="U135" s="1">
        <v>999999999</v>
      </c>
      <c r="V135" s="1" t="b">
        <f ca="1">IF(NOT(DB_TBL_DATA_FIELDS[[#This Row],[RANGE_VALIDATION_ON_FLAG]]),TRUE,
AND(DB_TBL_DATA_FIELDS[[#This Row],[RANGE_VALUE_LEN]]&gt;=DB_TBL_DATA_FIELDS[[#This Row],[RANGE_VALIDATION_MIN]],DB_TBL_DATA_FIELDS[[#This Row],[RANGE_VALUE_LEN]]&lt;=DB_TBL_DATA_FIELDS[[#This Row],[RANGE_VALIDATION_MAX]]))</f>
        <v>0</v>
      </c>
      <c r="W135" s="1">
        <v>1</v>
      </c>
      <c r="X135" s="1">
        <f ca="1">IF(DB_TBL_DATA_FIELDS[[#This Row],[PCT_CALC_SHOW_STATUS_CODE]]=1,
DB_TBL_DATA_FIELDS[[#This Row],[FIELD_STATUS_CODE]],
IF(AND(DB_TBL_DATA_FIELDS[[#This Row],[PCT_CALC_SHOW_STATUS_CODE]]=2,DB_TBL_DATA_FIELDS[[#This Row],[FIELD_STATUS_CODE]]=0),
DB_TBL_DATA_FIELDS[[#This Row],[FIELD_STATUS_CODE]],
"")
)</f>
        <v>-1</v>
      </c>
    </row>
    <row r="136" spans="1:26" x14ac:dyDescent="0.2">
      <c r="A136" s="1" t="s">
        <v>9039</v>
      </c>
      <c r="B136" s="14" t="str">
        <f>IFERROR(IF(FIND(DATA_EFORM_SHEET_REF,DB_TBL_DATA_FIELDS[[#This Row],[APPLICABLE_EFORM_LIST]])&gt;0,DATA_EFORM_SHEET_REF,""),"")</f>
        <v>_</v>
      </c>
      <c r="C136" s="1" t="s">
        <v>2524</v>
      </c>
      <c r="D136" s="1" t="b">
        <v>1</v>
      </c>
      <c r="E136" s="16" t="b">
        <v>0</v>
      </c>
      <c r="F136" s="2" t="s">
        <v>2556</v>
      </c>
      <c r="G136" s="2" t="str">
        <f ca="1">IFERROR(VLOOKUP(DB_TBL_DATA_FIELDS[[#This Row],[FIELD_ID]],INDIRECT(DB_TBL_DATA_FIELDS[[#This Row],[SHEET_REF_CALC]]&amp;"!A:B"),2,FALSE),"")</f>
        <v/>
      </c>
      <c r="H136" s="19" t="str">
        <f ca="1">IF(NOT(DB_TBL_DATA_FIELDS[[#This Row],[FIELD_EMPTY_FLAG]]),AND(DATA_OTHER_NON_FHLB_GRANT_FLAG=TRUE,NOT($I$134)),"")</f>
        <v/>
      </c>
      <c r="I136" s="2" t="b">
        <f ca="1">(DB_TBL_DATA_FIELDS[[#This Row],[FIELD_VALUE_RAW]]="")</f>
        <v>1</v>
      </c>
      <c r="J136" s="2" t="s">
        <v>9</v>
      </c>
      <c r="K136" s="1" t="b">
        <f ca="1">AND(IF(DB_TBL_DATA_FIELDS[[#This Row],[FIELD_VALID_CUSTOM_LOGIC]]="",TRUE,DB_TBL_DATA_FIELDS[[#This Row],[FIELD_VALID_CUSTOM_LOGIC]]),DB_TBL_DATA_FIELDS[[#This Row],[RANGE_VALIDATION_PASSED_FLAG]])</f>
        <v>1</v>
      </c>
      <c r="L136"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136" s="1">
        <f ca="1">IF(DB_TBL_DATA_FIELDS[[#This Row],[SHEET_REF_CALC]]="","",IF(DB_TBL_DATA_FIELDS[[#This Row],[FIELD_EMPTY_FLAG]],IF(NOT(DB_TBL_DATA_FIELDS[[#This Row],[FIELD_REQ_FLAG]]),-1,1),IF(NOT(DB_TBL_DATA_FIELDS[[#This Row],[FIELD_VALID_FLAG]]),0,2)))</f>
        <v>-1</v>
      </c>
      <c r="N136" s="1" t="str">
        <f ca="1">IFERROR(VLOOKUP(DB_TBL_DATA_FIELDS[[#This Row],[FIELD_STATUS_CODE]],DB_TBL_CONFIG_FIELDSTATUSCODES[#All],3,FALSE),"")</f>
        <v>Optional</v>
      </c>
      <c r="O136" s="1" t="str">
        <f ca="1">IFERROR(VLOOKUP(DB_TBL_DATA_FIELDS[[#This Row],[FIELD_STATUS_CODE]],DB_TBL_CONFIG_FIELDSTATUSCODES[#All],4,FALSE),"")</f>
        <v xml:space="preserve"> </v>
      </c>
      <c r="P136" s="1" t="b">
        <f>TRUE</f>
        <v>1</v>
      </c>
      <c r="Q136" s="1" t="b">
        <f>TRUE</f>
        <v>1</v>
      </c>
      <c r="R136" s="1" t="s">
        <v>9</v>
      </c>
      <c r="S136" s="1">
        <f ca="1">IF(DB_TBL_DATA_FIELDS[[#This Row],[RANGE_VALIDATION_FLAG]]="Text",LEN(DB_TBL_DATA_FIELDS[[#This Row],[FIELD_VALUE_RAW]]),IFERROR(VALUE(DB_TBL_DATA_FIELDS[[#This Row],[FIELD_VALUE_RAW]]),-1))</f>
        <v>0</v>
      </c>
      <c r="T136" s="1">
        <v>0</v>
      </c>
      <c r="U136" s="1">
        <v>100</v>
      </c>
      <c r="V136" s="1" t="b">
        <f ca="1">IF(NOT(DB_TBL_DATA_FIELDS[[#This Row],[RANGE_VALIDATION_ON_FLAG]]),TRUE,
AND(DB_TBL_DATA_FIELDS[[#This Row],[RANGE_VALUE_LEN]]&gt;=DB_TBL_DATA_FIELDS[[#This Row],[RANGE_VALIDATION_MIN]],DB_TBL_DATA_FIELDS[[#This Row],[RANGE_VALUE_LEN]]&lt;=DB_TBL_DATA_FIELDS[[#This Row],[RANGE_VALIDATION_MAX]]))</f>
        <v>1</v>
      </c>
      <c r="W136" s="1">
        <v>1</v>
      </c>
      <c r="X136" s="1">
        <f ca="1">IF(DB_TBL_DATA_FIELDS[[#This Row],[PCT_CALC_SHOW_STATUS_CODE]]=1,
DB_TBL_DATA_FIELDS[[#This Row],[FIELD_STATUS_CODE]],
IF(AND(DB_TBL_DATA_FIELDS[[#This Row],[PCT_CALC_SHOW_STATUS_CODE]]=2,DB_TBL_DATA_FIELDS[[#This Row],[FIELD_STATUS_CODE]]=0),
DB_TBL_DATA_FIELDS[[#This Row],[FIELD_STATUS_CODE]],
"")
)</f>
        <v>-1</v>
      </c>
    </row>
    <row r="137" spans="1:26" x14ac:dyDescent="0.2">
      <c r="A137" s="1" t="s">
        <v>9039</v>
      </c>
      <c r="B137" s="14" t="str">
        <f>IFERROR(IF(FIND(DATA_EFORM_SHEET_REF,DB_TBL_DATA_FIELDS[[#This Row],[APPLICABLE_EFORM_LIST]])&gt;0,DATA_EFORM_SHEET_REF,""),"")</f>
        <v>_</v>
      </c>
      <c r="C137" s="1" t="s">
        <v>2525</v>
      </c>
      <c r="D137" s="1" t="b">
        <v>1</v>
      </c>
      <c r="E137" s="81" t="b">
        <f ca="1">IF(AND(DATA_OTHER_NON_FHLB_GRANT_FLAG=TRUE,$H136=TRUE),TRUE,FALSE)</f>
        <v>0</v>
      </c>
      <c r="F137" s="2" t="s">
        <v>2557</v>
      </c>
      <c r="G137" s="2" t="str">
        <f ca="1">IFERROR(VLOOKUP(DB_TBL_DATA_FIELDS[[#This Row],[FIELD_ID]],INDIRECT(DB_TBL_DATA_FIELDS[[#This Row],[SHEET_REF_CALC]]&amp;"!A:B"),2,FALSE),"")</f>
        <v/>
      </c>
      <c r="H137" s="19" t="str">
        <f ca="1">IF(DB_TBL_DATA_FIELDS[[#This Row],[FIELD_EMPTY_FLAG]],"",IF(NOT(DB_TBL_DATA_FIELDS[[#This Row],[FIELD_REQ_FLAG]]),FALSE,TRUE))</f>
        <v/>
      </c>
      <c r="I137" s="2" t="b">
        <f ca="1">(DB_TBL_DATA_FIELDS[[#This Row],[FIELD_VALUE_RAW]]="")</f>
        <v>1</v>
      </c>
      <c r="J137" s="2" t="s">
        <v>38</v>
      </c>
      <c r="K137" s="1" t="b">
        <f ca="1">AND(IF(DB_TBL_DATA_FIELDS[[#This Row],[FIELD_VALID_CUSTOM_LOGIC]]="",TRUE,DB_TBL_DATA_FIELDS[[#This Row],[FIELD_VALID_CUSTOM_LOGIC]]),DB_TBL_DATA_FIELDS[[#This Row],[RANGE_VALIDATION_PASSED_FLAG]])</f>
        <v>0</v>
      </c>
      <c r="L137"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137" s="1">
        <f ca="1">IF(DB_TBL_DATA_FIELDS[[#This Row],[SHEET_REF_CALC]]="","",IF(DB_TBL_DATA_FIELDS[[#This Row],[FIELD_EMPTY_FLAG]],IF(NOT(DB_TBL_DATA_FIELDS[[#This Row],[FIELD_REQ_FLAG]]),-1,1),IF(NOT(DB_TBL_DATA_FIELDS[[#This Row],[FIELD_VALID_FLAG]]),0,2)))</f>
        <v>-1</v>
      </c>
      <c r="N137" s="1" t="str">
        <f ca="1">IFERROR(VLOOKUP(DB_TBL_DATA_FIELDS[[#This Row],[FIELD_STATUS_CODE]],DB_TBL_CONFIG_FIELDSTATUSCODES[#All],3,FALSE),"")</f>
        <v>Optional</v>
      </c>
      <c r="O137" s="1" t="str">
        <f ca="1">IFERROR(VLOOKUP(DB_TBL_DATA_FIELDS[[#This Row],[FIELD_STATUS_CODE]],DB_TBL_CONFIG_FIELDSTATUSCODES[#All],4,FALSE),"")</f>
        <v xml:space="preserve"> </v>
      </c>
      <c r="P137" s="1" t="b">
        <f>TRUE</f>
        <v>1</v>
      </c>
      <c r="Q137" s="1" t="b">
        <f>TRUE</f>
        <v>1</v>
      </c>
      <c r="R137" s="1" t="s">
        <v>38</v>
      </c>
      <c r="S137" s="1">
        <f ca="1">IF(DB_TBL_DATA_FIELDS[[#This Row],[RANGE_VALIDATION_FLAG]]="Text",LEN(DB_TBL_DATA_FIELDS[[#This Row],[FIELD_VALUE_RAW]]),IFERROR(VALUE(DB_TBL_DATA_FIELDS[[#This Row],[FIELD_VALUE_RAW]]),-1))</f>
        <v>-1</v>
      </c>
      <c r="T137" s="1">
        <v>0</v>
      </c>
      <c r="U137" s="1">
        <v>999999999</v>
      </c>
      <c r="V137" s="1" t="b">
        <f ca="1">IF(NOT(DB_TBL_DATA_FIELDS[[#This Row],[RANGE_VALIDATION_ON_FLAG]]),TRUE,
AND(DB_TBL_DATA_FIELDS[[#This Row],[RANGE_VALUE_LEN]]&gt;=DB_TBL_DATA_FIELDS[[#This Row],[RANGE_VALIDATION_MIN]],DB_TBL_DATA_FIELDS[[#This Row],[RANGE_VALUE_LEN]]&lt;=DB_TBL_DATA_FIELDS[[#This Row],[RANGE_VALIDATION_MAX]]))</f>
        <v>0</v>
      </c>
      <c r="W137" s="1">
        <v>1</v>
      </c>
      <c r="X137" s="1">
        <f ca="1">IF(DB_TBL_DATA_FIELDS[[#This Row],[PCT_CALC_SHOW_STATUS_CODE]]=1,
DB_TBL_DATA_FIELDS[[#This Row],[FIELD_STATUS_CODE]],
IF(AND(DB_TBL_DATA_FIELDS[[#This Row],[PCT_CALC_SHOW_STATUS_CODE]]=2,DB_TBL_DATA_FIELDS[[#This Row],[FIELD_STATUS_CODE]]=0),
DB_TBL_DATA_FIELDS[[#This Row],[FIELD_STATUS_CODE]],
"")
)</f>
        <v>-1</v>
      </c>
    </row>
    <row r="138" spans="1:26" x14ac:dyDescent="0.2">
      <c r="A138" s="1" t="s">
        <v>9039</v>
      </c>
      <c r="B138" s="14" t="str">
        <f>IFERROR(IF(FIND(DATA_EFORM_SHEET_REF,DB_TBL_DATA_FIELDS[[#This Row],[APPLICABLE_EFORM_LIST]])&gt;0,DATA_EFORM_SHEET_REF,""),"")</f>
        <v>_</v>
      </c>
      <c r="C138" s="1" t="s">
        <v>2526</v>
      </c>
      <c r="D138" s="1" t="b">
        <v>1</v>
      </c>
      <c r="E138" s="16" t="b">
        <v>0</v>
      </c>
      <c r="F138" s="2" t="s">
        <v>2558</v>
      </c>
      <c r="G138" s="2" t="str">
        <f ca="1">IFERROR(VLOOKUP(DB_TBL_DATA_FIELDS[[#This Row],[FIELD_ID]],INDIRECT(DB_TBL_DATA_FIELDS[[#This Row],[SHEET_REF_CALC]]&amp;"!A:B"),2,FALSE),"")</f>
        <v/>
      </c>
      <c r="H138" s="19" t="str">
        <f ca="1">IF(NOT(DB_TBL_DATA_FIELDS[[#This Row],[FIELD_EMPTY_FLAG]]),AND(DATA_OTHER_NON_FHLB_GRANT_FLAG=TRUE,NOT($I$134),NOT($I$136)),"")</f>
        <v/>
      </c>
      <c r="I138" s="2" t="b">
        <f ca="1">(DB_TBL_DATA_FIELDS[[#This Row],[FIELD_VALUE_RAW]]="")</f>
        <v>1</v>
      </c>
      <c r="J138" s="2" t="s">
        <v>9</v>
      </c>
      <c r="K138" s="1" t="b">
        <f ca="1">AND(IF(DB_TBL_DATA_FIELDS[[#This Row],[FIELD_VALID_CUSTOM_LOGIC]]="",TRUE,DB_TBL_DATA_FIELDS[[#This Row],[FIELD_VALID_CUSTOM_LOGIC]]),DB_TBL_DATA_FIELDS[[#This Row],[RANGE_VALIDATION_PASSED_FLAG]])</f>
        <v>1</v>
      </c>
      <c r="L138"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138" s="1">
        <f ca="1">IF(DB_TBL_DATA_FIELDS[[#This Row],[SHEET_REF_CALC]]="","",IF(DB_TBL_DATA_FIELDS[[#This Row],[FIELD_EMPTY_FLAG]],IF(NOT(DB_TBL_DATA_FIELDS[[#This Row],[FIELD_REQ_FLAG]]),-1,1),IF(NOT(DB_TBL_DATA_FIELDS[[#This Row],[FIELD_VALID_FLAG]]),0,2)))</f>
        <v>-1</v>
      </c>
      <c r="N138" s="1" t="str">
        <f ca="1">IFERROR(VLOOKUP(DB_TBL_DATA_FIELDS[[#This Row],[FIELD_STATUS_CODE]],DB_TBL_CONFIG_FIELDSTATUSCODES[#All],3,FALSE),"")</f>
        <v>Optional</v>
      </c>
      <c r="O138" s="1" t="str">
        <f ca="1">IFERROR(VLOOKUP(DB_TBL_DATA_FIELDS[[#This Row],[FIELD_STATUS_CODE]],DB_TBL_CONFIG_FIELDSTATUSCODES[#All],4,FALSE),"")</f>
        <v xml:space="preserve"> </v>
      </c>
      <c r="P138" s="1" t="b">
        <f>TRUE</f>
        <v>1</v>
      </c>
      <c r="Q138" s="1" t="b">
        <f>TRUE</f>
        <v>1</v>
      </c>
      <c r="R138" s="1" t="s">
        <v>9</v>
      </c>
      <c r="S138" s="1">
        <f ca="1">IF(DB_TBL_DATA_FIELDS[[#This Row],[RANGE_VALIDATION_FLAG]]="Text",LEN(DB_TBL_DATA_FIELDS[[#This Row],[FIELD_VALUE_RAW]]),IFERROR(VALUE(DB_TBL_DATA_FIELDS[[#This Row],[FIELD_VALUE_RAW]]),-1))</f>
        <v>0</v>
      </c>
      <c r="T138" s="1">
        <v>0</v>
      </c>
      <c r="U138" s="1">
        <v>100</v>
      </c>
      <c r="V138" s="1" t="b">
        <f ca="1">IF(NOT(DB_TBL_DATA_FIELDS[[#This Row],[RANGE_VALIDATION_ON_FLAG]]),TRUE,
AND(DB_TBL_DATA_FIELDS[[#This Row],[RANGE_VALUE_LEN]]&gt;=DB_TBL_DATA_FIELDS[[#This Row],[RANGE_VALIDATION_MIN]],DB_TBL_DATA_FIELDS[[#This Row],[RANGE_VALUE_LEN]]&lt;=DB_TBL_DATA_FIELDS[[#This Row],[RANGE_VALIDATION_MAX]]))</f>
        <v>1</v>
      </c>
      <c r="W138" s="1">
        <v>1</v>
      </c>
      <c r="X138" s="1">
        <f ca="1">IF(DB_TBL_DATA_FIELDS[[#This Row],[PCT_CALC_SHOW_STATUS_CODE]]=1,
DB_TBL_DATA_FIELDS[[#This Row],[FIELD_STATUS_CODE]],
IF(AND(DB_TBL_DATA_FIELDS[[#This Row],[PCT_CALC_SHOW_STATUS_CODE]]=2,DB_TBL_DATA_FIELDS[[#This Row],[FIELD_STATUS_CODE]]=0),
DB_TBL_DATA_FIELDS[[#This Row],[FIELD_STATUS_CODE]],
"")
)</f>
        <v>-1</v>
      </c>
    </row>
    <row r="139" spans="1:26" x14ac:dyDescent="0.2">
      <c r="A139" s="1" t="s">
        <v>9039</v>
      </c>
      <c r="B139" s="14" t="str">
        <f>IFERROR(IF(FIND(DATA_EFORM_SHEET_REF,DB_TBL_DATA_FIELDS[[#This Row],[APPLICABLE_EFORM_LIST]])&gt;0,DATA_EFORM_SHEET_REF,""),"")</f>
        <v>_</v>
      </c>
      <c r="C139" s="1" t="s">
        <v>2527</v>
      </c>
      <c r="D139" s="1" t="b">
        <v>1</v>
      </c>
      <c r="E139" s="81" t="b">
        <f ca="1">IF(AND(DATA_OTHER_NON_FHLB_GRANT_FLAG=TRUE,$H138=TRUE),TRUE,FALSE)</f>
        <v>0</v>
      </c>
      <c r="F139" s="2" t="s">
        <v>2559</v>
      </c>
      <c r="G139" s="2" t="str">
        <f ca="1">IFERROR(VLOOKUP(DB_TBL_DATA_FIELDS[[#This Row],[FIELD_ID]],INDIRECT(DB_TBL_DATA_FIELDS[[#This Row],[SHEET_REF_CALC]]&amp;"!A:B"),2,FALSE),"")</f>
        <v/>
      </c>
      <c r="H139" s="19" t="str">
        <f ca="1">IF(DB_TBL_DATA_FIELDS[[#This Row],[FIELD_EMPTY_FLAG]],"",IF(NOT(DB_TBL_DATA_FIELDS[[#This Row],[FIELD_REQ_FLAG]]),FALSE,TRUE))</f>
        <v/>
      </c>
      <c r="I139" s="2" t="b">
        <f ca="1">(DB_TBL_DATA_FIELDS[[#This Row],[FIELD_VALUE_RAW]]="")</f>
        <v>1</v>
      </c>
      <c r="J139" s="2" t="s">
        <v>38</v>
      </c>
      <c r="K139" s="1" t="b">
        <f ca="1">AND(IF(DB_TBL_DATA_FIELDS[[#This Row],[FIELD_VALID_CUSTOM_LOGIC]]="",TRUE,DB_TBL_DATA_FIELDS[[#This Row],[FIELD_VALID_CUSTOM_LOGIC]]),DB_TBL_DATA_FIELDS[[#This Row],[RANGE_VALIDATION_PASSED_FLAG]])</f>
        <v>0</v>
      </c>
      <c r="L139"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139" s="1">
        <f ca="1">IF(DB_TBL_DATA_FIELDS[[#This Row],[SHEET_REF_CALC]]="","",IF(DB_TBL_DATA_FIELDS[[#This Row],[FIELD_EMPTY_FLAG]],IF(NOT(DB_TBL_DATA_FIELDS[[#This Row],[FIELD_REQ_FLAG]]),-1,1),IF(NOT(DB_TBL_DATA_FIELDS[[#This Row],[FIELD_VALID_FLAG]]),0,2)))</f>
        <v>-1</v>
      </c>
      <c r="N139" s="1" t="str">
        <f ca="1">IFERROR(VLOOKUP(DB_TBL_DATA_FIELDS[[#This Row],[FIELD_STATUS_CODE]],DB_TBL_CONFIG_FIELDSTATUSCODES[#All],3,FALSE),"")</f>
        <v>Optional</v>
      </c>
      <c r="O139" s="1" t="str">
        <f ca="1">IFERROR(VLOOKUP(DB_TBL_DATA_FIELDS[[#This Row],[FIELD_STATUS_CODE]],DB_TBL_CONFIG_FIELDSTATUSCODES[#All],4,FALSE),"")</f>
        <v xml:space="preserve"> </v>
      </c>
      <c r="P139" s="1" t="b">
        <f>TRUE</f>
        <v>1</v>
      </c>
      <c r="Q139" s="1" t="b">
        <f>TRUE</f>
        <v>1</v>
      </c>
      <c r="R139" s="1" t="s">
        <v>38</v>
      </c>
      <c r="S139" s="1">
        <f ca="1">IF(DB_TBL_DATA_FIELDS[[#This Row],[RANGE_VALIDATION_FLAG]]="Text",LEN(DB_TBL_DATA_FIELDS[[#This Row],[FIELD_VALUE_RAW]]),IFERROR(VALUE(DB_TBL_DATA_FIELDS[[#This Row],[FIELD_VALUE_RAW]]),-1))</f>
        <v>-1</v>
      </c>
      <c r="T139" s="1">
        <v>0</v>
      </c>
      <c r="U139" s="1">
        <v>999999999</v>
      </c>
      <c r="V139" s="1" t="b">
        <f ca="1">IF(NOT(DB_TBL_DATA_FIELDS[[#This Row],[RANGE_VALIDATION_ON_FLAG]]),TRUE,
AND(DB_TBL_DATA_FIELDS[[#This Row],[RANGE_VALUE_LEN]]&gt;=DB_TBL_DATA_FIELDS[[#This Row],[RANGE_VALIDATION_MIN]],DB_TBL_DATA_FIELDS[[#This Row],[RANGE_VALUE_LEN]]&lt;=DB_TBL_DATA_FIELDS[[#This Row],[RANGE_VALIDATION_MAX]]))</f>
        <v>0</v>
      </c>
      <c r="W139" s="1">
        <v>1</v>
      </c>
      <c r="X139" s="1">
        <f ca="1">IF(DB_TBL_DATA_FIELDS[[#This Row],[PCT_CALC_SHOW_STATUS_CODE]]=1,
DB_TBL_DATA_FIELDS[[#This Row],[FIELD_STATUS_CODE]],
IF(AND(DB_TBL_DATA_FIELDS[[#This Row],[PCT_CALC_SHOW_STATUS_CODE]]=2,DB_TBL_DATA_FIELDS[[#This Row],[FIELD_STATUS_CODE]]=0),
DB_TBL_DATA_FIELDS[[#This Row],[FIELD_STATUS_CODE]],
"")
)</f>
        <v>-1</v>
      </c>
    </row>
    <row r="140" spans="1:26" x14ac:dyDescent="0.2">
      <c r="A140" s="1" t="s">
        <v>9039</v>
      </c>
      <c r="B140" s="14" t="str">
        <f>IFERROR(IF(FIND(DATA_EFORM_SHEET_REF,DB_TBL_DATA_FIELDS[[#This Row],[APPLICABLE_EFORM_LIST]])&gt;0,DATA_EFORM_SHEET_REF,""),"")</f>
        <v>_</v>
      </c>
      <c r="C140" s="1" t="s">
        <v>2528</v>
      </c>
      <c r="D140" s="1" t="b">
        <v>1</v>
      </c>
      <c r="E140" s="16" t="b">
        <v>0</v>
      </c>
      <c r="F140" s="2" t="s">
        <v>2560</v>
      </c>
      <c r="G140" s="2" t="str">
        <f ca="1">IFERROR(VLOOKUP(DB_TBL_DATA_FIELDS[[#This Row],[FIELD_ID]],INDIRECT(DB_TBL_DATA_FIELDS[[#This Row],[SHEET_REF_CALC]]&amp;"!A:B"),2,FALSE),"")</f>
        <v/>
      </c>
      <c r="H140" s="19" t="str">
        <f ca="1">IF(NOT(DB_TBL_DATA_FIELDS[[#This Row],[FIELD_EMPTY_FLAG]]),AND(DATA_OTHER_NON_FHLB_GRANT_FLAG=TRUE,NOT($I$134),NOT($I$136),NOT($I$138)),"")</f>
        <v/>
      </c>
      <c r="I140" s="2" t="b">
        <f ca="1">(DB_TBL_DATA_FIELDS[[#This Row],[FIELD_VALUE_RAW]]="")</f>
        <v>1</v>
      </c>
      <c r="J140" s="2" t="s">
        <v>9</v>
      </c>
      <c r="K140" s="1" t="b">
        <f ca="1">AND(IF(DB_TBL_DATA_FIELDS[[#This Row],[FIELD_VALID_CUSTOM_LOGIC]]="",TRUE,DB_TBL_DATA_FIELDS[[#This Row],[FIELD_VALID_CUSTOM_LOGIC]]),DB_TBL_DATA_FIELDS[[#This Row],[RANGE_VALIDATION_PASSED_FLAG]])</f>
        <v>1</v>
      </c>
      <c r="L140"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140" s="1">
        <f ca="1">IF(DB_TBL_DATA_FIELDS[[#This Row],[SHEET_REF_CALC]]="","",IF(DB_TBL_DATA_FIELDS[[#This Row],[FIELD_EMPTY_FLAG]],IF(NOT(DB_TBL_DATA_FIELDS[[#This Row],[FIELD_REQ_FLAG]]),-1,1),IF(NOT(DB_TBL_DATA_FIELDS[[#This Row],[FIELD_VALID_FLAG]]),0,2)))</f>
        <v>-1</v>
      </c>
      <c r="N140" s="1" t="str">
        <f ca="1">IFERROR(VLOOKUP(DB_TBL_DATA_FIELDS[[#This Row],[FIELD_STATUS_CODE]],DB_TBL_CONFIG_FIELDSTATUSCODES[#All],3,FALSE),"")</f>
        <v>Optional</v>
      </c>
      <c r="O140" s="1" t="str">
        <f ca="1">IFERROR(VLOOKUP(DB_TBL_DATA_FIELDS[[#This Row],[FIELD_STATUS_CODE]],DB_TBL_CONFIG_FIELDSTATUSCODES[#All],4,FALSE),"")</f>
        <v xml:space="preserve"> </v>
      </c>
      <c r="P140" s="1" t="b">
        <f>TRUE</f>
        <v>1</v>
      </c>
      <c r="Q140" s="1" t="b">
        <f>TRUE</f>
        <v>1</v>
      </c>
      <c r="R140" s="1" t="s">
        <v>9</v>
      </c>
      <c r="S140" s="1">
        <f ca="1">IF(DB_TBL_DATA_FIELDS[[#This Row],[RANGE_VALIDATION_FLAG]]="Text",LEN(DB_TBL_DATA_FIELDS[[#This Row],[FIELD_VALUE_RAW]]),IFERROR(VALUE(DB_TBL_DATA_FIELDS[[#This Row],[FIELD_VALUE_RAW]]),-1))</f>
        <v>0</v>
      </c>
      <c r="T140" s="1">
        <v>0</v>
      </c>
      <c r="U140" s="1">
        <v>100</v>
      </c>
      <c r="V140" s="1" t="b">
        <f ca="1">IF(NOT(DB_TBL_DATA_FIELDS[[#This Row],[RANGE_VALIDATION_ON_FLAG]]),TRUE,
AND(DB_TBL_DATA_FIELDS[[#This Row],[RANGE_VALUE_LEN]]&gt;=DB_TBL_DATA_FIELDS[[#This Row],[RANGE_VALIDATION_MIN]],DB_TBL_DATA_FIELDS[[#This Row],[RANGE_VALUE_LEN]]&lt;=DB_TBL_DATA_FIELDS[[#This Row],[RANGE_VALIDATION_MAX]]))</f>
        <v>1</v>
      </c>
      <c r="W140" s="1">
        <v>1</v>
      </c>
      <c r="X140" s="1">
        <f ca="1">IF(DB_TBL_DATA_FIELDS[[#This Row],[PCT_CALC_SHOW_STATUS_CODE]]=1,
DB_TBL_DATA_FIELDS[[#This Row],[FIELD_STATUS_CODE]],
IF(AND(DB_TBL_DATA_FIELDS[[#This Row],[PCT_CALC_SHOW_STATUS_CODE]]=2,DB_TBL_DATA_FIELDS[[#This Row],[FIELD_STATUS_CODE]]=0),
DB_TBL_DATA_FIELDS[[#This Row],[FIELD_STATUS_CODE]],
"")
)</f>
        <v>-1</v>
      </c>
    </row>
    <row r="141" spans="1:26" x14ac:dyDescent="0.2">
      <c r="A141" s="1" t="s">
        <v>9039</v>
      </c>
      <c r="B141" s="14" t="str">
        <f>IFERROR(IF(FIND(DATA_EFORM_SHEET_REF,DB_TBL_DATA_FIELDS[[#This Row],[APPLICABLE_EFORM_LIST]])&gt;0,DATA_EFORM_SHEET_REF,""),"")</f>
        <v>_</v>
      </c>
      <c r="C141" s="1" t="s">
        <v>2529</v>
      </c>
      <c r="D141" s="1" t="b">
        <v>1</v>
      </c>
      <c r="E141" s="81" t="b">
        <f ca="1">IF(AND(DATA_OTHER_NON_FHLB_GRANT_FLAG=TRUE,$H140=TRUE),TRUE,FALSE)</f>
        <v>0</v>
      </c>
      <c r="F141" s="2" t="s">
        <v>2561</v>
      </c>
      <c r="G141" s="2" t="str">
        <f ca="1">IFERROR(VLOOKUP(DB_TBL_DATA_FIELDS[[#This Row],[FIELD_ID]],INDIRECT(DB_TBL_DATA_FIELDS[[#This Row],[SHEET_REF_CALC]]&amp;"!A:B"),2,FALSE),"")</f>
        <v/>
      </c>
      <c r="H141" s="19" t="str">
        <f ca="1">IF(DB_TBL_DATA_FIELDS[[#This Row],[FIELD_EMPTY_FLAG]],"",IF(NOT(DB_TBL_DATA_FIELDS[[#This Row],[FIELD_REQ_FLAG]]),FALSE,TRUE))</f>
        <v/>
      </c>
      <c r="I141" s="2" t="b">
        <f ca="1">(DB_TBL_DATA_FIELDS[[#This Row],[FIELD_VALUE_RAW]]="")</f>
        <v>1</v>
      </c>
      <c r="J141" s="2" t="s">
        <v>38</v>
      </c>
      <c r="K141" s="1" t="b">
        <f ca="1">AND(IF(DB_TBL_DATA_FIELDS[[#This Row],[FIELD_VALID_CUSTOM_LOGIC]]="",TRUE,DB_TBL_DATA_FIELDS[[#This Row],[FIELD_VALID_CUSTOM_LOGIC]]),DB_TBL_DATA_FIELDS[[#This Row],[RANGE_VALIDATION_PASSED_FLAG]])</f>
        <v>0</v>
      </c>
      <c r="L141"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141" s="1">
        <f ca="1">IF(DB_TBL_DATA_FIELDS[[#This Row],[SHEET_REF_CALC]]="","",IF(DB_TBL_DATA_FIELDS[[#This Row],[FIELD_EMPTY_FLAG]],IF(NOT(DB_TBL_DATA_FIELDS[[#This Row],[FIELD_REQ_FLAG]]),-1,1),IF(NOT(DB_TBL_DATA_FIELDS[[#This Row],[FIELD_VALID_FLAG]]),0,2)))</f>
        <v>-1</v>
      </c>
      <c r="N141" s="1" t="str">
        <f ca="1">IFERROR(VLOOKUP(DB_TBL_DATA_FIELDS[[#This Row],[FIELD_STATUS_CODE]],DB_TBL_CONFIG_FIELDSTATUSCODES[#All],3,FALSE),"")</f>
        <v>Optional</v>
      </c>
      <c r="O141" s="1" t="str">
        <f ca="1">IFERROR(VLOOKUP(DB_TBL_DATA_FIELDS[[#This Row],[FIELD_STATUS_CODE]],DB_TBL_CONFIG_FIELDSTATUSCODES[#All],4,FALSE),"")</f>
        <v xml:space="preserve"> </v>
      </c>
      <c r="P141" s="1" t="b">
        <f>TRUE</f>
        <v>1</v>
      </c>
      <c r="Q141" s="1" t="b">
        <f>TRUE</f>
        <v>1</v>
      </c>
      <c r="R141" s="1" t="s">
        <v>38</v>
      </c>
      <c r="S141" s="1">
        <f ca="1">IF(DB_TBL_DATA_FIELDS[[#This Row],[RANGE_VALIDATION_FLAG]]="Text",LEN(DB_TBL_DATA_FIELDS[[#This Row],[FIELD_VALUE_RAW]]),IFERROR(VALUE(DB_TBL_DATA_FIELDS[[#This Row],[FIELD_VALUE_RAW]]),-1))</f>
        <v>-1</v>
      </c>
      <c r="T141" s="1">
        <v>0</v>
      </c>
      <c r="U141" s="1">
        <v>999999999</v>
      </c>
      <c r="V141" s="1" t="b">
        <f ca="1">IF(NOT(DB_TBL_DATA_FIELDS[[#This Row],[RANGE_VALIDATION_ON_FLAG]]),TRUE,
AND(DB_TBL_DATA_FIELDS[[#This Row],[RANGE_VALUE_LEN]]&gt;=DB_TBL_DATA_FIELDS[[#This Row],[RANGE_VALIDATION_MIN]],DB_TBL_DATA_FIELDS[[#This Row],[RANGE_VALUE_LEN]]&lt;=DB_TBL_DATA_FIELDS[[#This Row],[RANGE_VALIDATION_MAX]]))</f>
        <v>0</v>
      </c>
      <c r="W141" s="1">
        <v>1</v>
      </c>
      <c r="X141" s="1">
        <f ca="1">IF(DB_TBL_DATA_FIELDS[[#This Row],[PCT_CALC_SHOW_STATUS_CODE]]=1,
DB_TBL_DATA_FIELDS[[#This Row],[FIELD_STATUS_CODE]],
IF(AND(DB_TBL_DATA_FIELDS[[#This Row],[PCT_CALC_SHOW_STATUS_CODE]]=2,DB_TBL_DATA_FIELDS[[#This Row],[FIELD_STATUS_CODE]]=0),
DB_TBL_DATA_FIELDS[[#This Row],[FIELD_STATUS_CODE]],
"")
)</f>
        <v>-1</v>
      </c>
    </row>
    <row r="142" spans="1:26" x14ac:dyDescent="0.2">
      <c r="A142" s="1" t="s">
        <v>9039</v>
      </c>
      <c r="B142" s="14" t="str">
        <f>IFERROR(IF(FIND(DATA_EFORM_SHEET_REF,DB_TBL_DATA_FIELDS[[#This Row],[APPLICABLE_EFORM_LIST]])&gt;0,DATA_EFORM_SHEET_REF,""),"")</f>
        <v>_</v>
      </c>
      <c r="C142" s="1" t="s">
        <v>2534</v>
      </c>
      <c r="D142" s="1" t="b">
        <v>0</v>
      </c>
      <c r="E142" s="16" t="b">
        <v>1</v>
      </c>
      <c r="F142" s="2" t="s">
        <v>2549</v>
      </c>
      <c r="G142" s="2" t="str">
        <f ca="1">IFERROR(VLOOKUP(DB_TBL_DATA_FIELDS[[#This Row],[FIELD_ID]],INDIRECT(DB_TBL_DATA_FIELDS[[#This Row],[SHEET_REF_CALC]]&amp;"!A:B"),2,FALSE),"")</f>
        <v/>
      </c>
      <c r="I142" s="2" t="b">
        <f ca="1">(DB_TBL_DATA_FIELDS[[#This Row],[FIELD_VALUE_RAW]]="")</f>
        <v>1</v>
      </c>
      <c r="J142" s="2" t="s">
        <v>137</v>
      </c>
      <c r="K142" s="1" t="b">
        <f>AND(IF(DB_TBL_DATA_FIELDS[[#This Row],[FIELD_VALID_CUSTOM_LOGIC]]="",TRUE,DB_TBL_DATA_FIELDS[[#This Row],[FIELD_VALID_CUSTOM_LOGIC]]),DB_TBL_DATA_FIELDS[[#This Row],[RANGE_VALIDATION_PASSED_FLAG]])</f>
        <v>1</v>
      </c>
      <c r="L142"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142" s="1">
        <f ca="1">IF(DB_TBL_DATA_FIELDS[[#This Row],[SHEET_REF_CALC]]="","",IF(DB_TBL_DATA_FIELDS[[#This Row],[FIELD_EMPTY_FLAG]],IF(NOT(DB_TBL_DATA_FIELDS[[#This Row],[FIELD_REQ_FLAG]]),-1,1),IF(NOT(DB_TBL_DATA_FIELDS[[#This Row],[FIELD_VALID_FLAG]]),0,2)))</f>
        <v>1</v>
      </c>
      <c r="N142" s="1" t="str">
        <f ca="1">IFERROR(VLOOKUP(DB_TBL_DATA_FIELDS[[#This Row],[FIELD_STATUS_CODE]],DB_TBL_CONFIG_FIELDSTATUSCODES[#All],3,FALSE),"")</f>
        <v>Required</v>
      </c>
      <c r="O142" s="1" t="str">
        <f ca="1">IFERROR(VLOOKUP(DB_TBL_DATA_FIELDS[[#This Row],[FIELD_STATUS_CODE]],DB_TBL_CONFIG_FIELDSTATUSCODES[#All],4,FALSE),"")</f>
        <v>i</v>
      </c>
      <c r="P142" s="1" t="b">
        <f>TRUE</f>
        <v>1</v>
      </c>
      <c r="Q142" s="1" t="b">
        <v>0</v>
      </c>
      <c r="S142" s="1">
        <f ca="1">IF(DB_TBL_DATA_FIELDS[[#This Row],[RANGE_VALIDATION_FLAG]]="Text",LEN(DB_TBL_DATA_FIELDS[[#This Row],[FIELD_VALUE_RAW]]),IFERROR(VALUE(DB_TBL_DATA_FIELDS[[#This Row],[FIELD_VALUE_RAW]]),-1))</f>
        <v>-1</v>
      </c>
      <c r="V142" s="1" t="b">
        <f>IF(NOT(DB_TBL_DATA_FIELDS[[#This Row],[RANGE_VALIDATION_ON_FLAG]]),TRUE,
AND(DB_TBL_DATA_FIELDS[[#This Row],[RANGE_VALUE_LEN]]&gt;=DB_TBL_DATA_FIELDS[[#This Row],[RANGE_VALIDATION_MIN]],DB_TBL_DATA_FIELDS[[#This Row],[RANGE_VALUE_LEN]]&lt;=DB_TBL_DATA_FIELDS[[#This Row],[RANGE_VALIDATION_MAX]]))</f>
        <v>1</v>
      </c>
      <c r="W142" s="1">
        <v>1</v>
      </c>
      <c r="X142" s="1">
        <f ca="1">IF(DB_TBL_DATA_FIELDS[[#This Row],[PCT_CALC_SHOW_STATUS_CODE]]=1,
DB_TBL_DATA_FIELDS[[#This Row],[FIELD_STATUS_CODE]],
IF(AND(DB_TBL_DATA_FIELDS[[#This Row],[PCT_CALC_SHOW_STATUS_CODE]]=2,DB_TBL_DATA_FIELDS[[#This Row],[FIELD_STATUS_CODE]]=0),
DB_TBL_DATA_FIELDS[[#This Row],[FIELD_STATUS_CODE]],
"")
)</f>
        <v>1</v>
      </c>
    </row>
    <row r="143" spans="1:26" x14ac:dyDescent="0.2">
      <c r="A143" s="1" t="s">
        <v>9039</v>
      </c>
      <c r="B143" s="14" t="str">
        <f>IFERROR(IF(FIND(DATA_EFORM_SHEET_REF,DB_TBL_DATA_FIELDS[[#This Row],[APPLICABLE_EFORM_LIST]])&gt;0,DATA_EFORM_SHEET_REF,""),"")</f>
        <v>_</v>
      </c>
      <c r="C143" s="1" t="s">
        <v>2531</v>
      </c>
      <c r="D143" s="1" t="b">
        <v>1</v>
      </c>
      <c r="E143" s="81" t="b">
        <f ca="1">IF(DATA_OTHER_FHLB_GRANT_FLAG=TRUE,TRUE,FALSE)</f>
        <v>0</v>
      </c>
      <c r="F143" s="2" t="s">
        <v>2550</v>
      </c>
      <c r="G143" s="2" t="str">
        <f ca="1">IFERROR(VLOOKUP(DB_TBL_DATA_FIELDS[[#This Row],[FIELD_ID]],INDIRECT(DB_TBL_DATA_FIELDS[[#This Row],[SHEET_REF_CALC]]&amp;"!A:B"),2,FALSE),"")</f>
        <v/>
      </c>
      <c r="H143" s="19" t="str">
        <f ca="1">IF(NOT(DB_TBL_DATA_FIELDS[[#This Row],[FIELD_EMPTY_FLAG]]),DATA_OTHER_FHLB_GRANT_FLAG=TRUE,"")</f>
        <v/>
      </c>
      <c r="I143" s="2" t="b">
        <f ca="1">(DB_TBL_DATA_FIELDS[[#This Row],[FIELD_VALUE_RAW]]="")</f>
        <v>1</v>
      </c>
      <c r="J143" s="2" t="s">
        <v>9</v>
      </c>
      <c r="K143" s="1" t="b">
        <f ca="1">AND(IF(DB_TBL_DATA_FIELDS[[#This Row],[FIELD_VALID_CUSTOM_LOGIC]]="",TRUE,DB_TBL_DATA_FIELDS[[#This Row],[FIELD_VALID_CUSTOM_LOGIC]]),DB_TBL_DATA_FIELDS[[#This Row],[RANGE_VALIDATION_PASSED_FLAG]])</f>
        <v>1</v>
      </c>
      <c r="L143"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143" s="1">
        <f ca="1">IF(DB_TBL_DATA_FIELDS[[#This Row],[SHEET_REF_CALC]]="","",IF(DB_TBL_DATA_FIELDS[[#This Row],[FIELD_EMPTY_FLAG]],IF(NOT(DB_TBL_DATA_FIELDS[[#This Row],[FIELD_REQ_FLAG]]),-1,1),IF(NOT(DB_TBL_DATA_FIELDS[[#This Row],[FIELD_VALID_FLAG]]),0,2)))</f>
        <v>-1</v>
      </c>
      <c r="N143" s="1" t="str">
        <f ca="1">IFERROR(VLOOKUP(DB_TBL_DATA_FIELDS[[#This Row],[FIELD_STATUS_CODE]],DB_TBL_CONFIG_FIELDSTATUSCODES[#All],3,FALSE),"")</f>
        <v>Optional</v>
      </c>
      <c r="O143" s="1" t="str">
        <f ca="1">IFERROR(VLOOKUP(DB_TBL_DATA_FIELDS[[#This Row],[FIELD_STATUS_CODE]],DB_TBL_CONFIG_FIELDSTATUSCODES[#All],4,FALSE),"")</f>
        <v xml:space="preserve"> </v>
      </c>
      <c r="P143" s="1" t="b">
        <f>TRUE</f>
        <v>1</v>
      </c>
      <c r="Q143" s="1" t="b">
        <f>TRUE</f>
        <v>1</v>
      </c>
      <c r="R143" s="1" t="s">
        <v>9</v>
      </c>
      <c r="S143" s="1">
        <f ca="1">IF(DB_TBL_DATA_FIELDS[[#This Row],[RANGE_VALIDATION_FLAG]]="Text",LEN(DB_TBL_DATA_FIELDS[[#This Row],[FIELD_VALUE_RAW]]),IFERROR(VALUE(DB_TBL_DATA_FIELDS[[#This Row],[FIELD_VALUE_RAW]]),-1))</f>
        <v>0</v>
      </c>
      <c r="T143" s="1">
        <v>0</v>
      </c>
      <c r="U143" s="1">
        <v>100</v>
      </c>
      <c r="V143" s="1" t="b">
        <f ca="1">IF(NOT(DB_TBL_DATA_FIELDS[[#This Row],[RANGE_VALIDATION_ON_FLAG]]),TRUE,
AND(DB_TBL_DATA_FIELDS[[#This Row],[RANGE_VALUE_LEN]]&gt;=DB_TBL_DATA_FIELDS[[#This Row],[RANGE_VALIDATION_MIN]],DB_TBL_DATA_FIELDS[[#This Row],[RANGE_VALUE_LEN]]&lt;=DB_TBL_DATA_FIELDS[[#This Row],[RANGE_VALIDATION_MAX]]))</f>
        <v>1</v>
      </c>
      <c r="W143" s="1">
        <v>1</v>
      </c>
      <c r="X143" s="1">
        <f ca="1">IF(DB_TBL_DATA_FIELDS[[#This Row],[PCT_CALC_SHOW_STATUS_CODE]]=1,
DB_TBL_DATA_FIELDS[[#This Row],[FIELD_STATUS_CODE]],
IF(AND(DB_TBL_DATA_FIELDS[[#This Row],[PCT_CALC_SHOW_STATUS_CODE]]=2,DB_TBL_DATA_FIELDS[[#This Row],[FIELD_STATUS_CODE]]=0),
DB_TBL_DATA_FIELDS[[#This Row],[FIELD_STATUS_CODE]],
"")
)</f>
        <v>-1</v>
      </c>
    </row>
    <row r="144" spans="1:26" x14ac:dyDescent="0.2">
      <c r="A144" s="1" t="s">
        <v>9039</v>
      </c>
      <c r="B144" s="14" t="str">
        <f>IFERROR(IF(FIND(DATA_EFORM_SHEET_REF,DB_TBL_DATA_FIELDS[[#This Row],[APPLICABLE_EFORM_LIST]])&gt;0,DATA_EFORM_SHEET_REF,""),"")</f>
        <v>_</v>
      </c>
      <c r="C144" s="1" t="s">
        <v>2530</v>
      </c>
      <c r="D144" s="1" t="b">
        <v>1</v>
      </c>
      <c r="E144" s="81" t="b">
        <f ca="1">IF(DATA_OTHER_FHLB_GRANT_FLAG=TRUE,TRUE,FALSE)</f>
        <v>0</v>
      </c>
      <c r="F144" s="2" t="s">
        <v>2551</v>
      </c>
      <c r="G144" s="2" t="str">
        <f ca="1">IFERROR(VLOOKUP(DB_TBL_DATA_FIELDS[[#This Row],[FIELD_ID]],INDIRECT(DB_TBL_DATA_FIELDS[[#This Row],[SHEET_REF_CALC]]&amp;"!A:B"),2,FALSE),"")</f>
        <v/>
      </c>
      <c r="H144" s="19" t="str">
        <f ca="1">IF(NOT(DB_TBL_DATA_FIELDS[[#This Row],[FIELD_EMPTY_FLAG]]),DATA_OTHER_FHLB_GRANT_FLAG=TRUE,"")</f>
        <v/>
      </c>
      <c r="I144" s="2" t="b">
        <f ca="1">(DB_TBL_DATA_FIELDS[[#This Row],[FIELD_VALUE_RAW]]="")</f>
        <v>1</v>
      </c>
      <c r="J144" s="2" t="s">
        <v>38</v>
      </c>
      <c r="K144" s="1" t="b">
        <f ca="1">AND(IF(DB_TBL_DATA_FIELDS[[#This Row],[FIELD_VALID_CUSTOM_LOGIC]]="",TRUE,DB_TBL_DATA_FIELDS[[#This Row],[FIELD_VALID_CUSTOM_LOGIC]]),DB_TBL_DATA_FIELDS[[#This Row],[RANGE_VALIDATION_PASSED_FLAG]])</f>
        <v>0</v>
      </c>
      <c r="L144"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IF(DB_TBL_DATA_FIELDS[[#This Row],[FIELD_TYPE]]="Date",TEXT(DB_TBL_DATA_FIELDS[[#This Row],[FIELD_VALUE_RAW]],"MM/DD/YYYY"),
DB_TBL_DATA_FIELDS[[#This Row],[FIELD_VALUE_RAW]]))))),
"")</f>
        <v/>
      </c>
      <c r="M144" s="1">
        <f ca="1">IF(DB_TBL_DATA_FIELDS[[#This Row],[SHEET_REF_CALC]]="","",IF(DB_TBL_DATA_FIELDS[[#This Row],[FIELD_EMPTY_FLAG]],IF(NOT(DB_TBL_DATA_FIELDS[[#This Row],[FIELD_REQ_FLAG]]),-1,1),IF(NOT(DB_TBL_DATA_FIELDS[[#This Row],[FIELD_VALID_FLAG]]),0,2)))</f>
        <v>-1</v>
      </c>
      <c r="N144" s="1" t="str">
        <f ca="1">IFERROR(VLOOKUP(DB_TBL_DATA_FIELDS[[#This Row],[FIELD_STATUS_CODE]],DB_TBL_CONFIG_FIELDSTATUSCODES[#All],3,FALSE),"")</f>
        <v>Optional</v>
      </c>
      <c r="O144" s="1" t="str">
        <f ca="1">IFERROR(VLOOKUP(DB_TBL_DATA_FIELDS[[#This Row],[FIELD_STATUS_CODE]],DB_TBL_CONFIG_FIELDSTATUSCODES[#All],4,FALSE),"")</f>
        <v xml:space="preserve"> </v>
      </c>
      <c r="P144" s="1" t="b">
        <f>TRUE</f>
        <v>1</v>
      </c>
      <c r="Q144" s="1" t="b">
        <f>TRUE</f>
        <v>1</v>
      </c>
      <c r="R144" s="1" t="s">
        <v>38</v>
      </c>
      <c r="S144" s="1">
        <f ca="1">IF(DB_TBL_DATA_FIELDS[[#This Row],[RANGE_VALIDATION_FLAG]]="Text",LEN(DB_TBL_DATA_FIELDS[[#This Row],[FIELD_VALUE_RAW]]),IFERROR(VALUE(DB_TBL_DATA_FIELDS[[#This Row],[FIELD_VALUE_RAW]]),-1))</f>
        <v>-1</v>
      </c>
      <c r="T144" s="1">
        <v>0</v>
      </c>
      <c r="U144" s="1">
        <v>999999999</v>
      </c>
      <c r="V144" s="1" t="b">
        <f ca="1">IF(NOT(DB_TBL_DATA_FIELDS[[#This Row],[RANGE_VALIDATION_ON_FLAG]]),TRUE,
AND(DB_TBL_DATA_FIELDS[[#This Row],[RANGE_VALUE_LEN]]&gt;=DB_TBL_DATA_FIELDS[[#This Row],[RANGE_VALIDATION_MIN]],DB_TBL_DATA_FIELDS[[#This Row],[RANGE_VALUE_LEN]]&lt;=DB_TBL_DATA_FIELDS[[#This Row],[RANGE_VALIDATION_MAX]]))</f>
        <v>0</v>
      </c>
      <c r="W144" s="1">
        <v>1</v>
      </c>
      <c r="X144" s="1">
        <f ca="1">IF(DB_TBL_DATA_FIELDS[[#This Row],[PCT_CALC_SHOW_STATUS_CODE]]=1,
DB_TBL_DATA_FIELDS[[#This Row],[FIELD_STATUS_CODE]],
IF(AND(DB_TBL_DATA_FIELDS[[#This Row],[PCT_CALC_SHOW_STATUS_CODE]]=2,DB_TBL_DATA_FIELDS[[#This Row],[FIELD_STATUS_CODE]]=0),
DB_TBL_DATA_FIELDS[[#This Row],[FIELD_STATUS_CODE]],
"")
)</f>
        <v>-1</v>
      </c>
    </row>
  </sheetData>
  <sheetProtection algorithmName="SHA-512" hashValue="g9LjDNRteMm1ZHKHkpH3bKNf+XI6qBkE2iJ/IGZrYGcLBMbBWmgdtAZ77vuAkVShWlPCaiQgzQarTNb6Q4y45A==" saltValue="9sDzcmB0TJsJyI5Ct1LSrA==" spinCount="100000" sheet="1" objects="1" scenarios="1"/>
  <phoneticPr fontId="53" type="noConversion"/>
  <conditionalFormatting sqref="D3:D144">
    <cfRule type="cellIs" dxfId="0" priority="1" operator="equal">
      <formula>TRUE</formula>
    </cfRule>
  </conditionalFormatting>
  <pageMargins left="0.7" right="0.7" top="0.75" bottom="0.75" header="0.3" footer="0.3"/>
  <pageSetup orientation="portrait" r:id="rId1"/>
  <ignoredErrors>
    <ignoredError sqref="T11:U11 P3 T20 P20:P21 P15 T15 T13 P13 P11" calculatedColumn="1"/>
  </ignoredErrors>
  <legacyDrawing r:id="rId2"/>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5" tint="0.59999389629810485"/>
  </sheetPr>
  <dimension ref="A1:AT3265"/>
  <sheetViews>
    <sheetView workbookViewId="0">
      <selection activeCell="K10" sqref="K10:N10"/>
    </sheetView>
  </sheetViews>
  <sheetFormatPr defaultColWidth="9.140625" defaultRowHeight="12.75" x14ac:dyDescent="0.2"/>
  <cols>
    <col min="1" max="1" width="14.5703125" style="1" customWidth="1"/>
    <col min="2" max="2" width="38.140625" style="1" customWidth="1"/>
    <col min="3" max="3" width="6.42578125" style="1" customWidth="1"/>
    <col min="4" max="4" width="16" style="1" customWidth="1"/>
    <col min="5" max="5" width="20.42578125" style="1" bestFit="1" customWidth="1"/>
    <col min="6" max="6" width="9.140625" style="1"/>
    <col min="7" max="7" width="33.28515625" style="1" bestFit="1" customWidth="1"/>
    <col min="8" max="8" width="33.28515625" style="1" customWidth="1"/>
    <col min="9" max="9" width="9.140625" style="1"/>
    <col min="10" max="10" width="14.85546875" style="1" customWidth="1"/>
    <col min="11" max="11" width="15.7109375" style="1" customWidth="1"/>
    <col min="12" max="12" width="8.140625" style="1" customWidth="1"/>
    <col min="13" max="13" width="17.28515625" style="1" customWidth="1"/>
    <col min="14" max="14" width="16.85546875" style="1" customWidth="1"/>
    <col min="15" max="15" width="9.140625" style="1"/>
    <col min="16" max="16" width="15" style="1" customWidth="1"/>
    <col min="17" max="17" width="32.28515625" style="1" bestFit="1" customWidth="1"/>
    <col min="18" max="18" width="14.5703125" style="1" bestFit="1" customWidth="1"/>
    <col min="19" max="19" width="9.140625" style="1"/>
    <col min="20" max="20" width="33.28515625" style="1" bestFit="1" customWidth="1"/>
    <col min="21" max="22" width="15.85546875" style="1" customWidth="1"/>
    <col min="23" max="23" width="9.140625" style="1"/>
    <col min="24" max="24" width="45" style="1" bestFit="1" customWidth="1"/>
    <col min="25" max="25" width="9.140625" style="1"/>
    <col min="26" max="26" width="33.85546875" style="1" bestFit="1" customWidth="1"/>
    <col min="27" max="27" width="9.140625" style="1"/>
    <col min="28" max="28" width="33.85546875" style="1" bestFit="1" customWidth="1"/>
    <col min="29" max="29" width="9.140625" style="1"/>
    <col min="30" max="30" width="33.85546875" style="1" bestFit="1" customWidth="1"/>
    <col min="31" max="31" width="9.140625" style="1"/>
    <col min="32" max="32" width="44" style="1" bestFit="1" customWidth="1"/>
    <col min="33" max="33" width="9.140625" style="1"/>
    <col min="34" max="34" width="45" style="1" customWidth="1"/>
    <col min="35" max="35" width="9.140625" style="1"/>
    <col min="36" max="36" width="12.7109375" style="1" customWidth="1"/>
    <col min="37" max="37" width="29.140625" style="1" bestFit="1" customWidth="1"/>
    <col min="38" max="38" width="34.5703125" style="1" bestFit="1" customWidth="1"/>
    <col min="39" max="39" width="57.42578125" style="1" bestFit="1" customWidth="1"/>
    <col min="40" max="40" width="13.28515625" style="1" customWidth="1"/>
    <col min="41" max="41" width="9.140625" style="1"/>
    <col min="42" max="42" width="12.7109375" style="1" customWidth="1"/>
    <col min="43" max="43" width="13" style="1" customWidth="1"/>
    <col min="44" max="44" width="16.42578125" style="1" customWidth="1"/>
    <col min="45" max="45" width="20.28515625" style="1" customWidth="1"/>
    <col min="46" max="46" width="13.28515625" style="1" customWidth="1"/>
    <col min="47" max="47" width="9.140625" style="1"/>
    <col min="48" max="48" width="48" style="1" customWidth="1"/>
    <col min="49" max="16384" width="9.140625" style="1"/>
  </cols>
  <sheetData>
    <row r="1" spans="1:46" x14ac:dyDescent="0.2">
      <c r="A1" s="3" t="s">
        <v>8964</v>
      </c>
      <c r="D1" s="3" t="s">
        <v>8962</v>
      </c>
      <c r="G1" s="3" t="s">
        <v>8963</v>
      </c>
      <c r="H1" s="3"/>
      <c r="J1" s="3" t="s">
        <v>182</v>
      </c>
      <c r="M1" s="3" t="s">
        <v>184</v>
      </c>
      <c r="P1" s="3" t="s">
        <v>2192</v>
      </c>
      <c r="T1" s="3" t="s">
        <v>192</v>
      </c>
      <c r="U1" s="1" t="s">
        <v>2137</v>
      </c>
      <c r="X1" s="3" t="s">
        <v>2138</v>
      </c>
      <c r="Z1" s="3" t="s">
        <v>2368</v>
      </c>
      <c r="AB1" s="3" t="s">
        <v>2373</v>
      </c>
      <c r="AD1" s="3" t="s">
        <v>2543</v>
      </c>
      <c r="AF1" s="3" t="s">
        <v>2579</v>
      </c>
      <c r="AH1" s="3" t="s">
        <v>2719</v>
      </c>
      <c r="AJ1" s="3" t="s">
        <v>8763</v>
      </c>
      <c r="AL1" s="1" t="s">
        <v>8764</v>
      </c>
      <c r="AP1" s="3" t="s">
        <v>8762</v>
      </c>
    </row>
    <row r="2" spans="1:46" ht="13.5" thickBot="1" x14ac:dyDescent="0.25">
      <c r="A2" s="27" t="s">
        <v>33</v>
      </c>
      <c r="B2" s="274" t="s">
        <v>34</v>
      </c>
      <c r="D2" s="1" t="s">
        <v>33</v>
      </c>
      <c r="E2" s="1" t="s">
        <v>34</v>
      </c>
      <c r="G2" s="11" t="s">
        <v>104</v>
      </c>
      <c r="H2" s="11" t="s">
        <v>2318</v>
      </c>
      <c r="J2" s="27" t="s">
        <v>33</v>
      </c>
      <c r="K2" s="27" t="s">
        <v>34</v>
      </c>
      <c r="M2" s="27" t="s">
        <v>34</v>
      </c>
      <c r="N2" s="27" t="s">
        <v>33</v>
      </c>
      <c r="P2" s="27" t="s">
        <v>33</v>
      </c>
      <c r="Q2" s="27" t="s">
        <v>34</v>
      </c>
      <c r="R2" s="27" t="s">
        <v>185</v>
      </c>
      <c r="T2" s="27" t="s">
        <v>193</v>
      </c>
      <c r="U2" s="11" t="s">
        <v>104</v>
      </c>
      <c r="V2" s="144" t="s">
        <v>93</v>
      </c>
      <c r="X2" s="11" t="s">
        <v>2139</v>
      </c>
      <c r="Z2" s="27" t="s">
        <v>34</v>
      </c>
      <c r="AB2" s="27" t="s">
        <v>34</v>
      </c>
      <c r="AD2" s="27" t="s">
        <v>34</v>
      </c>
      <c r="AF2" s="27" t="s">
        <v>104</v>
      </c>
      <c r="AH2" s="27" t="s">
        <v>2584</v>
      </c>
      <c r="AJ2" s="1" t="s">
        <v>5322</v>
      </c>
      <c r="AK2" s="1" t="s">
        <v>5323</v>
      </c>
      <c r="AL2" s="1" t="s">
        <v>5324</v>
      </c>
      <c r="AM2" s="1" t="s">
        <v>8439</v>
      </c>
      <c r="AN2" s="1" t="s">
        <v>5325</v>
      </c>
      <c r="AP2" s="1" t="s">
        <v>5322</v>
      </c>
      <c r="AQ2" s="1" t="s">
        <v>5323</v>
      </c>
      <c r="AR2" s="1" t="s">
        <v>5324</v>
      </c>
      <c r="AS2" s="1" t="s">
        <v>8439</v>
      </c>
      <c r="AT2" s="1" t="s">
        <v>5325</v>
      </c>
    </row>
    <row r="3" spans="1:46" ht="15" customHeight="1" thickTop="1" x14ac:dyDescent="0.25">
      <c r="A3" s="275">
        <v>2</v>
      </c>
      <c r="B3" s="276" t="s">
        <v>2875</v>
      </c>
      <c r="D3" s="1" t="s">
        <v>2189</v>
      </c>
      <c r="E3" s="1" t="s">
        <v>2842</v>
      </c>
      <c r="G3" s="12" t="s">
        <v>75</v>
      </c>
      <c r="H3" s="12" t="s">
        <v>2322</v>
      </c>
      <c r="J3" s="28">
        <v>1</v>
      </c>
      <c r="K3" s="28" t="s">
        <v>180</v>
      </c>
      <c r="M3" s="28" t="s">
        <v>180</v>
      </c>
      <c r="N3" s="28">
        <v>1</v>
      </c>
      <c r="P3" s="28">
        <v>0</v>
      </c>
      <c r="Q3" s="28" t="s">
        <v>2193</v>
      </c>
      <c r="R3" s="30" t="s">
        <v>2195</v>
      </c>
      <c r="T3" s="28" t="s">
        <v>194</v>
      </c>
      <c r="U3" s="68" t="s">
        <v>103</v>
      </c>
      <c r="V3" s="72" t="str">
        <f>UPPER(CONCATENATE(TRIM(U3),"_",TRIM(T3)))</f>
        <v>AL_AUTAUGA</v>
      </c>
      <c r="X3" s="72" t="s">
        <v>2137</v>
      </c>
      <c r="Z3" s="28" t="s">
        <v>2369</v>
      </c>
      <c r="AB3" s="28" t="s">
        <v>2374</v>
      </c>
      <c r="AD3" s="28" t="s">
        <v>2877</v>
      </c>
      <c r="AF3" s="28" t="s">
        <v>75</v>
      </c>
      <c r="AH3" s="28" t="s">
        <v>2593</v>
      </c>
      <c r="AJ3" s="1" t="s">
        <v>102</v>
      </c>
      <c r="AK3" s="1" t="s">
        <v>261</v>
      </c>
      <c r="AL3" s="1" t="s">
        <v>5326</v>
      </c>
      <c r="AM3" s="1" t="s">
        <v>2959</v>
      </c>
      <c r="AP3" s="1" t="s">
        <v>75</v>
      </c>
      <c r="AQ3" s="1" t="s">
        <v>1326</v>
      </c>
      <c r="AR3" s="1" t="s">
        <v>8440</v>
      </c>
      <c r="AS3" s="1" t="s">
        <v>8441</v>
      </c>
      <c r="AT3" s="267" t="s">
        <v>8777</v>
      </c>
    </row>
    <row r="4" spans="1:46" ht="15" customHeight="1" x14ac:dyDescent="0.25">
      <c r="A4" s="277">
        <v>3</v>
      </c>
      <c r="B4" s="278" t="s">
        <v>8965</v>
      </c>
      <c r="D4" s="1" t="s">
        <v>2191</v>
      </c>
      <c r="E4" s="1" t="s">
        <v>2836</v>
      </c>
      <c r="G4" s="13" t="s">
        <v>54</v>
      </c>
      <c r="H4" s="13" t="s">
        <v>2322</v>
      </c>
      <c r="J4" s="29">
        <v>0</v>
      </c>
      <c r="K4" s="29" t="s">
        <v>181</v>
      </c>
      <c r="M4" s="29" t="s">
        <v>181</v>
      </c>
      <c r="N4" s="29">
        <v>0</v>
      </c>
      <c r="P4" s="29">
        <v>1</v>
      </c>
      <c r="Q4" s="29" t="s">
        <v>2194</v>
      </c>
      <c r="R4" s="31" t="s">
        <v>2196</v>
      </c>
      <c r="T4" s="29" t="s">
        <v>195</v>
      </c>
      <c r="U4" s="69" t="s">
        <v>103</v>
      </c>
      <c r="V4" s="72" t="str">
        <f t="shared" ref="V4:V67" si="0">UPPER(CONCATENATE(TRIM(U4),"_",TRIM(T4)))</f>
        <v>AL_BALDWIN</v>
      </c>
      <c r="Z4" s="29" t="s">
        <v>2370</v>
      </c>
      <c r="AB4" s="29" t="s">
        <v>2375</v>
      </c>
      <c r="AD4" s="29" t="s">
        <v>2878</v>
      </c>
      <c r="AF4" s="29" t="s">
        <v>54</v>
      </c>
      <c r="AH4" s="29" t="s">
        <v>2585</v>
      </c>
      <c r="AJ4" s="1" t="s">
        <v>102</v>
      </c>
      <c r="AK4" s="1" t="s">
        <v>262</v>
      </c>
      <c r="AL4" s="1" t="s">
        <v>5327</v>
      </c>
      <c r="AM4" s="1" t="s">
        <v>2960</v>
      </c>
      <c r="AP4" s="1" t="s">
        <v>75</v>
      </c>
      <c r="AQ4" s="1" t="s">
        <v>1327</v>
      </c>
      <c r="AR4" s="1" t="s">
        <v>8442</v>
      </c>
      <c r="AS4" s="1" t="s">
        <v>8443</v>
      </c>
      <c r="AT4" s="267" t="s">
        <v>8778</v>
      </c>
    </row>
    <row r="5" spans="1:46" ht="15" customHeight="1" x14ac:dyDescent="0.25">
      <c r="A5" s="279">
        <v>4</v>
      </c>
      <c r="B5" s="280" t="s">
        <v>8966</v>
      </c>
      <c r="D5" s="1" t="s">
        <v>2190</v>
      </c>
      <c r="E5" s="1" t="s">
        <v>2843</v>
      </c>
      <c r="G5" s="12" t="s">
        <v>68</v>
      </c>
      <c r="H5" s="12" t="s">
        <v>2322</v>
      </c>
      <c r="M5" s="28" t="s">
        <v>138</v>
      </c>
      <c r="N5" s="28">
        <v>2</v>
      </c>
      <c r="P5" s="28">
        <v>2</v>
      </c>
      <c r="Q5" s="28" t="s">
        <v>2892</v>
      </c>
      <c r="R5" s="30" t="s">
        <v>2892</v>
      </c>
      <c r="T5" s="28" t="s">
        <v>196</v>
      </c>
      <c r="U5" s="68" t="s">
        <v>103</v>
      </c>
      <c r="V5" s="72" t="str">
        <f t="shared" si="0"/>
        <v>AL_BARBOUR</v>
      </c>
      <c r="Z5" s="28" t="s">
        <v>2371</v>
      </c>
      <c r="AB5" s="28" t="s">
        <v>2376</v>
      </c>
      <c r="AF5" s="28" t="s">
        <v>68</v>
      </c>
      <c r="AH5" s="28" t="s">
        <v>2589</v>
      </c>
      <c r="AJ5" s="1" t="s">
        <v>102</v>
      </c>
      <c r="AK5" s="1" t="s">
        <v>8939</v>
      </c>
      <c r="AL5" s="1" t="s">
        <v>8940</v>
      </c>
      <c r="AM5" s="1" t="s">
        <v>2961</v>
      </c>
      <c r="AP5" s="1" t="s">
        <v>75</v>
      </c>
      <c r="AQ5" s="1" t="s">
        <v>1328</v>
      </c>
      <c r="AR5" s="1" t="s">
        <v>8444</v>
      </c>
      <c r="AS5" s="1" t="s">
        <v>8445</v>
      </c>
      <c r="AT5" s="267" t="s">
        <v>8779</v>
      </c>
    </row>
    <row r="6" spans="1:46" ht="15" customHeight="1" x14ac:dyDescent="0.25">
      <c r="G6" s="13" t="s">
        <v>140</v>
      </c>
      <c r="H6" s="13" t="s">
        <v>183</v>
      </c>
      <c r="P6" s="29">
        <v>3</v>
      </c>
      <c r="Q6" s="29" t="s">
        <v>187</v>
      </c>
      <c r="R6" s="31" t="s">
        <v>187</v>
      </c>
      <c r="T6" s="29" t="s">
        <v>197</v>
      </c>
      <c r="U6" s="69" t="s">
        <v>103</v>
      </c>
      <c r="V6" s="72" t="str">
        <f t="shared" si="0"/>
        <v>AL_BIBB</v>
      </c>
      <c r="AB6" s="29" t="s">
        <v>2377</v>
      </c>
      <c r="AF6" s="29" t="s">
        <v>140</v>
      </c>
      <c r="AH6" s="29" t="s">
        <v>2586</v>
      </c>
      <c r="AJ6" s="1" t="s">
        <v>102</v>
      </c>
      <c r="AK6" s="1" t="s">
        <v>263</v>
      </c>
      <c r="AL6" s="1" t="s">
        <v>5328</v>
      </c>
      <c r="AM6" s="1" t="s">
        <v>2962</v>
      </c>
      <c r="AP6" s="1" t="s">
        <v>75</v>
      </c>
      <c r="AQ6" s="1" t="s">
        <v>537</v>
      </c>
      <c r="AR6" s="1" t="s">
        <v>8446</v>
      </c>
      <c r="AS6" s="1" t="s">
        <v>8447</v>
      </c>
      <c r="AT6" s="267" t="s">
        <v>8780</v>
      </c>
    </row>
    <row r="7" spans="1:46" ht="15" customHeight="1" x14ac:dyDescent="0.25">
      <c r="G7" s="12" t="s">
        <v>2953</v>
      </c>
      <c r="H7" s="12" t="s">
        <v>183</v>
      </c>
      <c r="R7" s="16"/>
      <c r="T7" s="28" t="s">
        <v>198</v>
      </c>
      <c r="U7" s="68" t="s">
        <v>103</v>
      </c>
      <c r="V7" s="72" t="str">
        <f t="shared" si="0"/>
        <v>AL_BLOUNT</v>
      </c>
      <c r="AB7" s="28" t="s">
        <v>2378</v>
      </c>
      <c r="AF7" s="28" t="s">
        <v>103</v>
      </c>
      <c r="AH7" s="28" t="s">
        <v>2588</v>
      </c>
      <c r="AJ7" s="1" t="s">
        <v>102</v>
      </c>
      <c r="AK7" s="1" t="s">
        <v>264</v>
      </c>
      <c r="AL7" s="1" t="s">
        <v>5329</v>
      </c>
      <c r="AM7" s="1" t="s">
        <v>2963</v>
      </c>
      <c r="AP7" s="1" t="s">
        <v>75</v>
      </c>
      <c r="AQ7" s="1" t="s">
        <v>1329</v>
      </c>
      <c r="AR7" s="1" t="s">
        <v>8448</v>
      </c>
      <c r="AS7" s="1" t="s">
        <v>8449</v>
      </c>
      <c r="AT7" s="267" t="s">
        <v>8781</v>
      </c>
    </row>
    <row r="8" spans="1:46" ht="15" customHeight="1" x14ac:dyDescent="0.2">
      <c r="T8" s="29" t="s">
        <v>199</v>
      </c>
      <c r="U8" s="69" t="s">
        <v>103</v>
      </c>
      <c r="V8" s="72" t="str">
        <f t="shared" si="0"/>
        <v>AL_BULLOCK</v>
      </c>
      <c r="AF8" s="29" t="s">
        <v>102</v>
      </c>
      <c r="AH8" s="29" t="s">
        <v>2587</v>
      </c>
      <c r="AJ8" s="1" t="s">
        <v>102</v>
      </c>
      <c r="AK8" s="1" t="s">
        <v>5330</v>
      </c>
      <c r="AL8" s="1" t="s">
        <v>5331</v>
      </c>
      <c r="AM8" s="1" t="s">
        <v>2964</v>
      </c>
      <c r="AP8" s="1" t="s">
        <v>75</v>
      </c>
      <c r="AQ8" s="1" t="s">
        <v>677</v>
      </c>
      <c r="AR8" s="1" t="s">
        <v>8450</v>
      </c>
      <c r="AS8" s="1" t="s">
        <v>8451</v>
      </c>
      <c r="AT8" s="267" t="s">
        <v>8782</v>
      </c>
    </row>
    <row r="9" spans="1:46" x14ac:dyDescent="0.2">
      <c r="T9" s="28" t="s">
        <v>200</v>
      </c>
      <c r="U9" s="68" t="s">
        <v>103</v>
      </c>
      <c r="V9" s="72" t="str">
        <f t="shared" si="0"/>
        <v>AL_BUTLER</v>
      </c>
      <c r="AF9" s="28" t="s">
        <v>2912</v>
      </c>
      <c r="AH9" s="28" t="s">
        <v>2590</v>
      </c>
      <c r="AJ9" s="1" t="s">
        <v>102</v>
      </c>
      <c r="AK9" s="1" t="s">
        <v>5332</v>
      </c>
      <c r="AL9" s="1" t="s">
        <v>5333</v>
      </c>
      <c r="AM9" s="1" t="s">
        <v>2965</v>
      </c>
      <c r="AP9" s="1" t="s">
        <v>75</v>
      </c>
      <c r="AQ9" s="1" t="s">
        <v>1025</v>
      </c>
      <c r="AR9" s="1" t="s">
        <v>8452</v>
      </c>
      <c r="AS9" s="1" t="s">
        <v>8453</v>
      </c>
      <c r="AT9" s="267" t="s">
        <v>8783</v>
      </c>
    </row>
    <row r="10" spans="1:46" x14ac:dyDescent="0.2">
      <c r="T10" s="29" t="s">
        <v>201</v>
      </c>
      <c r="U10" s="69" t="s">
        <v>103</v>
      </c>
      <c r="V10" s="72" t="str">
        <f t="shared" si="0"/>
        <v>AL_CALHOUN</v>
      </c>
      <c r="AF10" s="29" t="s">
        <v>101</v>
      </c>
      <c r="AH10" s="29" t="s">
        <v>2591</v>
      </c>
      <c r="AJ10" s="1" t="s">
        <v>102</v>
      </c>
      <c r="AK10" s="1" t="s">
        <v>5334</v>
      </c>
      <c r="AL10" s="1" t="s">
        <v>5335</v>
      </c>
      <c r="AM10" s="1" t="s">
        <v>2966</v>
      </c>
      <c r="AP10" s="1" t="s">
        <v>75</v>
      </c>
      <c r="AQ10" s="1" t="s">
        <v>1330</v>
      </c>
      <c r="AR10" s="1" t="s">
        <v>8454</v>
      </c>
      <c r="AS10" s="1" t="s">
        <v>8455</v>
      </c>
      <c r="AT10" s="267" t="s">
        <v>8784</v>
      </c>
    </row>
    <row r="11" spans="1:46" x14ac:dyDescent="0.2">
      <c r="T11" s="28" t="s">
        <v>202</v>
      </c>
      <c r="U11" s="68" t="s">
        <v>103</v>
      </c>
      <c r="V11" s="72" t="str">
        <f t="shared" si="0"/>
        <v>AL_CHAMBERS</v>
      </c>
      <c r="AF11" s="28" t="s">
        <v>100</v>
      </c>
      <c r="AH11" s="28" t="s">
        <v>2592</v>
      </c>
      <c r="AJ11" s="1" t="s">
        <v>102</v>
      </c>
      <c r="AK11" s="1" t="s">
        <v>265</v>
      </c>
      <c r="AL11" s="1" t="s">
        <v>5336</v>
      </c>
      <c r="AM11" s="1" t="s">
        <v>2967</v>
      </c>
      <c r="AP11" s="1" t="s">
        <v>75</v>
      </c>
      <c r="AQ11" s="1" t="s">
        <v>1331</v>
      </c>
      <c r="AR11" s="1" t="s">
        <v>8456</v>
      </c>
      <c r="AS11" s="1" t="s">
        <v>8457</v>
      </c>
      <c r="AT11" s="267" t="s">
        <v>8785</v>
      </c>
    </row>
    <row r="12" spans="1:46" x14ac:dyDescent="0.2">
      <c r="T12" s="29" t="s">
        <v>203</v>
      </c>
      <c r="U12" s="69" t="s">
        <v>103</v>
      </c>
      <c r="V12" s="72" t="str">
        <f t="shared" si="0"/>
        <v>AL_CHEROKEE</v>
      </c>
      <c r="AF12" s="29" t="s">
        <v>99</v>
      </c>
      <c r="AH12" s="29" t="s">
        <v>2600</v>
      </c>
      <c r="AJ12" s="1" t="s">
        <v>102</v>
      </c>
      <c r="AK12" s="1" t="s">
        <v>266</v>
      </c>
      <c r="AL12" s="1" t="s">
        <v>5337</v>
      </c>
      <c r="AM12" s="1" t="s">
        <v>9080</v>
      </c>
      <c r="AP12" s="1" t="s">
        <v>75</v>
      </c>
      <c r="AQ12" s="1" t="s">
        <v>1332</v>
      </c>
      <c r="AR12" s="1" t="s">
        <v>8458</v>
      </c>
      <c r="AS12" s="1" t="s">
        <v>8459</v>
      </c>
      <c r="AT12" s="267" t="s">
        <v>8786</v>
      </c>
    </row>
    <row r="13" spans="1:46" x14ac:dyDescent="0.2">
      <c r="T13" s="28" t="s">
        <v>204</v>
      </c>
      <c r="U13" s="68" t="s">
        <v>103</v>
      </c>
      <c r="V13" s="72" t="str">
        <f t="shared" si="0"/>
        <v>AL_CHILTON</v>
      </c>
      <c r="AF13" s="28" t="s">
        <v>98</v>
      </c>
      <c r="AH13" s="28" t="s">
        <v>2595</v>
      </c>
      <c r="AJ13" s="1" t="s">
        <v>102</v>
      </c>
      <c r="AK13" s="1" t="s">
        <v>267</v>
      </c>
      <c r="AL13" s="1" t="s">
        <v>5338</v>
      </c>
      <c r="AM13" s="1" t="s">
        <v>2968</v>
      </c>
      <c r="AP13" s="1" t="s">
        <v>75</v>
      </c>
      <c r="AQ13" s="1" t="s">
        <v>703</v>
      </c>
      <c r="AR13" s="1" t="s">
        <v>8460</v>
      </c>
      <c r="AS13" s="1" t="s">
        <v>8461</v>
      </c>
      <c r="AT13" s="267" t="s">
        <v>8787</v>
      </c>
    </row>
    <row r="14" spans="1:46" x14ac:dyDescent="0.2">
      <c r="T14" s="29" t="s">
        <v>205</v>
      </c>
      <c r="U14" s="69" t="s">
        <v>103</v>
      </c>
      <c r="V14" s="72" t="str">
        <f t="shared" si="0"/>
        <v>AL_CHOCTAW</v>
      </c>
      <c r="AF14" s="29" t="s">
        <v>55</v>
      </c>
      <c r="AH14" s="29" t="s">
        <v>1491</v>
      </c>
      <c r="AJ14" s="1" t="s">
        <v>102</v>
      </c>
      <c r="AK14" s="1" t="s">
        <v>5339</v>
      </c>
      <c r="AL14" s="1" t="s">
        <v>5340</v>
      </c>
      <c r="AM14" s="1" t="s">
        <v>2969</v>
      </c>
      <c r="AP14" s="1" t="s">
        <v>75</v>
      </c>
      <c r="AQ14" s="1" t="s">
        <v>463</v>
      </c>
      <c r="AR14" s="1" t="s">
        <v>8462</v>
      </c>
      <c r="AS14" s="1" t="s">
        <v>8463</v>
      </c>
      <c r="AT14" s="267" t="s">
        <v>8788</v>
      </c>
    </row>
    <row r="15" spans="1:46" x14ac:dyDescent="0.2">
      <c r="T15" s="28" t="s">
        <v>206</v>
      </c>
      <c r="U15" s="68" t="s">
        <v>103</v>
      </c>
      <c r="V15" s="72" t="str">
        <f t="shared" si="0"/>
        <v>AL_CLARKE</v>
      </c>
      <c r="AF15" s="28" t="s">
        <v>472</v>
      </c>
      <c r="AH15" s="28" t="s">
        <v>2594</v>
      </c>
      <c r="AJ15" s="1" t="s">
        <v>102</v>
      </c>
      <c r="AK15" s="1" t="s">
        <v>5341</v>
      </c>
      <c r="AL15" s="1" t="s">
        <v>5342</v>
      </c>
      <c r="AM15" s="1" t="s">
        <v>2970</v>
      </c>
      <c r="AP15" s="1" t="s">
        <v>75</v>
      </c>
      <c r="AQ15" s="1" t="s">
        <v>1333</v>
      </c>
      <c r="AR15" s="1" t="s">
        <v>8464</v>
      </c>
      <c r="AS15" s="1" t="s">
        <v>8465</v>
      </c>
      <c r="AT15" s="267" t="s">
        <v>8789</v>
      </c>
    </row>
    <row r="16" spans="1:46" x14ac:dyDescent="0.2">
      <c r="T16" s="29" t="s">
        <v>207</v>
      </c>
      <c r="U16" s="69" t="s">
        <v>103</v>
      </c>
      <c r="V16" s="72" t="str">
        <f t="shared" si="0"/>
        <v>AL_CLAY</v>
      </c>
      <c r="AF16" s="29" t="s">
        <v>97</v>
      </c>
      <c r="AH16" s="29" t="s">
        <v>2596</v>
      </c>
      <c r="AJ16" s="1" t="s">
        <v>102</v>
      </c>
      <c r="AK16" s="1" t="s">
        <v>268</v>
      </c>
      <c r="AL16" s="1" t="s">
        <v>5343</v>
      </c>
      <c r="AM16" s="1" t="s">
        <v>2971</v>
      </c>
      <c r="AP16" s="1" t="s">
        <v>75</v>
      </c>
      <c r="AQ16" s="1" t="s">
        <v>841</v>
      </c>
      <c r="AR16" s="1" t="s">
        <v>8466</v>
      </c>
      <c r="AS16" s="1" t="s">
        <v>8467</v>
      </c>
      <c r="AT16" s="267" t="s">
        <v>8790</v>
      </c>
    </row>
    <row r="17" spans="20:46" x14ac:dyDescent="0.2">
      <c r="T17" s="28" t="s">
        <v>208</v>
      </c>
      <c r="U17" s="68" t="s">
        <v>103</v>
      </c>
      <c r="V17" s="72" t="str">
        <f t="shared" si="0"/>
        <v>AL_CLEBURNE</v>
      </c>
      <c r="AF17" s="28" t="s">
        <v>96</v>
      </c>
      <c r="AH17" s="28" t="s">
        <v>2598</v>
      </c>
      <c r="AJ17" s="1" t="s">
        <v>102</v>
      </c>
      <c r="AK17" s="1" t="s">
        <v>269</v>
      </c>
      <c r="AL17" s="1" t="s">
        <v>5344</v>
      </c>
      <c r="AM17" s="1" t="s">
        <v>2972</v>
      </c>
      <c r="AP17" s="1" t="s">
        <v>75</v>
      </c>
      <c r="AQ17" s="1" t="s">
        <v>1334</v>
      </c>
      <c r="AR17" s="1" t="s">
        <v>8468</v>
      </c>
      <c r="AS17" s="1" t="s">
        <v>8469</v>
      </c>
      <c r="AT17" s="267" t="s">
        <v>8791</v>
      </c>
    </row>
    <row r="18" spans="20:46" x14ac:dyDescent="0.2">
      <c r="T18" s="29" t="s">
        <v>209</v>
      </c>
      <c r="U18" s="69" t="s">
        <v>103</v>
      </c>
      <c r="V18" s="72" t="str">
        <f t="shared" si="0"/>
        <v>AL_COFFEE</v>
      </c>
      <c r="AF18" s="29" t="s">
        <v>95</v>
      </c>
      <c r="AH18" s="29" t="s">
        <v>2597</v>
      </c>
      <c r="AJ18" s="1" t="s">
        <v>102</v>
      </c>
      <c r="AK18" s="1" t="s">
        <v>270</v>
      </c>
      <c r="AL18" s="1" t="s">
        <v>5345</v>
      </c>
      <c r="AM18" s="1" t="s">
        <v>2973</v>
      </c>
      <c r="AP18" s="1" t="s">
        <v>75</v>
      </c>
      <c r="AQ18" s="1" t="s">
        <v>1335</v>
      </c>
      <c r="AR18" s="1" t="s">
        <v>8470</v>
      </c>
      <c r="AS18" s="1" t="s">
        <v>8471</v>
      </c>
      <c r="AT18" s="267" t="s">
        <v>8792</v>
      </c>
    </row>
    <row r="19" spans="20:46" x14ac:dyDescent="0.2">
      <c r="T19" s="28" t="s">
        <v>210</v>
      </c>
      <c r="U19" s="68" t="s">
        <v>103</v>
      </c>
      <c r="V19" s="72" t="str">
        <f t="shared" si="0"/>
        <v>AL_COLBERT</v>
      </c>
      <c r="AF19" s="28" t="s">
        <v>2928</v>
      </c>
      <c r="AH19" s="28" t="s">
        <v>2716</v>
      </c>
      <c r="AJ19" s="1" t="s">
        <v>102</v>
      </c>
      <c r="AK19" s="1" t="s">
        <v>2974</v>
      </c>
      <c r="AL19" s="1" t="s">
        <v>5346</v>
      </c>
      <c r="AM19" s="1" t="s">
        <v>2974</v>
      </c>
      <c r="AP19" s="1" t="s">
        <v>75</v>
      </c>
      <c r="AQ19" s="1" t="s">
        <v>1336</v>
      </c>
      <c r="AR19" s="1" t="s">
        <v>8472</v>
      </c>
      <c r="AS19" s="1" t="s">
        <v>8473</v>
      </c>
      <c r="AT19" s="267" t="s">
        <v>8793</v>
      </c>
    </row>
    <row r="20" spans="20:46" x14ac:dyDescent="0.2">
      <c r="T20" s="29" t="s">
        <v>211</v>
      </c>
      <c r="U20" s="69" t="s">
        <v>103</v>
      </c>
      <c r="V20" s="72" t="str">
        <f t="shared" si="0"/>
        <v>AL_CONECUH</v>
      </c>
      <c r="AF20" s="29" t="s">
        <v>94</v>
      </c>
      <c r="AH20" s="29" t="s">
        <v>2717</v>
      </c>
      <c r="AJ20" s="1" t="s">
        <v>102</v>
      </c>
      <c r="AK20" s="1" t="s">
        <v>271</v>
      </c>
      <c r="AL20" s="1" t="s">
        <v>5347</v>
      </c>
      <c r="AM20" s="1" t="s">
        <v>2975</v>
      </c>
      <c r="AP20" s="1" t="s">
        <v>75</v>
      </c>
      <c r="AQ20" s="1" t="s">
        <v>1001</v>
      </c>
      <c r="AR20" s="1" t="s">
        <v>8474</v>
      </c>
      <c r="AS20" s="1" t="s">
        <v>8475</v>
      </c>
      <c r="AT20" s="267" t="s">
        <v>8794</v>
      </c>
    </row>
    <row r="21" spans="20:46" x14ac:dyDescent="0.2">
      <c r="T21" s="28" t="s">
        <v>212</v>
      </c>
      <c r="U21" s="68" t="s">
        <v>103</v>
      </c>
      <c r="V21" s="72" t="str">
        <f t="shared" si="0"/>
        <v>AL_COOSA</v>
      </c>
      <c r="AF21" s="28" t="s">
        <v>93</v>
      </c>
      <c r="AH21" s="28" t="s">
        <v>2599</v>
      </c>
      <c r="AJ21" s="1" t="s">
        <v>102</v>
      </c>
      <c r="AK21" s="1" t="s">
        <v>272</v>
      </c>
      <c r="AL21" s="1" t="s">
        <v>5348</v>
      </c>
      <c r="AM21" s="1" t="s">
        <v>2976</v>
      </c>
      <c r="AP21" s="1" t="s">
        <v>75</v>
      </c>
      <c r="AQ21" s="1" t="s">
        <v>470</v>
      </c>
      <c r="AR21" s="1" t="s">
        <v>8476</v>
      </c>
      <c r="AS21" s="1" t="s">
        <v>8477</v>
      </c>
      <c r="AT21" s="267" t="s">
        <v>8795</v>
      </c>
    </row>
    <row r="22" spans="20:46" x14ac:dyDescent="0.2">
      <c r="T22" s="29" t="s">
        <v>213</v>
      </c>
      <c r="U22" s="69" t="s">
        <v>103</v>
      </c>
      <c r="V22" s="72" t="str">
        <f t="shared" si="0"/>
        <v>AL_COVINGTON</v>
      </c>
      <c r="AF22" s="29" t="s">
        <v>92</v>
      </c>
      <c r="AH22" s="29" t="s">
        <v>2609</v>
      </c>
      <c r="AJ22" s="1" t="s">
        <v>102</v>
      </c>
      <c r="AK22" s="1" t="s">
        <v>273</v>
      </c>
      <c r="AL22" s="1" t="s">
        <v>5349</v>
      </c>
      <c r="AM22" s="1" t="s">
        <v>2977</v>
      </c>
      <c r="AP22" s="1" t="s">
        <v>75</v>
      </c>
      <c r="AQ22" s="1" t="s">
        <v>345</v>
      </c>
      <c r="AR22" s="1" t="s">
        <v>8478</v>
      </c>
      <c r="AS22" s="1" t="s">
        <v>8479</v>
      </c>
      <c r="AT22" s="267" t="s">
        <v>8796</v>
      </c>
    </row>
    <row r="23" spans="20:46" x14ac:dyDescent="0.2">
      <c r="T23" s="28" t="s">
        <v>214</v>
      </c>
      <c r="U23" s="68" t="s">
        <v>103</v>
      </c>
      <c r="V23" s="72" t="str">
        <f t="shared" si="0"/>
        <v>AL_CRENSHAW</v>
      </c>
      <c r="AF23" s="28" t="s">
        <v>91</v>
      </c>
      <c r="AH23" s="28" t="s">
        <v>2703</v>
      </c>
      <c r="AJ23" s="1" t="s">
        <v>102</v>
      </c>
      <c r="AK23" s="1" t="s">
        <v>274</v>
      </c>
      <c r="AL23" s="1" t="s">
        <v>5350</v>
      </c>
      <c r="AM23" s="1" t="s">
        <v>2978</v>
      </c>
      <c r="AP23" s="1" t="s">
        <v>75</v>
      </c>
      <c r="AQ23" s="1" t="s">
        <v>622</v>
      </c>
      <c r="AR23" s="1" t="s">
        <v>8480</v>
      </c>
      <c r="AS23" s="1" t="s">
        <v>8481</v>
      </c>
      <c r="AT23" s="267" t="s">
        <v>8797</v>
      </c>
    </row>
    <row r="24" spans="20:46" x14ac:dyDescent="0.2">
      <c r="T24" s="29" t="s">
        <v>215</v>
      </c>
      <c r="U24" s="69" t="s">
        <v>103</v>
      </c>
      <c r="V24" s="72" t="str">
        <f t="shared" si="0"/>
        <v>AL_CULLMAN</v>
      </c>
      <c r="AF24" s="29" t="s">
        <v>90</v>
      </c>
      <c r="AH24" s="29" t="s">
        <v>2601</v>
      </c>
      <c r="AJ24" s="1" t="s">
        <v>102</v>
      </c>
      <c r="AK24" s="1" t="s">
        <v>275</v>
      </c>
      <c r="AL24" s="1" t="s">
        <v>5351</v>
      </c>
      <c r="AM24" s="1" t="s">
        <v>2979</v>
      </c>
      <c r="AP24" s="1" t="s">
        <v>54</v>
      </c>
      <c r="AQ24" s="1" t="s">
        <v>1361</v>
      </c>
      <c r="AR24" s="1" t="s">
        <v>8482</v>
      </c>
      <c r="AS24" s="1" t="s">
        <v>8483</v>
      </c>
      <c r="AT24" s="267" t="s">
        <v>8798</v>
      </c>
    </row>
    <row r="25" spans="20:46" x14ac:dyDescent="0.2">
      <c r="T25" s="28" t="s">
        <v>216</v>
      </c>
      <c r="U25" s="68" t="s">
        <v>103</v>
      </c>
      <c r="V25" s="72" t="str">
        <f t="shared" si="0"/>
        <v>AL_DALE</v>
      </c>
      <c r="AF25" s="28" t="s">
        <v>89</v>
      </c>
      <c r="AH25" s="28" t="s">
        <v>2612</v>
      </c>
      <c r="AJ25" s="1" t="s">
        <v>102</v>
      </c>
      <c r="AK25" s="1" t="s">
        <v>2980</v>
      </c>
      <c r="AL25" s="1" t="s">
        <v>5352</v>
      </c>
      <c r="AM25" s="1" t="s">
        <v>2980</v>
      </c>
      <c r="AP25" s="1" t="s">
        <v>54</v>
      </c>
      <c r="AQ25" s="1" t="s">
        <v>1004</v>
      </c>
      <c r="AR25" s="1" t="s">
        <v>8484</v>
      </c>
      <c r="AS25" s="1" t="s">
        <v>8485</v>
      </c>
      <c r="AT25" s="267" t="s">
        <v>8799</v>
      </c>
    </row>
    <row r="26" spans="20:46" x14ac:dyDescent="0.2">
      <c r="T26" s="29" t="s">
        <v>217</v>
      </c>
      <c r="U26" s="69" t="s">
        <v>103</v>
      </c>
      <c r="V26" s="72" t="str">
        <f t="shared" si="0"/>
        <v>AL_DALLAS</v>
      </c>
      <c r="AF26" s="29" t="s">
        <v>88</v>
      </c>
      <c r="AH26" s="29" t="s">
        <v>2617</v>
      </c>
      <c r="AJ26" s="1" t="s">
        <v>102</v>
      </c>
      <c r="AK26" s="1" t="s">
        <v>5353</v>
      </c>
      <c r="AL26" s="1" t="s">
        <v>5354</v>
      </c>
      <c r="AM26" s="1" t="s">
        <v>2981</v>
      </c>
      <c r="AP26" s="1" t="s">
        <v>54</v>
      </c>
      <c r="AQ26" s="1" t="s">
        <v>1362</v>
      </c>
      <c r="AR26" s="1" t="s">
        <v>8486</v>
      </c>
      <c r="AS26" s="1" t="s">
        <v>8487</v>
      </c>
      <c r="AT26" s="267" t="s">
        <v>8800</v>
      </c>
    </row>
    <row r="27" spans="20:46" x14ac:dyDescent="0.2">
      <c r="T27" s="28" t="s">
        <v>218</v>
      </c>
      <c r="U27" s="68" t="s">
        <v>103</v>
      </c>
      <c r="V27" s="72" t="str">
        <f t="shared" si="0"/>
        <v>AL_DEKALB</v>
      </c>
      <c r="AF27" s="28" t="s">
        <v>87</v>
      </c>
      <c r="AH27" s="28" t="s">
        <v>2613</v>
      </c>
      <c r="AJ27" s="1" t="s">
        <v>102</v>
      </c>
      <c r="AK27" s="1" t="s">
        <v>5355</v>
      </c>
      <c r="AL27" s="1" t="s">
        <v>5356</v>
      </c>
      <c r="AM27" s="1" t="s">
        <v>2982</v>
      </c>
      <c r="AP27" s="1" t="s">
        <v>54</v>
      </c>
      <c r="AQ27" s="1" t="s">
        <v>1363</v>
      </c>
      <c r="AR27" s="1" t="s">
        <v>8488</v>
      </c>
      <c r="AS27" s="1" t="s">
        <v>8489</v>
      </c>
      <c r="AT27" s="267" t="s">
        <v>8801</v>
      </c>
    </row>
    <row r="28" spans="20:46" x14ac:dyDescent="0.2">
      <c r="T28" s="29" t="s">
        <v>219</v>
      </c>
      <c r="U28" s="69" t="s">
        <v>103</v>
      </c>
      <c r="V28" s="72" t="str">
        <f t="shared" si="0"/>
        <v>AL_ELMORE</v>
      </c>
      <c r="AF28" s="29" t="s">
        <v>2948</v>
      </c>
      <c r="AH28" s="29" t="s">
        <v>2614</v>
      </c>
      <c r="AJ28" s="1" t="s">
        <v>102</v>
      </c>
      <c r="AK28" s="1" t="s">
        <v>5357</v>
      </c>
      <c r="AL28" s="1" t="s">
        <v>5358</v>
      </c>
      <c r="AM28" s="1" t="s">
        <v>2983</v>
      </c>
      <c r="AP28" s="1" t="s">
        <v>54</v>
      </c>
      <c r="AQ28" s="1" t="s">
        <v>1364</v>
      </c>
      <c r="AR28" s="1" t="s">
        <v>8490</v>
      </c>
      <c r="AS28" s="1" t="s">
        <v>8491</v>
      </c>
      <c r="AT28" s="267" t="s">
        <v>8802</v>
      </c>
    </row>
    <row r="29" spans="20:46" x14ac:dyDescent="0.2">
      <c r="T29" s="28" t="s">
        <v>220</v>
      </c>
      <c r="U29" s="68" t="s">
        <v>103</v>
      </c>
      <c r="V29" s="72" t="str">
        <f t="shared" si="0"/>
        <v>AL_ESCAMBIA</v>
      </c>
      <c r="AF29" s="28" t="s">
        <v>86</v>
      </c>
      <c r="AH29" s="28" t="s">
        <v>2615</v>
      </c>
      <c r="AJ29" s="1" t="s">
        <v>102</v>
      </c>
      <c r="AK29" s="1" t="s">
        <v>276</v>
      </c>
      <c r="AL29" s="1" t="s">
        <v>5359</v>
      </c>
      <c r="AM29" s="1" t="s">
        <v>2984</v>
      </c>
      <c r="AP29" s="1" t="s">
        <v>54</v>
      </c>
      <c r="AQ29" s="1" t="s">
        <v>1365</v>
      </c>
      <c r="AR29" s="1" t="s">
        <v>8492</v>
      </c>
      <c r="AS29" s="1" t="s">
        <v>8493</v>
      </c>
      <c r="AT29" s="267" t="s">
        <v>8803</v>
      </c>
    </row>
    <row r="30" spans="20:46" x14ac:dyDescent="0.2">
      <c r="T30" s="29" t="s">
        <v>221</v>
      </c>
      <c r="U30" s="69" t="s">
        <v>103</v>
      </c>
      <c r="V30" s="72" t="str">
        <f t="shared" si="0"/>
        <v>AL_ETOWAH</v>
      </c>
      <c r="AF30" s="29" t="s">
        <v>85</v>
      </c>
      <c r="AH30" s="29" t="s">
        <v>2616</v>
      </c>
      <c r="AJ30" s="1" t="s">
        <v>102</v>
      </c>
      <c r="AK30" s="1" t="s">
        <v>5360</v>
      </c>
      <c r="AL30" s="1" t="s">
        <v>5361</v>
      </c>
      <c r="AM30" s="1" t="s">
        <v>2985</v>
      </c>
      <c r="AP30" s="1" t="s">
        <v>54</v>
      </c>
      <c r="AQ30" s="1" t="s">
        <v>814</v>
      </c>
      <c r="AR30" s="1" t="s">
        <v>8494</v>
      </c>
      <c r="AS30" s="1" t="s">
        <v>8495</v>
      </c>
      <c r="AT30" s="267" t="s">
        <v>8804</v>
      </c>
    </row>
    <row r="31" spans="20:46" x14ac:dyDescent="0.2">
      <c r="T31" s="28" t="s">
        <v>222</v>
      </c>
      <c r="U31" s="68" t="s">
        <v>103</v>
      </c>
      <c r="V31" s="72" t="str">
        <f t="shared" si="0"/>
        <v>AL_FAYETTE</v>
      </c>
      <c r="AF31" s="28" t="s">
        <v>84</v>
      </c>
      <c r="AH31" s="28" t="s">
        <v>2602</v>
      </c>
      <c r="AJ31" s="1" t="s">
        <v>102</v>
      </c>
      <c r="AK31" s="1" t="s">
        <v>5362</v>
      </c>
      <c r="AL31" s="1" t="s">
        <v>5363</v>
      </c>
      <c r="AM31" s="1" t="s">
        <v>2986</v>
      </c>
      <c r="AP31" s="1" t="s">
        <v>54</v>
      </c>
      <c r="AQ31" s="1" t="s">
        <v>1366</v>
      </c>
      <c r="AR31" s="1" t="s">
        <v>8496</v>
      </c>
      <c r="AS31" s="1" t="s">
        <v>8497</v>
      </c>
      <c r="AT31" s="267" t="s">
        <v>8805</v>
      </c>
    </row>
    <row r="32" spans="20:46" x14ac:dyDescent="0.2">
      <c r="T32" s="29" t="s">
        <v>223</v>
      </c>
      <c r="U32" s="69" t="s">
        <v>103</v>
      </c>
      <c r="V32" s="72" t="str">
        <f t="shared" si="0"/>
        <v>AL_FRANKLIN</v>
      </c>
      <c r="AF32" s="29" t="s">
        <v>83</v>
      </c>
      <c r="AH32" s="29" t="s">
        <v>2610</v>
      </c>
      <c r="AJ32" s="1" t="s">
        <v>102</v>
      </c>
      <c r="AK32" s="1" t="s">
        <v>277</v>
      </c>
      <c r="AL32" s="1" t="s">
        <v>5364</v>
      </c>
      <c r="AM32" s="1" t="s">
        <v>2987</v>
      </c>
      <c r="AP32" s="1" t="s">
        <v>54</v>
      </c>
      <c r="AQ32" s="1" t="s">
        <v>1367</v>
      </c>
      <c r="AR32" s="1" t="s">
        <v>8498</v>
      </c>
      <c r="AS32" s="1" t="s">
        <v>8499</v>
      </c>
      <c r="AT32" s="267" t="s">
        <v>8806</v>
      </c>
    </row>
    <row r="33" spans="20:46" x14ac:dyDescent="0.2">
      <c r="T33" s="28" t="s">
        <v>224</v>
      </c>
      <c r="U33" s="68" t="s">
        <v>103</v>
      </c>
      <c r="V33" s="72" t="str">
        <f t="shared" si="0"/>
        <v>AL_GENEVA</v>
      </c>
      <c r="AF33" s="28" t="s">
        <v>82</v>
      </c>
      <c r="AH33" s="28" t="s">
        <v>2708</v>
      </c>
      <c r="AJ33" s="1" t="s">
        <v>103</v>
      </c>
      <c r="AK33" s="1" t="s">
        <v>194</v>
      </c>
      <c r="AL33" s="1" t="s">
        <v>5365</v>
      </c>
      <c r="AM33" s="1" t="s">
        <v>3026</v>
      </c>
      <c r="AP33" s="1" t="s">
        <v>54</v>
      </c>
      <c r="AQ33" s="1" t="s">
        <v>675</v>
      </c>
      <c r="AR33" s="1" t="s">
        <v>8500</v>
      </c>
      <c r="AS33" s="1" t="s">
        <v>8501</v>
      </c>
      <c r="AT33" s="267" t="s">
        <v>8807</v>
      </c>
    </row>
    <row r="34" spans="20:46" x14ac:dyDescent="0.2">
      <c r="T34" s="29" t="s">
        <v>225</v>
      </c>
      <c r="U34" s="69" t="s">
        <v>103</v>
      </c>
      <c r="V34" s="72" t="str">
        <f t="shared" si="0"/>
        <v>AL_GREENE</v>
      </c>
      <c r="AF34" s="29" t="s">
        <v>81</v>
      </c>
      <c r="AH34" s="29" t="s">
        <v>2620</v>
      </c>
      <c r="AJ34" s="1" t="s">
        <v>103</v>
      </c>
      <c r="AK34" s="1" t="s">
        <v>195</v>
      </c>
      <c r="AL34" s="1" t="s">
        <v>5366</v>
      </c>
      <c r="AM34" s="1" t="s">
        <v>3008</v>
      </c>
      <c r="AP34" s="1" t="s">
        <v>54</v>
      </c>
      <c r="AQ34" s="1" t="s">
        <v>303</v>
      </c>
      <c r="AR34" s="1" t="s">
        <v>8502</v>
      </c>
      <c r="AS34" s="1" t="s">
        <v>8503</v>
      </c>
      <c r="AT34" s="267" t="s">
        <v>8808</v>
      </c>
    </row>
    <row r="35" spans="20:46" x14ac:dyDescent="0.2">
      <c r="T35" s="28" t="s">
        <v>226</v>
      </c>
      <c r="U35" s="68" t="s">
        <v>103</v>
      </c>
      <c r="V35" s="72" t="str">
        <f t="shared" si="0"/>
        <v>AL_HALE</v>
      </c>
      <c r="AF35" s="28" t="s">
        <v>80</v>
      </c>
      <c r="AH35" s="28" t="s">
        <v>2605</v>
      </c>
      <c r="AJ35" s="1" t="s">
        <v>103</v>
      </c>
      <c r="AK35" s="1" t="s">
        <v>196</v>
      </c>
      <c r="AL35" s="1" t="s">
        <v>5367</v>
      </c>
      <c r="AM35" s="1" t="s">
        <v>2988</v>
      </c>
      <c r="AP35" s="1" t="s">
        <v>54</v>
      </c>
      <c r="AQ35" s="1" t="s">
        <v>1368</v>
      </c>
      <c r="AR35" s="1" t="s">
        <v>8504</v>
      </c>
      <c r="AS35" s="1" t="s">
        <v>8505</v>
      </c>
      <c r="AT35" s="267" t="s">
        <v>8809</v>
      </c>
    </row>
    <row r="36" spans="20:46" x14ac:dyDescent="0.2">
      <c r="T36" s="29" t="s">
        <v>227</v>
      </c>
      <c r="U36" s="69" t="s">
        <v>103</v>
      </c>
      <c r="V36" s="72" t="str">
        <f t="shared" si="0"/>
        <v>AL_HENRY</v>
      </c>
      <c r="AF36" s="29" t="s">
        <v>79</v>
      </c>
      <c r="AH36" s="29" t="s">
        <v>2606</v>
      </c>
      <c r="AJ36" s="1" t="s">
        <v>103</v>
      </c>
      <c r="AK36" s="1" t="s">
        <v>197</v>
      </c>
      <c r="AL36" s="1" t="s">
        <v>5368</v>
      </c>
      <c r="AM36" s="1" t="s">
        <v>2989</v>
      </c>
      <c r="AP36" s="1" t="s">
        <v>54</v>
      </c>
      <c r="AQ36" s="1" t="s">
        <v>727</v>
      </c>
      <c r="AR36" s="1" t="s">
        <v>8506</v>
      </c>
      <c r="AS36" s="1" t="s">
        <v>8507</v>
      </c>
      <c r="AT36" s="267" t="s">
        <v>8810</v>
      </c>
    </row>
    <row r="37" spans="20:46" x14ac:dyDescent="0.2">
      <c r="T37" s="28" t="s">
        <v>228</v>
      </c>
      <c r="U37" s="68" t="s">
        <v>103</v>
      </c>
      <c r="V37" s="72" t="str">
        <f t="shared" si="0"/>
        <v>AL_HOUSTON</v>
      </c>
      <c r="AF37" s="28" t="s">
        <v>78</v>
      </c>
      <c r="AH37" s="28" t="s">
        <v>2604</v>
      </c>
      <c r="AJ37" s="1" t="s">
        <v>103</v>
      </c>
      <c r="AK37" s="1" t="s">
        <v>198</v>
      </c>
      <c r="AL37" s="1" t="s">
        <v>5369</v>
      </c>
      <c r="AM37" s="1" t="s">
        <v>2989</v>
      </c>
      <c r="AP37" s="1" t="s">
        <v>54</v>
      </c>
      <c r="AQ37" s="1" t="s">
        <v>1369</v>
      </c>
      <c r="AR37" s="1" t="s">
        <v>8508</v>
      </c>
      <c r="AS37" s="1" t="s">
        <v>8509</v>
      </c>
      <c r="AT37" s="267" t="s">
        <v>8811</v>
      </c>
    </row>
    <row r="38" spans="20:46" x14ac:dyDescent="0.2">
      <c r="T38" s="29" t="s">
        <v>229</v>
      </c>
      <c r="U38" s="69" t="s">
        <v>103</v>
      </c>
      <c r="V38" s="72" t="str">
        <f t="shared" si="0"/>
        <v>AL_JACKSON</v>
      </c>
      <c r="AF38" s="29" t="s">
        <v>77</v>
      </c>
      <c r="AH38" s="29" t="s">
        <v>2603</v>
      </c>
      <c r="AJ38" s="1" t="s">
        <v>103</v>
      </c>
      <c r="AK38" s="1" t="s">
        <v>199</v>
      </c>
      <c r="AL38" s="1" t="s">
        <v>5370</v>
      </c>
      <c r="AM38" s="1" t="s">
        <v>2990</v>
      </c>
      <c r="AP38" s="1" t="s">
        <v>54</v>
      </c>
      <c r="AQ38" s="1" t="s">
        <v>1370</v>
      </c>
      <c r="AR38" s="1" t="s">
        <v>8510</v>
      </c>
      <c r="AS38" s="1" t="s">
        <v>8511</v>
      </c>
      <c r="AT38" s="267" t="s">
        <v>8812</v>
      </c>
    </row>
    <row r="39" spans="20:46" x14ac:dyDescent="0.2">
      <c r="T39" s="28" t="s">
        <v>230</v>
      </c>
      <c r="U39" s="68" t="s">
        <v>103</v>
      </c>
      <c r="V39" s="72" t="str">
        <f t="shared" si="0"/>
        <v>AL_JEFFERSON</v>
      </c>
      <c r="AF39" s="28" t="s">
        <v>76</v>
      </c>
      <c r="AH39" s="28" t="s">
        <v>2607</v>
      </c>
      <c r="AJ39" s="1" t="s">
        <v>103</v>
      </c>
      <c r="AK39" s="1" t="s">
        <v>200</v>
      </c>
      <c r="AL39" s="1" t="s">
        <v>5371</v>
      </c>
      <c r="AM39" s="1" t="s">
        <v>2991</v>
      </c>
      <c r="AP39" s="1" t="s">
        <v>54</v>
      </c>
      <c r="AQ39" s="1" t="s">
        <v>1025</v>
      </c>
      <c r="AR39" s="1" t="s">
        <v>8512</v>
      </c>
      <c r="AS39" s="1" t="s">
        <v>8513</v>
      </c>
      <c r="AT39" s="267" t="s">
        <v>8813</v>
      </c>
    </row>
    <row r="40" spans="20:46" x14ac:dyDescent="0.2">
      <c r="T40" s="29" t="s">
        <v>231</v>
      </c>
      <c r="U40" s="69" t="s">
        <v>103</v>
      </c>
      <c r="V40" s="72" t="str">
        <f t="shared" si="0"/>
        <v>AL_LAMAR</v>
      </c>
      <c r="AF40" s="29" t="s">
        <v>74</v>
      </c>
      <c r="AH40" s="29" t="s">
        <v>2710</v>
      </c>
      <c r="AJ40" s="1" t="s">
        <v>103</v>
      </c>
      <c r="AK40" s="1" t="s">
        <v>201</v>
      </c>
      <c r="AL40" s="1" t="s">
        <v>5372</v>
      </c>
      <c r="AM40" s="1" t="s">
        <v>9081</v>
      </c>
      <c r="AP40" s="1" t="s">
        <v>54</v>
      </c>
      <c r="AQ40" s="1" t="s">
        <v>223</v>
      </c>
      <c r="AR40" s="1" t="s">
        <v>8514</v>
      </c>
      <c r="AS40" s="1" t="s">
        <v>8515</v>
      </c>
      <c r="AT40" s="267" t="s">
        <v>8814</v>
      </c>
    </row>
    <row r="41" spans="20:46" x14ac:dyDescent="0.2">
      <c r="T41" s="28" t="s">
        <v>232</v>
      </c>
      <c r="U41" s="68" t="s">
        <v>103</v>
      </c>
      <c r="V41" s="72" t="str">
        <f t="shared" si="0"/>
        <v>AL_LAUDERDALE</v>
      </c>
      <c r="AF41" s="28" t="s">
        <v>73</v>
      </c>
      <c r="AH41" s="28" t="s">
        <v>2611</v>
      </c>
      <c r="AJ41" s="1" t="s">
        <v>103</v>
      </c>
      <c r="AK41" s="1" t="s">
        <v>202</v>
      </c>
      <c r="AL41" s="1" t="s">
        <v>5373</v>
      </c>
      <c r="AM41" s="1" t="s">
        <v>2992</v>
      </c>
      <c r="AP41" s="1" t="s">
        <v>54</v>
      </c>
      <c r="AQ41" s="1" t="s">
        <v>312</v>
      </c>
      <c r="AR41" s="1" t="s">
        <v>8516</v>
      </c>
      <c r="AS41" s="1" t="s">
        <v>8517</v>
      </c>
      <c r="AT41" s="267" t="s">
        <v>8815</v>
      </c>
    </row>
    <row r="42" spans="20:46" x14ac:dyDescent="0.2">
      <c r="T42" s="29" t="s">
        <v>233</v>
      </c>
      <c r="U42" s="69" t="s">
        <v>103</v>
      </c>
      <c r="V42" s="72" t="str">
        <f t="shared" si="0"/>
        <v>AL_LAWRENCE</v>
      </c>
      <c r="AF42" s="29" t="s">
        <v>72</v>
      </c>
      <c r="AH42" s="29" t="s">
        <v>2702</v>
      </c>
      <c r="AJ42" s="1" t="s">
        <v>103</v>
      </c>
      <c r="AK42" s="1" t="s">
        <v>203</v>
      </c>
      <c r="AL42" s="1" t="s">
        <v>5374</v>
      </c>
      <c r="AM42" s="1" t="s">
        <v>2993</v>
      </c>
      <c r="AP42" s="1" t="s">
        <v>54</v>
      </c>
      <c r="AQ42" s="1" t="s">
        <v>1046</v>
      </c>
      <c r="AR42" s="1" t="s">
        <v>8518</v>
      </c>
      <c r="AS42" s="1" t="s">
        <v>8519</v>
      </c>
      <c r="AT42" s="267" t="s">
        <v>8816</v>
      </c>
    </row>
    <row r="43" spans="20:46" x14ac:dyDescent="0.2">
      <c r="T43" s="28" t="s">
        <v>234</v>
      </c>
      <c r="U43" s="68" t="s">
        <v>103</v>
      </c>
      <c r="V43" s="72" t="str">
        <f t="shared" si="0"/>
        <v>AL_LEE</v>
      </c>
      <c r="AF43" s="28" t="s">
        <v>71</v>
      </c>
      <c r="AH43" s="28" t="s">
        <v>2618</v>
      </c>
      <c r="AJ43" s="1" t="s">
        <v>103</v>
      </c>
      <c r="AK43" s="1" t="s">
        <v>204</v>
      </c>
      <c r="AL43" s="1" t="s">
        <v>5375</v>
      </c>
      <c r="AM43" s="1" t="s">
        <v>2994</v>
      </c>
      <c r="AP43" s="1" t="s">
        <v>54</v>
      </c>
      <c r="AQ43" s="1" t="s">
        <v>225</v>
      </c>
      <c r="AR43" s="1" t="s">
        <v>8520</v>
      </c>
      <c r="AS43" s="1" t="s">
        <v>8521</v>
      </c>
      <c r="AT43" s="267" t="s">
        <v>8817</v>
      </c>
    </row>
    <row r="44" spans="20:46" x14ac:dyDescent="0.2">
      <c r="T44" s="29" t="s">
        <v>235</v>
      </c>
      <c r="U44" s="69" t="s">
        <v>103</v>
      </c>
      <c r="V44" s="72" t="str">
        <f t="shared" si="0"/>
        <v>AL_LIMESTONE</v>
      </c>
      <c r="AF44" s="29" t="s">
        <v>27</v>
      </c>
      <c r="AH44" s="29" t="s">
        <v>2619</v>
      </c>
      <c r="AJ44" s="1" t="s">
        <v>103</v>
      </c>
      <c r="AK44" s="1" t="s">
        <v>205</v>
      </c>
      <c r="AL44" s="1" t="s">
        <v>5376</v>
      </c>
      <c r="AM44" s="1" t="s">
        <v>2995</v>
      </c>
      <c r="AP44" s="1" t="s">
        <v>54</v>
      </c>
      <c r="AQ44" s="1" t="s">
        <v>491</v>
      </c>
      <c r="AR44" s="1" t="s">
        <v>8522</v>
      </c>
      <c r="AS44" s="1" t="s">
        <v>8523</v>
      </c>
      <c r="AT44" s="267" t="s">
        <v>8818</v>
      </c>
    </row>
    <row r="45" spans="20:46" x14ac:dyDescent="0.2">
      <c r="T45" s="28" t="s">
        <v>236</v>
      </c>
      <c r="U45" s="68" t="s">
        <v>103</v>
      </c>
      <c r="V45" s="72" t="str">
        <f t="shared" si="0"/>
        <v>AL_LOWNDES</v>
      </c>
      <c r="AF45" s="28" t="s">
        <v>70</v>
      </c>
      <c r="AH45" s="28" t="s">
        <v>2621</v>
      </c>
      <c r="AJ45" s="1" t="s">
        <v>103</v>
      </c>
      <c r="AK45" s="1" t="s">
        <v>206</v>
      </c>
      <c r="AL45" s="1" t="s">
        <v>5377</v>
      </c>
      <c r="AM45" s="1" t="s">
        <v>2996</v>
      </c>
      <c r="AP45" s="1" t="s">
        <v>54</v>
      </c>
      <c r="AQ45" s="1" t="s">
        <v>1371</v>
      </c>
      <c r="AR45" s="1" t="s">
        <v>8524</v>
      </c>
      <c r="AS45" s="1" t="s">
        <v>8525</v>
      </c>
      <c r="AT45" s="267" t="s">
        <v>8819</v>
      </c>
    </row>
    <row r="46" spans="20:46" x14ac:dyDescent="0.2">
      <c r="T46" s="29" t="s">
        <v>237</v>
      </c>
      <c r="U46" s="69" t="s">
        <v>103</v>
      </c>
      <c r="V46" s="72" t="str">
        <f t="shared" si="0"/>
        <v>AL_MACON</v>
      </c>
      <c r="AF46" s="29" t="s">
        <v>69</v>
      </c>
      <c r="AH46" s="29" t="s">
        <v>2715</v>
      </c>
      <c r="AJ46" s="1" t="s">
        <v>103</v>
      </c>
      <c r="AK46" s="1" t="s">
        <v>207</v>
      </c>
      <c r="AL46" s="1" t="s">
        <v>5378</v>
      </c>
      <c r="AM46" s="1" t="s">
        <v>2997</v>
      </c>
      <c r="AP46" s="1" t="s">
        <v>54</v>
      </c>
      <c r="AQ46" s="1" t="s">
        <v>230</v>
      </c>
      <c r="AR46" s="1" t="s">
        <v>8526</v>
      </c>
      <c r="AS46" s="1" t="s">
        <v>8527</v>
      </c>
      <c r="AT46" s="267" t="s">
        <v>8820</v>
      </c>
    </row>
    <row r="47" spans="20:46" x14ac:dyDescent="0.2">
      <c r="T47" s="28" t="s">
        <v>238</v>
      </c>
      <c r="U47" s="68" t="s">
        <v>103</v>
      </c>
      <c r="V47" s="72" t="str">
        <f t="shared" si="0"/>
        <v>AL_MADISON</v>
      </c>
      <c r="AF47" s="28" t="s">
        <v>67</v>
      </c>
      <c r="AH47" s="28" t="s">
        <v>2906</v>
      </c>
      <c r="AJ47" s="1" t="s">
        <v>103</v>
      </c>
      <c r="AK47" s="1" t="s">
        <v>208</v>
      </c>
      <c r="AL47" s="1" t="s">
        <v>5379</v>
      </c>
      <c r="AM47" s="1" t="s">
        <v>2998</v>
      </c>
      <c r="AP47" s="1" t="s">
        <v>54</v>
      </c>
      <c r="AQ47" s="1" t="s">
        <v>365</v>
      </c>
      <c r="AR47" s="1" t="s">
        <v>8528</v>
      </c>
      <c r="AS47" s="1" t="s">
        <v>8529</v>
      </c>
      <c r="AT47" s="267" t="s">
        <v>8821</v>
      </c>
    </row>
    <row r="48" spans="20:46" x14ac:dyDescent="0.2">
      <c r="T48" s="29" t="s">
        <v>239</v>
      </c>
      <c r="U48" s="69" t="s">
        <v>103</v>
      </c>
      <c r="V48" s="72" t="str">
        <f t="shared" si="0"/>
        <v>AL_MARENGO</v>
      </c>
      <c r="AF48" s="29" t="s">
        <v>66</v>
      </c>
      <c r="AH48" s="29" t="s">
        <v>2622</v>
      </c>
      <c r="AJ48" s="1" t="s">
        <v>103</v>
      </c>
      <c r="AK48" s="1" t="s">
        <v>209</v>
      </c>
      <c r="AL48" s="1" t="s">
        <v>5380</v>
      </c>
      <c r="AM48" s="1" t="s">
        <v>2999</v>
      </c>
      <c r="AP48" s="1" t="s">
        <v>54</v>
      </c>
      <c r="AQ48" s="1" t="s">
        <v>657</v>
      </c>
      <c r="AR48" s="1" t="s">
        <v>8530</v>
      </c>
      <c r="AS48" s="1" t="s">
        <v>8531</v>
      </c>
      <c r="AT48" s="267" t="s">
        <v>8822</v>
      </c>
    </row>
    <row r="49" spans="20:46" x14ac:dyDescent="0.2">
      <c r="T49" s="28" t="s">
        <v>240</v>
      </c>
      <c r="U49" s="68" t="s">
        <v>103</v>
      </c>
      <c r="V49" s="72" t="str">
        <f t="shared" si="0"/>
        <v>AL_MARION</v>
      </c>
      <c r="AF49" s="28" t="s">
        <v>65</v>
      </c>
      <c r="AH49" s="28" t="s">
        <v>2624</v>
      </c>
      <c r="AJ49" s="1" t="s">
        <v>103</v>
      </c>
      <c r="AK49" s="1" t="s">
        <v>210</v>
      </c>
      <c r="AL49" s="1" t="s">
        <v>5381</v>
      </c>
      <c r="AM49" s="1" t="s">
        <v>3014</v>
      </c>
      <c r="AP49" s="1" t="s">
        <v>54</v>
      </c>
      <c r="AQ49" s="1" t="s">
        <v>695</v>
      </c>
      <c r="AR49" s="1" t="s">
        <v>8532</v>
      </c>
      <c r="AS49" s="1" t="s">
        <v>8533</v>
      </c>
      <c r="AT49" s="267" t="s">
        <v>8823</v>
      </c>
    </row>
    <row r="50" spans="20:46" x14ac:dyDescent="0.2">
      <c r="T50" s="29" t="s">
        <v>241</v>
      </c>
      <c r="U50" s="69" t="s">
        <v>103</v>
      </c>
      <c r="V50" s="72" t="str">
        <f t="shared" si="0"/>
        <v>AL_MARSHALL</v>
      </c>
      <c r="AF50" s="29" t="s">
        <v>64</v>
      </c>
      <c r="AH50" s="29" t="s">
        <v>2623</v>
      </c>
      <c r="AJ50" s="1" t="s">
        <v>103</v>
      </c>
      <c r="AK50" s="1" t="s">
        <v>211</v>
      </c>
      <c r="AL50" s="1" t="s">
        <v>5382</v>
      </c>
      <c r="AM50" s="1" t="s">
        <v>3001</v>
      </c>
      <c r="AP50" s="1" t="s">
        <v>54</v>
      </c>
      <c r="AQ50" s="1" t="s">
        <v>238</v>
      </c>
      <c r="AR50" s="1" t="s">
        <v>8534</v>
      </c>
      <c r="AS50" s="1" t="s">
        <v>8535</v>
      </c>
      <c r="AT50" s="267" t="s">
        <v>8824</v>
      </c>
    </row>
    <row r="51" spans="20:46" x14ac:dyDescent="0.2">
      <c r="T51" s="28" t="s">
        <v>242</v>
      </c>
      <c r="U51" s="68" t="s">
        <v>103</v>
      </c>
      <c r="V51" s="72" t="str">
        <f t="shared" si="0"/>
        <v>AL_MOBILE</v>
      </c>
      <c r="AF51" s="28" t="s">
        <v>63</v>
      </c>
      <c r="AH51" s="28" t="s">
        <v>2718</v>
      </c>
      <c r="AJ51" s="1" t="s">
        <v>103</v>
      </c>
      <c r="AK51" s="1" t="s">
        <v>212</v>
      </c>
      <c r="AL51" s="1" t="s">
        <v>5383</v>
      </c>
      <c r="AM51" s="1" t="s">
        <v>3002</v>
      </c>
      <c r="AP51" s="1" t="s">
        <v>54</v>
      </c>
      <c r="AQ51" s="1" t="s">
        <v>243</v>
      </c>
      <c r="AR51" s="1" t="s">
        <v>8536</v>
      </c>
      <c r="AS51" s="1" t="s">
        <v>8537</v>
      </c>
      <c r="AT51" s="267" t="s">
        <v>8825</v>
      </c>
    </row>
    <row r="52" spans="20:46" x14ac:dyDescent="0.2">
      <c r="T52" s="29" t="s">
        <v>243</v>
      </c>
      <c r="U52" s="69" t="s">
        <v>103</v>
      </c>
      <c r="V52" s="72" t="str">
        <f t="shared" si="0"/>
        <v>AL_MONROE</v>
      </c>
      <c r="AF52" s="29" t="s">
        <v>62</v>
      </c>
      <c r="AH52" s="29" t="s">
        <v>2899</v>
      </c>
      <c r="AJ52" s="1" t="s">
        <v>103</v>
      </c>
      <c r="AK52" s="1" t="s">
        <v>213</v>
      </c>
      <c r="AL52" s="1" t="s">
        <v>5384</v>
      </c>
      <c r="AM52" s="1" t="s">
        <v>3003</v>
      </c>
      <c r="AP52" s="1" t="s">
        <v>54</v>
      </c>
      <c r="AQ52" s="1" t="s">
        <v>244</v>
      </c>
      <c r="AR52" s="1" t="s">
        <v>8538</v>
      </c>
      <c r="AS52" s="1" t="s">
        <v>8539</v>
      </c>
      <c r="AT52" s="267" t="s">
        <v>8826</v>
      </c>
    </row>
    <row r="53" spans="20:46" x14ac:dyDescent="0.2">
      <c r="T53" s="28" t="s">
        <v>244</v>
      </c>
      <c r="U53" s="68" t="s">
        <v>103</v>
      </c>
      <c r="V53" s="72" t="str">
        <f t="shared" si="0"/>
        <v>AL_MONTGOMERY</v>
      </c>
      <c r="AF53" s="28" t="s">
        <v>61</v>
      </c>
      <c r="AH53" s="28" t="s">
        <v>2625</v>
      </c>
      <c r="AJ53" s="1" t="s">
        <v>103</v>
      </c>
      <c r="AK53" s="1" t="s">
        <v>214</v>
      </c>
      <c r="AL53" s="1" t="s">
        <v>5385</v>
      </c>
      <c r="AM53" s="1" t="s">
        <v>3004</v>
      </c>
      <c r="AP53" s="1" t="s">
        <v>54</v>
      </c>
      <c r="AQ53" s="1" t="s">
        <v>504</v>
      </c>
      <c r="AR53" s="1" t="s">
        <v>8540</v>
      </c>
      <c r="AS53" s="1" t="s">
        <v>8541</v>
      </c>
      <c r="AT53" s="267" t="s">
        <v>8827</v>
      </c>
    </row>
    <row r="54" spans="20:46" x14ac:dyDescent="0.2">
      <c r="T54" s="29" t="s">
        <v>245</v>
      </c>
      <c r="U54" s="69" t="s">
        <v>103</v>
      </c>
      <c r="V54" s="72" t="str">
        <f t="shared" si="0"/>
        <v>AL_MORGAN</v>
      </c>
      <c r="AF54" s="29" t="s">
        <v>60</v>
      </c>
      <c r="AH54" s="29" t="s">
        <v>2626</v>
      </c>
      <c r="AJ54" s="1" t="s">
        <v>103</v>
      </c>
      <c r="AK54" s="1" t="s">
        <v>215</v>
      </c>
      <c r="AL54" s="1" t="s">
        <v>5386</v>
      </c>
      <c r="AM54" s="1" t="s">
        <v>3005</v>
      </c>
      <c r="AP54" s="1" t="s">
        <v>54</v>
      </c>
      <c r="AQ54" s="1" t="s">
        <v>1372</v>
      </c>
      <c r="AR54" s="1" t="s">
        <v>8542</v>
      </c>
      <c r="AS54" s="1" t="s">
        <v>8543</v>
      </c>
      <c r="AT54" s="267" t="s">
        <v>8828</v>
      </c>
    </row>
    <row r="55" spans="20:46" x14ac:dyDescent="0.2">
      <c r="T55" s="28" t="s">
        <v>246</v>
      </c>
      <c r="U55" s="68" t="s">
        <v>103</v>
      </c>
      <c r="V55" s="72" t="str">
        <f t="shared" si="0"/>
        <v>AL_PERRY</v>
      </c>
      <c r="AF55" s="28" t="s">
        <v>59</v>
      </c>
      <c r="AH55" s="28" t="s">
        <v>2712</v>
      </c>
      <c r="AJ55" s="1" t="s">
        <v>103</v>
      </c>
      <c r="AK55" s="1" t="s">
        <v>216</v>
      </c>
      <c r="AL55" s="1" t="s">
        <v>5387</v>
      </c>
      <c r="AM55" s="1" t="s">
        <v>3006</v>
      </c>
      <c r="AP55" s="1" t="s">
        <v>54</v>
      </c>
      <c r="AQ55" s="1" t="s">
        <v>1373</v>
      </c>
      <c r="AR55" s="1" t="s">
        <v>8544</v>
      </c>
      <c r="AS55" s="1" t="s">
        <v>8545</v>
      </c>
      <c r="AT55" s="267" t="s">
        <v>8829</v>
      </c>
    </row>
    <row r="56" spans="20:46" x14ac:dyDescent="0.2">
      <c r="T56" s="29" t="s">
        <v>247</v>
      </c>
      <c r="U56" s="69" t="s">
        <v>103</v>
      </c>
      <c r="V56" s="72" t="str">
        <f t="shared" si="0"/>
        <v>AL_PICKENS</v>
      </c>
      <c r="AF56" s="29" t="s">
        <v>58</v>
      </c>
      <c r="AH56" s="29" t="s">
        <v>2634</v>
      </c>
      <c r="AJ56" s="1" t="s">
        <v>103</v>
      </c>
      <c r="AK56" s="1" t="s">
        <v>217</v>
      </c>
      <c r="AL56" s="1" t="s">
        <v>5388</v>
      </c>
      <c r="AM56" s="1" t="s">
        <v>3007</v>
      </c>
      <c r="AP56" s="1" t="s">
        <v>54</v>
      </c>
      <c r="AQ56" s="1" t="s">
        <v>660</v>
      </c>
      <c r="AR56" s="1" t="s">
        <v>8546</v>
      </c>
      <c r="AS56" s="1" t="s">
        <v>8547</v>
      </c>
      <c r="AT56" s="267" t="s">
        <v>8830</v>
      </c>
    </row>
    <row r="57" spans="20:46" x14ac:dyDescent="0.2">
      <c r="T57" s="28" t="s">
        <v>248</v>
      </c>
      <c r="U57" s="68" t="s">
        <v>103</v>
      </c>
      <c r="V57" s="72" t="str">
        <f t="shared" si="0"/>
        <v>AL_PIKE</v>
      </c>
      <c r="AF57" s="28" t="s">
        <v>57</v>
      </c>
      <c r="AH57" s="28" t="s">
        <v>2635</v>
      </c>
      <c r="AJ57" s="1" t="s">
        <v>103</v>
      </c>
      <c r="AK57" s="1" t="s">
        <v>218</v>
      </c>
      <c r="AL57" s="1" t="s">
        <v>5389</v>
      </c>
      <c r="AM57" s="1" t="s">
        <v>3010</v>
      </c>
      <c r="AP57" s="1" t="s">
        <v>54</v>
      </c>
      <c r="AQ57" s="1" t="s">
        <v>1374</v>
      </c>
      <c r="AR57" s="1" t="s">
        <v>8548</v>
      </c>
      <c r="AS57" s="1" t="s">
        <v>8549</v>
      </c>
      <c r="AT57" s="267" t="s">
        <v>8831</v>
      </c>
    </row>
    <row r="58" spans="20:46" x14ac:dyDescent="0.2">
      <c r="T58" s="29" t="s">
        <v>249</v>
      </c>
      <c r="U58" s="69" t="s">
        <v>103</v>
      </c>
      <c r="V58" s="72" t="str">
        <f t="shared" si="0"/>
        <v>AL_RANDOLPH</v>
      </c>
      <c r="AF58" s="29" t="s">
        <v>56</v>
      </c>
      <c r="AH58" s="29" t="s">
        <v>2627</v>
      </c>
      <c r="AJ58" s="1" t="s">
        <v>103</v>
      </c>
      <c r="AK58" s="1" t="s">
        <v>219</v>
      </c>
      <c r="AL58" s="1" t="s">
        <v>5390</v>
      </c>
      <c r="AM58" s="1" t="s">
        <v>3026</v>
      </c>
      <c r="AP58" s="1" t="s">
        <v>54</v>
      </c>
      <c r="AQ58" s="1" t="s">
        <v>1375</v>
      </c>
      <c r="AR58" s="1" t="s">
        <v>8550</v>
      </c>
      <c r="AS58" s="1" t="s">
        <v>8551</v>
      </c>
      <c r="AT58" s="267" t="s">
        <v>8832</v>
      </c>
    </row>
    <row r="59" spans="20:46" x14ac:dyDescent="0.2">
      <c r="T59" s="28" t="s">
        <v>250</v>
      </c>
      <c r="U59" s="68" t="s">
        <v>103</v>
      </c>
      <c r="V59" s="72" t="str">
        <f t="shared" si="0"/>
        <v>AL_RUSSELL</v>
      </c>
      <c r="AH59" s="28" t="s">
        <v>2628</v>
      </c>
      <c r="AJ59" s="1" t="s">
        <v>103</v>
      </c>
      <c r="AK59" s="1" t="s">
        <v>220</v>
      </c>
      <c r="AL59" s="1" t="s">
        <v>5391</v>
      </c>
      <c r="AM59" s="1" t="s">
        <v>3012</v>
      </c>
      <c r="AP59" s="1" t="s">
        <v>54</v>
      </c>
      <c r="AQ59" s="1" t="s">
        <v>378</v>
      </c>
      <c r="AR59" s="1" t="s">
        <v>8552</v>
      </c>
      <c r="AS59" s="1" t="s">
        <v>8553</v>
      </c>
      <c r="AT59" s="267" t="s">
        <v>8833</v>
      </c>
    </row>
    <row r="60" spans="20:46" x14ac:dyDescent="0.2">
      <c r="T60" s="29" t="s">
        <v>251</v>
      </c>
      <c r="U60" s="69" t="s">
        <v>103</v>
      </c>
      <c r="V60" s="72" t="str">
        <f t="shared" si="0"/>
        <v>AL_ST. CLAIR</v>
      </c>
      <c r="AH60" s="29" t="s">
        <v>2636</v>
      </c>
      <c r="AJ60" s="1" t="s">
        <v>103</v>
      </c>
      <c r="AK60" s="1" t="s">
        <v>221</v>
      </c>
      <c r="AL60" s="1" t="s">
        <v>5392</v>
      </c>
      <c r="AM60" s="1" t="s">
        <v>3016</v>
      </c>
      <c r="AP60" s="1" t="s">
        <v>54</v>
      </c>
      <c r="AQ60" s="1" t="s">
        <v>1376</v>
      </c>
      <c r="AR60" s="1" t="s">
        <v>8554</v>
      </c>
      <c r="AS60" s="1" t="s">
        <v>8555</v>
      </c>
      <c r="AT60" s="267" t="s">
        <v>8834</v>
      </c>
    </row>
    <row r="61" spans="20:46" x14ac:dyDescent="0.2">
      <c r="T61" s="28" t="s">
        <v>252</v>
      </c>
      <c r="U61" s="68" t="s">
        <v>103</v>
      </c>
      <c r="V61" s="72" t="str">
        <f t="shared" si="0"/>
        <v>AL_SHELBY</v>
      </c>
      <c r="AH61" s="28" t="s">
        <v>2637</v>
      </c>
      <c r="AJ61" s="1" t="s">
        <v>103</v>
      </c>
      <c r="AK61" s="1" t="s">
        <v>222</v>
      </c>
      <c r="AL61" s="1" t="s">
        <v>5393</v>
      </c>
      <c r="AM61" s="1" t="s">
        <v>3013</v>
      </c>
      <c r="AP61" s="1" t="s">
        <v>54</v>
      </c>
      <c r="AQ61" s="1" t="s">
        <v>1377</v>
      </c>
      <c r="AR61" s="1" t="s">
        <v>8556</v>
      </c>
      <c r="AS61" s="1" t="s">
        <v>8557</v>
      </c>
      <c r="AT61" s="267" t="s">
        <v>8835</v>
      </c>
    </row>
    <row r="62" spans="20:46" x14ac:dyDescent="0.2">
      <c r="T62" s="29" t="s">
        <v>253</v>
      </c>
      <c r="U62" s="69" t="s">
        <v>103</v>
      </c>
      <c r="V62" s="72" t="str">
        <f t="shared" si="0"/>
        <v>AL_SUMTER</v>
      </c>
      <c r="AH62" s="29" t="s">
        <v>2629</v>
      </c>
      <c r="AJ62" s="1" t="s">
        <v>103</v>
      </c>
      <c r="AK62" s="1" t="s">
        <v>223</v>
      </c>
      <c r="AL62" s="1" t="s">
        <v>5394</v>
      </c>
      <c r="AM62" s="1" t="s">
        <v>3015</v>
      </c>
      <c r="AP62" s="1" t="s">
        <v>54</v>
      </c>
      <c r="AQ62" s="1" t="s">
        <v>1083</v>
      </c>
      <c r="AR62" s="1" t="s">
        <v>8558</v>
      </c>
      <c r="AS62" s="1" t="s">
        <v>8559</v>
      </c>
      <c r="AT62" s="267" t="s">
        <v>8836</v>
      </c>
    </row>
    <row r="63" spans="20:46" x14ac:dyDescent="0.2">
      <c r="T63" s="28" t="s">
        <v>254</v>
      </c>
      <c r="U63" s="68" t="s">
        <v>103</v>
      </c>
      <c r="V63" s="72" t="str">
        <f t="shared" si="0"/>
        <v>AL_TALLADEGA</v>
      </c>
      <c r="AH63" s="28" t="s">
        <v>2630</v>
      </c>
      <c r="AJ63" s="1" t="s">
        <v>103</v>
      </c>
      <c r="AK63" s="1" t="s">
        <v>224</v>
      </c>
      <c r="AL63" s="1" t="s">
        <v>5395</v>
      </c>
      <c r="AM63" s="1" t="s">
        <v>3011</v>
      </c>
      <c r="AP63" s="1" t="s">
        <v>54</v>
      </c>
      <c r="AQ63" s="1" t="s">
        <v>511</v>
      </c>
      <c r="AR63" s="1" t="s">
        <v>8560</v>
      </c>
      <c r="AS63" s="1" t="s">
        <v>8561</v>
      </c>
      <c r="AT63" s="267" t="s">
        <v>8837</v>
      </c>
    </row>
    <row r="64" spans="20:46" x14ac:dyDescent="0.2">
      <c r="T64" s="29" t="s">
        <v>255</v>
      </c>
      <c r="U64" s="69" t="s">
        <v>103</v>
      </c>
      <c r="V64" s="72" t="str">
        <f t="shared" si="0"/>
        <v>AL_TALLAPOOSA</v>
      </c>
      <c r="AH64" s="29" t="s">
        <v>2631</v>
      </c>
      <c r="AJ64" s="1" t="s">
        <v>103</v>
      </c>
      <c r="AK64" s="1" t="s">
        <v>225</v>
      </c>
      <c r="AL64" s="1" t="s">
        <v>5396</v>
      </c>
      <c r="AM64" s="1" t="s">
        <v>3017</v>
      </c>
      <c r="AP64" s="1" t="s">
        <v>54</v>
      </c>
      <c r="AQ64" s="1" t="s">
        <v>1378</v>
      </c>
      <c r="AR64" s="1" t="s">
        <v>8562</v>
      </c>
      <c r="AS64" s="1" t="s">
        <v>8563</v>
      </c>
      <c r="AT64" s="267" t="s">
        <v>8838</v>
      </c>
    </row>
    <row r="65" spans="20:46" x14ac:dyDescent="0.2">
      <c r="T65" s="28" t="s">
        <v>256</v>
      </c>
      <c r="U65" s="68" t="s">
        <v>103</v>
      </c>
      <c r="V65" s="72" t="str">
        <f t="shared" si="0"/>
        <v>AL_TUSCALOOSA</v>
      </c>
      <c r="AH65" s="28" t="s">
        <v>2709</v>
      </c>
      <c r="AJ65" s="1" t="s">
        <v>103</v>
      </c>
      <c r="AK65" s="1" t="s">
        <v>226</v>
      </c>
      <c r="AL65" s="1" t="s">
        <v>5397</v>
      </c>
      <c r="AM65" s="1" t="s">
        <v>3034</v>
      </c>
      <c r="AP65" s="1" t="s">
        <v>54</v>
      </c>
      <c r="AQ65" s="1" t="s">
        <v>1379</v>
      </c>
      <c r="AR65" s="1" t="s">
        <v>8564</v>
      </c>
      <c r="AS65" s="1" t="s">
        <v>8565</v>
      </c>
      <c r="AT65" s="267" t="s">
        <v>8839</v>
      </c>
    </row>
    <row r="66" spans="20:46" x14ac:dyDescent="0.2">
      <c r="T66" s="29" t="s">
        <v>257</v>
      </c>
      <c r="U66" s="69" t="s">
        <v>103</v>
      </c>
      <c r="V66" s="72" t="str">
        <f t="shared" si="0"/>
        <v>AL_WALKER</v>
      </c>
      <c r="AH66" s="29" t="s">
        <v>2632</v>
      </c>
      <c r="AJ66" s="1" t="s">
        <v>103</v>
      </c>
      <c r="AK66" s="1" t="s">
        <v>227</v>
      </c>
      <c r="AL66" s="1" t="s">
        <v>5398</v>
      </c>
      <c r="AM66" s="1" t="s">
        <v>3018</v>
      </c>
      <c r="AP66" s="1" t="s">
        <v>54</v>
      </c>
      <c r="AQ66" s="1" t="s">
        <v>600</v>
      </c>
      <c r="AR66" s="1" t="s">
        <v>8566</v>
      </c>
      <c r="AS66" s="1" t="s">
        <v>8567</v>
      </c>
      <c r="AT66" s="267" t="s">
        <v>8840</v>
      </c>
    </row>
    <row r="67" spans="20:46" x14ac:dyDescent="0.2">
      <c r="T67" s="28" t="s">
        <v>258</v>
      </c>
      <c r="U67" s="68" t="s">
        <v>103</v>
      </c>
      <c r="V67" s="72" t="str">
        <f t="shared" si="0"/>
        <v>AL_WASHINGTON</v>
      </c>
      <c r="AH67" s="28" t="s">
        <v>2713</v>
      </c>
      <c r="AJ67" s="1" t="s">
        <v>103</v>
      </c>
      <c r="AK67" s="1" t="s">
        <v>228</v>
      </c>
      <c r="AL67" s="1" t="s">
        <v>5399</v>
      </c>
      <c r="AM67" s="1" t="s">
        <v>3011</v>
      </c>
      <c r="AP67" s="1" t="s">
        <v>54</v>
      </c>
      <c r="AQ67" s="1" t="s">
        <v>1380</v>
      </c>
      <c r="AR67" s="1" t="s">
        <v>8568</v>
      </c>
      <c r="AS67" s="1" t="s">
        <v>8569</v>
      </c>
      <c r="AT67" s="267" t="s">
        <v>8841</v>
      </c>
    </row>
    <row r="68" spans="20:46" x14ac:dyDescent="0.2">
      <c r="T68" s="29" t="s">
        <v>259</v>
      </c>
      <c r="U68" s="69" t="s">
        <v>103</v>
      </c>
      <c r="V68" s="72" t="str">
        <f t="shared" ref="V68:V136" si="1">UPPER(CONCATENATE(TRIM(U68),"_",TRIM(T68)))</f>
        <v>AL_WILCOX</v>
      </c>
      <c r="AH68" s="29" t="s">
        <v>2707</v>
      </c>
      <c r="AJ68" s="1" t="s">
        <v>103</v>
      </c>
      <c r="AK68" s="1" t="s">
        <v>229</v>
      </c>
      <c r="AL68" s="1" t="s">
        <v>5400</v>
      </c>
      <c r="AM68" s="1" t="s">
        <v>3020</v>
      </c>
      <c r="AP68" s="1" t="s">
        <v>54</v>
      </c>
      <c r="AQ68" s="1" t="s">
        <v>1382</v>
      </c>
      <c r="AR68" s="1" t="s">
        <v>8570</v>
      </c>
      <c r="AS68" s="1" t="s">
        <v>8571</v>
      </c>
      <c r="AT68" s="267" t="s">
        <v>8842</v>
      </c>
    </row>
    <row r="69" spans="20:46" x14ac:dyDescent="0.2">
      <c r="T69" s="28" t="s">
        <v>260</v>
      </c>
      <c r="U69" s="68" t="s">
        <v>103</v>
      </c>
      <c r="V69" s="72" t="str">
        <f t="shared" si="1"/>
        <v>AL_WINSTON</v>
      </c>
      <c r="AH69" s="28" t="s">
        <v>2638</v>
      </c>
      <c r="AJ69" s="1" t="s">
        <v>103</v>
      </c>
      <c r="AK69" s="1" t="s">
        <v>230</v>
      </c>
      <c r="AL69" s="1" t="s">
        <v>5401</v>
      </c>
      <c r="AM69" s="1" t="s">
        <v>2989</v>
      </c>
      <c r="AP69" s="1" t="s">
        <v>54</v>
      </c>
      <c r="AQ69" s="1" t="s">
        <v>1383</v>
      </c>
      <c r="AR69" s="1" t="s">
        <v>8572</v>
      </c>
      <c r="AS69" s="1" t="s">
        <v>8573</v>
      </c>
      <c r="AT69" s="267" t="s">
        <v>8843</v>
      </c>
    </row>
    <row r="70" spans="20:46" x14ac:dyDescent="0.2">
      <c r="T70" s="29" t="s">
        <v>261</v>
      </c>
      <c r="U70" s="69" t="s">
        <v>102</v>
      </c>
      <c r="V70" s="72" t="str">
        <f t="shared" si="1"/>
        <v>AK_ALEUTIANS EAST BOROUGH</v>
      </c>
      <c r="AH70" s="29" t="s">
        <v>2639</v>
      </c>
      <c r="AJ70" s="1" t="s">
        <v>103</v>
      </c>
      <c r="AK70" s="1" t="s">
        <v>231</v>
      </c>
      <c r="AL70" s="1" t="s">
        <v>5402</v>
      </c>
      <c r="AM70" s="1" t="s">
        <v>3021</v>
      </c>
      <c r="AP70" s="1" t="s">
        <v>54</v>
      </c>
      <c r="AQ70" s="1" t="s">
        <v>1384</v>
      </c>
      <c r="AR70" s="1" t="s">
        <v>8574</v>
      </c>
      <c r="AS70" s="1" t="s">
        <v>8575</v>
      </c>
      <c r="AT70" s="267" t="s">
        <v>8844</v>
      </c>
    </row>
    <row r="71" spans="20:46" x14ac:dyDescent="0.2">
      <c r="T71" s="28" t="s">
        <v>262</v>
      </c>
      <c r="U71" s="68" t="s">
        <v>102</v>
      </c>
      <c r="V71" s="72" t="str">
        <f t="shared" si="1"/>
        <v>AK_ALEUTIANS WEST CENSUS AREA</v>
      </c>
      <c r="AH71" s="28" t="s">
        <v>2700</v>
      </c>
      <c r="AJ71" s="1" t="s">
        <v>103</v>
      </c>
      <c r="AK71" s="1" t="s">
        <v>232</v>
      </c>
      <c r="AL71" s="1" t="s">
        <v>5403</v>
      </c>
      <c r="AM71" s="1" t="s">
        <v>3014</v>
      </c>
      <c r="AP71" s="1" t="s">
        <v>54</v>
      </c>
      <c r="AQ71" s="1" t="s">
        <v>711</v>
      </c>
      <c r="AR71" s="1" t="s">
        <v>8576</v>
      </c>
      <c r="AS71" s="1" t="s">
        <v>8577</v>
      </c>
      <c r="AT71" s="267" t="s">
        <v>8845</v>
      </c>
    </row>
    <row r="72" spans="20:46" x14ac:dyDescent="0.2">
      <c r="T72" s="29" t="s">
        <v>8939</v>
      </c>
      <c r="U72" s="69" t="s">
        <v>102</v>
      </c>
      <c r="V72" s="72" t="str">
        <f t="shared" si="1"/>
        <v>AK_ANCHORAGE MUNICIPALITY</v>
      </c>
      <c r="AH72" s="29" t="s">
        <v>2641</v>
      </c>
      <c r="AJ72" s="1" t="s">
        <v>103</v>
      </c>
      <c r="AK72" s="1" t="s">
        <v>233</v>
      </c>
      <c r="AL72" s="1" t="s">
        <v>5404</v>
      </c>
      <c r="AM72" s="1" t="s">
        <v>3009</v>
      </c>
      <c r="AP72" s="1" t="s">
        <v>54</v>
      </c>
      <c r="AQ72" s="1" t="s">
        <v>1385</v>
      </c>
      <c r="AR72" s="1" t="s">
        <v>8578</v>
      </c>
      <c r="AS72" s="1" t="s">
        <v>8579</v>
      </c>
      <c r="AT72" s="267" t="s">
        <v>8846</v>
      </c>
    </row>
    <row r="73" spans="20:46" x14ac:dyDescent="0.2">
      <c r="T73" s="28" t="s">
        <v>263</v>
      </c>
      <c r="U73" s="68" t="s">
        <v>102</v>
      </c>
      <c r="V73" s="72" t="str">
        <f t="shared" si="1"/>
        <v>AK_BETHEL CENSUS AREA</v>
      </c>
      <c r="AH73" s="28" t="s">
        <v>2642</v>
      </c>
      <c r="AJ73" s="1" t="s">
        <v>103</v>
      </c>
      <c r="AK73" s="1" t="s">
        <v>234</v>
      </c>
      <c r="AL73" s="1" t="s">
        <v>5405</v>
      </c>
      <c r="AM73" s="1" t="s">
        <v>9082</v>
      </c>
      <c r="AP73" s="1" t="s">
        <v>54</v>
      </c>
      <c r="AQ73" s="1" t="s">
        <v>1381</v>
      </c>
      <c r="AR73" s="1" t="s">
        <v>8580</v>
      </c>
      <c r="AS73" s="1" t="s">
        <v>8581</v>
      </c>
      <c r="AT73" s="267" t="s">
        <v>8847</v>
      </c>
    </row>
    <row r="74" spans="20:46" x14ac:dyDescent="0.2">
      <c r="T74" s="29" t="s">
        <v>264</v>
      </c>
      <c r="U74" s="69" t="s">
        <v>102</v>
      </c>
      <c r="V74" s="72" t="str">
        <f t="shared" si="1"/>
        <v>AK_BRISTOL BAY BOROUGH</v>
      </c>
      <c r="AH74" s="29" t="s">
        <v>2643</v>
      </c>
      <c r="AJ74" s="1" t="s">
        <v>103</v>
      </c>
      <c r="AK74" s="1" t="s">
        <v>235</v>
      </c>
      <c r="AL74" s="1" t="s">
        <v>5406</v>
      </c>
      <c r="AM74" s="1" t="s">
        <v>3019</v>
      </c>
      <c r="AP74" s="1" t="s">
        <v>54</v>
      </c>
      <c r="AQ74" s="1" t="s">
        <v>752</v>
      </c>
      <c r="AR74" s="1" t="s">
        <v>8582</v>
      </c>
      <c r="AS74" s="1" t="s">
        <v>8583</v>
      </c>
      <c r="AT74" s="267" t="s">
        <v>8848</v>
      </c>
    </row>
    <row r="75" spans="20:46" x14ac:dyDescent="0.2">
      <c r="T75" s="28" t="s">
        <v>5330</v>
      </c>
      <c r="U75" s="68" t="s">
        <v>102</v>
      </c>
      <c r="V75" s="72" t="str">
        <f t="shared" si="1"/>
        <v>AK_CHUGACH CENSUS AREA</v>
      </c>
      <c r="AH75" s="28" t="s">
        <v>2644</v>
      </c>
      <c r="AJ75" s="1" t="s">
        <v>103</v>
      </c>
      <c r="AK75" s="1" t="s">
        <v>236</v>
      </c>
      <c r="AL75" s="1" t="s">
        <v>5407</v>
      </c>
      <c r="AM75" s="1" t="s">
        <v>3026</v>
      </c>
      <c r="AP75" s="1" t="s">
        <v>54</v>
      </c>
      <c r="AQ75" s="1" t="s">
        <v>1030</v>
      </c>
      <c r="AR75" s="1" t="s">
        <v>8584</v>
      </c>
      <c r="AS75" s="1" t="s">
        <v>8585</v>
      </c>
      <c r="AT75" s="267" t="s">
        <v>8849</v>
      </c>
    </row>
    <row r="76" spans="20:46" x14ac:dyDescent="0.2">
      <c r="T76" s="29" t="s">
        <v>5332</v>
      </c>
      <c r="U76" s="69" t="s">
        <v>102</v>
      </c>
      <c r="V76" s="72" t="str">
        <f t="shared" si="1"/>
        <v>AK_COPPER RIVER CENSUS AREA</v>
      </c>
      <c r="AH76" s="29" t="s">
        <v>2645</v>
      </c>
      <c r="AJ76" s="1" t="s">
        <v>103</v>
      </c>
      <c r="AK76" s="1" t="s">
        <v>237</v>
      </c>
      <c r="AL76" s="1" t="s">
        <v>5408</v>
      </c>
      <c r="AM76" s="1" t="s">
        <v>9083</v>
      </c>
      <c r="AP76" s="1" t="s">
        <v>54</v>
      </c>
      <c r="AQ76" s="1" t="s">
        <v>753</v>
      </c>
      <c r="AR76" s="1" t="s">
        <v>8586</v>
      </c>
      <c r="AS76" s="1" t="s">
        <v>8587</v>
      </c>
      <c r="AT76" s="267" t="s">
        <v>8850</v>
      </c>
    </row>
    <row r="77" spans="20:46" x14ac:dyDescent="0.2">
      <c r="T77" s="28" t="s">
        <v>5334</v>
      </c>
      <c r="U77" s="68" t="s">
        <v>102</v>
      </c>
      <c r="V77" s="72" t="str">
        <f t="shared" si="1"/>
        <v>AK_DENALI BOROUGH</v>
      </c>
      <c r="AH77" s="28" t="s">
        <v>2646</v>
      </c>
      <c r="AJ77" s="1" t="s">
        <v>103</v>
      </c>
      <c r="AK77" s="1" t="s">
        <v>238</v>
      </c>
      <c r="AL77" s="1" t="s">
        <v>5409</v>
      </c>
      <c r="AM77" s="1" t="s">
        <v>3019</v>
      </c>
      <c r="AP77" s="1" t="s">
        <v>54</v>
      </c>
      <c r="AQ77" s="1" t="s">
        <v>1386</v>
      </c>
      <c r="AR77" s="1" t="s">
        <v>8588</v>
      </c>
      <c r="AS77" s="1" t="s">
        <v>8589</v>
      </c>
      <c r="AT77" s="267" t="s">
        <v>8851</v>
      </c>
    </row>
    <row r="78" spans="20:46" x14ac:dyDescent="0.2">
      <c r="T78" s="29" t="s">
        <v>265</v>
      </c>
      <c r="U78" s="69" t="s">
        <v>102</v>
      </c>
      <c r="V78" s="72" t="str">
        <f t="shared" si="1"/>
        <v>AK_DILLINGHAM CENSUS AREA</v>
      </c>
      <c r="AH78" s="29" t="s">
        <v>2647</v>
      </c>
      <c r="AJ78" s="1" t="s">
        <v>103</v>
      </c>
      <c r="AK78" s="1" t="s">
        <v>239</v>
      </c>
      <c r="AL78" s="1" t="s">
        <v>5410</v>
      </c>
      <c r="AM78" s="1" t="s">
        <v>3022</v>
      </c>
      <c r="AP78" s="1" t="s">
        <v>54</v>
      </c>
      <c r="AQ78" s="1" t="s">
        <v>1387</v>
      </c>
      <c r="AR78" s="1" t="s">
        <v>8590</v>
      </c>
      <c r="AS78" s="1" t="s">
        <v>8591</v>
      </c>
      <c r="AT78" s="267" t="s">
        <v>8852</v>
      </c>
    </row>
    <row r="79" spans="20:46" x14ac:dyDescent="0.2">
      <c r="T79" s="28" t="s">
        <v>266</v>
      </c>
      <c r="U79" s="68" t="s">
        <v>102</v>
      </c>
      <c r="V79" s="72" t="str">
        <f t="shared" si="1"/>
        <v>AK_FAIRBANKS NORTH STAR BOROUGH</v>
      </c>
      <c r="AH79" s="28" t="s">
        <v>2706</v>
      </c>
      <c r="AJ79" s="1" t="s">
        <v>103</v>
      </c>
      <c r="AK79" s="1" t="s">
        <v>240</v>
      </c>
      <c r="AL79" s="1" t="s">
        <v>5411</v>
      </c>
      <c r="AM79" s="1" t="s">
        <v>3023</v>
      </c>
      <c r="AP79" s="1" t="s">
        <v>54</v>
      </c>
      <c r="AQ79" s="1" t="s">
        <v>1388</v>
      </c>
      <c r="AR79" s="1" t="s">
        <v>8592</v>
      </c>
      <c r="AS79" s="1" t="s">
        <v>8593</v>
      </c>
      <c r="AT79" s="267" t="s">
        <v>8853</v>
      </c>
    </row>
    <row r="80" spans="20:46" x14ac:dyDescent="0.2">
      <c r="T80" s="29" t="s">
        <v>267</v>
      </c>
      <c r="U80" s="69" t="s">
        <v>102</v>
      </c>
      <c r="V80" s="72" t="str">
        <f t="shared" si="1"/>
        <v>AK_HAINES BOROUGH</v>
      </c>
      <c r="AH80" s="29" t="s">
        <v>2648</v>
      </c>
      <c r="AJ80" s="1" t="s">
        <v>103</v>
      </c>
      <c r="AK80" s="1" t="s">
        <v>241</v>
      </c>
      <c r="AL80" s="1" t="s">
        <v>5412</v>
      </c>
      <c r="AM80" s="1" t="s">
        <v>3024</v>
      </c>
      <c r="AP80" s="1" t="s">
        <v>54</v>
      </c>
      <c r="AQ80" s="1" t="s">
        <v>622</v>
      </c>
      <c r="AR80" s="1" t="s">
        <v>8594</v>
      </c>
      <c r="AS80" s="1" t="s">
        <v>8595</v>
      </c>
      <c r="AT80" s="267" t="s">
        <v>8854</v>
      </c>
    </row>
    <row r="81" spans="20:46" x14ac:dyDescent="0.2">
      <c r="T81" s="28" t="s">
        <v>5339</v>
      </c>
      <c r="U81" s="68" t="s">
        <v>102</v>
      </c>
      <c r="V81" s="72" t="str">
        <f t="shared" si="1"/>
        <v>AK_HOONAH-ANGOON CENSUS AREA</v>
      </c>
      <c r="AH81" s="28" t="s">
        <v>2649</v>
      </c>
      <c r="AJ81" s="1" t="s">
        <v>103</v>
      </c>
      <c r="AK81" s="1" t="s">
        <v>242</v>
      </c>
      <c r="AL81" s="1" t="s">
        <v>5413</v>
      </c>
      <c r="AM81" s="1" t="s">
        <v>9084</v>
      </c>
      <c r="AP81" s="1" t="s">
        <v>54</v>
      </c>
      <c r="AQ81" s="1" t="s">
        <v>258</v>
      </c>
      <c r="AR81" s="1" t="s">
        <v>8596</v>
      </c>
      <c r="AS81" s="1" t="s">
        <v>8597</v>
      </c>
      <c r="AT81" s="267" t="s">
        <v>8855</v>
      </c>
    </row>
    <row r="82" spans="20:46" x14ac:dyDescent="0.2">
      <c r="T82" s="29" t="s">
        <v>5341</v>
      </c>
      <c r="U82" s="69" t="s">
        <v>102</v>
      </c>
      <c r="V82" s="72" t="str">
        <f t="shared" si="1"/>
        <v>AK_JUNEAU CITY AND BOROUGH</v>
      </c>
      <c r="AH82" s="29" t="s">
        <v>2650</v>
      </c>
      <c r="AJ82" s="1" t="s">
        <v>103</v>
      </c>
      <c r="AK82" s="1" t="s">
        <v>243</v>
      </c>
      <c r="AL82" s="1" t="s">
        <v>5414</v>
      </c>
      <c r="AM82" s="1" t="s">
        <v>3025</v>
      </c>
      <c r="AP82" s="1" t="s">
        <v>54</v>
      </c>
      <c r="AQ82" s="1" t="s">
        <v>623</v>
      </c>
      <c r="AR82" s="1" t="s">
        <v>8598</v>
      </c>
      <c r="AS82" s="1" t="s">
        <v>8599</v>
      </c>
      <c r="AT82" s="267" t="s">
        <v>8856</v>
      </c>
    </row>
    <row r="83" spans="20:46" x14ac:dyDescent="0.2">
      <c r="T83" s="28" t="s">
        <v>268</v>
      </c>
      <c r="U83" s="68" t="s">
        <v>102</v>
      </c>
      <c r="V83" s="72" t="str">
        <f t="shared" si="1"/>
        <v>AK_KENAI PENINSULA BOROUGH</v>
      </c>
      <c r="AH83" s="28" t="s">
        <v>2652</v>
      </c>
      <c r="AJ83" s="1" t="s">
        <v>103</v>
      </c>
      <c r="AK83" s="1" t="s">
        <v>244</v>
      </c>
      <c r="AL83" s="1" t="s">
        <v>5415</v>
      </c>
      <c r="AM83" s="1" t="s">
        <v>3026</v>
      </c>
      <c r="AP83" s="1" t="s">
        <v>54</v>
      </c>
      <c r="AQ83" s="1" t="s">
        <v>1389</v>
      </c>
      <c r="AR83" s="1" t="s">
        <v>8600</v>
      </c>
      <c r="AS83" s="1" t="s">
        <v>8601</v>
      </c>
      <c r="AT83" s="267" t="s">
        <v>8857</v>
      </c>
    </row>
    <row r="84" spans="20:46" x14ac:dyDescent="0.2">
      <c r="T84" s="28" t="s">
        <v>269</v>
      </c>
      <c r="U84" s="68" t="s">
        <v>102</v>
      </c>
      <c r="V84" s="72" t="str">
        <f t="shared" si="1"/>
        <v>AK_KETCHIKAN GATEWAY BOROUGH</v>
      </c>
      <c r="AH84" s="29" t="s">
        <v>2651</v>
      </c>
      <c r="AJ84" s="1" t="s">
        <v>103</v>
      </c>
      <c r="AK84" s="1" t="s">
        <v>245</v>
      </c>
      <c r="AL84" s="1" t="s">
        <v>5416</v>
      </c>
      <c r="AM84" s="1" t="s">
        <v>3009</v>
      </c>
      <c r="AP84" s="1" t="s">
        <v>54</v>
      </c>
      <c r="AQ84" s="1" t="s">
        <v>1390</v>
      </c>
      <c r="AR84" s="1" t="s">
        <v>8602</v>
      </c>
      <c r="AS84" s="1" t="s">
        <v>8603</v>
      </c>
      <c r="AT84" s="267" t="s">
        <v>8858</v>
      </c>
    </row>
    <row r="85" spans="20:46" x14ac:dyDescent="0.2">
      <c r="T85" s="28" t="s">
        <v>270</v>
      </c>
      <c r="U85" s="68" t="s">
        <v>102</v>
      </c>
      <c r="V85" s="72" t="str">
        <f t="shared" si="1"/>
        <v>AK_KODIAK ISLAND BOROUGH</v>
      </c>
      <c r="AH85" s="28" t="s">
        <v>2653</v>
      </c>
      <c r="AJ85" s="1" t="s">
        <v>103</v>
      </c>
      <c r="AK85" s="1" t="s">
        <v>246</v>
      </c>
      <c r="AL85" s="1" t="s">
        <v>5417</v>
      </c>
      <c r="AM85" s="1" t="s">
        <v>3027</v>
      </c>
      <c r="AP85" s="1" t="s">
        <v>54</v>
      </c>
      <c r="AQ85" s="1" t="s">
        <v>1391</v>
      </c>
      <c r="AR85" s="1" t="s">
        <v>8604</v>
      </c>
      <c r="AS85" s="1" t="s">
        <v>8605</v>
      </c>
      <c r="AT85" s="267" t="s">
        <v>8859</v>
      </c>
    </row>
    <row r="86" spans="20:46" x14ac:dyDescent="0.2">
      <c r="T86" s="28" t="s">
        <v>2974</v>
      </c>
      <c r="U86" s="68" t="s">
        <v>102</v>
      </c>
      <c r="V86" s="72" t="str">
        <f t="shared" si="1"/>
        <v>AK_KUSILVAK CENSUS AREA</v>
      </c>
      <c r="AH86" s="29" t="s">
        <v>2714</v>
      </c>
      <c r="AJ86" s="1" t="s">
        <v>103</v>
      </c>
      <c r="AK86" s="1" t="s">
        <v>247</v>
      </c>
      <c r="AL86" s="1" t="s">
        <v>5418</v>
      </c>
      <c r="AM86" s="1" t="s">
        <v>3028</v>
      </c>
      <c r="AP86" s="1" t="s">
        <v>68</v>
      </c>
      <c r="AQ86" s="1" t="s">
        <v>2058</v>
      </c>
      <c r="AR86" s="1" t="s">
        <v>8606</v>
      </c>
      <c r="AS86" s="1" t="s">
        <v>8607</v>
      </c>
      <c r="AT86" s="267" t="s">
        <v>8860</v>
      </c>
    </row>
    <row r="87" spans="20:46" x14ac:dyDescent="0.2">
      <c r="T87" s="28" t="s">
        <v>271</v>
      </c>
      <c r="U87" s="68" t="s">
        <v>102</v>
      </c>
      <c r="V87" s="72" t="str">
        <f t="shared" si="1"/>
        <v>AK_LAKE AND PENINSULA BOROUGH</v>
      </c>
      <c r="AH87" s="28" t="s">
        <v>2654</v>
      </c>
      <c r="AJ87" s="1" t="s">
        <v>103</v>
      </c>
      <c r="AK87" s="1" t="s">
        <v>248</v>
      </c>
      <c r="AL87" s="1" t="s">
        <v>5419</v>
      </c>
      <c r="AM87" s="1" t="s">
        <v>3029</v>
      </c>
      <c r="AP87" s="1" t="s">
        <v>68</v>
      </c>
      <c r="AQ87" s="1" t="s">
        <v>2059</v>
      </c>
      <c r="AR87" s="1" t="s">
        <v>8608</v>
      </c>
      <c r="AS87" s="1" t="s">
        <v>8609</v>
      </c>
      <c r="AT87" s="267" t="s">
        <v>8861</v>
      </c>
    </row>
    <row r="88" spans="20:46" x14ac:dyDescent="0.2">
      <c r="T88" s="28" t="s">
        <v>272</v>
      </c>
      <c r="U88" s="68" t="s">
        <v>102</v>
      </c>
      <c r="V88" s="72" t="str">
        <f t="shared" si="1"/>
        <v>AK_MATANUSKA-SUSITNA BOROUGH</v>
      </c>
      <c r="AH88" s="29" t="s">
        <v>2701</v>
      </c>
      <c r="AJ88" s="1" t="s">
        <v>103</v>
      </c>
      <c r="AK88" s="1" t="s">
        <v>249</v>
      </c>
      <c r="AL88" s="1" t="s">
        <v>5420</v>
      </c>
      <c r="AM88" s="1" t="s">
        <v>3030</v>
      </c>
      <c r="AP88" s="1" t="s">
        <v>68</v>
      </c>
      <c r="AQ88" s="1" t="s">
        <v>2060</v>
      </c>
      <c r="AR88" s="1" t="s">
        <v>8610</v>
      </c>
      <c r="AS88" s="1" t="s">
        <v>8611</v>
      </c>
      <c r="AT88" s="267" t="s">
        <v>8862</v>
      </c>
    </row>
    <row r="89" spans="20:46" x14ac:dyDescent="0.2">
      <c r="T89" s="29" t="s">
        <v>273</v>
      </c>
      <c r="U89" s="69" t="s">
        <v>102</v>
      </c>
      <c r="V89" s="72" t="str">
        <f t="shared" si="1"/>
        <v>AK_NOME CENSUS AREA</v>
      </c>
      <c r="AH89" s="28" t="s">
        <v>2640</v>
      </c>
      <c r="AJ89" s="1" t="s">
        <v>103</v>
      </c>
      <c r="AK89" s="1" t="s">
        <v>250</v>
      </c>
      <c r="AL89" s="1" t="s">
        <v>5421</v>
      </c>
      <c r="AM89" s="1" t="s">
        <v>3000</v>
      </c>
      <c r="AP89" s="1" t="s">
        <v>68</v>
      </c>
      <c r="AQ89" s="1" t="s">
        <v>2061</v>
      </c>
      <c r="AR89" s="1" t="s">
        <v>8612</v>
      </c>
      <c r="AS89" s="1" t="s">
        <v>8613</v>
      </c>
      <c r="AT89" s="267" t="s">
        <v>8863</v>
      </c>
    </row>
    <row r="90" spans="20:46" x14ac:dyDescent="0.2">
      <c r="T90" s="28" t="s">
        <v>274</v>
      </c>
      <c r="U90" s="68" t="s">
        <v>102</v>
      </c>
      <c r="V90" s="72" t="str">
        <f t="shared" si="1"/>
        <v>AK_NORTH SLOPE BOROUGH</v>
      </c>
      <c r="AH90" s="29" t="s">
        <v>2667</v>
      </c>
      <c r="AJ90" s="1" t="s">
        <v>103</v>
      </c>
      <c r="AK90" s="1" t="s">
        <v>252</v>
      </c>
      <c r="AL90" s="1" t="s">
        <v>5422</v>
      </c>
      <c r="AM90" s="1" t="s">
        <v>2989</v>
      </c>
      <c r="AP90" s="1" t="s">
        <v>68</v>
      </c>
      <c r="AQ90" s="1" t="s">
        <v>2062</v>
      </c>
      <c r="AR90" s="1" t="s">
        <v>8614</v>
      </c>
      <c r="AS90" s="1" t="s">
        <v>8615</v>
      </c>
      <c r="AT90" s="267" t="s">
        <v>8864</v>
      </c>
    </row>
    <row r="91" spans="20:46" x14ac:dyDescent="0.2">
      <c r="T91" s="29" t="s">
        <v>275</v>
      </c>
      <c r="U91" s="69" t="s">
        <v>102</v>
      </c>
      <c r="V91" s="72" t="str">
        <f t="shared" si="1"/>
        <v>AK_NORTHWEST ARCTIC BOROUGH</v>
      </c>
      <c r="AH91" s="28" t="s">
        <v>2665</v>
      </c>
      <c r="AJ91" s="1" t="s">
        <v>103</v>
      </c>
      <c r="AK91" s="1" t="s">
        <v>251</v>
      </c>
      <c r="AL91" s="1" t="s">
        <v>5423</v>
      </c>
      <c r="AM91" s="1" t="s">
        <v>2989</v>
      </c>
      <c r="AP91" s="1" t="s">
        <v>68</v>
      </c>
      <c r="AQ91" s="1" t="s">
        <v>2063</v>
      </c>
      <c r="AR91" s="1" t="s">
        <v>8616</v>
      </c>
      <c r="AS91" s="1" t="s">
        <v>8617</v>
      </c>
      <c r="AT91" s="267" t="s">
        <v>8865</v>
      </c>
    </row>
    <row r="92" spans="20:46" x14ac:dyDescent="0.2">
      <c r="T92" s="28" t="s">
        <v>2980</v>
      </c>
      <c r="U92" s="68" t="s">
        <v>102</v>
      </c>
      <c r="V92" s="72" t="str">
        <f t="shared" si="1"/>
        <v>AK_PETERSBURG BOROUGH</v>
      </c>
      <c r="AH92" s="29" t="s">
        <v>2656</v>
      </c>
      <c r="AJ92" s="1" t="s">
        <v>103</v>
      </c>
      <c r="AK92" s="1" t="s">
        <v>253</v>
      </c>
      <c r="AL92" s="1" t="s">
        <v>5424</v>
      </c>
      <c r="AM92" s="1" t="s">
        <v>3031</v>
      </c>
      <c r="AP92" s="1" t="s">
        <v>68</v>
      </c>
      <c r="AQ92" s="1" t="s">
        <v>2064</v>
      </c>
      <c r="AR92" s="1" t="s">
        <v>8618</v>
      </c>
      <c r="AS92" s="1" t="s">
        <v>8619</v>
      </c>
      <c r="AT92" s="267" t="s">
        <v>8866</v>
      </c>
    </row>
    <row r="93" spans="20:46" x14ac:dyDescent="0.2">
      <c r="T93" s="29" t="s">
        <v>5353</v>
      </c>
      <c r="U93" s="69" t="s">
        <v>102</v>
      </c>
      <c r="V93" s="72" t="str">
        <f t="shared" si="1"/>
        <v>AK_PRINCE OF WALES-HYDER CENSUS AREA</v>
      </c>
      <c r="AH93" s="28" t="s">
        <v>2657</v>
      </c>
      <c r="AJ93" s="1" t="s">
        <v>103</v>
      </c>
      <c r="AK93" s="1" t="s">
        <v>254</v>
      </c>
      <c r="AL93" s="1" t="s">
        <v>5425</v>
      </c>
      <c r="AM93" s="1" t="s">
        <v>3032</v>
      </c>
      <c r="AP93" s="1" t="s">
        <v>68</v>
      </c>
      <c r="AQ93" s="1" t="s">
        <v>2065</v>
      </c>
      <c r="AR93" s="1" t="s">
        <v>8620</v>
      </c>
      <c r="AS93" s="1" t="s">
        <v>8621</v>
      </c>
      <c r="AT93" s="267" t="s">
        <v>8867</v>
      </c>
    </row>
    <row r="94" spans="20:46" x14ac:dyDescent="0.2">
      <c r="T94" s="28" t="s">
        <v>5355</v>
      </c>
      <c r="U94" s="68" t="s">
        <v>102</v>
      </c>
      <c r="V94" s="72" t="str">
        <f t="shared" si="1"/>
        <v>AK_SITKA CITY AND BOROUGH</v>
      </c>
      <c r="AH94" s="29" t="s">
        <v>2658</v>
      </c>
      <c r="AJ94" s="1" t="s">
        <v>103</v>
      </c>
      <c r="AK94" s="1" t="s">
        <v>255</v>
      </c>
      <c r="AL94" s="1" t="s">
        <v>5426</v>
      </c>
      <c r="AM94" s="1" t="s">
        <v>3033</v>
      </c>
      <c r="AP94" s="1" t="s">
        <v>68</v>
      </c>
      <c r="AQ94" s="1" t="s">
        <v>2066</v>
      </c>
      <c r="AR94" s="1" t="s">
        <v>8622</v>
      </c>
      <c r="AS94" s="1" t="s">
        <v>8623</v>
      </c>
      <c r="AT94" s="267" t="s">
        <v>8868</v>
      </c>
    </row>
    <row r="95" spans="20:46" x14ac:dyDescent="0.2">
      <c r="T95" s="29" t="s">
        <v>5357</v>
      </c>
      <c r="U95" s="69" t="s">
        <v>102</v>
      </c>
      <c r="V95" s="72" t="str">
        <f t="shared" si="1"/>
        <v>AK_SKAGWAY MUNICIPALITY</v>
      </c>
      <c r="AH95" s="28" t="s">
        <v>2659</v>
      </c>
      <c r="AJ95" s="1" t="s">
        <v>103</v>
      </c>
      <c r="AK95" s="1" t="s">
        <v>256</v>
      </c>
      <c r="AL95" s="1" t="s">
        <v>5427</v>
      </c>
      <c r="AM95" s="1" t="s">
        <v>3034</v>
      </c>
      <c r="AP95" s="1" t="s">
        <v>68</v>
      </c>
      <c r="AQ95" s="1" t="s">
        <v>2067</v>
      </c>
      <c r="AR95" s="1" t="s">
        <v>8624</v>
      </c>
      <c r="AS95" s="1" t="s">
        <v>8625</v>
      </c>
      <c r="AT95" s="267" t="s">
        <v>8869</v>
      </c>
    </row>
    <row r="96" spans="20:46" x14ac:dyDescent="0.2">
      <c r="T96" s="28" t="s">
        <v>276</v>
      </c>
      <c r="U96" s="68" t="s">
        <v>102</v>
      </c>
      <c r="V96" s="72" t="str">
        <f t="shared" si="1"/>
        <v>AK_SOUTHEAST FAIRBANKS CENSUS AREA</v>
      </c>
      <c r="AH96" s="29" t="s">
        <v>2661</v>
      </c>
      <c r="AJ96" s="1" t="s">
        <v>103</v>
      </c>
      <c r="AK96" s="1" t="s">
        <v>257</v>
      </c>
      <c r="AL96" s="1" t="s">
        <v>5428</v>
      </c>
      <c r="AM96" s="1" t="s">
        <v>9085</v>
      </c>
      <c r="AP96" s="1" t="s">
        <v>68</v>
      </c>
      <c r="AQ96" s="1" t="s">
        <v>2068</v>
      </c>
      <c r="AR96" s="1" t="s">
        <v>8626</v>
      </c>
      <c r="AS96" s="1" t="s">
        <v>8627</v>
      </c>
      <c r="AT96" s="267" t="s">
        <v>8870</v>
      </c>
    </row>
    <row r="97" spans="20:46" x14ac:dyDescent="0.2">
      <c r="T97" s="29" t="s">
        <v>5360</v>
      </c>
      <c r="U97" s="69" t="s">
        <v>102</v>
      </c>
      <c r="V97" s="72" t="str">
        <f t="shared" si="1"/>
        <v>AK_WRANGELL CITY AND BOROUGH</v>
      </c>
      <c r="AH97" s="28" t="s">
        <v>2662</v>
      </c>
      <c r="AJ97" s="1" t="s">
        <v>103</v>
      </c>
      <c r="AK97" s="1" t="s">
        <v>258</v>
      </c>
      <c r="AL97" s="1" t="s">
        <v>5429</v>
      </c>
      <c r="AM97" s="1" t="s">
        <v>9086</v>
      </c>
      <c r="AP97" s="1" t="s">
        <v>68</v>
      </c>
      <c r="AQ97" s="1" t="s">
        <v>2069</v>
      </c>
      <c r="AR97" s="1" t="s">
        <v>8628</v>
      </c>
      <c r="AS97" s="1" t="s">
        <v>8629</v>
      </c>
      <c r="AT97" s="267" t="s">
        <v>8871</v>
      </c>
    </row>
    <row r="98" spans="20:46" x14ac:dyDescent="0.2">
      <c r="T98" s="28" t="s">
        <v>5362</v>
      </c>
      <c r="U98" s="68" t="s">
        <v>102</v>
      </c>
      <c r="V98" s="72" t="str">
        <f t="shared" si="1"/>
        <v>AK_YAKUTAT CITY AND BOROUGH</v>
      </c>
      <c r="AH98" s="29" t="s">
        <v>2660</v>
      </c>
      <c r="AJ98" s="1" t="s">
        <v>103</v>
      </c>
      <c r="AK98" s="1" t="s">
        <v>259</v>
      </c>
      <c r="AL98" s="1" t="s">
        <v>5430</v>
      </c>
      <c r="AM98" s="1" t="s">
        <v>3035</v>
      </c>
      <c r="AP98" s="1" t="s">
        <v>68</v>
      </c>
      <c r="AQ98" s="1" t="s">
        <v>2070</v>
      </c>
      <c r="AR98" s="1" t="s">
        <v>8630</v>
      </c>
      <c r="AS98" s="1" t="s">
        <v>8631</v>
      </c>
      <c r="AT98" s="267" t="s">
        <v>8872</v>
      </c>
    </row>
    <row r="99" spans="20:46" x14ac:dyDescent="0.2">
      <c r="T99" s="29" t="s">
        <v>277</v>
      </c>
      <c r="U99" s="69" t="s">
        <v>102</v>
      </c>
      <c r="V99" s="72" t="str">
        <f t="shared" si="1"/>
        <v>AK_YUKON-KOYUKUK CENSUS AREA</v>
      </c>
      <c r="AH99" s="28" t="s">
        <v>2655</v>
      </c>
      <c r="AJ99" s="1" t="s">
        <v>103</v>
      </c>
      <c r="AK99" s="1" t="s">
        <v>260</v>
      </c>
      <c r="AL99" s="1" t="s">
        <v>5431</v>
      </c>
      <c r="AM99" s="1" t="s">
        <v>3036</v>
      </c>
      <c r="AP99" s="1" t="s">
        <v>68</v>
      </c>
      <c r="AQ99" s="1" t="s">
        <v>2071</v>
      </c>
      <c r="AR99" s="1" t="s">
        <v>8632</v>
      </c>
      <c r="AS99" s="1" t="s">
        <v>8633</v>
      </c>
      <c r="AT99" s="267" t="s">
        <v>8873</v>
      </c>
    </row>
    <row r="100" spans="20:46" x14ac:dyDescent="0.2">
      <c r="T100" s="28" t="s">
        <v>278</v>
      </c>
      <c r="U100" s="68" t="s">
        <v>101</v>
      </c>
      <c r="V100" s="72" t="str">
        <f t="shared" si="1"/>
        <v>AZ_APACHE</v>
      </c>
      <c r="AH100" s="29" t="s">
        <v>2663</v>
      </c>
      <c r="AJ100" s="1" t="s">
        <v>100</v>
      </c>
      <c r="AK100" s="1" t="s">
        <v>293</v>
      </c>
      <c r="AL100" s="1" t="s">
        <v>5432</v>
      </c>
      <c r="AM100" s="1" t="s">
        <v>3037</v>
      </c>
      <c r="AP100" s="1" t="s">
        <v>68</v>
      </c>
      <c r="AQ100" s="1" t="s">
        <v>2072</v>
      </c>
      <c r="AR100" s="1" t="s">
        <v>8634</v>
      </c>
      <c r="AS100" s="1" t="s">
        <v>8635</v>
      </c>
      <c r="AT100" s="267" t="s">
        <v>8874</v>
      </c>
    </row>
    <row r="101" spans="20:46" x14ac:dyDescent="0.2">
      <c r="T101" s="29" t="s">
        <v>279</v>
      </c>
      <c r="U101" s="69" t="s">
        <v>101</v>
      </c>
      <c r="V101" s="72" t="str">
        <f t="shared" si="1"/>
        <v>AZ_COCHISE</v>
      </c>
      <c r="AH101" s="28" t="s">
        <v>2664</v>
      </c>
      <c r="AJ101" s="1" t="s">
        <v>100</v>
      </c>
      <c r="AK101" s="1" t="s">
        <v>294</v>
      </c>
      <c r="AL101" s="1" t="s">
        <v>5433</v>
      </c>
      <c r="AM101" s="1" t="s">
        <v>3038</v>
      </c>
      <c r="AP101" s="1" t="s">
        <v>68</v>
      </c>
      <c r="AQ101" s="1" t="s">
        <v>2073</v>
      </c>
      <c r="AR101" s="1" t="s">
        <v>8636</v>
      </c>
      <c r="AS101" s="1" t="s">
        <v>8637</v>
      </c>
      <c r="AT101" s="267" t="s">
        <v>8875</v>
      </c>
    </row>
    <row r="102" spans="20:46" x14ac:dyDescent="0.2">
      <c r="T102" s="28" t="s">
        <v>280</v>
      </c>
      <c r="U102" s="68" t="s">
        <v>101</v>
      </c>
      <c r="V102" s="72" t="str">
        <f t="shared" si="1"/>
        <v>AZ_COCONINO</v>
      </c>
      <c r="AH102" s="29" t="s">
        <v>2668</v>
      </c>
      <c r="AJ102" s="1" t="s">
        <v>100</v>
      </c>
      <c r="AK102" s="1" t="s">
        <v>295</v>
      </c>
      <c r="AL102" s="1" t="s">
        <v>5434</v>
      </c>
      <c r="AM102" s="1" t="s">
        <v>3039</v>
      </c>
      <c r="AP102" s="1" t="s">
        <v>68</v>
      </c>
      <c r="AQ102" s="1" t="s">
        <v>2074</v>
      </c>
      <c r="AR102" s="1" t="s">
        <v>8638</v>
      </c>
      <c r="AS102" s="1" t="s">
        <v>8639</v>
      </c>
      <c r="AT102" s="267" t="s">
        <v>8876</v>
      </c>
    </row>
    <row r="103" spans="20:46" x14ac:dyDescent="0.2">
      <c r="T103" s="29" t="s">
        <v>281</v>
      </c>
      <c r="U103" s="69" t="s">
        <v>101</v>
      </c>
      <c r="V103" s="72" t="str">
        <f t="shared" si="1"/>
        <v>AZ_GILA</v>
      </c>
      <c r="AH103" s="28" t="s">
        <v>2669</v>
      </c>
      <c r="AJ103" s="1" t="s">
        <v>100</v>
      </c>
      <c r="AK103" s="1" t="s">
        <v>296</v>
      </c>
      <c r="AL103" s="1" t="s">
        <v>5435</v>
      </c>
      <c r="AM103" s="1" t="s">
        <v>3054</v>
      </c>
      <c r="AP103" s="1" t="s">
        <v>68</v>
      </c>
      <c r="AQ103" s="1" t="s">
        <v>2075</v>
      </c>
      <c r="AR103" s="1" t="s">
        <v>8640</v>
      </c>
      <c r="AS103" s="1" t="s">
        <v>8641</v>
      </c>
      <c r="AT103" s="267" t="s">
        <v>8877</v>
      </c>
    </row>
    <row r="104" spans="20:46" x14ac:dyDescent="0.2">
      <c r="T104" s="28" t="s">
        <v>282</v>
      </c>
      <c r="U104" s="68" t="s">
        <v>101</v>
      </c>
      <c r="V104" s="72" t="str">
        <f t="shared" si="1"/>
        <v>AZ_GRAHAM</v>
      </c>
      <c r="AH104" s="29" t="s">
        <v>2670</v>
      </c>
      <c r="AJ104" s="1" t="s">
        <v>100</v>
      </c>
      <c r="AK104" s="1" t="s">
        <v>297</v>
      </c>
      <c r="AL104" s="1" t="s">
        <v>5436</v>
      </c>
      <c r="AM104" s="1" t="s">
        <v>3040</v>
      </c>
      <c r="AP104" s="1" t="s">
        <v>68</v>
      </c>
      <c r="AQ104" s="1" t="s">
        <v>2076</v>
      </c>
      <c r="AR104" s="1" t="s">
        <v>8642</v>
      </c>
      <c r="AS104" s="1" t="s">
        <v>8643</v>
      </c>
      <c r="AT104" s="267" t="s">
        <v>8878</v>
      </c>
    </row>
    <row r="105" spans="20:46" x14ac:dyDescent="0.2">
      <c r="T105" s="29" t="s">
        <v>283</v>
      </c>
      <c r="U105" s="69" t="s">
        <v>101</v>
      </c>
      <c r="V105" s="72" t="str">
        <f t="shared" si="1"/>
        <v>AZ_GREENLEE</v>
      </c>
      <c r="AH105" s="28" t="s">
        <v>2666</v>
      </c>
      <c r="AJ105" s="1" t="s">
        <v>100</v>
      </c>
      <c r="AK105" s="1" t="s">
        <v>298</v>
      </c>
      <c r="AL105" s="1" t="s">
        <v>5437</v>
      </c>
      <c r="AM105" s="1" t="s">
        <v>3041</v>
      </c>
      <c r="AP105" s="1" t="s">
        <v>68</v>
      </c>
      <c r="AQ105" s="1" t="s">
        <v>2077</v>
      </c>
      <c r="AR105" s="1" t="s">
        <v>8644</v>
      </c>
      <c r="AS105" s="1" t="s">
        <v>8645</v>
      </c>
      <c r="AT105" s="267" t="s">
        <v>8879</v>
      </c>
    </row>
    <row r="106" spans="20:46" x14ac:dyDescent="0.2">
      <c r="T106" s="28" t="s">
        <v>284</v>
      </c>
      <c r="U106" s="68" t="s">
        <v>101</v>
      </c>
      <c r="V106" s="72" t="str">
        <f t="shared" si="1"/>
        <v>AZ_LA PAZ</v>
      </c>
      <c r="AH106" s="29" t="s">
        <v>2671</v>
      </c>
      <c r="AJ106" s="1" t="s">
        <v>100</v>
      </c>
      <c r="AK106" s="1" t="s">
        <v>201</v>
      </c>
      <c r="AL106" s="1" t="s">
        <v>5438</v>
      </c>
      <c r="AM106" s="1" t="s">
        <v>3042</v>
      </c>
      <c r="AP106" s="1" t="s">
        <v>68</v>
      </c>
      <c r="AQ106" s="1" t="s">
        <v>2078</v>
      </c>
      <c r="AR106" s="1" t="s">
        <v>8646</v>
      </c>
      <c r="AS106" s="1" t="s">
        <v>8647</v>
      </c>
      <c r="AT106" s="267" t="s">
        <v>8880</v>
      </c>
    </row>
    <row r="107" spans="20:46" x14ac:dyDescent="0.2">
      <c r="T107" s="29" t="s">
        <v>285</v>
      </c>
      <c r="U107" s="69" t="s">
        <v>101</v>
      </c>
      <c r="V107" s="72" t="str">
        <f t="shared" si="1"/>
        <v>AZ_MARICOPA</v>
      </c>
      <c r="AH107" s="28" t="s">
        <v>2672</v>
      </c>
      <c r="AJ107" s="1" t="s">
        <v>100</v>
      </c>
      <c r="AK107" s="1" t="s">
        <v>299</v>
      </c>
      <c r="AL107" s="1" t="s">
        <v>5439</v>
      </c>
      <c r="AM107" s="1" t="s">
        <v>3043</v>
      </c>
      <c r="AP107" s="1" t="s">
        <v>68</v>
      </c>
      <c r="AQ107" s="1" t="s">
        <v>2079</v>
      </c>
      <c r="AR107" s="1" t="s">
        <v>8648</v>
      </c>
      <c r="AS107" s="1" t="s">
        <v>8649</v>
      </c>
      <c r="AT107" s="267" t="s">
        <v>8881</v>
      </c>
    </row>
    <row r="108" spans="20:46" x14ac:dyDescent="0.2">
      <c r="T108" s="28" t="s">
        <v>286</v>
      </c>
      <c r="U108" s="68" t="s">
        <v>101</v>
      </c>
      <c r="V108" s="72" t="str">
        <f t="shared" si="1"/>
        <v>AZ_MOHAVE</v>
      </c>
      <c r="AH108" s="29" t="s">
        <v>2699</v>
      </c>
      <c r="AJ108" s="1" t="s">
        <v>100</v>
      </c>
      <c r="AK108" s="1" t="s">
        <v>300</v>
      </c>
      <c r="AL108" s="1" t="s">
        <v>5440</v>
      </c>
      <c r="AM108" s="1" t="s">
        <v>3044</v>
      </c>
      <c r="AP108" s="1" t="s">
        <v>68</v>
      </c>
      <c r="AQ108" s="1" t="s">
        <v>2080</v>
      </c>
      <c r="AR108" s="1" t="s">
        <v>8650</v>
      </c>
      <c r="AS108" s="1" t="s">
        <v>8651</v>
      </c>
      <c r="AT108" s="267" t="s">
        <v>8882</v>
      </c>
    </row>
    <row r="109" spans="20:46" x14ac:dyDescent="0.2">
      <c r="T109" s="29" t="s">
        <v>287</v>
      </c>
      <c r="U109" s="69" t="s">
        <v>101</v>
      </c>
      <c r="V109" s="72" t="str">
        <f t="shared" si="1"/>
        <v>AZ_NAVAJO</v>
      </c>
      <c r="AH109" s="28" t="s">
        <v>2673</v>
      </c>
      <c r="AJ109" s="1" t="s">
        <v>100</v>
      </c>
      <c r="AK109" s="1" t="s">
        <v>301</v>
      </c>
      <c r="AL109" s="1" t="s">
        <v>5441</v>
      </c>
      <c r="AM109" s="1" t="s">
        <v>3045</v>
      </c>
      <c r="AP109" s="1" t="s">
        <v>68</v>
      </c>
      <c r="AQ109" s="1" t="s">
        <v>2081</v>
      </c>
      <c r="AR109" s="1" t="s">
        <v>8652</v>
      </c>
      <c r="AS109" s="1" t="s">
        <v>8653</v>
      </c>
      <c r="AT109" s="267" t="s">
        <v>8883</v>
      </c>
    </row>
    <row r="110" spans="20:46" x14ac:dyDescent="0.2">
      <c r="T110" s="28" t="s">
        <v>288</v>
      </c>
      <c r="U110" s="68" t="s">
        <v>101</v>
      </c>
      <c r="V110" s="72" t="str">
        <f t="shared" si="1"/>
        <v>AZ_PIMA</v>
      </c>
      <c r="AH110" s="29" t="s">
        <v>2682</v>
      </c>
      <c r="AJ110" s="1" t="s">
        <v>100</v>
      </c>
      <c r="AK110" s="1" t="s">
        <v>207</v>
      </c>
      <c r="AL110" s="1" t="s">
        <v>5442</v>
      </c>
      <c r="AM110" s="1" t="s">
        <v>3046</v>
      </c>
      <c r="AP110" s="1" t="s">
        <v>68</v>
      </c>
      <c r="AQ110" s="1" t="s">
        <v>2082</v>
      </c>
      <c r="AR110" s="1" t="s">
        <v>8654</v>
      </c>
      <c r="AS110" s="1" t="s">
        <v>8655</v>
      </c>
      <c r="AT110" s="267" t="s">
        <v>8884</v>
      </c>
    </row>
    <row r="111" spans="20:46" x14ac:dyDescent="0.2">
      <c r="T111" s="29" t="s">
        <v>289</v>
      </c>
      <c r="U111" s="69" t="s">
        <v>101</v>
      </c>
      <c r="V111" s="72" t="str">
        <f t="shared" si="1"/>
        <v>AZ_PINAL</v>
      </c>
      <c r="AH111" s="28" t="s">
        <v>2680</v>
      </c>
      <c r="AJ111" s="1" t="s">
        <v>100</v>
      </c>
      <c r="AK111" s="1" t="s">
        <v>208</v>
      </c>
      <c r="AL111" s="1" t="s">
        <v>5443</v>
      </c>
      <c r="AM111" s="1" t="s">
        <v>3047</v>
      </c>
      <c r="AP111" s="1" t="s">
        <v>68</v>
      </c>
      <c r="AQ111" s="1" t="s">
        <v>2083</v>
      </c>
      <c r="AR111" s="1" t="s">
        <v>8656</v>
      </c>
      <c r="AS111" s="1" t="s">
        <v>8657</v>
      </c>
      <c r="AT111" s="267" t="s">
        <v>8885</v>
      </c>
    </row>
    <row r="112" spans="20:46" x14ac:dyDescent="0.2">
      <c r="T112" s="28" t="s">
        <v>290</v>
      </c>
      <c r="U112" s="68" t="s">
        <v>101</v>
      </c>
      <c r="V112" s="72" t="str">
        <f t="shared" si="1"/>
        <v>AZ_SANTA CRUZ</v>
      </c>
      <c r="AH112" s="29" t="s">
        <v>2674</v>
      </c>
      <c r="AJ112" s="1" t="s">
        <v>100</v>
      </c>
      <c r="AK112" s="1" t="s">
        <v>302</v>
      </c>
      <c r="AL112" s="1" t="s">
        <v>5444</v>
      </c>
      <c r="AM112" s="1" t="s">
        <v>9087</v>
      </c>
      <c r="AP112" s="1" t="s">
        <v>68</v>
      </c>
      <c r="AQ112" s="1" t="s">
        <v>2084</v>
      </c>
      <c r="AR112" s="1" t="s">
        <v>8658</v>
      </c>
      <c r="AS112" s="1" t="s">
        <v>8659</v>
      </c>
      <c r="AT112" s="267" t="s">
        <v>8886</v>
      </c>
    </row>
    <row r="113" spans="20:46" x14ac:dyDescent="0.2">
      <c r="T113" s="29" t="s">
        <v>291</v>
      </c>
      <c r="U113" s="69" t="s">
        <v>101</v>
      </c>
      <c r="V113" s="72" t="str">
        <f t="shared" si="1"/>
        <v>AZ_YAVAPAI</v>
      </c>
      <c r="AH113" s="28" t="s">
        <v>2675</v>
      </c>
      <c r="AJ113" s="1" t="s">
        <v>100</v>
      </c>
      <c r="AK113" s="1" t="s">
        <v>303</v>
      </c>
      <c r="AL113" s="1" t="s">
        <v>5445</v>
      </c>
      <c r="AM113" s="1" t="s">
        <v>3048</v>
      </c>
      <c r="AP113" s="1" t="s">
        <v>68</v>
      </c>
      <c r="AQ113" s="1" t="s">
        <v>2085</v>
      </c>
      <c r="AR113" s="1" t="s">
        <v>8660</v>
      </c>
      <c r="AS113" s="1" t="s">
        <v>8661</v>
      </c>
      <c r="AT113" s="267" t="s">
        <v>8887</v>
      </c>
    </row>
    <row r="114" spans="20:46" x14ac:dyDescent="0.2">
      <c r="T114" s="28" t="s">
        <v>292</v>
      </c>
      <c r="U114" s="68" t="s">
        <v>101</v>
      </c>
      <c r="V114" s="72" t="str">
        <f t="shared" si="1"/>
        <v>AZ_YUMA</v>
      </c>
      <c r="AH114" s="29" t="s">
        <v>2676</v>
      </c>
      <c r="AJ114" s="1" t="s">
        <v>100</v>
      </c>
      <c r="AK114" s="1" t="s">
        <v>304</v>
      </c>
      <c r="AL114" s="1" t="s">
        <v>5446</v>
      </c>
      <c r="AM114" s="1" t="s">
        <v>3049</v>
      </c>
      <c r="AP114" s="1" t="s">
        <v>68</v>
      </c>
      <c r="AQ114" s="1" t="s">
        <v>2086</v>
      </c>
      <c r="AR114" s="1" t="s">
        <v>8662</v>
      </c>
      <c r="AS114" s="1" t="s">
        <v>8663</v>
      </c>
      <c r="AT114" s="267" t="s">
        <v>8888</v>
      </c>
    </row>
    <row r="115" spans="20:46" x14ac:dyDescent="0.2">
      <c r="T115" s="29" t="s">
        <v>293</v>
      </c>
      <c r="U115" s="69" t="s">
        <v>100</v>
      </c>
      <c r="V115" s="72" t="str">
        <f t="shared" si="1"/>
        <v>AR_ARKANSAS</v>
      </c>
      <c r="AH115" s="28" t="s">
        <v>2677</v>
      </c>
      <c r="AJ115" s="1" t="s">
        <v>100</v>
      </c>
      <c r="AK115" s="1" t="s">
        <v>305</v>
      </c>
      <c r="AL115" s="1" t="s">
        <v>5447</v>
      </c>
      <c r="AM115" s="1" t="s">
        <v>3066</v>
      </c>
      <c r="AP115" s="1" t="s">
        <v>68</v>
      </c>
      <c r="AQ115" s="1" t="s">
        <v>2087</v>
      </c>
      <c r="AR115" s="1" t="s">
        <v>8664</v>
      </c>
      <c r="AS115" s="1" t="s">
        <v>8665</v>
      </c>
      <c r="AT115" s="267" t="s">
        <v>8889</v>
      </c>
    </row>
    <row r="116" spans="20:46" x14ac:dyDescent="0.2">
      <c r="T116" s="28" t="s">
        <v>294</v>
      </c>
      <c r="U116" s="68" t="s">
        <v>100</v>
      </c>
      <c r="V116" s="72" t="str">
        <f t="shared" si="1"/>
        <v>AR_ASHLEY</v>
      </c>
      <c r="AH116" s="29" t="s">
        <v>2678</v>
      </c>
      <c r="AJ116" s="1" t="s">
        <v>100</v>
      </c>
      <c r="AK116" s="1" t="s">
        <v>306</v>
      </c>
      <c r="AL116" s="1" t="s">
        <v>5448</v>
      </c>
      <c r="AM116" s="1" t="s">
        <v>9088</v>
      </c>
      <c r="AP116" s="1" t="s">
        <v>68</v>
      </c>
      <c r="AQ116" s="1" t="s">
        <v>2088</v>
      </c>
      <c r="AR116" s="1" t="s">
        <v>8666</v>
      </c>
      <c r="AS116" s="1" t="s">
        <v>8667</v>
      </c>
      <c r="AT116" s="267" t="s">
        <v>8890</v>
      </c>
    </row>
    <row r="117" spans="20:46" x14ac:dyDescent="0.2">
      <c r="T117" s="29" t="s">
        <v>295</v>
      </c>
      <c r="U117" s="69" t="s">
        <v>100</v>
      </c>
      <c r="V117" s="72" t="str">
        <f t="shared" si="1"/>
        <v>AR_BAXTER</v>
      </c>
      <c r="AH117" s="28" t="s">
        <v>2679</v>
      </c>
      <c r="AJ117" s="1" t="s">
        <v>100</v>
      </c>
      <c r="AK117" s="1" t="s">
        <v>307</v>
      </c>
      <c r="AL117" s="1" t="s">
        <v>5449</v>
      </c>
      <c r="AM117" s="1" t="s">
        <v>3074</v>
      </c>
      <c r="AP117" s="1" t="s">
        <v>68</v>
      </c>
      <c r="AQ117" s="1" t="s">
        <v>2089</v>
      </c>
      <c r="AR117" s="1" t="s">
        <v>8668</v>
      </c>
      <c r="AS117" s="1" t="s">
        <v>8669</v>
      </c>
      <c r="AT117" s="267" t="s">
        <v>8891</v>
      </c>
    </row>
    <row r="118" spans="20:46" x14ac:dyDescent="0.2">
      <c r="T118" s="28" t="s">
        <v>296</v>
      </c>
      <c r="U118" s="68" t="s">
        <v>100</v>
      </c>
      <c r="V118" s="72" t="str">
        <f t="shared" si="1"/>
        <v>AR_BENTON</v>
      </c>
      <c r="AH118" s="29" t="s">
        <v>2705</v>
      </c>
      <c r="AJ118" s="1" t="s">
        <v>100</v>
      </c>
      <c r="AK118" s="1" t="s">
        <v>308</v>
      </c>
      <c r="AL118" s="1" t="s">
        <v>5450</v>
      </c>
      <c r="AM118" s="1" t="s">
        <v>3050</v>
      </c>
      <c r="AP118" s="1" t="s">
        <v>68</v>
      </c>
      <c r="AQ118" s="1" t="s">
        <v>2090</v>
      </c>
      <c r="AR118" s="1" t="s">
        <v>8670</v>
      </c>
      <c r="AS118" s="1" t="s">
        <v>8671</v>
      </c>
      <c r="AT118" s="267" t="s">
        <v>8892</v>
      </c>
    </row>
    <row r="119" spans="20:46" x14ac:dyDescent="0.2">
      <c r="T119" s="29" t="s">
        <v>297</v>
      </c>
      <c r="U119" s="69" t="s">
        <v>100</v>
      </c>
      <c r="V119" s="72" t="str">
        <f t="shared" si="1"/>
        <v>AR_BOONE</v>
      </c>
      <c r="AH119" s="28" t="s">
        <v>2681</v>
      </c>
      <c r="AJ119" s="1" t="s">
        <v>100</v>
      </c>
      <c r="AK119" s="1" t="s">
        <v>217</v>
      </c>
      <c r="AL119" s="1" t="s">
        <v>5451</v>
      </c>
      <c r="AM119" s="1" t="s">
        <v>3051</v>
      </c>
      <c r="AP119" s="1" t="s">
        <v>68</v>
      </c>
      <c r="AQ119" s="1" t="s">
        <v>2091</v>
      </c>
      <c r="AR119" s="1" t="s">
        <v>8672</v>
      </c>
      <c r="AS119" s="1" t="s">
        <v>8673</v>
      </c>
      <c r="AT119" s="267" t="s">
        <v>8893</v>
      </c>
    </row>
    <row r="120" spans="20:46" x14ac:dyDescent="0.2">
      <c r="T120" s="28" t="s">
        <v>298</v>
      </c>
      <c r="U120" s="68" t="s">
        <v>100</v>
      </c>
      <c r="V120" s="72" t="str">
        <f t="shared" si="1"/>
        <v>AR_BRADLEY</v>
      </c>
      <c r="AH120" s="29" t="s">
        <v>2608</v>
      </c>
      <c r="AJ120" s="1" t="s">
        <v>100</v>
      </c>
      <c r="AK120" s="1" t="s">
        <v>309</v>
      </c>
      <c r="AL120" s="1" t="s">
        <v>5452</v>
      </c>
      <c r="AM120" s="1" t="s">
        <v>3052</v>
      </c>
      <c r="AP120" s="1" t="s">
        <v>68</v>
      </c>
      <c r="AQ120" s="1" t="s">
        <v>2092</v>
      </c>
      <c r="AR120" s="1" t="s">
        <v>8674</v>
      </c>
      <c r="AS120" s="1" t="s">
        <v>8675</v>
      </c>
      <c r="AT120" s="267" t="s">
        <v>8894</v>
      </c>
    </row>
    <row r="121" spans="20:46" x14ac:dyDescent="0.2">
      <c r="T121" s="29" t="s">
        <v>201</v>
      </c>
      <c r="U121" s="69" t="s">
        <v>100</v>
      </c>
      <c r="V121" s="72" t="str">
        <f t="shared" si="1"/>
        <v>AR_CALHOUN</v>
      </c>
      <c r="AH121" s="28" t="s">
        <v>2683</v>
      </c>
      <c r="AJ121" s="1" t="s">
        <v>100</v>
      </c>
      <c r="AK121" s="1" t="s">
        <v>310</v>
      </c>
      <c r="AL121" s="1" t="s">
        <v>5453</v>
      </c>
      <c r="AM121" s="1" t="s">
        <v>3053</v>
      </c>
      <c r="AP121" s="1" t="s">
        <v>68</v>
      </c>
      <c r="AQ121" s="1" t="s">
        <v>2093</v>
      </c>
      <c r="AR121" s="1" t="s">
        <v>8676</v>
      </c>
      <c r="AS121" s="1" t="s">
        <v>8677</v>
      </c>
      <c r="AT121" s="267" t="s">
        <v>8895</v>
      </c>
    </row>
    <row r="122" spans="20:46" x14ac:dyDescent="0.2">
      <c r="T122" s="28" t="s">
        <v>299</v>
      </c>
      <c r="U122" s="68" t="s">
        <v>100</v>
      </c>
      <c r="V122" s="72" t="str">
        <f t="shared" si="1"/>
        <v>AR_CARROLL</v>
      </c>
      <c r="AH122" s="29" t="s">
        <v>2684</v>
      </c>
      <c r="AJ122" s="1" t="s">
        <v>100</v>
      </c>
      <c r="AK122" s="1" t="s">
        <v>311</v>
      </c>
      <c r="AL122" s="1" t="s">
        <v>5454</v>
      </c>
      <c r="AM122" s="1" t="s">
        <v>3071</v>
      </c>
      <c r="AP122" s="1" t="s">
        <v>68</v>
      </c>
      <c r="AQ122" s="1" t="s">
        <v>2094</v>
      </c>
      <c r="AR122" s="1" t="s">
        <v>8678</v>
      </c>
      <c r="AS122" s="1" t="s">
        <v>8679</v>
      </c>
      <c r="AT122" s="267" t="s">
        <v>8896</v>
      </c>
    </row>
    <row r="123" spans="20:46" x14ac:dyDescent="0.2">
      <c r="T123" s="29" t="s">
        <v>300</v>
      </c>
      <c r="U123" s="69" t="s">
        <v>100</v>
      </c>
      <c r="V123" s="72" t="str">
        <f t="shared" si="1"/>
        <v>AR_CHICOT</v>
      </c>
      <c r="AH123" s="28" t="s">
        <v>2685</v>
      </c>
      <c r="AJ123" s="1" t="s">
        <v>100</v>
      </c>
      <c r="AK123" s="1" t="s">
        <v>223</v>
      </c>
      <c r="AL123" s="1" t="s">
        <v>5455</v>
      </c>
      <c r="AM123" s="1" t="s">
        <v>9089</v>
      </c>
      <c r="AP123" s="1" t="s">
        <v>68</v>
      </c>
      <c r="AQ123" s="1" t="s">
        <v>2095</v>
      </c>
      <c r="AR123" s="1" t="s">
        <v>8680</v>
      </c>
      <c r="AS123" s="1" t="s">
        <v>8681</v>
      </c>
      <c r="AT123" s="267" t="s">
        <v>8897</v>
      </c>
    </row>
    <row r="124" spans="20:46" x14ac:dyDescent="0.2">
      <c r="T124" s="28" t="s">
        <v>301</v>
      </c>
      <c r="U124" s="68" t="s">
        <v>100</v>
      </c>
      <c r="V124" s="72" t="str">
        <f t="shared" si="1"/>
        <v>AR_CLARK</v>
      </c>
      <c r="AH124" s="29" t="s">
        <v>2686</v>
      </c>
      <c r="AJ124" s="1" t="s">
        <v>100</v>
      </c>
      <c r="AK124" s="1" t="s">
        <v>312</v>
      </c>
      <c r="AL124" s="1" t="s">
        <v>5456</v>
      </c>
      <c r="AM124" s="1" t="s">
        <v>3055</v>
      </c>
      <c r="AP124" s="1" t="s">
        <v>68</v>
      </c>
      <c r="AQ124" s="1" t="s">
        <v>2096</v>
      </c>
      <c r="AR124" s="1" t="s">
        <v>8682</v>
      </c>
      <c r="AS124" s="1" t="s">
        <v>8683</v>
      </c>
      <c r="AT124" s="267" t="s">
        <v>8898</v>
      </c>
    </row>
    <row r="125" spans="20:46" x14ac:dyDescent="0.2">
      <c r="T125" s="29" t="s">
        <v>207</v>
      </c>
      <c r="U125" s="69" t="s">
        <v>100</v>
      </c>
      <c r="V125" s="72" t="str">
        <f t="shared" si="1"/>
        <v>AR_CLAY</v>
      </c>
      <c r="AH125" s="28" t="s">
        <v>2711</v>
      </c>
      <c r="AJ125" s="1" t="s">
        <v>100</v>
      </c>
      <c r="AK125" s="1" t="s">
        <v>313</v>
      </c>
      <c r="AL125" s="1" t="s">
        <v>5457</v>
      </c>
      <c r="AM125" s="1" t="s">
        <v>3060</v>
      </c>
      <c r="AP125" s="1" t="s">
        <v>68</v>
      </c>
      <c r="AQ125" s="1" t="s">
        <v>2097</v>
      </c>
      <c r="AR125" s="1" t="s">
        <v>8684</v>
      </c>
      <c r="AS125" s="1" t="s">
        <v>8685</v>
      </c>
      <c r="AT125" s="267" t="s">
        <v>8899</v>
      </c>
    </row>
    <row r="126" spans="20:46" x14ac:dyDescent="0.2">
      <c r="T126" s="28" t="s">
        <v>208</v>
      </c>
      <c r="U126" s="68" t="s">
        <v>100</v>
      </c>
      <c r="V126" s="72" t="str">
        <f t="shared" si="1"/>
        <v>AR_CLEBURNE</v>
      </c>
      <c r="AH126" s="29" t="s">
        <v>2687</v>
      </c>
      <c r="AJ126" s="1" t="s">
        <v>100</v>
      </c>
      <c r="AK126" s="1" t="s">
        <v>314</v>
      </c>
      <c r="AL126" s="1" t="s">
        <v>5458</v>
      </c>
      <c r="AM126" s="1" t="s">
        <v>3056</v>
      </c>
      <c r="AP126" s="1" t="s">
        <v>68</v>
      </c>
      <c r="AQ126" s="1" t="s">
        <v>2098</v>
      </c>
      <c r="AR126" s="1" t="s">
        <v>8686</v>
      </c>
      <c r="AS126" s="1" t="s">
        <v>8687</v>
      </c>
      <c r="AT126" s="267" t="s">
        <v>8900</v>
      </c>
    </row>
    <row r="127" spans="20:46" x14ac:dyDescent="0.2">
      <c r="T127" s="29" t="s">
        <v>302</v>
      </c>
      <c r="U127" s="69" t="s">
        <v>100</v>
      </c>
      <c r="V127" s="72" t="str">
        <f t="shared" si="1"/>
        <v>AR_CLEVELAND</v>
      </c>
      <c r="AH127" s="28" t="s">
        <v>2692</v>
      </c>
      <c r="AJ127" s="1" t="s">
        <v>100</v>
      </c>
      <c r="AK127" s="1" t="s">
        <v>225</v>
      </c>
      <c r="AL127" s="1" t="s">
        <v>5459</v>
      </c>
      <c r="AM127" s="1" t="s">
        <v>3057</v>
      </c>
      <c r="AP127" s="1" t="s">
        <v>68</v>
      </c>
      <c r="AQ127" s="1" t="s">
        <v>2099</v>
      </c>
      <c r="AR127" s="1" t="s">
        <v>8688</v>
      </c>
      <c r="AS127" s="1" t="s">
        <v>8689</v>
      </c>
      <c r="AT127" s="267" t="s">
        <v>8901</v>
      </c>
    </row>
    <row r="128" spans="20:46" x14ac:dyDescent="0.2">
      <c r="T128" s="28" t="s">
        <v>303</v>
      </c>
      <c r="U128" s="68" t="s">
        <v>100</v>
      </c>
      <c r="V128" s="72" t="str">
        <f t="shared" si="1"/>
        <v>AR_COLUMBIA</v>
      </c>
      <c r="AH128" s="29" t="s">
        <v>2688</v>
      </c>
      <c r="AJ128" s="1" t="s">
        <v>100</v>
      </c>
      <c r="AK128" s="1" t="s">
        <v>315</v>
      </c>
      <c r="AL128" s="1" t="s">
        <v>5460</v>
      </c>
      <c r="AM128" s="1" t="s">
        <v>3058</v>
      </c>
      <c r="AP128" s="1" t="s">
        <v>68</v>
      </c>
      <c r="AQ128" s="1" t="s">
        <v>2100</v>
      </c>
      <c r="AR128" s="1" t="s">
        <v>8690</v>
      </c>
      <c r="AS128" s="1" t="s">
        <v>8691</v>
      </c>
      <c r="AT128" s="267" t="s">
        <v>8902</v>
      </c>
    </row>
    <row r="129" spans="20:46" x14ac:dyDescent="0.2">
      <c r="T129" s="29" t="s">
        <v>304</v>
      </c>
      <c r="U129" s="69" t="s">
        <v>100</v>
      </c>
      <c r="V129" s="72" t="str">
        <f t="shared" si="1"/>
        <v>AR_CONWAY</v>
      </c>
      <c r="AH129" s="28" t="s">
        <v>2689</v>
      </c>
      <c r="AJ129" s="1" t="s">
        <v>100</v>
      </c>
      <c r="AK129" s="1" t="s">
        <v>316</v>
      </c>
      <c r="AL129" s="1" t="s">
        <v>5461</v>
      </c>
      <c r="AM129" s="1" t="s">
        <v>3059</v>
      </c>
      <c r="AP129" s="1" t="s">
        <v>68</v>
      </c>
      <c r="AQ129" s="1" t="s">
        <v>2101</v>
      </c>
      <c r="AR129" s="1" t="s">
        <v>8692</v>
      </c>
      <c r="AS129" s="1" t="s">
        <v>8693</v>
      </c>
      <c r="AT129" s="267" t="s">
        <v>8903</v>
      </c>
    </row>
    <row r="130" spans="20:46" x14ac:dyDescent="0.2">
      <c r="T130" s="28" t="s">
        <v>305</v>
      </c>
      <c r="U130" s="68" t="s">
        <v>100</v>
      </c>
      <c r="V130" s="72" t="str">
        <f t="shared" si="1"/>
        <v>AR_CRAIGHEAD</v>
      </c>
      <c r="AH130" s="29" t="s">
        <v>2690</v>
      </c>
      <c r="AJ130" s="1" t="s">
        <v>100</v>
      </c>
      <c r="AK130" s="1" t="s">
        <v>317</v>
      </c>
      <c r="AL130" s="1" t="s">
        <v>5462</v>
      </c>
      <c r="AM130" s="1" t="s">
        <v>3061</v>
      </c>
      <c r="AP130" s="1" t="s">
        <v>68</v>
      </c>
      <c r="AQ130" s="1" t="s">
        <v>2102</v>
      </c>
      <c r="AR130" s="1" t="s">
        <v>8694</v>
      </c>
      <c r="AS130" s="1" t="s">
        <v>8695</v>
      </c>
      <c r="AT130" s="267" t="s">
        <v>8904</v>
      </c>
    </row>
    <row r="131" spans="20:46" x14ac:dyDescent="0.2">
      <c r="T131" s="29" t="s">
        <v>306</v>
      </c>
      <c r="U131" s="69" t="s">
        <v>100</v>
      </c>
      <c r="V131" s="72" t="str">
        <f t="shared" si="1"/>
        <v>AR_CRAWFORD</v>
      </c>
      <c r="AH131" s="28" t="s">
        <v>2698</v>
      </c>
      <c r="AJ131" s="1" t="s">
        <v>100</v>
      </c>
      <c r="AK131" s="1" t="s">
        <v>318</v>
      </c>
      <c r="AL131" s="1" t="s">
        <v>5463</v>
      </c>
      <c r="AM131" s="1" t="s">
        <v>3062</v>
      </c>
      <c r="AP131" s="1" t="s">
        <v>68</v>
      </c>
      <c r="AQ131" s="1" t="s">
        <v>2103</v>
      </c>
      <c r="AR131" s="1" t="s">
        <v>8696</v>
      </c>
      <c r="AS131" s="1" t="s">
        <v>8697</v>
      </c>
      <c r="AT131" s="267" t="s">
        <v>8905</v>
      </c>
    </row>
    <row r="132" spans="20:46" x14ac:dyDescent="0.2">
      <c r="T132" s="28" t="s">
        <v>307</v>
      </c>
      <c r="U132" s="68" t="s">
        <v>100</v>
      </c>
      <c r="V132" s="72" t="str">
        <f t="shared" si="1"/>
        <v>AR_CRITTENDEN</v>
      </c>
      <c r="AH132" s="29" t="s">
        <v>2691</v>
      </c>
      <c r="AJ132" s="1" t="s">
        <v>100</v>
      </c>
      <c r="AK132" s="1" t="s">
        <v>319</v>
      </c>
      <c r="AL132" s="1" t="s">
        <v>5464</v>
      </c>
      <c r="AM132" s="1" t="s">
        <v>3063</v>
      </c>
      <c r="AP132" s="1" t="s">
        <v>68</v>
      </c>
      <c r="AQ132" s="1" t="s">
        <v>2104</v>
      </c>
      <c r="AR132" s="1" t="s">
        <v>8698</v>
      </c>
      <c r="AS132" s="1" t="s">
        <v>8699</v>
      </c>
      <c r="AT132" s="267" t="s">
        <v>8906</v>
      </c>
    </row>
    <row r="133" spans="20:46" x14ac:dyDescent="0.2">
      <c r="T133" s="29" t="s">
        <v>308</v>
      </c>
      <c r="U133" s="69" t="s">
        <v>100</v>
      </c>
      <c r="V133" s="72" t="str">
        <f t="shared" si="1"/>
        <v>AR_CROSS</v>
      </c>
      <c r="AH133" s="28" t="s">
        <v>2693</v>
      </c>
      <c r="AJ133" s="1" t="s">
        <v>100</v>
      </c>
      <c r="AK133" s="1" t="s">
        <v>229</v>
      </c>
      <c r="AL133" s="1" t="s">
        <v>5465</v>
      </c>
      <c r="AM133" s="1" t="s">
        <v>3064</v>
      </c>
      <c r="AP133" s="1" t="s">
        <v>68</v>
      </c>
      <c r="AQ133" s="1" t="s">
        <v>2105</v>
      </c>
      <c r="AR133" s="1" t="s">
        <v>8700</v>
      </c>
      <c r="AS133" s="1" t="s">
        <v>8701</v>
      </c>
      <c r="AT133" s="267" t="s">
        <v>8907</v>
      </c>
    </row>
    <row r="134" spans="20:46" x14ac:dyDescent="0.2">
      <c r="T134" s="28" t="s">
        <v>217</v>
      </c>
      <c r="U134" s="68" t="s">
        <v>100</v>
      </c>
      <c r="V134" s="72" t="str">
        <f t="shared" si="1"/>
        <v>AR_DALLAS</v>
      </c>
      <c r="AH134" s="29" t="s">
        <v>2694</v>
      </c>
      <c r="AJ134" s="1" t="s">
        <v>100</v>
      </c>
      <c r="AK134" s="1" t="s">
        <v>230</v>
      </c>
      <c r="AL134" s="1" t="s">
        <v>5466</v>
      </c>
      <c r="AM134" s="1" t="s">
        <v>9090</v>
      </c>
      <c r="AP134" s="1" t="s">
        <v>68</v>
      </c>
      <c r="AQ134" s="1" t="s">
        <v>2106</v>
      </c>
      <c r="AR134" s="1" t="s">
        <v>8702</v>
      </c>
      <c r="AS134" s="1" t="s">
        <v>8703</v>
      </c>
      <c r="AT134" s="267" t="s">
        <v>8908</v>
      </c>
    </row>
    <row r="135" spans="20:46" x14ac:dyDescent="0.2">
      <c r="T135" s="29" t="s">
        <v>309</v>
      </c>
      <c r="U135" s="69" t="s">
        <v>100</v>
      </c>
      <c r="V135" s="72" t="str">
        <f t="shared" si="1"/>
        <v>AR_DESHA</v>
      </c>
      <c r="AH135" s="28" t="s">
        <v>2633</v>
      </c>
      <c r="AJ135" s="1" t="s">
        <v>100</v>
      </c>
      <c r="AK135" s="1" t="s">
        <v>320</v>
      </c>
      <c r="AL135" s="1" t="s">
        <v>5467</v>
      </c>
      <c r="AM135" s="1" t="s">
        <v>3065</v>
      </c>
      <c r="AP135" s="1" t="s">
        <v>68</v>
      </c>
      <c r="AQ135" s="1" t="s">
        <v>2107</v>
      </c>
      <c r="AR135" s="1" t="s">
        <v>8704</v>
      </c>
      <c r="AS135" s="1" t="s">
        <v>8705</v>
      </c>
      <c r="AT135" s="267" t="s">
        <v>8909</v>
      </c>
    </row>
    <row r="136" spans="20:46" x14ac:dyDescent="0.2">
      <c r="T136" s="28" t="s">
        <v>310</v>
      </c>
      <c r="U136" s="68" t="s">
        <v>100</v>
      </c>
      <c r="V136" s="72" t="str">
        <f t="shared" si="1"/>
        <v>AR_DREW</v>
      </c>
      <c r="AH136" s="29" t="s">
        <v>2695</v>
      </c>
      <c r="AJ136" s="1" t="s">
        <v>100</v>
      </c>
      <c r="AK136" s="1" t="s">
        <v>321</v>
      </c>
      <c r="AL136" s="1" t="s">
        <v>5468</v>
      </c>
      <c r="AM136" s="1" t="s">
        <v>3067</v>
      </c>
      <c r="AP136" s="1" t="s">
        <v>68</v>
      </c>
      <c r="AQ136" s="1" t="s">
        <v>2108</v>
      </c>
      <c r="AR136" s="1" t="s">
        <v>8706</v>
      </c>
      <c r="AS136" s="1" t="s">
        <v>8707</v>
      </c>
      <c r="AT136" s="267" t="s">
        <v>8910</v>
      </c>
    </row>
    <row r="137" spans="20:46" x14ac:dyDescent="0.2">
      <c r="T137" s="29" t="s">
        <v>311</v>
      </c>
      <c r="U137" s="69" t="s">
        <v>100</v>
      </c>
      <c r="V137" s="72" t="str">
        <f t="shared" ref="V137:V200" si="2">UPPER(CONCATENATE(TRIM(U137),"_",TRIM(T137)))</f>
        <v>AR_FAULKNER</v>
      </c>
      <c r="AH137" s="28" t="s">
        <v>2704</v>
      </c>
      <c r="AJ137" s="1" t="s">
        <v>100</v>
      </c>
      <c r="AK137" s="1" t="s">
        <v>233</v>
      </c>
      <c r="AL137" s="1" t="s">
        <v>5469</v>
      </c>
      <c r="AM137" s="1" t="s">
        <v>3068</v>
      </c>
      <c r="AP137" s="1" t="s">
        <v>68</v>
      </c>
      <c r="AQ137" s="1" t="s">
        <v>2109</v>
      </c>
      <c r="AR137" s="1" t="s">
        <v>8708</v>
      </c>
      <c r="AS137" s="1" t="s">
        <v>8709</v>
      </c>
      <c r="AT137" s="267" t="s">
        <v>8911</v>
      </c>
    </row>
    <row r="138" spans="20:46" x14ac:dyDescent="0.2">
      <c r="T138" s="28" t="s">
        <v>223</v>
      </c>
      <c r="U138" s="68" t="s">
        <v>100</v>
      </c>
      <c r="V138" s="72" t="str">
        <f t="shared" si="2"/>
        <v>AR_FRANKLIN</v>
      </c>
      <c r="AH138" s="29" t="s">
        <v>2696</v>
      </c>
      <c r="AJ138" s="1" t="s">
        <v>100</v>
      </c>
      <c r="AK138" s="1" t="s">
        <v>234</v>
      </c>
      <c r="AL138" s="1" t="s">
        <v>5470</v>
      </c>
      <c r="AM138" s="1" t="s">
        <v>3069</v>
      </c>
      <c r="AP138" s="1" t="s">
        <v>68</v>
      </c>
      <c r="AQ138" s="1" t="s">
        <v>2110</v>
      </c>
      <c r="AR138" s="1" t="s">
        <v>8710</v>
      </c>
      <c r="AS138" s="1" t="s">
        <v>8711</v>
      </c>
      <c r="AT138" s="267" t="s">
        <v>8912</v>
      </c>
    </row>
    <row r="139" spans="20:46" x14ac:dyDescent="0.2">
      <c r="T139" s="29" t="s">
        <v>312</v>
      </c>
      <c r="U139" s="69" t="s">
        <v>100</v>
      </c>
      <c r="V139" s="72" t="str">
        <f t="shared" si="2"/>
        <v>AR_FULTON</v>
      </c>
      <c r="AH139" s="28" t="s">
        <v>2697</v>
      </c>
      <c r="AJ139" s="1" t="s">
        <v>100</v>
      </c>
      <c r="AK139" s="1" t="s">
        <v>322</v>
      </c>
      <c r="AL139" s="1" t="s">
        <v>5471</v>
      </c>
      <c r="AM139" s="1" t="s">
        <v>9091</v>
      </c>
      <c r="AP139" s="1" t="s">
        <v>68</v>
      </c>
      <c r="AQ139" s="1" t="s">
        <v>2111</v>
      </c>
      <c r="AR139" s="1" t="s">
        <v>8712</v>
      </c>
      <c r="AS139" s="1" t="s">
        <v>8713</v>
      </c>
      <c r="AT139" s="267" t="s">
        <v>8913</v>
      </c>
    </row>
    <row r="140" spans="20:46" x14ac:dyDescent="0.2">
      <c r="T140" s="28" t="s">
        <v>313</v>
      </c>
      <c r="U140" s="68" t="s">
        <v>100</v>
      </c>
      <c r="V140" s="72" t="str">
        <f t="shared" si="2"/>
        <v>AR_GARLAND</v>
      </c>
      <c r="AH140" s="29" t="s">
        <v>2725</v>
      </c>
      <c r="AJ140" s="1" t="s">
        <v>100</v>
      </c>
      <c r="AK140" s="1" t="s">
        <v>323</v>
      </c>
      <c r="AL140" s="1" t="s">
        <v>5472</v>
      </c>
      <c r="AM140" s="1" t="s">
        <v>3070</v>
      </c>
      <c r="AP140" s="1" t="s">
        <v>68</v>
      </c>
      <c r="AQ140" s="1" t="s">
        <v>2112</v>
      </c>
      <c r="AR140" s="1" t="s">
        <v>8714</v>
      </c>
      <c r="AS140" s="1" t="s">
        <v>8715</v>
      </c>
      <c r="AT140" s="267" t="s">
        <v>8914</v>
      </c>
    </row>
    <row r="141" spans="20:46" x14ac:dyDescent="0.2">
      <c r="T141" s="29" t="s">
        <v>314</v>
      </c>
      <c r="U141" s="69" t="s">
        <v>100</v>
      </c>
      <c r="V141" s="72" t="str">
        <f t="shared" si="2"/>
        <v>AR_GRANT</v>
      </c>
      <c r="AJ141" s="1" t="s">
        <v>100</v>
      </c>
      <c r="AK141" s="1" t="s">
        <v>324</v>
      </c>
      <c r="AL141" s="1" t="s">
        <v>5473</v>
      </c>
      <c r="AM141" s="1" t="s">
        <v>3072</v>
      </c>
      <c r="AP141" s="1" t="s">
        <v>68</v>
      </c>
      <c r="AQ141" s="1" t="s">
        <v>2113</v>
      </c>
      <c r="AR141" s="1" t="s">
        <v>8716</v>
      </c>
      <c r="AS141" s="1" t="s">
        <v>8717</v>
      </c>
      <c r="AT141" s="267" t="s">
        <v>8915</v>
      </c>
    </row>
    <row r="142" spans="20:46" x14ac:dyDescent="0.2">
      <c r="T142" s="28" t="s">
        <v>225</v>
      </c>
      <c r="U142" s="68" t="s">
        <v>100</v>
      </c>
      <c r="V142" s="72" t="str">
        <f t="shared" si="2"/>
        <v>AR_GREENE</v>
      </c>
      <c r="AJ142" s="1" t="s">
        <v>100</v>
      </c>
      <c r="AK142" s="1" t="s">
        <v>325</v>
      </c>
      <c r="AL142" s="1" t="s">
        <v>5474</v>
      </c>
      <c r="AM142" s="1" t="s">
        <v>3071</v>
      </c>
      <c r="AP142" s="1" t="s">
        <v>68</v>
      </c>
      <c r="AQ142" s="1" t="s">
        <v>2114</v>
      </c>
      <c r="AR142" s="1" t="s">
        <v>8718</v>
      </c>
      <c r="AS142" s="1" t="s">
        <v>8719</v>
      </c>
      <c r="AT142" s="267" t="s">
        <v>8916</v>
      </c>
    </row>
    <row r="143" spans="20:46" x14ac:dyDescent="0.2">
      <c r="T143" s="29" t="s">
        <v>315</v>
      </c>
      <c r="U143" s="69" t="s">
        <v>100</v>
      </c>
      <c r="V143" s="72" t="str">
        <f t="shared" si="2"/>
        <v>AR_HEMPSTEAD</v>
      </c>
      <c r="AJ143" s="1" t="s">
        <v>100</v>
      </c>
      <c r="AK143" s="1" t="s">
        <v>238</v>
      </c>
      <c r="AL143" s="1" t="s">
        <v>5475</v>
      </c>
      <c r="AM143" s="1" t="s">
        <v>3054</v>
      </c>
      <c r="AP143" s="1" t="s">
        <v>68</v>
      </c>
      <c r="AQ143" s="1" t="s">
        <v>2115</v>
      </c>
      <c r="AR143" s="1" t="s">
        <v>8720</v>
      </c>
      <c r="AS143" s="1" t="s">
        <v>8721</v>
      </c>
      <c r="AT143" s="267" t="s">
        <v>8917</v>
      </c>
    </row>
    <row r="144" spans="20:46" x14ac:dyDescent="0.2">
      <c r="T144" s="28" t="s">
        <v>316</v>
      </c>
      <c r="U144" s="68" t="s">
        <v>100</v>
      </c>
      <c r="V144" s="72" t="str">
        <f t="shared" si="2"/>
        <v>AR_HOT SPRING</v>
      </c>
      <c r="AJ144" s="1" t="s">
        <v>100</v>
      </c>
      <c r="AK144" s="1" t="s">
        <v>240</v>
      </c>
      <c r="AL144" s="1" t="s">
        <v>5476</v>
      </c>
      <c r="AM144" s="1" t="s">
        <v>3073</v>
      </c>
      <c r="AP144" s="1" t="s">
        <v>68</v>
      </c>
      <c r="AQ144" s="1" t="s">
        <v>2116</v>
      </c>
      <c r="AR144" s="1" t="s">
        <v>8722</v>
      </c>
      <c r="AS144" s="1" t="s">
        <v>8723</v>
      </c>
      <c r="AT144" s="267" t="s">
        <v>8918</v>
      </c>
    </row>
    <row r="145" spans="20:46" x14ac:dyDescent="0.2">
      <c r="T145" s="29" t="s">
        <v>317</v>
      </c>
      <c r="U145" s="69" t="s">
        <v>100</v>
      </c>
      <c r="V145" s="72" t="str">
        <f t="shared" si="2"/>
        <v>AR_HOWARD</v>
      </c>
      <c r="AJ145" s="1" t="s">
        <v>100</v>
      </c>
      <c r="AK145" s="1" t="s">
        <v>326</v>
      </c>
      <c r="AL145" s="1" t="s">
        <v>5477</v>
      </c>
      <c r="AM145" s="1" t="s">
        <v>3094</v>
      </c>
      <c r="AP145" s="1" t="s">
        <v>68</v>
      </c>
      <c r="AQ145" s="1" t="s">
        <v>2117</v>
      </c>
      <c r="AR145" s="1" t="s">
        <v>8724</v>
      </c>
      <c r="AS145" s="1" t="s">
        <v>8725</v>
      </c>
      <c r="AT145" s="267" t="s">
        <v>8919</v>
      </c>
    </row>
    <row r="146" spans="20:46" x14ac:dyDescent="0.2">
      <c r="T146" s="28" t="s">
        <v>318</v>
      </c>
      <c r="U146" s="68" t="s">
        <v>100</v>
      </c>
      <c r="V146" s="72" t="str">
        <f t="shared" si="2"/>
        <v>AR_INDEPENDENCE</v>
      </c>
      <c r="AJ146" s="1" t="s">
        <v>100</v>
      </c>
      <c r="AK146" s="1" t="s">
        <v>327</v>
      </c>
      <c r="AL146" s="1" t="s">
        <v>5478</v>
      </c>
      <c r="AM146" s="1" t="s">
        <v>3075</v>
      </c>
      <c r="AP146" s="1" t="s">
        <v>68</v>
      </c>
      <c r="AQ146" s="1" t="s">
        <v>451</v>
      </c>
      <c r="AR146" s="1" t="s">
        <v>8726</v>
      </c>
      <c r="AS146" s="1" t="s">
        <v>8727</v>
      </c>
      <c r="AT146" s="267" t="s">
        <v>8920</v>
      </c>
    </row>
    <row r="147" spans="20:46" x14ac:dyDescent="0.2">
      <c r="T147" s="29" t="s">
        <v>319</v>
      </c>
      <c r="U147" s="69" t="s">
        <v>100</v>
      </c>
      <c r="V147" s="72" t="str">
        <f t="shared" si="2"/>
        <v>AR_IZARD</v>
      </c>
      <c r="AJ147" s="1" t="s">
        <v>100</v>
      </c>
      <c r="AK147" s="1" t="s">
        <v>243</v>
      </c>
      <c r="AL147" s="1" t="s">
        <v>5479</v>
      </c>
      <c r="AM147" s="1" t="s">
        <v>3076</v>
      </c>
      <c r="AP147" s="1" t="s">
        <v>68</v>
      </c>
      <c r="AQ147" s="1" t="s">
        <v>2118</v>
      </c>
      <c r="AR147" s="1" t="s">
        <v>8728</v>
      </c>
      <c r="AS147" s="1" t="s">
        <v>8729</v>
      </c>
      <c r="AT147" s="267" t="s">
        <v>8921</v>
      </c>
    </row>
    <row r="148" spans="20:46" x14ac:dyDescent="0.2">
      <c r="T148" s="28" t="s">
        <v>229</v>
      </c>
      <c r="U148" s="68" t="s">
        <v>100</v>
      </c>
      <c r="V148" s="72" t="str">
        <f t="shared" si="2"/>
        <v>AR_JACKSON</v>
      </c>
      <c r="AJ148" s="1" t="s">
        <v>100</v>
      </c>
      <c r="AK148" s="1" t="s">
        <v>244</v>
      </c>
      <c r="AL148" s="1" t="s">
        <v>5480</v>
      </c>
      <c r="AM148" s="1" t="s">
        <v>3077</v>
      </c>
      <c r="AP148" s="1" t="s">
        <v>68</v>
      </c>
      <c r="AQ148" s="1" t="s">
        <v>2119</v>
      </c>
      <c r="AR148" s="1" t="s">
        <v>8730</v>
      </c>
      <c r="AS148" s="1" t="s">
        <v>8731</v>
      </c>
      <c r="AT148" s="267" t="s">
        <v>8922</v>
      </c>
    </row>
    <row r="149" spans="20:46" x14ac:dyDescent="0.2">
      <c r="T149" s="29" t="s">
        <v>230</v>
      </c>
      <c r="U149" s="69" t="s">
        <v>100</v>
      </c>
      <c r="V149" s="72" t="str">
        <f t="shared" si="2"/>
        <v>AR_JEFFERSON</v>
      </c>
      <c r="AJ149" s="1" t="s">
        <v>100</v>
      </c>
      <c r="AK149" s="1" t="s">
        <v>328</v>
      </c>
      <c r="AL149" s="1" t="s">
        <v>5481</v>
      </c>
      <c r="AM149" s="1" t="s">
        <v>3078</v>
      </c>
      <c r="AP149" s="1" t="s">
        <v>68</v>
      </c>
      <c r="AQ149" s="1" t="s">
        <v>2120</v>
      </c>
      <c r="AR149" s="1" t="s">
        <v>8732</v>
      </c>
      <c r="AS149" s="1" t="s">
        <v>8733</v>
      </c>
      <c r="AT149" s="267" t="s">
        <v>8923</v>
      </c>
    </row>
    <row r="150" spans="20:46" x14ac:dyDescent="0.2">
      <c r="T150" s="28" t="s">
        <v>320</v>
      </c>
      <c r="U150" s="68" t="s">
        <v>100</v>
      </c>
      <c r="V150" s="72" t="str">
        <f t="shared" si="2"/>
        <v>AR_JOHNSON</v>
      </c>
      <c r="AJ150" s="1" t="s">
        <v>100</v>
      </c>
      <c r="AK150" s="1" t="s">
        <v>329</v>
      </c>
      <c r="AL150" s="1" t="s">
        <v>5482</v>
      </c>
      <c r="AM150" s="1" t="s">
        <v>3079</v>
      </c>
      <c r="AP150" s="1" t="s">
        <v>68</v>
      </c>
      <c r="AQ150" s="1" t="s">
        <v>454</v>
      </c>
      <c r="AR150" s="1" t="s">
        <v>8734</v>
      </c>
      <c r="AS150" s="1" t="s">
        <v>8735</v>
      </c>
      <c r="AT150" s="267" t="s">
        <v>8924</v>
      </c>
    </row>
    <row r="151" spans="20:46" x14ac:dyDescent="0.2">
      <c r="T151" s="29" t="s">
        <v>321</v>
      </c>
      <c r="U151" s="69" t="s">
        <v>100</v>
      </c>
      <c r="V151" s="72" t="str">
        <f t="shared" si="2"/>
        <v>AR_LAFAYETTE</v>
      </c>
      <c r="AJ151" s="1" t="s">
        <v>100</v>
      </c>
      <c r="AK151" s="1" t="s">
        <v>330</v>
      </c>
      <c r="AL151" s="1" t="s">
        <v>5483</v>
      </c>
      <c r="AM151" s="1" t="s">
        <v>3080</v>
      </c>
      <c r="AP151" s="1" t="s">
        <v>68</v>
      </c>
      <c r="AQ151" s="1" t="s">
        <v>2121</v>
      </c>
      <c r="AR151" s="1" t="s">
        <v>8736</v>
      </c>
      <c r="AS151" s="1" t="s">
        <v>8737</v>
      </c>
      <c r="AT151" s="267" t="s">
        <v>8925</v>
      </c>
    </row>
    <row r="152" spans="20:46" x14ac:dyDescent="0.2">
      <c r="T152" s="28" t="s">
        <v>233</v>
      </c>
      <c r="U152" s="68" t="s">
        <v>100</v>
      </c>
      <c r="V152" s="72" t="str">
        <f t="shared" si="2"/>
        <v>AR_LAWRENCE</v>
      </c>
      <c r="AJ152" s="1" t="s">
        <v>100</v>
      </c>
      <c r="AK152" s="1" t="s">
        <v>246</v>
      </c>
      <c r="AL152" s="1" t="s">
        <v>5484</v>
      </c>
      <c r="AM152" s="1" t="s">
        <v>3071</v>
      </c>
      <c r="AP152" s="1" t="s">
        <v>68</v>
      </c>
      <c r="AQ152" s="1" t="s">
        <v>2122</v>
      </c>
      <c r="AR152" s="1" t="s">
        <v>8738</v>
      </c>
      <c r="AS152" s="1" t="s">
        <v>8739</v>
      </c>
      <c r="AT152" s="267" t="s">
        <v>8926</v>
      </c>
    </row>
    <row r="153" spans="20:46" x14ac:dyDescent="0.2">
      <c r="T153" s="29" t="s">
        <v>234</v>
      </c>
      <c r="U153" s="69" t="s">
        <v>100</v>
      </c>
      <c r="V153" s="72" t="str">
        <f t="shared" si="2"/>
        <v>AR_LEE</v>
      </c>
      <c r="AJ153" s="1" t="s">
        <v>100</v>
      </c>
      <c r="AK153" s="1" t="s">
        <v>331</v>
      </c>
      <c r="AL153" s="1" t="s">
        <v>5485</v>
      </c>
      <c r="AM153" s="1" t="s">
        <v>3081</v>
      </c>
      <c r="AP153" s="1" t="s">
        <v>68</v>
      </c>
      <c r="AQ153" s="1" t="s">
        <v>2123</v>
      </c>
      <c r="AR153" s="1" t="s">
        <v>8740</v>
      </c>
      <c r="AS153" s="1" t="s">
        <v>8741</v>
      </c>
      <c r="AT153" s="267" t="s">
        <v>8927</v>
      </c>
    </row>
    <row r="154" spans="20:46" x14ac:dyDescent="0.2">
      <c r="T154" s="28" t="s">
        <v>322</v>
      </c>
      <c r="U154" s="68" t="s">
        <v>100</v>
      </c>
      <c r="V154" s="72" t="str">
        <f t="shared" si="2"/>
        <v>AR_LINCOLN</v>
      </c>
      <c r="AJ154" s="1" t="s">
        <v>100</v>
      </c>
      <c r="AK154" s="1" t="s">
        <v>248</v>
      </c>
      <c r="AL154" s="1" t="s">
        <v>5486</v>
      </c>
      <c r="AM154" s="1" t="s">
        <v>3082</v>
      </c>
      <c r="AP154" s="1" t="s">
        <v>68</v>
      </c>
      <c r="AQ154" s="1" t="s">
        <v>2124</v>
      </c>
      <c r="AR154" s="1" t="s">
        <v>8742</v>
      </c>
      <c r="AS154" s="1" t="s">
        <v>8743</v>
      </c>
      <c r="AT154" s="267" t="s">
        <v>8928</v>
      </c>
    </row>
    <row r="155" spans="20:46" x14ac:dyDescent="0.2">
      <c r="T155" s="29" t="s">
        <v>323</v>
      </c>
      <c r="U155" s="69" t="s">
        <v>100</v>
      </c>
      <c r="V155" s="72" t="str">
        <f t="shared" si="2"/>
        <v>AR_LITTLE RIVER</v>
      </c>
      <c r="AJ155" s="1" t="s">
        <v>100</v>
      </c>
      <c r="AK155" s="1" t="s">
        <v>332</v>
      </c>
      <c r="AL155" s="1" t="s">
        <v>5487</v>
      </c>
      <c r="AM155" s="1" t="s">
        <v>3083</v>
      </c>
      <c r="AP155" s="1" t="s">
        <v>68</v>
      </c>
      <c r="AQ155" s="1" t="s">
        <v>2125</v>
      </c>
      <c r="AR155" s="1" t="s">
        <v>8744</v>
      </c>
      <c r="AS155" s="1" t="s">
        <v>8745</v>
      </c>
      <c r="AT155" s="267" t="s">
        <v>8929</v>
      </c>
    </row>
    <row r="156" spans="20:46" x14ac:dyDescent="0.2">
      <c r="T156" s="28" t="s">
        <v>324</v>
      </c>
      <c r="U156" s="68" t="s">
        <v>100</v>
      </c>
      <c r="V156" s="72" t="str">
        <f t="shared" si="2"/>
        <v>AR_LOGAN</v>
      </c>
      <c r="AJ156" s="1" t="s">
        <v>100</v>
      </c>
      <c r="AK156" s="1" t="s">
        <v>333</v>
      </c>
      <c r="AL156" s="1" t="s">
        <v>5488</v>
      </c>
      <c r="AM156" s="1" t="s">
        <v>3084</v>
      </c>
      <c r="AP156" s="1" t="s">
        <v>68</v>
      </c>
      <c r="AQ156" s="1" t="s">
        <v>2126</v>
      </c>
      <c r="AR156" s="1" t="s">
        <v>8746</v>
      </c>
      <c r="AS156" s="1" t="s">
        <v>8747</v>
      </c>
      <c r="AT156" s="267" t="s">
        <v>8930</v>
      </c>
    </row>
    <row r="157" spans="20:46" x14ac:dyDescent="0.2">
      <c r="T157" s="29" t="s">
        <v>325</v>
      </c>
      <c r="U157" s="69" t="s">
        <v>100</v>
      </c>
      <c r="V157" s="72" t="str">
        <f t="shared" si="2"/>
        <v>AR_LONOKE</v>
      </c>
      <c r="AJ157" s="1" t="s">
        <v>100</v>
      </c>
      <c r="AK157" s="1" t="s">
        <v>334</v>
      </c>
      <c r="AL157" s="1" t="s">
        <v>5489</v>
      </c>
      <c r="AM157" s="1" t="s">
        <v>3085</v>
      </c>
      <c r="AP157" s="1" t="s">
        <v>68</v>
      </c>
      <c r="AQ157" s="1" t="s">
        <v>2127</v>
      </c>
      <c r="AR157" s="1" t="s">
        <v>8748</v>
      </c>
      <c r="AS157" s="1" t="s">
        <v>8749</v>
      </c>
      <c r="AT157" s="267" t="s">
        <v>8931</v>
      </c>
    </row>
    <row r="158" spans="20:46" x14ac:dyDescent="0.2">
      <c r="T158" s="28" t="s">
        <v>238</v>
      </c>
      <c r="U158" s="68" t="s">
        <v>100</v>
      </c>
      <c r="V158" s="72" t="str">
        <f t="shared" si="2"/>
        <v>AR_MADISON</v>
      </c>
      <c r="AJ158" s="1" t="s">
        <v>100</v>
      </c>
      <c r="AK158" s="1" t="s">
        <v>335</v>
      </c>
      <c r="AL158" s="1" t="s">
        <v>5490</v>
      </c>
      <c r="AM158" s="1" t="s">
        <v>3086</v>
      </c>
      <c r="AP158" s="1" t="s">
        <v>68</v>
      </c>
      <c r="AQ158" s="1" t="s">
        <v>2128</v>
      </c>
      <c r="AR158" s="1" t="s">
        <v>8750</v>
      </c>
      <c r="AS158" s="1" t="s">
        <v>8751</v>
      </c>
      <c r="AT158" s="267" t="s">
        <v>8932</v>
      </c>
    </row>
    <row r="159" spans="20:46" x14ac:dyDescent="0.2">
      <c r="T159" s="29" t="s">
        <v>240</v>
      </c>
      <c r="U159" s="69" t="s">
        <v>100</v>
      </c>
      <c r="V159" s="72" t="str">
        <f t="shared" si="2"/>
        <v>AR_MARION</v>
      </c>
      <c r="AJ159" s="1" t="s">
        <v>100</v>
      </c>
      <c r="AK159" s="1" t="s">
        <v>336</v>
      </c>
      <c r="AL159" s="1" t="s">
        <v>5491</v>
      </c>
      <c r="AM159" s="1" t="s">
        <v>3071</v>
      </c>
      <c r="AP159" s="1" t="s">
        <v>68</v>
      </c>
      <c r="AQ159" s="1" t="s">
        <v>2129</v>
      </c>
      <c r="AR159" s="1" t="s">
        <v>8752</v>
      </c>
      <c r="AS159" s="1" t="s">
        <v>8753</v>
      </c>
      <c r="AT159" s="267" t="s">
        <v>8933</v>
      </c>
    </row>
    <row r="160" spans="20:46" x14ac:dyDescent="0.2">
      <c r="T160" s="28" t="s">
        <v>326</v>
      </c>
      <c r="U160" s="68" t="s">
        <v>100</v>
      </c>
      <c r="V160" s="72" t="str">
        <f t="shared" si="2"/>
        <v>AR_MILLER</v>
      </c>
      <c r="AJ160" s="1" t="s">
        <v>100</v>
      </c>
      <c r="AK160" s="1" t="s">
        <v>249</v>
      </c>
      <c r="AL160" s="1" t="s">
        <v>5492</v>
      </c>
      <c r="AM160" s="1" t="s">
        <v>3087</v>
      </c>
      <c r="AP160" s="1" t="s">
        <v>68</v>
      </c>
      <c r="AQ160" s="1" t="s">
        <v>2130</v>
      </c>
      <c r="AR160" s="1" t="s">
        <v>8754</v>
      </c>
      <c r="AS160" s="1" t="s">
        <v>8755</v>
      </c>
      <c r="AT160" s="267" t="s">
        <v>8934</v>
      </c>
    </row>
    <row r="161" spans="20:46" x14ac:dyDescent="0.2">
      <c r="T161" s="29" t="s">
        <v>327</v>
      </c>
      <c r="U161" s="69" t="s">
        <v>100</v>
      </c>
      <c r="V161" s="72" t="str">
        <f t="shared" si="2"/>
        <v>AR_MISSISSIPPI</v>
      </c>
      <c r="AJ161" s="1" t="s">
        <v>100</v>
      </c>
      <c r="AK161" s="1" t="s">
        <v>338</v>
      </c>
      <c r="AL161" s="1" t="s">
        <v>5493</v>
      </c>
      <c r="AM161" s="1" t="s">
        <v>3071</v>
      </c>
      <c r="AP161" s="1" t="s">
        <v>68</v>
      </c>
      <c r="AQ161" s="1" t="s">
        <v>2131</v>
      </c>
      <c r="AR161" s="1" t="s">
        <v>8756</v>
      </c>
      <c r="AS161" s="1" t="s">
        <v>8757</v>
      </c>
      <c r="AT161" s="267" t="s">
        <v>8935</v>
      </c>
    </row>
    <row r="162" spans="20:46" x14ac:dyDescent="0.2">
      <c r="T162" s="28" t="s">
        <v>243</v>
      </c>
      <c r="U162" s="68" t="s">
        <v>100</v>
      </c>
      <c r="V162" s="72" t="str">
        <f t="shared" si="2"/>
        <v>AR_MONROE</v>
      </c>
      <c r="AJ162" s="1" t="s">
        <v>100</v>
      </c>
      <c r="AK162" s="1" t="s">
        <v>339</v>
      </c>
      <c r="AL162" s="1" t="s">
        <v>5494</v>
      </c>
      <c r="AM162" s="1" t="s">
        <v>3088</v>
      </c>
      <c r="AP162" s="1" t="s">
        <v>68</v>
      </c>
      <c r="AQ162" s="1" t="s">
        <v>2132</v>
      </c>
      <c r="AR162" s="1" t="s">
        <v>8758</v>
      </c>
      <c r="AS162" s="1" t="s">
        <v>8759</v>
      </c>
      <c r="AT162" s="267" t="s">
        <v>8936</v>
      </c>
    </row>
    <row r="163" spans="20:46" x14ac:dyDescent="0.2">
      <c r="T163" s="29" t="s">
        <v>244</v>
      </c>
      <c r="U163" s="69" t="s">
        <v>100</v>
      </c>
      <c r="V163" s="72" t="str">
        <f t="shared" si="2"/>
        <v>AR_MONTGOMERY</v>
      </c>
      <c r="AJ163" s="1" t="s">
        <v>100</v>
      </c>
      <c r="AK163" s="1" t="s">
        <v>340</v>
      </c>
      <c r="AL163" s="1" t="s">
        <v>5495</v>
      </c>
      <c r="AM163" s="1" t="s">
        <v>3089</v>
      </c>
      <c r="AP163" s="1" t="s">
        <v>68</v>
      </c>
      <c r="AQ163" s="1" t="s">
        <v>2133</v>
      </c>
      <c r="AR163" s="1" t="s">
        <v>8760</v>
      </c>
      <c r="AS163" s="1" t="s">
        <v>8761</v>
      </c>
      <c r="AT163" s="267" t="s">
        <v>8937</v>
      </c>
    </row>
    <row r="164" spans="20:46" x14ac:dyDescent="0.2">
      <c r="T164" s="28" t="s">
        <v>328</v>
      </c>
      <c r="U164" s="68" t="s">
        <v>100</v>
      </c>
      <c r="V164" s="72" t="str">
        <f t="shared" si="2"/>
        <v>AR_NEVADA</v>
      </c>
      <c r="AJ164" s="1" t="s">
        <v>100</v>
      </c>
      <c r="AK164" s="1" t="s">
        <v>341</v>
      </c>
      <c r="AL164" s="1" t="s">
        <v>5496</v>
      </c>
      <c r="AM164" s="1" t="s">
        <v>9088</v>
      </c>
    </row>
    <row r="165" spans="20:46" x14ac:dyDescent="0.2">
      <c r="T165" s="29" t="s">
        <v>329</v>
      </c>
      <c r="U165" s="69" t="s">
        <v>100</v>
      </c>
      <c r="V165" s="72" t="str">
        <f t="shared" si="2"/>
        <v>AR_NEWTON</v>
      </c>
      <c r="AJ165" s="1" t="s">
        <v>100</v>
      </c>
      <c r="AK165" s="1" t="s">
        <v>342</v>
      </c>
      <c r="AL165" s="1" t="s">
        <v>5497</v>
      </c>
      <c r="AM165" s="1" t="s">
        <v>3090</v>
      </c>
    </row>
    <row r="166" spans="20:46" x14ac:dyDescent="0.2">
      <c r="T166" s="28" t="s">
        <v>330</v>
      </c>
      <c r="U166" s="68" t="s">
        <v>100</v>
      </c>
      <c r="V166" s="72" t="str">
        <f t="shared" si="2"/>
        <v>AR_OUACHITA</v>
      </c>
      <c r="AJ166" s="1" t="s">
        <v>100</v>
      </c>
      <c r="AK166" s="1" t="s">
        <v>343</v>
      </c>
      <c r="AL166" s="1" t="s">
        <v>5498</v>
      </c>
      <c r="AM166" s="1" t="s">
        <v>3091</v>
      </c>
    </row>
    <row r="167" spans="20:46" x14ac:dyDescent="0.2">
      <c r="T167" s="29" t="s">
        <v>246</v>
      </c>
      <c r="U167" s="69" t="s">
        <v>100</v>
      </c>
      <c r="V167" s="72" t="str">
        <f t="shared" si="2"/>
        <v>AR_PERRY</v>
      </c>
      <c r="AJ167" s="1" t="s">
        <v>100</v>
      </c>
      <c r="AK167" s="1" t="s">
        <v>337</v>
      </c>
      <c r="AL167" s="1" t="s">
        <v>5499</v>
      </c>
      <c r="AM167" s="1" t="s">
        <v>3092</v>
      </c>
    </row>
    <row r="168" spans="20:46" x14ac:dyDescent="0.2">
      <c r="T168" s="28" t="s">
        <v>331</v>
      </c>
      <c r="U168" s="68" t="s">
        <v>100</v>
      </c>
      <c r="V168" s="72" t="str">
        <f t="shared" si="2"/>
        <v>AR_PHILLIPS</v>
      </c>
      <c r="AJ168" s="1" t="s">
        <v>100</v>
      </c>
      <c r="AK168" s="1" t="s">
        <v>344</v>
      </c>
      <c r="AL168" s="1" t="s">
        <v>5500</v>
      </c>
      <c r="AM168" s="1" t="s">
        <v>3093</v>
      </c>
    </row>
    <row r="169" spans="20:46" x14ac:dyDescent="0.2">
      <c r="T169" s="29" t="s">
        <v>248</v>
      </c>
      <c r="U169" s="69" t="s">
        <v>100</v>
      </c>
      <c r="V169" s="72" t="str">
        <f t="shared" si="2"/>
        <v>AR_PIKE</v>
      </c>
      <c r="AJ169" s="1" t="s">
        <v>100</v>
      </c>
      <c r="AK169" s="1" t="s">
        <v>345</v>
      </c>
      <c r="AL169" s="1" t="s">
        <v>5501</v>
      </c>
      <c r="AM169" s="1" t="s">
        <v>3095</v>
      </c>
    </row>
    <row r="170" spans="20:46" x14ac:dyDescent="0.2">
      <c r="T170" s="28" t="s">
        <v>332</v>
      </c>
      <c r="U170" s="68" t="s">
        <v>100</v>
      </c>
      <c r="V170" s="72" t="str">
        <f t="shared" si="2"/>
        <v>AR_POINSETT</v>
      </c>
      <c r="AJ170" s="1" t="s">
        <v>100</v>
      </c>
      <c r="AK170" s="1" t="s">
        <v>346</v>
      </c>
      <c r="AL170" s="1" t="s">
        <v>5502</v>
      </c>
      <c r="AM170" s="1" t="s">
        <v>3096</v>
      </c>
    </row>
    <row r="171" spans="20:46" x14ac:dyDescent="0.2">
      <c r="T171" s="29" t="s">
        <v>333</v>
      </c>
      <c r="U171" s="69" t="s">
        <v>100</v>
      </c>
      <c r="V171" s="72" t="str">
        <f t="shared" si="2"/>
        <v>AR_POLK</v>
      </c>
      <c r="AJ171" s="1" t="s">
        <v>100</v>
      </c>
      <c r="AK171" s="1" t="s">
        <v>258</v>
      </c>
      <c r="AL171" s="1" t="s">
        <v>5503</v>
      </c>
      <c r="AM171" s="1" t="s">
        <v>3054</v>
      </c>
    </row>
    <row r="172" spans="20:46" x14ac:dyDescent="0.2">
      <c r="T172" s="28" t="s">
        <v>334</v>
      </c>
      <c r="U172" s="68" t="s">
        <v>100</v>
      </c>
      <c r="V172" s="72" t="str">
        <f t="shared" si="2"/>
        <v>AR_POPE</v>
      </c>
      <c r="AJ172" s="1" t="s">
        <v>100</v>
      </c>
      <c r="AK172" s="1" t="s">
        <v>347</v>
      </c>
      <c r="AL172" s="1" t="s">
        <v>5504</v>
      </c>
      <c r="AM172" s="1" t="s">
        <v>3097</v>
      </c>
    </row>
    <row r="173" spans="20:46" x14ac:dyDescent="0.2">
      <c r="T173" s="29" t="s">
        <v>335</v>
      </c>
      <c r="U173" s="69" t="s">
        <v>100</v>
      </c>
      <c r="V173" s="72" t="str">
        <f t="shared" si="2"/>
        <v>AR_PRAIRIE</v>
      </c>
      <c r="AJ173" s="1" t="s">
        <v>100</v>
      </c>
      <c r="AK173" s="1" t="s">
        <v>348</v>
      </c>
      <c r="AL173" s="1" t="s">
        <v>5505</v>
      </c>
      <c r="AM173" s="1" t="s">
        <v>3098</v>
      </c>
    </row>
    <row r="174" spans="20:46" x14ac:dyDescent="0.2">
      <c r="T174" s="28" t="s">
        <v>336</v>
      </c>
      <c r="U174" s="68" t="s">
        <v>100</v>
      </c>
      <c r="V174" s="72" t="str">
        <f t="shared" si="2"/>
        <v>AR_PULASKI</v>
      </c>
      <c r="AJ174" s="1" t="s">
        <v>100</v>
      </c>
      <c r="AK174" s="1" t="s">
        <v>349</v>
      </c>
      <c r="AL174" s="1" t="s">
        <v>5506</v>
      </c>
      <c r="AM174" s="1" t="s">
        <v>3099</v>
      </c>
    </row>
    <row r="175" spans="20:46" x14ac:dyDescent="0.2">
      <c r="T175" s="29" t="s">
        <v>249</v>
      </c>
      <c r="U175" s="69" t="s">
        <v>100</v>
      </c>
      <c r="V175" s="72" t="str">
        <f t="shared" si="2"/>
        <v>AR_RANDOLPH</v>
      </c>
      <c r="AJ175" s="1" t="s">
        <v>2912</v>
      </c>
      <c r="AK175" s="1" t="s">
        <v>2913</v>
      </c>
      <c r="AL175" s="1" t="s">
        <v>5507</v>
      </c>
      <c r="AM175" s="1" t="s">
        <v>3100</v>
      </c>
    </row>
    <row r="176" spans="20:46" x14ac:dyDescent="0.2">
      <c r="T176" s="28" t="s">
        <v>337</v>
      </c>
      <c r="U176" s="68" t="s">
        <v>100</v>
      </c>
      <c r="V176" s="72" t="str">
        <f t="shared" si="2"/>
        <v>AR_ST. FRANCIS</v>
      </c>
      <c r="AJ176" s="1" t="s">
        <v>2912</v>
      </c>
      <c r="AK176" s="1" t="s">
        <v>2914</v>
      </c>
      <c r="AL176" s="1" t="s">
        <v>5508</v>
      </c>
      <c r="AM176" s="1" t="s">
        <v>3100</v>
      </c>
    </row>
    <row r="177" spans="20:39" x14ac:dyDescent="0.2">
      <c r="T177" s="29" t="s">
        <v>338</v>
      </c>
      <c r="U177" s="69" t="s">
        <v>100</v>
      </c>
      <c r="V177" s="72" t="str">
        <f t="shared" si="2"/>
        <v>AR_SALINE</v>
      </c>
      <c r="AJ177" s="1" t="s">
        <v>2912</v>
      </c>
      <c r="AK177" s="1" t="s">
        <v>2915</v>
      </c>
      <c r="AL177" s="1" t="s">
        <v>5509</v>
      </c>
      <c r="AM177" s="1" t="s">
        <v>3100</v>
      </c>
    </row>
    <row r="178" spans="20:39" x14ac:dyDescent="0.2">
      <c r="T178" s="28" t="s">
        <v>339</v>
      </c>
      <c r="U178" s="68" t="s">
        <v>100</v>
      </c>
      <c r="V178" s="72" t="str">
        <f t="shared" si="2"/>
        <v>AR_SCOTT</v>
      </c>
      <c r="AJ178" s="1" t="s">
        <v>2912</v>
      </c>
      <c r="AK178" s="1" t="s">
        <v>2916</v>
      </c>
      <c r="AL178" s="1" t="s">
        <v>5510</v>
      </c>
      <c r="AM178" s="1" t="s">
        <v>3100</v>
      </c>
    </row>
    <row r="179" spans="20:39" x14ac:dyDescent="0.2">
      <c r="T179" s="29" t="s">
        <v>340</v>
      </c>
      <c r="U179" s="69" t="s">
        <v>100</v>
      </c>
      <c r="V179" s="72" t="str">
        <f t="shared" si="2"/>
        <v>AR_SEARCY</v>
      </c>
      <c r="AJ179" s="1" t="s">
        <v>2912</v>
      </c>
      <c r="AK179" s="1" t="s">
        <v>2917</v>
      </c>
      <c r="AL179" s="1" t="s">
        <v>5511</v>
      </c>
      <c r="AM179" s="1" t="s">
        <v>3100</v>
      </c>
    </row>
    <row r="180" spans="20:39" x14ac:dyDescent="0.2">
      <c r="T180" s="28" t="s">
        <v>341</v>
      </c>
      <c r="U180" s="68" t="s">
        <v>100</v>
      </c>
      <c r="V180" s="72" t="str">
        <f t="shared" si="2"/>
        <v>AR_SEBASTIAN</v>
      </c>
      <c r="AJ180" s="1" t="s">
        <v>2912</v>
      </c>
      <c r="AK180" s="1" t="s">
        <v>2918</v>
      </c>
      <c r="AL180" s="1" t="s">
        <v>5512</v>
      </c>
      <c r="AM180" s="1" t="s">
        <v>3100</v>
      </c>
    </row>
    <row r="181" spans="20:39" x14ac:dyDescent="0.2">
      <c r="T181" s="29" t="s">
        <v>342</v>
      </c>
      <c r="U181" s="69" t="s">
        <v>100</v>
      </c>
      <c r="V181" s="72" t="str">
        <f t="shared" si="2"/>
        <v>AR_SEVIER</v>
      </c>
      <c r="AJ181" s="1" t="s">
        <v>2912</v>
      </c>
      <c r="AK181" s="1" t="s">
        <v>2919</v>
      </c>
      <c r="AL181" s="1" t="s">
        <v>5513</v>
      </c>
      <c r="AM181" s="1" t="s">
        <v>3100</v>
      </c>
    </row>
    <row r="182" spans="20:39" x14ac:dyDescent="0.2">
      <c r="T182" s="28" t="s">
        <v>343</v>
      </c>
      <c r="U182" s="68" t="s">
        <v>100</v>
      </c>
      <c r="V182" s="72" t="str">
        <f t="shared" si="2"/>
        <v>AR_SHARP</v>
      </c>
      <c r="AJ182" s="1" t="s">
        <v>2912</v>
      </c>
      <c r="AK182" s="1" t="s">
        <v>2920</v>
      </c>
      <c r="AL182" s="1" t="s">
        <v>5514</v>
      </c>
      <c r="AM182" s="1" t="s">
        <v>3100</v>
      </c>
    </row>
    <row r="183" spans="20:39" x14ac:dyDescent="0.2">
      <c r="T183" s="29" t="s">
        <v>344</v>
      </c>
      <c r="U183" s="69" t="s">
        <v>100</v>
      </c>
      <c r="V183" s="72" t="str">
        <f t="shared" si="2"/>
        <v>AR_STONE</v>
      </c>
      <c r="AJ183" s="1" t="s">
        <v>2912</v>
      </c>
      <c r="AK183" s="1" t="s">
        <v>2921</v>
      </c>
      <c r="AL183" s="1" t="s">
        <v>5515</v>
      </c>
      <c r="AM183" s="1" t="s">
        <v>3100</v>
      </c>
    </row>
    <row r="184" spans="20:39" x14ac:dyDescent="0.2">
      <c r="T184" s="28" t="s">
        <v>345</v>
      </c>
      <c r="U184" s="68" t="s">
        <v>100</v>
      </c>
      <c r="V184" s="72" t="str">
        <f t="shared" si="2"/>
        <v>AR_UNION</v>
      </c>
      <c r="AJ184" s="1" t="s">
        <v>2912</v>
      </c>
      <c r="AK184" s="1" t="s">
        <v>2922</v>
      </c>
      <c r="AL184" s="1" t="s">
        <v>5516</v>
      </c>
      <c r="AM184" s="1" t="s">
        <v>3100</v>
      </c>
    </row>
    <row r="185" spans="20:39" x14ac:dyDescent="0.2">
      <c r="T185" s="29" t="s">
        <v>346</v>
      </c>
      <c r="U185" s="69" t="s">
        <v>100</v>
      </c>
      <c r="V185" s="72" t="str">
        <f t="shared" si="2"/>
        <v>AR_VAN BUREN</v>
      </c>
      <c r="AJ185" s="1" t="s">
        <v>2912</v>
      </c>
      <c r="AK185" s="1" t="s">
        <v>2923</v>
      </c>
      <c r="AL185" s="1" t="s">
        <v>5517</v>
      </c>
      <c r="AM185" s="1" t="s">
        <v>3100</v>
      </c>
    </row>
    <row r="186" spans="20:39" x14ac:dyDescent="0.2">
      <c r="T186" s="28" t="s">
        <v>258</v>
      </c>
      <c r="U186" s="68" t="s">
        <v>100</v>
      </c>
      <c r="V186" s="72" t="str">
        <f t="shared" si="2"/>
        <v>AR_WASHINGTON</v>
      </c>
      <c r="AJ186" s="1" t="s">
        <v>2912</v>
      </c>
      <c r="AK186" s="1" t="s">
        <v>2924</v>
      </c>
      <c r="AL186" s="1" t="s">
        <v>5518</v>
      </c>
      <c r="AM186" s="1" t="s">
        <v>3100</v>
      </c>
    </row>
    <row r="187" spans="20:39" x14ac:dyDescent="0.2">
      <c r="T187" s="29" t="s">
        <v>347</v>
      </c>
      <c r="U187" s="69" t="s">
        <v>100</v>
      </c>
      <c r="V187" s="72" t="str">
        <f t="shared" si="2"/>
        <v>AR_WHITE</v>
      </c>
      <c r="AJ187" s="1" t="s">
        <v>2912</v>
      </c>
      <c r="AK187" s="1" t="s">
        <v>2925</v>
      </c>
      <c r="AL187" s="1" t="s">
        <v>5519</v>
      </c>
      <c r="AM187" s="1" t="s">
        <v>3100</v>
      </c>
    </row>
    <row r="188" spans="20:39" x14ac:dyDescent="0.2">
      <c r="T188" s="28" t="s">
        <v>348</v>
      </c>
      <c r="U188" s="68" t="s">
        <v>100</v>
      </c>
      <c r="V188" s="72" t="str">
        <f t="shared" si="2"/>
        <v>AR_WOODRUFF</v>
      </c>
      <c r="AJ188" s="1" t="s">
        <v>2912</v>
      </c>
      <c r="AK188" s="1" t="s">
        <v>2926</v>
      </c>
      <c r="AL188" s="1" t="s">
        <v>5520</v>
      </c>
      <c r="AM188" s="1" t="s">
        <v>3100</v>
      </c>
    </row>
    <row r="189" spans="20:39" x14ac:dyDescent="0.2">
      <c r="T189" s="29" t="s">
        <v>349</v>
      </c>
      <c r="U189" s="69" t="s">
        <v>100</v>
      </c>
      <c r="V189" s="72" t="str">
        <f t="shared" si="2"/>
        <v>AR_YELL</v>
      </c>
      <c r="AJ189" s="1" t="s">
        <v>2912</v>
      </c>
      <c r="AK189" s="1" t="s">
        <v>2927</v>
      </c>
      <c r="AL189" s="1" t="s">
        <v>5521</v>
      </c>
      <c r="AM189" s="1" t="s">
        <v>3100</v>
      </c>
    </row>
    <row r="190" spans="20:39" x14ac:dyDescent="0.2">
      <c r="T190" s="28" t="s">
        <v>350</v>
      </c>
      <c r="U190" s="68" t="s">
        <v>99</v>
      </c>
      <c r="V190" s="72" t="str">
        <f t="shared" si="2"/>
        <v>CA_ALAMEDA</v>
      </c>
      <c r="AJ190" s="1" t="s">
        <v>101</v>
      </c>
      <c r="AK190" s="1" t="s">
        <v>278</v>
      </c>
      <c r="AL190" s="1" t="s">
        <v>5522</v>
      </c>
      <c r="AM190" s="1" t="s">
        <v>3101</v>
      </c>
    </row>
    <row r="191" spans="20:39" x14ac:dyDescent="0.2">
      <c r="T191" s="29" t="s">
        <v>351</v>
      </c>
      <c r="U191" s="69" t="s">
        <v>99</v>
      </c>
      <c r="V191" s="72" t="str">
        <f t="shared" si="2"/>
        <v>CA_ALPINE</v>
      </c>
      <c r="AJ191" s="1" t="s">
        <v>101</v>
      </c>
      <c r="AK191" s="1" t="s">
        <v>279</v>
      </c>
      <c r="AL191" s="1" t="s">
        <v>5523</v>
      </c>
      <c r="AM191" s="1" t="s">
        <v>3111</v>
      </c>
    </row>
    <row r="192" spans="20:39" x14ac:dyDescent="0.2">
      <c r="T192" s="28" t="s">
        <v>352</v>
      </c>
      <c r="U192" s="68" t="s">
        <v>99</v>
      </c>
      <c r="V192" s="72" t="str">
        <f t="shared" si="2"/>
        <v>CA_AMADOR</v>
      </c>
      <c r="AJ192" s="1" t="s">
        <v>101</v>
      </c>
      <c r="AK192" s="1" t="s">
        <v>280</v>
      </c>
      <c r="AL192" s="1" t="s">
        <v>5524</v>
      </c>
      <c r="AM192" s="1" t="s">
        <v>3102</v>
      </c>
    </row>
    <row r="193" spans="20:39" x14ac:dyDescent="0.2">
      <c r="T193" s="29" t="s">
        <v>353</v>
      </c>
      <c r="U193" s="69" t="s">
        <v>99</v>
      </c>
      <c r="V193" s="72" t="str">
        <f t="shared" si="2"/>
        <v>CA_BUTTE</v>
      </c>
      <c r="AJ193" s="1" t="s">
        <v>101</v>
      </c>
      <c r="AK193" s="1" t="s">
        <v>281</v>
      </c>
      <c r="AL193" s="1" t="s">
        <v>5525</v>
      </c>
      <c r="AM193" s="1" t="s">
        <v>3103</v>
      </c>
    </row>
    <row r="194" spans="20:39" x14ac:dyDescent="0.2">
      <c r="T194" s="28" t="s">
        <v>354</v>
      </c>
      <c r="U194" s="68" t="s">
        <v>99</v>
      </c>
      <c r="V194" s="72" t="str">
        <f t="shared" si="2"/>
        <v>CA_CALAVERAS</v>
      </c>
      <c r="AJ194" s="1" t="s">
        <v>101</v>
      </c>
      <c r="AK194" s="1" t="s">
        <v>282</v>
      </c>
      <c r="AL194" s="1" t="s">
        <v>5526</v>
      </c>
      <c r="AM194" s="1" t="s">
        <v>3104</v>
      </c>
    </row>
    <row r="195" spans="20:39" x14ac:dyDescent="0.2">
      <c r="T195" s="29" t="s">
        <v>355</v>
      </c>
      <c r="U195" s="69" t="s">
        <v>99</v>
      </c>
      <c r="V195" s="72" t="str">
        <f t="shared" si="2"/>
        <v>CA_COLUSA</v>
      </c>
      <c r="AJ195" s="1" t="s">
        <v>101</v>
      </c>
      <c r="AK195" s="1" t="s">
        <v>283</v>
      </c>
      <c r="AL195" s="1" t="s">
        <v>5527</v>
      </c>
      <c r="AM195" s="1" t="s">
        <v>3105</v>
      </c>
    </row>
    <row r="196" spans="20:39" x14ac:dyDescent="0.2">
      <c r="T196" s="28" t="s">
        <v>356</v>
      </c>
      <c r="U196" s="68" t="s">
        <v>99</v>
      </c>
      <c r="V196" s="72" t="str">
        <f t="shared" si="2"/>
        <v>CA_CONTRA COSTA</v>
      </c>
      <c r="AJ196" s="1" t="s">
        <v>101</v>
      </c>
      <c r="AK196" s="1" t="s">
        <v>284</v>
      </c>
      <c r="AL196" s="1" t="s">
        <v>5528</v>
      </c>
      <c r="AM196" s="1" t="s">
        <v>3106</v>
      </c>
    </row>
    <row r="197" spans="20:39" x14ac:dyDescent="0.2">
      <c r="T197" s="29" t="s">
        <v>357</v>
      </c>
      <c r="U197" s="69" t="s">
        <v>99</v>
      </c>
      <c r="V197" s="72" t="str">
        <f t="shared" si="2"/>
        <v>CA_DEL NORTE</v>
      </c>
      <c r="AJ197" s="1" t="s">
        <v>101</v>
      </c>
      <c r="AK197" s="1" t="s">
        <v>285</v>
      </c>
      <c r="AL197" s="1" t="s">
        <v>5529</v>
      </c>
      <c r="AM197" s="1" t="s">
        <v>9092</v>
      </c>
    </row>
    <row r="198" spans="20:39" x14ac:dyDescent="0.2">
      <c r="T198" s="28" t="s">
        <v>358</v>
      </c>
      <c r="U198" s="68" t="s">
        <v>99</v>
      </c>
      <c r="V198" s="72" t="str">
        <f t="shared" si="2"/>
        <v>CA_EL DORADO</v>
      </c>
      <c r="AJ198" s="1" t="s">
        <v>101</v>
      </c>
      <c r="AK198" s="1" t="s">
        <v>286</v>
      </c>
      <c r="AL198" s="1" t="s">
        <v>5530</v>
      </c>
      <c r="AM198" s="1" t="s">
        <v>3107</v>
      </c>
    </row>
    <row r="199" spans="20:39" x14ac:dyDescent="0.2">
      <c r="T199" s="29" t="s">
        <v>359</v>
      </c>
      <c r="U199" s="69" t="s">
        <v>99</v>
      </c>
      <c r="V199" s="72" t="str">
        <f t="shared" si="2"/>
        <v>CA_FRESNO</v>
      </c>
      <c r="AJ199" s="1" t="s">
        <v>101</v>
      </c>
      <c r="AK199" s="1" t="s">
        <v>287</v>
      </c>
      <c r="AL199" s="1" t="s">
        <v>5531</v>
      </c>
      <c r="AM199" s="1" t="s">
        <v>3108</v>
      </c>
    </row>
    <row r="200" spans="20:39" x14ac:dyDescent="0.2">
      <c r="T200" s="28" t="s">
        <v>360</v>
      </c>
      <c r="U200" s="68" t="s">
        <v>99</v>
      </c>
      <c r="V200" s="72" t="str">
        <f t="shared" si="2"/>
        <v>CA_GLENN</v>
      </c>
      <c r="AJ200" s="1" t="s">
        <v>101</v>
      </c>
      <c r="AK200" s="1" t="s">
        <v>288</v>
      </c>
      <c r="AL200" s="1" t="s">
        <v>5532</v>
      </c>
      <c r="AM200" s="1" t="s">
        <v>3112</v>
      </c>
    </row>
    <row r="201" spans="20:39" x14ac:dyDescent="0.2">
      <c r="T201" s="29" t="s">
        <v>361</v>
      </c>
      <c r="U201" s="69" t="s">
        <v>99</v>
      </c>
      <c r="V201" s="72" t="str">
        <f t="shared" ref="V201:V265" si="3">UPPER(CONCATENATE(TRIM(U201),"_",TRIM(T201)))</f>
        <v>CA_HUMBOLDT</v>
      </c>
      <c r="AJ201" s="1" t="s">
        <v>101</v>
      </c>
      <c r="AK201" s="1" t="s">
        <v>289</v>
      </c>
      <c r="AL201" s="1" t="s">
        <v>5533</v>
      </c>
      <c r="AM201" s="1" t="s">
        <v>9092</v>
      </c>
    </row>
    <row r="202" spans="20:39" x14ac:dyDescent="0.2">
      <c r="T202" s="28" t="s">
        <v>362</v>
      </c>
      <c r="U202" s="68" t="s">
        <v>99</v>
      </c>
      <c r="V202" s="72" t="str">
        <f t="shared" si="3"/>
        <v>CA_IMPERIAL</v>
      </c>
      <c r="AJ202" s="1" t="s">
        <v>101</v>
      </c>
      <c r="AK202" s="1" t="s">
        <v>290</v>
      </c>
      <c r="AL202" s="1" t="s">
        <v>5534</v>
      </c>
      <c r="AM202" s="1" t="s">
        <v>3110</v>
      </c>
    </row>
    <row r="203" spans="20:39" x14ac:dyDescent="0.2">
      <c r="T203" s="29" t="s">
        <v>363</v>
      </c>
      <c r="U203" s="69" t="s">
        <v>99</v>
      </c>
      <c r="V203" s="72" t="str">
        <f t="shared" si="3"/>
        <v>CA_INYO</v>
      </c>
      <c r="AJ203" s="1" t="s">
        <v>101</v>
      </c>
      <c r="AK203" s="1" t="s">
        <v>291</v>
      </c>
      <c r="AL203" s="1" t="s">
        <v>5535</v>
      </c>
      <c r="AM203" s="1" t="s">
        <v>3109</v>
      </c>
    </row>
    <row r="204" spans="20:39" x14ac:dyDescent="0.2">
      <c r="T204" s="28" t="s">
        <v>364</v>
      </c>
      <c r="U204" s="68" t="s">
        <v>99</v>
      </c>
      <c r="V204" s="72" t="str">
        <f t="shared" si="3"/>
        <v>CA_KERN</v>
      </c>
      <c r="AJ204" s="1" t="s">
        <v>101</v>
      </c>
      <c r="AK204" s="1" t="s">
        <v>292</v>
      </c>
      <c r="AL204" s="1" t="s">
        <v>5536</v>
      </c>
      <c r="AM204" s="1" t="s">
        <v>3113</v>
      </c>
    </row>
    <row r="205" spans="20:39" x14ac:dyDescent="0.2">
      <c r="T205" s="29" t="s">
        <v>365</v>
      </c>
      <c r="U205" s="69" t="s">
        <v>99</v>
      </c>
      <c r="V205" s="72" t="str">
        <f t="shared" si="3"/>
        <v>CA_KINGS</v>
      </c>
      <c r="AJ205" s="1" t="s">
        <v>99</v>
      </c>
      <c r="AK205" s="1" t="s">
        <v>350</v>
      </c>
      <c r="AL205" s="1" t="s">
        <v>5537</v>
      </c>
      <c r="AM205" s="1" t="s">
        <v>3136</v>
      </c>
    </row>
    <row r="206" spans="20:39" x14ac:dyDescent="0.2">
      <c r="T206" s="28" t="s">
        <v>366</v>
      </c>
      <c r="U206" s="68" t="s">
        <v>99</v>
      </c>
      <c r="V206" s="72" t="str">
        <f t="shared" si="3"/>
        <v>CA_LAKE</v>
      </c>
      <c r="AJ206" s="1" t="s">
        <v>99</v>
      </c>
      <c r="AK206" s="1" t="s">
        <v>351</v>
      </c>
      <c r="AL206" s="1" t="s">
        <v>5538</v>
      </c>
      <c r="AM206" s="1" t="s">
        <v>3114</v>
      </c>
    </row>
    <row r="207" spans="20:39" x14ac:dyDescent="0.2">
      <c r="T207" s="29" t="s">
        <v>367</v>
      </c>
      <c r="U207" s="69" t="s">
        <v>99</v>
      </c>
      <c r="V207" s="72" t="str">
        <f t="shared" si="3"/>
        <v>CA_LASSEN</v>
      </c>
      <c r="AJ207" s="1" t="s">
        <v>99</v>
      </c>
      <c r="AK207" s="1" t="s">
        <v>352</v>
      </c>
      <c r="AL207" s="1" t="s">
        <v>5539</v>
      </c>
      <c r="AM207" s="1" t="s">
        <v>3115</v>
      </c>
    </row>
    <row r="208" spans="20:39" x14ac:dyDescent="0.2">
      <c r="T208" s="28" t="s">
        <v>368</v>
      </c>
      <c r="U208" s="68" t="s">
        <v>99</v>
      </c>
      <c r="V208" s="72" t="str">
        <f t="shared" si="3"/>
        <v>CA_LOS ANGELES</v>
      </c>
      <c r="AJ208" s="1" t="s">
        <v>99</v>
      </c>
      <c r="AK208" s="1" t="s">
        <v>353</v>
      </c>
      <c r="AL208" s="1" t="s">
        <v>5540</v>
      </c>
      <c r="AM208" s="1" t="s">
        <v>3117</v>
      </c>
    </row>
    <row r="209" spans="20:39" x14ac:dyDescent="0.2">
      <c r="T209" s="29" t="s">
        <v>369</v>
      </c>
      <c r="U209" s="69" t="s">
        <v>99</v>
      </c>
      <c r="V209" s="72" t="str">
        <f t="shared" si="3"/>
        <v>CA_MADERA</v>
      </c>
      <c r="AJ209" s="1" t="s">
        <v>99</v>
      </c>
      <c r="AK209" s="1" t="s">
        <v>354</v>
      </c>
      <c r="AL209" s="1" t="s">
        <v>5541</v>
      </c>
      <c r="AM209" s="1" t="s">
        <v>3116</v>
      </c>
    </row>
    <row r="210" spans="20:39" x14ac:dyDescent="0.2">
      <c r="T210" s="28" t="s">
        <v>370</v>
      </c>
      <c r="U210" s="68" t="s">
        <v>99</v>
      </c>
      <c r="V210" s="72" t="str">
        <f t="shared" si="3"/>
        <v>CA_MARIN</v>
      </c>
      <c r="AJ210" s="1" t="s">
        <v>99</v>
      </c>
      <c r="AK210" s="1" t="s">
        <v>355</v>
      </c>
      <c r="AL210" s="1" t="s">
        <v>5542</v>
      </c>
      <c r="AM210" s="1" t="s">
        <v>3118</v>
      </c>
    </row>
    <row r="211" spans="20:39" x14ac:dyDescent="0.2">
      <c r="T211" s="29" t="s">
        <v>371</v>
      </c>
      <c r="U211" s="69" t="s">
        <v>99</v>
      </c>
      <c r="V211" s="72" t="str">
        <f t="shared" si="3"/>
        <v>CA_MARIPOSA</v>
      </c>
      <c r="AJ211" s="1" t="s">
        <v>99</v>
      </c>
      <c r="AK211" s="1" t="s">
        <v>356</v>
      </c>
      <c r="AL211" s="1" t="s">
        <v>5543</v>
      </c>
      <c r="AM211" s="1" t="s">
        <v>3136</v>
      </c>
    </row>
    <row r="212" spans="20:39" x14ac:dyDescent="0.2">
      <c r="T212" s="28" t="s">
        <v>372</v>
      </c>
      <c r="U212" s="68" t="s">
        <v>99</v>
      </c>
      <c r="V212" s="72" t="str">
        <f t="shared" si="3"/>
        <v>CA_MENDOCINO</v>
      </c>
      <c r="AJ212" s="1" t="s">
        <v>99</v>
      </c>
      <c r="AK212" s="1" t="s">
        <v>357</v>
      </c>
      <c r="AL212" s="1" t="s">
        <v>5544</v>
      </c>
      <c r="AM212" s="1" t="s">
        <v>3119</v>
      </c>
    </row>
    <row r="213" spans="20:39" x14ac:dyDescent="0.2">
      <c r="T213" s="29" t="s">
        <v>373</v>
      </c>
      <c r="U213" s="69" t="s">
        <v>99</v>
      </c>
      <c r="V213" s="72" t="str">
        <f t="shared" si="3"/>
        <v>CA_MERCED</v>
      </c>
      <c r="AJ213" s="1" t="s">
        <v>99</v>
      </c>
      <c r="AK213" s="1" t="s">
        <v>358</v>
      </c>
      <c r="AL213" s="1" t="s">
        <v>5545</v>
      </c>
      <c r="AM213" s="1" t="s">
        <v>3141</v>
      </c>
    </row>
    <row r="214" spans="20:39" x14ac:dyDescent="0.2">
      <c r="T214" s="28" t="s">
        <v>374</v>
      </c>
      <c r="U214" s="68" t="s">
        <v>99</v>
      </c>
      <c r="V214" s="72" t="str">
        <f t="shared" si="3"/>
        <v>CA_MODOC</v>
      </c>
      <c r="AJ214" s="1" t="s">
        <v>99</v>
      </c>
      <c r="AK214" s="1" t="s">
        <v>359</v>
      </c>
      <c r="AL214" s="1" t="s">
        <v>5546</v>
      </c>
      <c r="AM214" s="1" t="s">
        <v>9093</v>
      </c>
    </row>
    <row r="215" spans="20:39" x14ac:dyDescent="0.2">
      <c r="T215" s="29" t="s">
        <v>375</v>
      </c>
      <c r="U215" s="69" t="s">
        <v>99</v>
      </c>
      <c r="V215" s="72" t="str">
        <f t="shared" si="3"/>
        <v>CA_MONO</v>
      </c>
      <c r="AJ215" s="1" t="s">
        <v>99</v>
      </c>
      <c r="AK215" s="1" t="s">
        <v>360</v>
      </c>
      <c r="AL215" s="1" t="s">
        <v>5547</v>
      </c>
      <c r="AM215" s="1" t="s">
        <v>3121</v>
      </c>
    </row>
    <row r="216" spans="20:39" x14ac:dyDescent="0.2">
      <c r="T216" s="28" t="s">
        <v>376</v>
      </c>
      <c r="U216" s="68" t="s">
        <v>99</v>
      </c>
      <c r="V216" s="72" t="str">
        <f t="shared" si="3"/>
        <v>CA_MONTEREY</v>
      </c>
      <c r="AJ216" s="1" t="s">
        <v>99</v>
      </c>
      <c r="AK216" s="1" t="s">
        <v>361</v>
      </c>
      <c r="AL216" s="1" t="s">
        <v>5548</v>
      </c>
      <c r="AM216" s="1" t="s">
        <v>3123</v>
      </c>
    </row>
    <row r="217" spans="20:39" x14ac:dyDescent="0.2">
      <c r="T217" s="29" t="s">
        <v>377</v>
      </c>
      <c r="U217" s="69" t="s">
        <v>99</v>
      </c>
      <c r="V217" s="72" t="str">
        <f t="shared" si="3"/>
        <v>CA_NAPA</v>
      </c>
      <c r="AJ217" s="1" t="s">
        <v>99</v>
      </c>
      <c r="AK217" s="1" t="s">
        <v>362</v>
      </c>
      <c r="AL217" s="1" t="s">
        <v>5549</v>
      </c>
      <c r="AM217" s="1" t="s">
        <v>3120</v>
      </c>
    </row>
    <row r="218" spans="20:39" x14ac:dyDescent="0.2">
      <c r="T218" s="28" t="s">
        <v>328</v>
      </c>
      <c r="U218" s="68" t="s">
        <v>99</v>
      </c>
      <c r="V218" s="72" t="str">
        <f t="shared" si="3"/>
        <v>CA_NEVADA</v>
      </c>
      <c r="AJ218" s="1" t="s">
        <v>99</v>
      </c>
      <c r="AK218" s="1" t="s">
        <v>363</v>
      </c>
      <c r="AL218" s="1" t="s">
        <v>5550</v>
      </c>
      <c r="AM218" s="1" t="s">
        <v>3124</v>
      </c>
    </row>
    <row r="219" spans="20:39" x14ac:dyDescent="0.2">
      <c r="T219" s="29" t="s">
        <v>378</v>
      </c>
      <c r="U219" s="69" t="s">
        <v>99</v>
      </c>
      <c r="V219" s="72" t="str">
        <f t="shared" si="3"/>
        <v>CA_ORANGE</v>
      </c>
      <c r="AJ219" s="1" t="s">
        <v>99</v>
      </c>
      <c r="AK219" s="1" t="s">
        <v>364</v>
      </c>
      <c r="AL219" s="1" t="s">
        <v>5551</v>
      </c>
      <c r="AM219" s="1" t="s">
        <v>9094</v>
      </c>
    </row>
    <row r="220" spans="20:39" x14ac:dyDescent="0.2">
      <c r="T220" s="28" t="s">
        <v>379</v>
      </c>
      <c r="U220" s="68" t="s">
        <v>99</v>
      </c>
      <c r="V220" s="72" t="str">
        <f t="shared" si="3"/>
        <v>CA_PLACER</v>
      </c>
      <c r="AJ220" s="1" t="s">
        <v>99</v>
      </c>
      <c r="AK220" s="1" t="s">
        <v>365</v>
      </c>
      <c r="AL220" s="1" t="s">
        <v>5552</v>
      </c>
      <c r="AM220" s="1" t="s">
        <v>3122</v>
      </c>
    </row>
    <row r="221" spans="20:39" x14ac:dyDescent="0.2">
      <c r="T221" s="29" t="s">
        <v>380</v>
      </c>
      <c r="U221" s="69" t="s">
        <v>99</v>
      </c>
      <c r="V221" s="72" t="str">
        <f t="shared" si="3"/>
        <v>CA_PLUMAS</v>
      </c>
      <c r="AJ221" s="1" t="s">
        <v>99</v>
      </c>
      <c r="AK221" s="1" t="s">
        <v>366</v>
      </c>
      <c r="AL221" s="1" t="s">
        <v>5553</v>
      </c>
      <c r="AM221" s="1" t="s">
        <v>3125</v>
      </c>
    </row>
    <row r="222" spans="20:39" x14ac:dyDescent="0.2">
      <c r="T222" s="28" t="s">
        <v>381</v>
      </c>
      <c r="U222" s="68" t="s">
        <v>99</v>
      </c>
      <c r="V222" s="72" t="str">
        <f t="shared" si="3"/>
        <v>CA_RIVERSIDE</v>
      </c>
      <c r="AJ222" s="1" t="s">
        <v>99</v>
      </c>
      <c r="AK222" s="1" t="s">
        <v>367</v>
      </c>
      <c r="AL222" s="1" t="s">
        <v>5554</v>
      </c>
      <c r="AM222" s="1" t="s">
        <v>3126</v>
      </c>
    </row>
    <row r="223" spans="20:39" x14ac:dyDescent="0.2">
      <c r="T223" s="29" t="s">
        <v>382</v>
      </c>
      <c r="U223" s="69" t="s">
        <v>99</v>
      </c>
      <c r="V223" s="72" t="str">
        <f t="shared" si="3"/>
        <v>CA_SACRAMENTO</v>
      </c>
      <c r="AJ223" s="1" t="s">
        <v>99</v>
      </c>
      <c r="AK223" s="1" t="s">
        <v>368</v>
      </c>
      <c r="AL223" s="1" t="s">
        <v>5555</v>
      </c>
      <c r="AM223" s="1" t="s">
        <v>3127</v>
      </c>
    </row>
    <row r="224" spans="20:39" x14ac:dyDescent="0.2">
      <c r="T224" s="28" t="s">
        <v>383</v>
      </c>
      <c r="U224" s="68" t="s">
        <v>99</v>
      </c>
      <c r="V224" s="72" t="str">
        <f t="shared" si="3"/>
        <v>CA_SAN BENITO</v>
      </c>
      <c r="AJ224" s="1" t="s">
        <v>99</v>
      </c>
      <c r="AK224" s="1" t="s">
        <v>369</v>
      </c>
      <c r="AL224" s="1" t="s">
        <v>5556</v>
      </c>
      <c r="AM224" s="1" t="s">
        <v>9095</v>
      </c>
    </row>
    <row r="225" spans="20:39" x14ac:dyDescent="0.2">
      <c r="T225" s="29" t="s">
        <v>384</v>
      </c>
      <c r="U225" s="69" t="s">
        <v>99</v>
      </c>
      <c r="V225" s="72" t="str">
        <f t="shared" si="3"/>
        <v>CA_SAN BERNARDINO</v>
      </c>
      <c r="AJ225" s="1" t="s">
        <v>99</v>
      </c>
      <c r="AK225" s="1" t="s">
        <v>370</v>
      </c>
      <c r="AL225" s="1" t="s">
        <v>5557</v>
      </c>
      <c r="AM225" s="1" t="s">
        <v>3144</v>
      </c>
    </row>
    <row r="226" spans="20:39" x14ac:dyDescent="0.2">
      <c r="T226" s="28" t="s">
        <v>385</v>
      </c>
      <c r="U226" s="68" t="s">
        <v>99</v>
      </c>
      <c r="V226" s="72" t="str">
        <f t="shared" si="3"/>
        <v>CA_SAN DIEGO</v>
      </c>
      <c r="AJ226" s="1" t="s">
        <v>99</v>
      </c>
      <c r="AK226" s="1" t="s">
        <v>371</v>
      </c>
      <c r="AL226" s="1" t="s">
        <v>5558</v>
      </c>
      <c r="AM226" s="1" t="s">
        <v>3128</v>
      </c>
    </row>
    <row r="227" spans="20:39" x14ac:dyDescent="0.2">
      <c r="T227" s="29" t="s">
        <v>386</v>
      </c>
      <c r="U227" s="69" t="s">
        <v>99</v>
      </c>
      <c r="V227" s="72" t="str">
        <f t="shared" si="3"/>
        <v>CA_SAN FRANCISCO</v>
      </c>
      <c r="AJ227" s="1" t="s">
        <v>99</v>
      </c>
      <c r="AK227" s="1" t="s">
        <v>372</v>
      </c>
      <c r="AL227" s="1" t="s">
        <v>5559</v>
      </c>
      <c r="AM227" s="1" t="s">
        <v>3129</v>
      </c>
    </row>
    <row r="228" spans="20:39" x14ac:dyDescent="0.2">
      <c r="T228" s="28" t="s">
        <v>387</v>
      </c>
      <c r="U228" s="68" t="s">
        <v>99</v>
      </c>
      <c r="V228" s="72" t="str">
        <f t="shared" si="3"/>
        <v>CA_SAN JOAQUIN</v>
      </c>
      <c r="AJ228" s="1" t="s">
        <v>99</v>
      </c>
      <c r="AK228" s="1" t="s">
        <v>373</v>
      </c>
      <c r="AL228" s="1" t="s">
        <v>5560</v>
      </c>
      <c r="AM228" s="1" t="s">
        <v>3130</v>
      </c>
    </row>
    <row r="229" spans="20:39" x14ac:dyDescent="0.2">
      <c r="T229" s="29" t="s">
        <v>388</v>
      </c>
      <c r="U229" s="69" t="s">
        <v>99</v>
      </c>
      <c r="V229" s="72" t="str">
        <f t="shared" si="3"/>
        <v>CA_SAN LUIS OBISPO</v>
      </c>
      <c r="AJ229" s="1" t="s">
        <v>99</v>
      </c>
      <c r="AK229" s="1" t="s">
        <v>374</v>
      </c>
      <c r="AL229" s="1" t="s">
        <v>5561</v>
      </c>
      <c r="AM229" s="1" t="s">
        <v>3132</v>
      </c>
    </row>
    <row r="230" spans="20:39" x14ac:dyDescent="0.2">
      <c r="T230" s="28" t="s">
        <v>389</v>
      </c>
      <c r="U230" s="68" t="s">
        <v>99</v>
      </c>
      <c r="V230" s="72" t="str">
        <f t="shared" si="3"/>
        <v>CA_SAN MATEO</v>
      </c>
      <c r="AJ230" s="1" t="s">
        <v>99</v>
      </c>
      <c r="AK230" s="1" t="s">
        <v>375</v>
      </c>
      <c r="AL230" s="1" t="s">
        <v>5562</v>
      </c>
      <c r="AM230" s="1" t="s">
        <v>3133</v>
      </c>
    </row>
    <row r="231" spans="20:39" x14ac:dyDescent="0.2">
      <c r="T231" s="29" t="s">
        <v>390</v>
      </c>
      <c r="U231" s="69" t="s">
        <v>99</v>
      </c>
      <c r="V231" s="72" t="str">
        <f t="shared" si="3"/>
        <v>CA_SANTA BARBARA</v>
      </c>
      <c r="AJ231" s="1" t="s">
        <v>99</v>
      </c>
      <c r="AK231" s="1" t="s">
        <v>376</v>
      </c>
      <c r="AL231" s="1" t="s">
        <v>5563</v>
      </c>
      <c r="AM231" s="1" t="s">
        <v>3142</v>
      </c>
    </row>
    <row r="232" spans="20:39" x14ac:dyDescent="0.2">
      <c r="T232" s="28" t="s">
        <v>391</v>
      </c>
      <c r="U232" s="68" t="s">
        <v>99</v>
      </c>
      <c r="V232" s="72" t="str">
        <f t="shared" si="3"/>
        <v>CA_SANTA CLARA</v>
      </c>
      <c r="AJ232" s="1" t="s">
        <v>99</v>
      </c>
      <c r="AK232" s="1" t="s">
        <v>377</v>
      </c>
      <c r="AL232" s="1" t="s">
        <v>5564</v>
      </c>
      <c r="AM232" s="1" t="s">
        <v>3134</v>
      </c>
    </row>
    <row r="233" spans="20:39" x14ac:dyDescent="0.2">
      <c r="T233" s="29" t="s">
        <v>290</v>
      </c>
      <c r="U233" s="69" t="s">
        <v>99</v>
      </c>
      <c r="V233" s="72" t="str">
        <f t="shared" si="3"/>
        <v>CA_SANTA CRUZ</v>
      </c>
      <c r="AJ233" s="1" t="s">
        <v>99</v>
      </c>
      <c r="AK233" s="1" t="s">
        <v>328</v>
      </c>
      <c r="AL233" s="1" t="s">
        <v>5565</v>
      </c>
      <c r="AM233" s="1" t="s">
        <v>3135</v>
      </c>
    </row>
    <row r="234" spans="20:39" x14ac:dyDescent="0.2">
      <c r="T234" s="28" t="s">
        <v>392</v>
      </c>
      <c r="U234" s="68" t="s">
        <v>99</v>
      </c>
      <c r="V234" s="72" t="str">
        <f t="shared" si="3"/>
        <v>CA_SHASTA</v>
      </c>
      <c r="AJ234" s="1" t="s">
        <v>99</v>
      </c>
      <c r="AK234" s="1" t="s">
        <v>378</v>
      </c>
      <c r="AL234" s="1" t="s">
        <v>5566</v>
      </c>
      <c r="AM234" s="1" t="s">
        <v>3146</v>
      </c>
    </row>
    <row r="235" spans="20:39" x14ac:dyDescent="0.2">
      <c r="T235" s="29" t="s">
        <v>393</v>
      </c>
      <c r="U235" s="69" t="s">
        <v>99</v>
      </c>
      <c r="V235" s="72" t="str">
        <f t="shared" si="3"/>
        <v>CA_SIERRA</v>
      </c>
      <c r="AJ235" s="1" t="s">
        <v>99</v>
      </c>
      <c r="AK235" s="1" t="s">
        <v>379</v>
      </c>
      <c r="AL235" s="1" t="s">
        <v>5567</v>
      </c>
      <c r="AM235" s="1" t="s">
        <v>3141</v>
      </c>
    </row>
    <row r="236" spans="20:39" x14ac:dyDescent="0.2">
      <c r="T236" s="28" t="s">
        <v>394</v>
      </c>
      <c r="U236" s="68" t="s">
        <v>99</v>
      </c>
      <c r="V236" s="72" t="str">
        <f t="shared" si="3"/>
        <v>CA_SISKIYOU</v>
      </c>
      <c r="AJ236" s="1" t="s">
        <v>99</v>
      </c>
      <c r="AK236" s="1" t="s">
        <v>380</v>
      </c>
      <c r="AL236" s="1" t="s">
        <v>5568</v>
      </c>
      <c r="AM236" s="1" t="s">
        <v>3138</v>
      </c>
    </row>
    <row r="237" spans="20:39" x14ac:dyDescent="0.2">
      <c r="T237" s="29" t="s">
        <v>395</v>
      </c>
      <c r="U237" s="69" t="s">
        <v>99</v>
      </c>
      <c r="V237" s="72" t="str">
        <f t="shared" si="3"/>
        <v>CA_SOLANO</v>
      </c>
      <c r="AJ237" s="1" t="s">
        <v>99</v>
      </c>
      <c r="AK237" s="1" t="s">
        <v>381</v>
      </c>
      <c r="AL237" s="1" t="s">
        <v>5569</v>
      </c>
      <c r="AM237" s="1" t="s">
        <v>3140</v>
      </c>
    </row>
    <row r="238" spans="20:39" x14ac:dyDescent="0.2">
      <c r="T238" s="28" t="s">
        <v>396</v>
      </c>
      <c r="U238" s="68" t="s">
        <v>99</v>
      </c>
      <c r="V238" s="72" t="str">
        <f t="shared" si="3"/>
        <v>CA_SONOMA</v>
      </c>
      <c r="AJ238" s="1" t="s">
        <v>99</v>
      </c>
      <c r="AK238" s="1" t="s">
        <v>382</v>
      </c>
      <c r="AL238" s="1" t="s">
        <v>5570</v>
      </c>
      <c r="AM238" s="1" t="s">
        <v>3141</v>
      </c>
    </row>
    <row r="239" spans="20:39" x14ac:dyDescent="0.2">
      <c r="T239" s="29" t="s">
        <v>397</v>
      </c>
      <c r="U239" s="69" t="s">
        <v>99</v>
      </c>
      <c r="V239" s="72" t="str">
        <f t="shared" si="3"/>
        <v>CA_STANISLAUS</v>
      </c>
      <c r="AJ239" s="1" t="s">
        <v>99</v>
      </c>
      <c r="AK239" s="1" t="s">
        <v>383</v>
      </c>
      <c r="AL239" s="1" t="s">
        <v>5571</v>
      </c>
      <c r="AM239" s="1" t="s">
        <v>3143</v>
      </c>
    </row>
    <row r="240" spans="20:39" x14ac:dyDescent="0.2">
      <c r="T240" s="28" t="s">
        <v>398</v>
      </c>
      <c r="U240" s="68" t="s">
        <v>99</v>
      </c>
      <c r="V240" s="72" t="str">
        <f t="shared" si="3"/>
        <v>CA_SUTTER</v>
      </c>
      <c r="AJ240" s="1" t="s">
        <v>99</v>
      </c>
      <c r="AK240" s="1" t="s">
        <v>384</v>
      </c>
      <c r="AL240" s="1" t="s">
        <v>5572</v>
      </c>
      <c r="AM240" s="1" t="s">
        <v>3140</v>
      </c>
    </row>
    <row r="241" spans="20:39" x14ac:dyDescent="0.2">
      <c r="T241" s="29" t="s">
        <v>399</v>
      </c>
      <c r="U241" s="69" t="s">
        <v>99</v>
      </c>
      <c r="V241" s="72" t="str">
        <f t="shared" si="3"/>
        <v>CA_TEHAMA</v>
      </c>
      <c r="AJ241" s="1" t="s">
        <v>99</v>
      </c>
      <c r="AK241" s="1" t="s">
        <v>385</v>
      </c>
      <c r="AL241" s="1" t="s">
        <v>5573</v>
      </c>
      <c r="AM241" s="1" t="s">
        <v>9096</v>
      </c>
    </row>
    <row r="242" spans="20:39" x14ac:dyDescent="0.2">
      <c r="T242" s="28" t="s">
        <v>400</v>
      </c>
      <c r="U242" s="68" t="s">
        <v>99</v>
      </c>
      <c r="V242" s="72" t="str">
        <f t="shared" si="3"/>
        <v>CA_TRINITY</v>
      </c>
      <c r="AJ242" s="1" t="s">
        <v>99</v>
      </c>
      <c r="AK242" s="1" t="s">
        <v>386</v>
      </c>
      <c r="AL242" s="1" t="s">
        <v>5574</v>
      </c>
      <c r="AM242" s="1" t="s">
        <v>3144</v>
      </c>
    </row>
    <row r="243" spans="20:39" x14ac:dyDescent="0.2">
      <c r="T243" s="29" t="s">
        <v>401</v>
      </c>
      <c r="U243" s="69" t="s">
        <v>99</v>
      </c>
      <c r="V243" s="72" t="str">
        <f t="shared" si="3"/>
        <v>CA_TULARE</v>
      </c>
      <c r="AJ243" s="1" t="s">
        <v>99</v>
      </c>
      <c r="AK243" s="1" t="s">
        <v>387</v>
      </c>
      <c r="AL243" s="1" t="s">
        <v>5575</v>
      </c>
      <c r="AM243" s="1" t="s">
        <v>3151</v>
      </c>
    </row>
    <row r="244" spans="20:39" x14ac:dyDescent="0.2">
      <c r="T244" s="28" t="s">
        <v>402</v>
      </c>
      <c r="U244" s="68" t="s">
        <v>99</v>
      </c>
      <c r="V244" s="72" t="str">
        <f t="shared" si="3"/>
        <v>CA_TUOLUMNE</v>
      </c>
      <c r="AJ244" s="1" t="s">
        <v>99</v>
      </c>
      <c r="AK244" s="1" t="s">
        <v>388</v>
      </c>
      <c r="AL244" s="1" t="s">
        <v>5576</v>
      </c>
      <c r="AM244" s="1" t="s">
        <v>9097</v>
      </c>
    </row>
    <row r="245" spans="20:39" x14ac:dyDescent="0.2">
      <c r="T245" s="29" t="s">
        <v>403</v>
      </c>
      <c r="U245" s="69" t="s">
        <v>99</v>
      </c>
      <c r="V245" s="72" t="str">
        <f t="shared" si="3"/>
        <v>CA_VENTURA</v>
      </c>
      <c r="AJ245" s="1" t="s">
        <v>99</v>
      </c>
      <c r="AK245" s="1" t="s">
        <v>389</v>
      </c>
      <c r="AL245" s="1" t="s">
        <v>5577</v>
      </c>
      <c r="AM245" s="1" t="s">
        <v>3144</v>
      </c>
    </row>
    <row r="246" spans="20:39" x14ac:dyDescent="0.2">
      <c r="T246" s="28" t="s">
        <v>404</v>
      </c>
      <c r="U246" s="68" t="s">
        <v>99</v>
      </c>
      <c r="V246" s="72" t="str">
        <f t="shared" si="3"/>
        <v>CA_YOLO</v>
      </c>
      <c r="AJ246" s="1" t="s">
        <v>99</v>
      </c>
      <c r="AK246" s="1" t="s">
        <v>390</v>
      </c>
      <c r="AL246" s="1" t="s">
        <v>5578</v>
      </c>
      <c r="AM246" s="1" t="s">
        <v>3148</v>
      </c>
    </row>
    <row r="247" spans="20:39" x14ac:dyDescent="0.2">
      <c r="T247" s="29" t="s">
        <v>405</v>
      </c>
      <c r="U247" s="69" t="s">
        <v>99</v>
      </c>
      <c r="V247" s="72" t="str">
        <f t="shared" si="3"/>
        <v>CA_YUBA</v>
      </c>
      <c r="AJ247" s="1" t="s">
        <v>99</v>
      </c>
      <c r="AK247" s="1" t="s">
        <v>391</v>
      </c>
      <c r="AL247" s="1" t="s">
        <v>5579</v>
      </c>
      <c r="AM247" s="1" t="s">
        <v>3145</v>
      </c>
    </row>
    <row r="248" spans="20:39" x14ac:dyDescent="0.2">
      <c r="T248" s="28" t="s">
        <v>406</v>
      </c>
      <c r="U248" s="68" t="s">
        <v>98</v>
      </c>
      <c r="V248" s="72" t="str">
        <f t="shared" si="3"/>
        <v>CO_ADAMS</v>
      </c>
      <c r="AJ248" s="1" t="s">
        <v>99</v>
      </c>
      <c r="AK248" s="1" t="s">
        <v>290</v>
      </c>
      <c r="AL248" s="1" t="s">
        <v>5580</v>
      </c>
      <c r="AM248" s="1" t="s">
        <v>3147</v>
      </c>
    </row>
    <row r="249" spans="20:39" x14ac:dyDescent="0.2">
      <c r="T249" s="29" t="s">
        <v>407</v>
      </c>
      <c r="U249" s="69" t="s">
        <v>98</v>
      </c>
      <c r="V249" s="72" t="str">
        <f t="shared" si="3"/>
        <v>CO_ALAMOSA</v>
      </c>
      <c r="AJ249" s="1" t="s">
        <v>99</v>
      </c>
      <c r="AK249" s="1" t="s">
        <v>392</v>
      </c>
      <c r="AL249" s="1" t="s">
        <v>5581</v>
      </c>
      <c r="AM249" s="1" t="s">
        <v>3139</v>
      </c>
    </row>
    <row r="250" spans="20:39" x14ac:dyDescent="0.2">
      <c r="T250" s="28" t="s">
        <v>408</v>
      </c>
      <c r="U250" s="68" t="s">
        <v>98</v>
      </c>
      <c r="V250" s="72" t="str">
        <f t="shared" si="3"/>
        <v>CO_ARAPAHOE</v>
      </c>
      <c r="AJ250" s="1" t="s">
        <v>99</v>
      </c>
      <c r="AK250" s="1" t="s">
        <v>393</v>
      </c>
      <c r="AL250" s="1" t="s">
        <v>5582</v>
      </c>
      <c r="AM250" s="1" t="s">
        <v>3149</v>
      </c>
    </row>
    <row r="251" spans="20:39" x14ac:dyDescent="0.2">
      <c r="T251" s="29" t="s">
        <v>409</v>
      </c>
      <c r="U251" s="69" t="s">
        <v>98</v>
      </c>
      <c r="V251" s="72" t="str">
        <f t="shared" si="3"/>
        <v>CO_ARCHULETA</v>
      </c>
      <c r="AJ251" s="1" t="s">
        <v>99</v>
      </c>
      <c r="AK251" s="1" t="s">
        <v>394</v>
      </c>
      <c r="AL251" s="1" t="s">
        <v>5583</v>
      </c>
      <c r="AM251" s="1" t="s">
        <v>3150</v>
      </c>
    </row>
    <row r="252" spans="20:39" x14ac:dyDescent="0.2">
      <c r="T252" s="28" t="s">
        <v>410</v>
      </c>
      <c r="U252" s="68" t="s">
        <v>98</v>
      </c>
      <c r="V252" s="72" t="str">
        <f t="shared" si="3"/>
        <v>CO_BACA</v>
      </c>
      <c r="AJ252" s="1" t="s">
        <v>99</v>
      </c>
      <c r="AK252" s="1" t="s">
        <v>395</v>
      </c>
      <c r="AL252" s="1" t="s">
        <v>5584</v>
      </c>
      <c r="AM252" s="1" t="s">
        <v>9098</v>
      </c>
    </row>
    <row r="253" spans="20:39" x14ac:dyDescent="0.2">
      <c r="T253" s="29" t="s">
        <v>411</v>
      </c>
      <c r="U253" s="69" t="s">
        <v>98</v>
      </c>
      <c r="V253" s="72" t="str">
        <f t="shared" si="3"/>
        <v>CO_BENT</v>
      </c>
      <c r="AJ253" s="1" t="s">
        <v>99</v>
      </c>
      <c r="AK253" s="1" t="s">
        <v>396</v>
      </c>
      <c r="AL253" s="1" t="s">
        <v>5585</v>
      </c>
      <c r="AM253" s="1" t="s">
        <v>9099</v>
      </c>
    </row>
    <row r="254" spans="20:39" x14ac:dyDescent="0.2">
      <c r="T254" s="28" t="s">
        <v>412</v>
      </c>
      <c r="U254" s="68" t="s">
        <v>98</v>
      </c>
      <c r="V254" s="72" t="str">
        <f t="shared" si="3"/>
        <v>CO_BOULDER</v>
      </c>
      <c r="AJ254" s="1" t="s">
        <v>99</v>
      </c>
      <c r="AK254" s="1" t="s">
        <v>397</v>
      </c>
      <c r="AL254" s="1" t="s">
        <v>5586</v>
      </c>
      <c r="AM254" s="1" t="s">
        <v>3131</v>
      </c>
    </row>
    <row r="255" spans="20:39" x14ac:dyDescent="0.2">
      <c r="T255" s="28" t="s">
        <v>5602</v>
      </c>
      <c r="U255" s="68" t="s">
        <v>98</v>
      </c>
      <c r="V255" s="72" t="str">
        <f t="shared" si="3"/>
        <v>CO_BROOMFIELD</v>
      </c>
      <c r="AJ255" s="1" t="s">
        <v>99</v>
      </c>
      <c r="AK255" s="1" t="s">
        <v>398</v>
      </c>
      <c r="AL255" s="1" t="s">
        <v>5587</v>
      </c>
      <c r="AM255" s="1" t="s">
        <v>3156</v>
      </c>
    </row>
    <row r="256" spans="20:39" x14ac:dyDescent="0.2">
      <c r="T256" s="29" t="s">
        <v>413</v>
      </c>
      <c r="U256" s="69" t="s">
        <v>98</v>
      </c>
      <c r="V256" s="72" t="str">
        <f t="shared" si="3"/>
        <v>CO_CHAFFEE</v>
      </c>
      <c r="AJ256" s="1" t="s">
        <v>99</v>
      </c>
      <c r="AK256" s="1" t="s">
        <v>399</v>
      </c>
      <c r="AL256" s="1" t="s">
        <v>5588</v>
      </c>
      <c r="AM256" s="1" t="s">
        <v>3152</v>
      </c>
    </row>
    <row r="257" spans="20:39" x14ac:dyDescent="0.2">
      <c r="T257" s="28" t="s">
        <v>414</v>
      </c>
      <c r="U257" s="68" t="s">
        <v>98</v>
      </c>
      <c r="V257" s="72" t="str">
        <f t="shared" si="3"/>
        <v>CO_CHEYENNE</v>
      </c>
      <c r="AJ257" s="1" t="s">
        <v>99</v>
      </c>
      <c r="AK257" s="1" t="s">
        <v>400</v>
      </c>
      <c r="AL257" s="1" t="s">
        <v>5589</v>
      </c>
      <c r="AM257" s="1" t="s">
        <v>3153</v>
      </c>
    </row>
    <row r="258" spans="20:39" x14ac:dyDescent="0.2">
      <c r="T258" s="29" t="s">
        <v>415</v>
      </c>
      <c r="U258" s="69" t="s">
        <v>98</v>
      </c>
      <c r="V258" s="72" t="str">
        <f t="shared" si="3"/>
        <v>CO_CLEAR CREEK</v>
      </c>
      <c r="AJ258" s="1" t="s">
        <v>99</v>
      </c>
      <c r="AK258" s="1" t="s">
        <v>401</v>
      </c>
      <c r="AL258" s="1" t="s">
        <v>5590</v>
      </c>
      <c r="AM258" s="1" t="s">
        <v>9100</v>
      </c>
    </row>
    <row r="259" spans="20:39" x14ac:dyDescent="0.2">
      <c r="T259" s="28" t="s">
        <v>416</v>
      </c>
      <c r="U259" s="68" t="s">
        <v>98</v>
      </c>
      <c r="V259" s="72" t="str">
        <f t="shared" si="3"/>
        <v>CO_CONEJOS</v>
      </c>
      <c r="AJ259" s="1" t="s">
        <v>99</v>
      </c>
      <c r="AK259" s="1" t="s">
        <v>402</v>
      </c>
      <c r="AL259" s="1" t="s">
        <v>5591</v>
      </c>
      <c r="AM259" s="1" t="s">
        <v>3154</v>
      </c>
    </row>
    <row r="260" spans="20:39" x14ac:dyDescent="0.2">
      <c r="T260" s="29" t="s">
        <v>417</v>
      </c>
      <c r="U260" s="69" t="s">
        <v>98</v>
      </c>
      <c r="V260" s="72" t="str">
        <f t="shared" si="3"/>
        <v>CO_COSTILLA</v>
      </c>
      <c r="AJ260" s="1" t="s">
        <v>99</v>
      </c>
      <c r="AK260" s="1" t="s">
        <v>403</v>
      </c>
      <c r="AL260" s="1" t="s">
        <v>5592</v>
      </c>
      <c r="AM260" s="1" t="s">
        <v>3137</v>
      </c>
    </row>
    <row r="261" spans="20:39" x14ac:dyDescent="0.2">
      <c r="T261" s="28" t="s">
        <v>418</v>
      </c>
      <c r="U261" s="68" t="s">
        <v>98</v>
      </c>
      <c r="V261" s="72" t="str">
        <f t="shared" si="3"/>
        <v>CO_CROWLEY</v>
      </c>
      <c r="AJ261" s="1" t="s">
        <v>99</v>
      </c>
      <c r="AK261" s="1" t="s">
        <v>404</v>
      </c>
      <c r="AL261" s="1" t="s">
        <v>5593</v>
      </c>
      <c r="AM261" s="1" t="s">
        <v>3155</v>
      </c>
    </row>
    <row r="262" spans="20:39" x14ac:dyDescent="0.2">
      <c r="T262" s="29" t="s">
        <v>419</v>
      </c>
      <c r="U262" s="69" t="s">
        <v>98</v>
      </c>
      <c r="V262" s="72" t="str">
        <f t="shared" si="3"/>
        <v>CO_CUSTER</v>
      </c>
      <c r="AJ262" s="1" t="s">
        <v>99</v>
      </c>
      <c r="AK262" s="1" t="s">
        <v>405</v>
      </c>
      <c r="AL262" s="1" t="s">
        <v>5594</v>
      </c>
      <c r="AM262" s="1" t="s">
        <v>3156</v>
      </c>
    </row>
    <row r="263" spans="20:39" x14ac:dyDescent="0.2">
      <c r="T263" s="28" t="s">
        <v>420</v>
      </c>
      <c r="U263" s="68" t="s">
        <v>98</v>
      </c>
      <c r="V263" s="72" t="str">
        <f t="shared" si="3"/>
        <v>CO_DELTA</v>
      </c>
      <c r="AJ263" s="1" t="s">
        <v>98</v>
      </c>
      <c r="AK263" s="1" t="s">
        <v>406</v>
      </c>
      <c r="AL263" s="1" t="s">
        <v>5595</v>
      </c>
      <c r="AM263" s="1" t="s">
        <v>9101</v>
      </c>
    </row>
    <row r="264" spans="20:39" x14ac:dyDescent="0.2">
      <c r="T264" s="29" t="s">
        <v>421</v>
      </c>
      <c r="U264" s="69" t="s">
        <v>98</v>
      </c>
      <c r="V264" s="72" t="str">
        <f t="shared" si="3"/>
        <v>CO_DENVER</v>
      </c>
      <c r="AJ264" s="1" t="s">
        <v>98</v>
      </c>
      <c r="AK264" s="1" t="s">
        <v>407</v>
      </c>
      <c r="AL264" s="1" t="s">
        <v>5596</v>
      </c>
      <c r="AM264" s="1" t="s">
        <v>3157</v>
      </c>
    </row>
    <row r="265" spans="20:39" x14ac:dyDescent="0.2">
      <c r="T265" s="28" t="s">
        <v>422</v>
      </c>
      <c r="U265" s="68" t="s">
        <v>98</v>
      </c>
      <c r="V265" s="72" t="str">
        <f t="shared" si="3"/>
        <v>CO_DOLORES</v>
      </c>
      <c r="AJ265" s="1" t="s">
        <v>98</v>
      </c>
      <c r="AK265" s="1" t="s">
        <v>408</v>
      </c>
      <c r="AL265" s="1" t="s">
        <v>5597</v>
      </c>
      <c r="AM265" s="1" t="s">
        <v>9101</v>
      </c>
    </row>
    <row r="266" spans="20:39" x14ac:dyDescent="0.2">
      <c r="T266" s="29" t="s">
        <v>423</v>
      </c>
      <c r="U266" s="69" t="s">
        <v>98</v>
      </c>
      <c r="V266" s="72" t="str">
        <f t="shared" ref="V266:V329" si="4">UPPER(CONCATENATE(TRIM(U266),"_",TRIM(T266)))</f>
        <v>CO_DOUGLAS</v>
      </c>
      <c r="AJ266" s="1" t="s">
        <v>98</v>
      </c>
      <c r="AK266" s="1" t="s">
        <v>409</v>
      </c>
      <c r="AL266" s="1" t="s">
        <v>5598</v>
      </c>
      <c r="AM266" s="1" t="s">
        <v>3158</v>
      </c>
    </row>
    <row r="267" spans="20:39" x14ac:dyDescent="0.2">
      <c r="T267" s="28" t="s">
        <v>424</v>
      </c>
      <c r="U267" s="68" t="s">
        <v>98</v>
      </c>
      <c r="V267" s="72" t="str">
        <f t="shared" si="4"/>
        <v>CO_EAGLE</v>
      </c>
      <c r="AJ267" s="1" t="s">
        <v>98</v>
      </c>
      <c r="AK267" s="1" t="s">
        <v>410</v>
      </c>
      <c r="AL267" s="1" t="s">
        <v>5599</v>
      </c>
      <c r="AM267" s="1" t="s">
        <v>3159</v>
      </c>
    </row>
    <row r="268" spans="20:39" x14ac:dyDescent="0.2">
      <c r="T268" s="29" t="s">
        <v>425</v>
      </c>
      <c r="U268" s="69" t="s">
        <v>98</v>
      </c>
      <c r="V268" s="72" t="str">
        <f t="shared" si="4"/>
        <v>CO_ELBERT</v>
      </c>
      <c r="AJ268" s="1" t="s">
        <v>98</v>
      </c>
      <c r="AK268" s="1" t="s">
        <v>411</v>
      </c>
      <c r="AL268" s="1" t="s">
        <v>5600</v>
      </c>
      <c r="AM268" s="1" t="s">
        <v>3160</v>
      </c>
    </row>
    <row r="269" spans="20:39" x14ac:dyDescent="0.2">
      <c r="T269" s="28" t="s">
        <v>426</v>
      </c>
      <c r="U269" s="68" t="s">
        <v>98</v>
      </c>
      <c r="V269" s="72" t="str">
        <f t="shared" si="4"/>
        <v>CO_EL PASO</v>
      </c>
      <c r="AJ269" s="1" t="s">
        <v>98</v>
      </c>
      <c r="AK269" s="1" t="s">
        <v>412</v>
      </c>
      <c r="AL269" s="1" t="s">
        <v>5601</v>
      </c>
      <c r="AM269" s="1" t="s">
        <v>3161</v>
      </c>
    </row>
    <row r="270" spans="20:39" x14ac:dyDescent="0.2">
      <c r="T270" s="29" t="s">
        <v>427</v>
      </c>
      <c r="U270" s="69" t="s">
        <v>98</v>
      </c>
      <c r="V270" s="72" t="str">
        <f t="shared" si="4"/>
        <v>CO_FREMONT</v>
      </c>
      <c r="AJ270" s="1" t="s">
        <v>98</v>
      </c>
      <c r="AK270" s="1" t="s">
        <v>5602</v>
      </c>
      <c r="AL270" s="1" t="s">
        <v>5603</v>
      </c>
      <c r="AM270" s="1" t="s">
        <v>9101</v>
      </c>
    </row>
    <row r="271" spans="20:39" x14ac:dyDescent="0.2">
      <c r="T271" s="28" t="s">
        <v>428</v>
      </c>
      <c r="U271" s="68" t="s">
        <v>98</v>
      </c>
      <c r="V271" s="72" t="str">
        <f t="shared" si="4"/>
        <v>CO_GARFIELD</v>
      </c>
      <c r="AJ271" s="1" t="s">
        <v>98</v>
      </c>
      <c r="AK271" s="1" t="s">
        <v>413</v>
      </c>
      <c r="AL271" s="1" t="s">
        <v>5604</v>
      </c>
      <c r="AM271" s="1" t="s">
        <v>3162</v>
      </c>
    </row>
    <row r="272" spans="20:39" x14ac:dyDescent="0.2">
      <c r="T272" s="29" t="s">
        <v>429</v>
      </c>
      <c r="U272" s="69" t="s">
        <v>98</v>
      </c>
      <c r="V272" s="72" t="str">
        <f t="shared" si="4"/>
        <v>CO_GILPIN</v>
      </c>
      <c r="AJ272" s="1" t="s">
        <v>98</v>
      </c>
      <c r="AK272" s="1" t="s">
        <v>414</v>
      </c>
      <c r="AL272" s="1" t="s">
        <v>5605</v>
      </c>
      <c r="AM272" s="1" t="s">
        <v>3163</v>
      </c>
    </row>
    <row r="273" spans="20:39" x14ac:dyDescent="0.2">
      <c r="T273" s="28" t="s">
        <v>430</v>
      </c>
      <c r="U273" s="68" t="s">
        <v>98</v>
      </c>
      <c r="V273" s="72" t="str">
        <f t="shared" si="4"/>
        <v>CO_GRAND</v>
      </c>
      <c r="AJ273" s="1" t="s">
        <v>98</v>
      </c>
      <c r="AK273" s="1" t="s">
        <v>415</v>
      </c>
      <c r="AL273" s="1" t="s">
        <v>5606</v>
      </c>
      <c r="AM273" s="1" t="s">
        <v>9101</v>
      </c>
    </row>
    <row r="274" spans="20:39" x14ac:dyDescent="0.2">
      <c r="T274" s="29" t="s">
        <v>431</v>
      </c>
      <c r="U274" s="69" t="s">
        <v>98</v>
      </c>
      <c r="V274" s="72" t="str">
        <f t="shared" si="4"/>
        <v>CO_GUNNISON</v>
      </c>
      <c r="AJ274" s="1" t="s">
        <v>98</v>
      </c>
      <c r="AK274" s="1" t="s">
        <v>416</v>
      </c>
      <c r="AL274" s="1" t="s">
        <v>5607</v>
      </c>
      <c r="AM274" s="1" t="s">
        <v>3165</v>
      </c>
    </row>
    <row r="275" spans="20:39" x14ac:dyDescent="0.2">
      <c r="T275" s="28" t="s">
        <v>432</v>
      </c>
      <c r="U275" s="68" t="s">
        <v>98</v>
      </c>
      <c r="V275" s="72" t="str">
        <f t="shared" si="4"/>
        <v>CO_HINSDALE</v>
      </c>
      <c r="AJ275" s="1" t="s">
        <v>98</v>
      </c>
      <c r="AK275" s="1" t="s">
        <v>417</v>
      </c>
      <c r="AL275" s="1" t="s">
        <v>5608</v>
      </c>
      <c r="AM275" s="1" t="s">
        <v>3166</v>
      </c>
    </row>
    <row r="276" spans="20:39" x14ac:dyDescent="0.2">
      <c r="T276" s="29" t="s">
        <v>433</v>
      </c>
      <c r="U276" s="69" t="s">
        <v>98</v>
      </c>
      <c r="V276" s="72" t="str">
        <f t="shared" si="4"/>
        <v>CO_HUERFANO</v>
      </c>
      <c r="AJ276" s="1" t="s">
        <v>98</v>
      </c>
      <c r="AK276" s="1" t="s">
        <v>418</v>
      </c>
      <c r="AL276" s="1" t="s">
        <v>5609</v>
      </c>
      <c r="AM276" s="1" t="s">
        <v>3167</v>
      </c>
    </row>
    <row r="277" spans="20:39" x14ac:dyDescent="0.2">
      <c r="T277" s="28" t="s">
        <v>229</v>
      </c>
      <c r="U277" s="68" t="s">
        <v>98</v>
      </c>
      <c r="V277" s="72" t="str">
        <f t="shared" si="4"/>
        <v>CO_JACKSON</v>
      </c>
      <c r="AJ277" s="1" t="s">
        <v>98</v>
      </c>
      <c r="AK277" s="1" t="s">
        <v>419</v>
      </c>
      <c r="AL277" s="1" t="s">
        <v>5610</v>
      </c>
      <c r="AM277" s="1" t="s">
        <v>3168</v>
      </c>
    </row>
    <row r="278" spans="20:39" x14ac:dyDescent="0.2">
      <c r="T278" s="29" t="s">
        <v>230</v>
      </c>
      <c r="U278" s="69" t="s">
        <v>98</v>
      </c>
      <c r="V278" s="72" t="str">
        <f t="shared" si="4"/>
        <v>CO_JEFFERSON</v>
      </c>
      <c r="AJ278" s="1" t="s">
        <v>98</v>
      </c>
      <c r="AK278" s="1" t="s">
        <v>420</v>
      </c>
      <c r="AL278" s="1" t="s">
        <v>5611</v>
      </c>
      <c r="AM278" s="1" t="s">
        <v>3169</v>
      </c>
    </row>
    <row r="279" spans="20:39" x14ac:dyDescent="0.2">
      <c r="T279" s="28" t="s">
        <v>434</v>
      </c>
      <c r="U279" s="68" t="s">
        <v>98</v>
      </c>
      <c r="V279" s="72" t="str">
        <f t="shared" si="4"/>
        <v>CO_KIOWA</v>
      </c>
      <c r="AJ279" s="1" t="s">
        <v>98</v>
      </c>
      <c r="AK279" s="1" t="s">
        <v>421</v>
      </c>
      <c r="AL279" s="1" t="s">
        <v>5612</v>
      </c>
      <c r="AM279" s="1" t="s">
        <v>9101</v>
      </c>
    </row>
    <row r="280" spans="20:39" x14ac:dyDescent="0.2">
      <c r="T280" s="29" t="s">
        <v>435</v>
      </c>
      <c r="U280" s="69" t="s">
        <v>98</v>
      </c>
      <c r="V280" s="72" t="str">
        <f t="shared" si="4"/>
        <v>CO_KIT CARSON</v>
      </c>
      <c r="AJ280" s="1" t="s">
        <v>98</v>
      </c>
      <c r="AK280" s="1" t="s">
        <v>422</v>
      </c>
      <c r="AL280" s="1" t="s">
        <v>5613</v>
      </c>
      <c r="AM280" s="1" t="s">
        <v>3170</v>
      </c>
    </row>
    <row r="281" spans="20:39" x14ac:dyDescent="0.2">
      <c r="T281" s="28" t="s">
        <v>366</v>
      </c>
      <c r="U281" s="68" t="s">
        <v>98</v>
      </c>
      <c r="V281" s="72" t="str">
        <f t="shared" si="4"/>
        <v>CO_LAKE</v>
      </c>
      <c r="AJ281" s="1" t="s">
        <v>98</v>
      </c>
      <c r="AK281" s="1" t="s">
        <v>423</v>
      </c>
      <c r="AL281" s="1" t="s">
        <v>5614</v>
      </c>
      <c r="AM281" s="1" t="s">
        <v>9101</v>
      </c>
    </row>
    <row r="282" spans="20:39" x14ac:dyDescent="0.2">
      <c r="T282" s="29" t="s">
        <v>436</v>
      </c>
      <c r="U282" s="69" t="s">
        <v>98</v>
      </c>
      <c r="V282" s="72" t="str">
        <f t="shared" si="4"/>
        <v>CO_LA PLATA</v>
      </c>
      <c r="AJ282" s="1" t="s">
        <v>98</v>
      </c>
      <c r="AK282" s="1" t="s">
        <v>424</v>
      </c>
      <c r="AL282" s="1" t="s">
        <v>5615</v>
      </c>
      <c r="AM282" s="1" t="s">
        <v>3171</v>
      </c>
    </row>
    <row r="283" spans="20:39" x14ac:dyDescent="0.2">
      <c r="T283" s="28" t="s">
        <v>437</v>
      </c>
      <c r="U283" s="68" t="s">
        <v>98</v>
      </c>
      <c r="V283" s="72" t="str">
        <f t="shared" si="4"/>
        <v>CO_LARIMER</v>
      </c>
      <c r="AJ283" s="1" t="s">
        <v>98</v>
      </c>
      <c r="AK283" s="1" t="s">
        <v>426</v>
      </c>
      <c r="AL283" s="1" t="s">
        <v>5616</v>
      </c>
      <c r="AM283" s="1" t="s">
        <v>3164</v>
      </c>
    </row>
    <row r="284" spans="20:39" x14ac:dyDescent="0.2">
      <c r="T284" s="29" t="s">
        <v>438</v>
      </c>
      <c r="U284" s="69" t="s">
        <v>98</v>
      </c>
      <c r="V284" s="72" t="str">
        <f t="shared" si="4"/>
        <v>CO_LAS ANIMAS</v>
      </c>
      <c r="AJ284" s="1" t="s">
        <v>98</v>
      </c>
      <c r="AK284" s="1" t="s">
        <v>425</v>
      </c>
      <c r="AL284" s="1" t="s">
        <v>5617</v>
      </c>
      <c r="AM284" s="1" t="s">
        <v>9101</v>
      </c>
    </row>
    <row r="285" spans="20:39" x14ac:dyDescent="0.2">
      <c r="T285" s="28" t="s">
        <v>322</v>
      </c>
      <c r="U285" s="68" t="s">
        <v>98</v>
      </c>
      <c r="V285" s="72" t="str">
        <f t="shared" si="4"/>
        <v>CO_LINCOLN</v>
      </c>
      <c r="AJ285" s="1" t="s">
        <v>98</v>
      </c>
      <c r="AK285" s="1" t="s">
        <v>427</v>
      </c>
      <c r="AL285" s="1" t="s">
        <v>5618</v>
      </c>
      <c r="AM285" s="1" t="s">
        <v>3172</v>
      </c>
    </row>
    <row r="286" spans="20:39" x14ac:dyDescent="0.2">
      <c r="T286" s="29" t="s">
        <v>324</v>
      </c>
      <c r="U286" s="69" t="s">
        <v>98</v>
      </c>
      <c r="V286" s="72" t="str">
        <f t="shared" si="4"/>
        <v>CO_LOGAN</v>
      </c>
      <c r="AJ286" s="1" t="s">
        <v>98</v>
      </c>
      <c r="AK286" s="1" t="s">
        <v>428</v>
      </c>
      <c r="AL286" s="1" t="s">
        <v>5619</v>
      </c>
      <c r="AM286" s="1" t="s">
        <v>3173</v>
      </c>
    </row>
    <row r="287" spans="20:39" x14ac:dyDescent="0.2">
      <c r="T287" s="28" t="s">
        <v>439</v>
      </c>
      <c r="U287" s="68" t="s">
        <v>98</v>
      </c>
      <c r="V287" s="72" t="str">
        <f t="shared" si="4"/>
        <v>CO_MESA</v>
      </c>
      <c r="AJ287" s="1" t="s">
        <v>98</v>
      </c>
      <c r="AK287" s="1" t="s">
        <v>429</v>
      </c>
      <c r="AL287" s="1" t="s">
        <v>5620</v>
      </c>
      <c r="AM287" s="1" t="s">
        <v>9101</v>
      </c>
    </row>
    <row r="288" spans="20:39" x14ac:dyDescent="0.2">
      <c r="T288" s="29" t="s">
        <v>440</v>
      </c>
      <c r="U288" s="69" t="s">
        <v>98</v>
      </c>
      <c r="V288" s="72" t="str">
        <f t="shared" si="4"/>
        <v>CO_MINERAL</v>
      </c>
      <c r="AJ288" s="1" t="s">
        <v>98</v>
      </c>
      <c r="AK288" s="1" t="s">
        <v>430</v>
      </c>
      <c r="AL288" s="1" t="s">
        <v>5621</v>
      </c>
      <c r="AM288" s="1" t="s">
        <v>3174</v>
      </c>
    </row>
    <row r="289" spans="20:39" x14ac:dyDescent="0.2">
      <c r="T289" s="28" t="s">
        <v>441</v>
      </c>
      <c r="U289" s="68" t="s">
        <v>98</v>
      </c>
      <c r="V289" s="72" t="str">
        <f t="shared" si="4"/>
        <v>CO_MOFFAT</v>
      </c>
      <c r="AJ289" s="1" t="s">
        <v>98</v>
      </c>
      <c r="AK289" s="1" t="s">
        <v>431</v>
      </c>
      <c r="AL289" s="1" t="s">
        <v>5622</v>
      </c>
      <c r="AM289" s="1" t="s">
        <v>3177</v>
      </c>
    </row>
    <row r="290" spans="20:39" x14ac:dyDescent="0.2">
      <c r="T290" s="29" t="s">
        <v>442</v>
      </c>
      <c r="U290" s="69" t="s">
        <v>98</v>
      </c>
      <c r="V290" s="72" t="str">
        <f t="shared" si="4"/>
        <v>CO_MONTEZUMA</v>
      </c>
      <c r="AJ290" s="1" t="s">
        <v>98</v>
      </c>
      <c r="AK290" s="1" t="s">
        <v>432</v>
      </c>
      <c r="AL290" s="1" t="s">
        <v>5623</v>
      </c>
      <c r="AM290" s="1" t="s">
        <v>3178</v>
      </c>
    </row>
    <row r="291" spans="20:39" x14ac:dyDescent="0.2">
      <c r="T291" s="28" t="s">
        <v>443</v>
      </c>
      <c r="U291" s="68" t="s">
        <v>98</v>
      </c>
      <c r="V291" s="72" t="str">
        <f t="shared" si="4"/>
        <v>CO_MONTROSE</v>
      </c>
      <c r="AJ291" s="1" t="s">
        <v>98</v>
      </c>
      <c r="AK291" s="1" t="s">
        <v>433</v>
      </c>
      <c r="AL291" s="1" t="s">
        <v>5624</v>
      </c>
      <c r="AM291" s="1" t="s">
        <v>3179</v>
      </c>
    </row>
    <row r="292" spans="20:39" x14ac:dyDescent="0.2">
      <c r="T292" s="29" t="s">
        <v>245</v>
      </c>
      <c r="U292" s="69" t="s">
        <v>98</v>
      </c>
      <c r="V292" s="72" t="str">
        <f t="shared" si="4"/>
        <v>CO_MORGAN</v>
      </c>
      <c r="AJ292" s="1" t="s">
        <v>98</v>
      </c>
      <c r="AK292" s="1" t="s">
        <v>229</v>
      </c>
      <c r="AL292" s="1" t="s">
        <v>5625</v>
      </c>
      <c r="AM292" s="1" t="s">
        <v>3180</v>
      </c>
    </row>
    <row r="293" spans="20:39" x14ac:dyDescent="0.2">
      <c r="T293" s="28" t="s">
        <v>444</v>
      </c>
      <c r="U293" s="68" t="s">
        <v>98</v>
      </c>
      <c r="V293" s="72" t="str">
        <f t="shared" si="4"/>
        <v>CO_OTERO</v>
      </c>
      <c r="AJ293" s="1" t="s">
        <v>98</v>
      </c>
      <c r="AK293" s="1" t="s">
        <v>230</v>
      </c>
      <c r="AL293" s="1" t="s">
        <v>5626</v>
      </c>
      <c r="AM293" s="1" t="s">
        <v>9101</v>
      </c>
    </row>
    <row r="294" spans="20:39" x14ac:dyDescent="0.2">
      <c r="T294" s="29" t="s">
        <v>445</v>
      </c>
      <c r="U294" s="69" t="s">
        <v>98</v>
      </c>
      <c r="V294" s="72" t="str">
        <f t="shared" si="4"/>
        <v>CO_OURAY</v>
      </c>
      <c r="AJ294" s="1" t="s">
        <v>98</v>
      </c>
      <c r="AK294" s="1" t="s">
        <v>434</v>
      </c>
      <c r="AL294" s="1" t="s">
        <v>5627</v>
      </c>
      <c r="AM294" s="1" t="s">
        <v>3181</v>
      </c>
    </row>
    <row r="295" spans="20:39" x14ac:dyDescent="0.2">
      <c r="T295" s="28" t="s">
        <v>446</v>
      </c>
      <c r="U295" s="68" t="s">
        <v>98</v>
      </c>
      <c r="V295" s="72" t="str">
        <f t="shared" si="4"/>
        <v>CO_PARK</v>
      </c>
      <c r="AJ295" s="1" t="s">
        <v>98</v>
      </c>
      <c r="AK295" s="1" t="s">
        <v>435</v>
      </c>
      <c r="AL295" s="1" t="s">
        <v>5628</v>
      </c>
      <c r="AM295" s="1" t="s">
        <v>3182</v>
      </c>
    </row>
    <row r="296" spans="20:39" x14ac:dyDescent="0.2">
      <c r="T296" s="29" t="s">
        <v>331</v>
      </c>
      <c r="U296" s="69" t="s">
        <v>98</v>
      </c>
      <c r="V296" s="72" t="str">
        <f t="shared" si="4"/>
        <v>CO_PHILLIPS</v>
      </c>
      <c r="AJ296" s="1" t="s">
        <v>98</v>
      </c>
      <c r="AK296" s="1" t="s">
        <v>436</v>
      </c>
      <c r="AL296" s="1" t="s">
        <v>5629</v>
      </c>
      <c r="AM296" s="1" t="s">
        <v>3183</v>
      </c>
    </row>
    <row r="297" spans="20:39" x14ac:dyDescent="0.2">
      <c r="T297" s="28" t="s">
        <v>447</v>
      </c>
      <c r="U297" s="68" t="s">
        <v>98</v>
      </c>
      <c r="V297" s="72" t="str">
        <f t="shared" si="4"/>
        <v>CO_PITKIN</v>
      </c>
      <c r="AJ297" s="1" t="s">
        <v>98</v>
      </c>
      <c r="AK297" s="1" t="s">
        <v>366</v>
      </c>
      <c r="AL297" s="1" t="s">
        <v>5630</v>
      </c>
      <c r="AM297" s="1" t="s">
        <v>3184</v>
      </c>
    </row>
    <row r="298" spans="20:39" x14ac:dyDescent="0.2">
      <c r="T298" s="29" t="s">
        <v>448</v>
      </c>
      <c r="U298" s="69" t="s">
        <v>98</v>
      </c>
      <c r="V298" s="72" t="str">
        <f t="shared" si="4"/>
        <v>CO_PROWERS</v>
      </c>
      <c r="AJ298" s="1" t="s">
        <v>98</v>
      </c>
      <c r="AK298" s="1" t="s">
        <v>437</v>
      </c>
      <c r="AL298" s="1" t="s">
        <v>5631</v>
      </c>
      <c r="AM298" s="1" t="s">
        <v>9102</v>
      </c>
    </row>
    <row r="299" spans="20:39" x14ac:dyDescent="0.2">
      <c r="T299" s="28" t="s">
        <v>449</v>
      </c>
      <c r="U299" s="68" t="s">
        <v>98</v>
      </c>
      <c r="V299" s="72" t="str">
        <f t="shared" si="4"/>
        <v>CO_PUEBLO</v>
      </c>
      <c r="AJ299" s="1" t="s">
        <v>98</v>
      </c>
      <c r="AK299" s="1" t="s">
        <v>438</v>
      </c>
      <c r="AL299" s="1" t="s">
        <v>5632</v>
      </c>
      <c r="AM299" s="1" t="s">
        <v>3185</v>
      </c>
    </row>
    <row r="300" spans="20:39" x14ac:dyDescent="0.2">
      <c r="T300" s="29" t="s">
        <v>450</v>
      </c>
      <c r="U300" s="69" t="s">
        <v>98</v>
      </c>
      <c r="V300" s="72" t="str">
        <f t="shared" si="4"/>
        <v>CO_RIO BLANCO</v>
      </c>
      <c r="AJ300" s="1" t="s">
        <v>98</v>
      </c>
      <c r="AK300" s="1" t="s">
        <v>322</v>
      </c>
      <c r="AL300" s="1" t="s">
        <v>5633</v>
      </c>
      <c r="AM300" s="1" t="s">
        <v>3186</v>
      </c>
    </row>
    <row r="301" spans="20:39" x14ac:dyDescent="0.2">
      <c r="T301" s="28" t="s">
        <v>451</v>
      </c>
      <c r="U301" s="68" t="s">
        <v>98</v>
      </c>
      <c r="V301" s="72" t="str">
        <f t="shared" si="4"/>
        <v>CO_RIO GRANDE</v>
      </c>
      <c r="AJ301" s="1" t="s">
        <v>98</v>
      </c>
      <c r="AK301" s="1" t="s">
        <v>324</v>
      </c>
      <c r="AL301" s="1" t="s">
        <v>5634</v>
      </c>
      <c r="AM301" s="1" t="s">
        <v>3187</v>
      </c>
    </row>
    <row r="302" spans="20:39" x14ac:dyDescent="0.2">
      <c r="T302" s="29" t="s">
        <v>452</v>
      </c>
      <c r="U302" s="69" t="s">
        <v>98</v>
      </c>
      <c r="V302" s="72" t="str">
        <f t="shared" si="4"/>
        <v>CO_ROUTT</v>
      </c>
      <c r="AJ302" s="1" t="s">
        <v>98</v>
      </c>
      <c r="AK302" s="1" t="s">
        <v>439</v>
      </c>
      <c r="AL302" s="1" t="s">
        <v>5635</v>
      </c>
      <c r="AM302" s="1" t="s">
        <v>3175</v>
      </c>
    </row>
    <row r="303" spans="20:39" x14ac:dyDescent="0.2">
      <c r="T303" s="28" t="s">
        <v>453</v>
      </c>
      <c r="U303" s="68" t="s">
        <v>98</v>
      </c>
      <c r="V303" s="72" t="str">
        <f t="shared" si="4"/>
        <v>CO_SAGUACHE</v>
      </c>
      <c r="AJ303" s="1" t="s">
        <v>98</v>
      </c>
      <c r="AK303" s="1" t="s">
        <v>440</v>
      </c>
      <c r="AL303" s="1" t="s">
        <v>5636</v>
      </c>
      <c r="AM303" s="1" t="s">
        <v>3188</v>
      </c>
    </row>
    <row r="304" spans="20:39" x14ac:dyDescent="0.2">
      <c r="T304" s="29" t="s">
        <v>454</v>
      </c>
      <c r="U304" s="69" t="s">
        <v>98</v>
      </c>
      <c r="V304" s="72" t="str">
        <f t="shared" si="4"/>
        <v>CO_SAN JUAN</v>
      </c>
      <c r="AJ304" s="1" t="s">
        <v>98</v>
      </c>
      <c r="AK304" s="1" t="s">
        <v>441</v>
      </c>
      <c r="AL304" s="1" t="s">
        <v>5637</v>
      </c>
      <c r="AM304" s="1" t="s">
        <v>3189</v>
      </c>
    </row>
    <row r="305" spans="20:39" x14ac:dyDescent="0.2">
      <c r="T305" s="28" t="s">
        <v>455</v>
      </c>
      <c r="U305" s="68" t="s">
        <v>98</v>
      </c>
      <c r="V305" s="72" t="str">
        <f t="shared" si="4"/>
        <v>CO_SAN MIGUEL</v>
      </c>
      <c r="AJ305" s="1" t="s">
        <v>98</v>
      </c>
      <c r="AK305" s="1" t="s">
        <v>442</v>
      </c>
      <c r="AL305" s="1" t="s">
        <v>5638</v>
      </c>
      <c r="AM305" s="1" t="s">
        <v>3190</v>
      </c>
    </row>
    <row r="306" spans="20:39" x14ac:dyDescent="0.2">
      <c r="T306" s="29" t="s">
        <v>456</v>
      </c>
      <c r="U306" s="69" t="s">
        <v>98</v>
      </c>
      <c r="V306" s="72" t="str">
        <f t="shared" si="4"/>
        <v>CO_SEDGWICK</v>
      </c>
      <c r="AJ306" s="1" t="s">
        <v>98</v>
      </c>
      <c r="AK306" s="1" t="s">
        <v>443</v>
      </c>
      <c r="AL306" s="1" t="s">
        <v>5639</v>
      </c>
      <c r="AM306" s="1" t="s">
        <v>3191</v>
      </c>
    </row>
    <row r="307" spans="20:39" x14ac:dyDescent="0.2">
      <c r="T307" s="28" t="s">
        <v>457</v>
      </c>
      <c r="U307" s="68" t="s">
        <v>98</v>
      </c>
      <c r="V307" s="72" t="str">
        <f t="shared" si="4"/>
        <v>CO_SUMMIT</v>
      </c>
      <c r="AJ307" s="1" t="s">
        <v>98</v>
      </c>
      <c r="AK307" s="1" t="s">
        <v>245</v>
      </c>
      <c r="AL307" s="1" t="s">
        <v>5640</v>
      </c>
      <c r="AM307" s="1" t="s">
        <v>3192</v>
      </c>
    </row>
    <row r="308" spans="20:39" x14ac:dyDescent="0.2">
      <c r="T308" s="29" t="s">
        <v>458</v>
      </c>
      <c r="U308" s="69" t="s">
        <v>98</v>
      </c>
      <c r="V308" s="72" t="str">
        <f t="shared" si="4"/>
        <v>CO_TELLER</v>
      </c>
      <c r="AJ308" s="1" t="s">
        <v>98</v>
      </c>
      <c r="AK308" s="1" t="s">
        <v>444</v>
      </c>
      <c r="AL308" s="1" t="s">
        <v>5641</v>
      </c>
      <c r="AM308" s="1" t="s">
        <v>3193</v>
      </c>
    </row>
    <row r="309" spans="20:39" x14ac:dyDescent="0.2">
      <c r="T309" s="28" t="s">
        <v>258</v>
      </c>
      <c r="U309" s="68" t="s">
        <v>98</v>
      </c>
      <c r="V309" s="72" t="str">
        <f t="shared" si="4"/>
        <v>CO_WASHINGTON</v>
      </c>
      <c r="AJ309" s="1" t="s">
        <v>98</v>
      </c>
      <c r="AK309" s="1" t="s">
        <v>445</v>
      </c>
      <c r="AL309" s="1" t="s">
        <v>5642</v>
      </c>
      <c r="AM309" s="1" t="s">
        <v>3194</v>
      </c>
    </row>
    <row r="310" spans="20:39" x14ac:dyDescent="0.2">
      <c r="T310" s="29" t="s">
        <v>459</v>
      </c>
      <c r="U310" s="69" t="s">
        <v>98</v>
      </c>
      <c r="V310" s="72" t="str">
        <f t="shared" si="4"/>
        <v>CO_WELD</v>
      </c>
      <c r="AJ310" s="1" t="s">
        <v>98</v>
      </c>
      <c r="AK310" s="1" t="s">
        <v>446</v>
      </c>
      <c r="AL310" s="1" t="s">
        <v>5643</v>
      </c>
      <c r="AM310" s="1" t="s">
        <v>9101</v>
      </c>
    </row>
    <row r="311" spans="20:39" x14ac:dyDescent="0.2">
      <c r="T311" s="28" t="s">
        <v>292</v>
      </c>
      <c r="U311" s="68" t="s">
        <v>98</v>
      </c>
      <c r="V311" s="72" t="str">
        <f t="shared" si="4"/>
        <v>CO_YUMA</v>
      </c>
      <c r="AJ311" s="1" t="s">
        <v>98</v>
      </c>
      <c r="AK311" s="1" t="s">
        <v>331</v>
      </c>
      <c r="AL311" s="1" t="s">
        <v>5644</v>
      </c>
      <c r="AM311" s="1" t="s">
        <v>3195</v>
      </c>
    </row>
    <row r="312" spans="20:39" x14ac:dyDescent="0.2">
      <c r="T312" s="29" t="s">
        <v>460</v>
      </c>
      <c r="U312" s="69" t="s">
        <v>55</v>
      </c>
      <c r="V312" s="72" t="str">
        <f t="shared" si="4"/>
        <v>CT_FAIRFIELD</v>
      </c>
      <c r="AJ312" s="1" t="s">
        <v>98</v>
      </c>
      <c r="AK312" s="1" t="s">
        <v>447</v>
      </c>
      <c r="AL312" s="1" t="s">
        <v>5645</v>
      </c>
      <c r="AM312" s="1" t="s">
        <v>3196</v>
      </c>
    </row>
    <row r="313" spans="20:39" x14ac:dyDescent="0.2">
      <c r="T313" s="28" t="s">
        <v>461</v>
      </c>
      <c r="U313" s="68" t="s">
        <v>55</v>
      </c>
      <c r="V313" s="72" t="str">
        <f t="shared" si="4"/>
        <v>CT_HARTFORD</v>
      </c>
      <c r="AJ313" s="1" t="s">
        <v>98</v>
      </c>
      <c r="AK313" s="1" t="s">
        <v>448</v>
      </c>
      <c r="AL313" s="1" t="s">
        <v>5646</v>
      </c>
      <c r="AM313" s="1" t="s">
        <v>3197</v>
      </c>
    </row>
    <row r="314" spans="20:39" x14ac:dyDescent="0.2">
      <c r="T314" s="29" t="s">
        <v>462</v>
      </c>
      <c r="U314" s="69" t="s">
        <v>55</v>
      </c>
      <c r="V314" s="72" t="str">
        <f t="shared" si="4"/>
        <v>CT_LITCHFIELD</v>
      </c>
      <c r="AJ314" s="1" t="s">
        <v>98</v>
      </c>
      <c r="AK314" s="1" t="s">
        <v>449</v>
      </c>
      <c r="AL314" s="1" t="s">
        <v>5647</v>
      </c>
      <c r="AM314" s="1" t="s">
        <v>3198</v>
      </c>
    </row>
    <row r="315" spans="20:39" x14ac:dyDescent="0.2">
      <c r="T315" s="28" t="s">
        <v>463</v>
      </c>
      <c r="U315" s="68" t="s">
        <v>55</v>
      </c>
      <c r="V315" s="72" t="str">
        <f t="shared" si="4"/>
        <v>CT_MIDDLESEX</v>
      </c>
      <c r="AJ315" s="1" t="s">
        <v>98</v>
      </c>
      <c r="AK315" s="1" t="s">
        <v>450</v>
      </c>
      <c r="AL315" s="1" t="s">
        <v>5648</v>
      </c>
      <c r="AM315" s="1" t="s">
        <v>3199</v>
      </c>
    </row>
    <row r="316" spans="20:39" x14ac:dyDescent="0.2">
      <c r="T316" s="29" t="s">
        <v>464</v>
      </c>
      <c r="U316" s="69" t="s">
        <v>55</v>
      </c>
      <c r="V316" s="72" t="str">
        <f t="shared" si="4"/>
        <v>CT_NEW HAVEN</v>
      </c>
      <c r="AJ316" s="1" t="s">
        <v>98</v>
      </c>
      <c r="AK316" s="1" t="s">
        <v>451</v>
      </c>
      <c r="AL316" s="1" t="s">
        <v>5649</v>
      </c>
      <c r="AM316" s="1" t="s">
        <v>3200</v>
      </c>
    </row>
    <row r="317" spans="20:39" x14ac:dyDescent="0.2">
      <c r="T317" s="28" t="s">
        <v>465</v>
      </c>
      <c r="U317" s="68" t="s">
        <v>55</v>
      </c>
      <c r="V317" s="72" t="str">
        <f t="shared" si="4"/>
        <v>CT_NEW LONDON</v>
      </c>
      <c r="AJ317" s="1" t="s">
        <v>98</v>
      </c>
      <c r="AK317" s="1" t="s">
        <v>452</v>
      </c>
      <c r="AL317" s="1" t="s">
        <v>5650</v>
      </c>
      <c r="AM317" s="1" t="s">
        <v>3201</v>
      </c>
    </row>
    <row r="318" spans="20:39" x14ac:dyDescent="0.2">
      <c r="T318" s="29" t="s">
        <v>466</v>
      </c>
      <c r="U318" s="69" t="s">
        <v>55</v>
      </c>
      <c r="V318" s="72" t="str">
        <f t="shared" si="4"/>
        <v>CT_TOLLAND</v>
      </c>
      <c r="AJ318" s="1" t="s">
        <v>98</v>
      </c>
      <c r="AK318" s="1" t="s">
        <v>453</v>
      </c>
      <c r="AL318" s="1" t="s">
        <v>5651</v>
      </c>
      <c r="AM318" s="1" t="s">
        <v>3202</v>
      </c>
    </row>
    <row r="319" spans="20:39" x14ac:dyDescent="0.2">
      <c r="T319" s="28" t="s">
        <v>467</v>
      </c>
      <c r="U319" s="68" t="s">
        <v>55</v>
      </c>
      <c r="V319" s="72" t="str">
        <f t="shared" si="4"/>
        <v>CT_WINDHAM</v>
      </c>
      <c r="AJ319" s="1" t="s">
        <v>98</v>
      </c>
      <c r="AK319" s="1" t="s">
        <v>454</v>
      </c>
      <c r="AL319" s="1" t="s">
        <v>5652</v>
      </c>
      <c r="AM319" s="1" t="s">
        <v>3203</v>
      </c>
    </row>
    <row r="320" spans="20:39" x14ac:dyDescent="0.2">
      <c r="T320" s="29" t="s">
        <v>468</v>
      </c>
      <c r="U320" s="69" t="s">
        <v>97</v>
      </c>
      <c r="V320" s="72" t="str">
        <f t="shared" si="4"/>
        <v>DE_KENT</v>
      </c>
      <c r="AJ320" s="1" t="s">
        <v>98</v>
      </c>
      <c r="AK320" s="1" t="s">
        <v>455</v>
      </c>
      <c r="AL320" s="1" t="s">
        <v>5653</v>
      </c>
      <c r="AM320" s="1" t="s">
        <v>3204</v>
      </c>
    </row>
    <row r="321" spans="20:39" x14ac:dyDescent="0.2">
      <c r="T321" s="28" t="s">
        <v>469</v>
      </c>
      <c r="U321" s="68" t="s">
        <v>97</v>
      </c>
      <c r="V321" s="72" t="str">
        <f t="shared" si="4"/>
        <v>DE_NEW CASTLE</v>
      </c>
      <c r="AJ321" s="1" t="s">
        <v>98</v>
      </c>
      <c r="AK321" s="1" t="s">
        <v>456</v>
      </c>
      <c r="AL321" s="1" t="s">
        <v>5654</v>
      </c>
      <c r="AM321" s="1" t="s">
        <v>3205</v>
      </c>
    </row>
    <row r="322" spans="20:39" x14ac:dyDescent="0.2">
      <c r="T322" s="29" t="s">
        <v>470</v>
      </c>
      <c r="U322" s="69" t="s">
        <v>97</v>
      </c>
      <c r="V322" s="72" t="str">
        <f t="shared" si="4"/>
        <v>DE_SUSSEX</v>
      </c>
      <c r="AJ322" s="1" t="s">
        <v>98</v>
      </c>
      <c r="AK322" s="1" t="s">
        <v>457</v>
      </c>
      <c r="AL322" s="1" t="s">
        <v>5655</v>
      </c>
      <c r="AM322" s="1" t="s">
        <v>3206</v>
      </c>
    </row>
    <row r="323" spans="20:39" x14ac:dyDescent="0.2">
      <c r="T323" s="28" t="s">
        <v>471</v>
      </c>
      <c r="U323" s="68" t="s">
        <v>472</v>
      </c>
      <c r="V323" s="72" t="str">
        <f t="shared" si="4"/>
        <v>DC_DISTRICT OF COLUMBIA</v>
      </c>
      <c r="AJ323" s="1" t="s">
        <v>98</v>
      </c>
      <c r="AK323" s="1" t="s">
        <v>458</v>
      </c>
      <c r="AL323" s="1" t="s">
        <v>5656</v>
      </c>
      <c r="AM323" s="1" t="s">
        <v>3207</v>
      </c>
    </row>
    <row r="324" spans="20:39" x14ac:dyDescent="0.2">
      <c r="T324" s="29" t="s">
        <v>473</v>
      </c>
      <c r="U324" s="69" t="s">
        <v>96</v>
      </c>
      <c r="V324" s="72" t="str">
        <f t="shared" si="4"/>
        <v>FL_ALACHUA</v>
      </c>
      <c r="AJ324" s="1" t="s">
        <v>98</v>
      </c>
      <c r="AK324" s="1" t="s">
        <v>258</v>
      </c>
      <c r="AL324" s="1" t="s">
        <v>5657</v>
      </c>
      <c r="AM324" s="1" t="s">
        <v>3208</v>
      </c>
    </row>
    <row r="325" spans="20:39" x14ac:dyDescent="0.2">
      <c r="T325" s="28" t="s">
        <v>474</v>
      </c>
      <c r="U325" s="68" t="s">
        <v>96</v>
      </c>
      <c r="V325" s="72" t="str">
        <f t="shared" si="4"/>
        <v>FL_BAKER</v>
      </c>
      <c r="AJ325" s="1" t="s">
        <v>98</v>
      </c>
      <c r="AK325" s="1" t="s">
        <v>459</v>
      </c>
      <c r="AL325" s="1" t="s">
        <v>5658</v>
      </c>
      <c r="AM325" s="1" t="s">
        <v>3176</v>
      </c>
    </row>
    <row r="326" spans="20:39" x14ac:dyDescent="0.2">
      <c r="T326" s="29" t="s">
        <v>475</v>
      </c>
      <c r="U326" s="69" t="s">
        <v>96</v>
      </c>
      <c r="V326" s="72" t="str">
        <f t="shared" si="4"/>
        <v>FL_BAY</v>
      </c>
      <c r="AJ326" s="1" t="s">
        <v>98</v>
      </c>
      <c r="AK326" s="1" t="s">
        <v>292</v>
      </c>
      <c r="AL326" s="1" t="s">
        <v>5659</v>
      </c>
      <c r="AM326" s="1" t="s">
        <v>3209</v>
      </c>
    </row>
    <row r="327" spans="20:39" x14ac:dyDescent="0.2">
      <c r="T327" s="28" t="s">
        <v>476</v>
      </c>
      <c r="U327" s="68" t="s">
        <v>96</v>
      </c>
      <c r="V327" s="72" t="str">
        <f t="shared" si="4"/>
        <v>FL_BRADFORD</v>
      </c>
      <c r="AJ327" s="1" t="s">
        <v>55</v>
      </c>
      <c r="AK327" s="1" t="s">
        <v>460</v>
      </c>
      <c r="AL327" s="1" t="s">
        <v>5660</v>
      </c>
      <c r="AM327" s="1" t="s">
        <v>9104</v>
      </c>
    </row>
    <row r="328" spans="20:39" x14ac:dyDescent="0.2">
      <c r="T328" s="29" t="s">
        <v>477</v>
      </c>
      <c r="U328" s="69" t="s">
        <v>96</v>
      </c>
      <c r="V328" s="72" t="str">
        <f t="shared" si="4"/>
        <v>FL_BREVARD</v>
      </c>
      <c r="AJ328" s="1" t="s">
        <v>55</v>
      </c>
      <c r="AK328" s="1" t="s">
        <v>460</v>
      </c>
      <c r="AL328" s="1" t="s">
        <v>5660</v>
      </c>
      <c r="AM328" s="1" t="s">
        <v>9110</v>
      </c>
    </row>
    <row r="329" spans="20:39" x14ac:dyDescent="0.2">
      <c r="T329" s="28" t="s">
        <v>478</v>
      </c>
      <c r="U329" s="68" t="s">
        <v>96</v>
      </c>
      <c r="V329" s="72" t="str">
        <f t="shared" si="4"/>
        <v>FL_BROWARD</v>
      </c>
      <c r="AJ329" s="1" t="s">
        <v>55</v>
      </c>
      <c r="AK329" s="1" t="s">
        <v>460</v>
      </c>
      <c r="AL329" s="1" t="s">
        <v>5660</v>
      </c>
      <c r="AM329" s="1" t="s">
        <v>9116</v>
      </c>
    </row>
    <row r="330" spans="20:39" x14ac:dyDescent="0.2">
      <c r="T330" s="29" t="s">
        <v>201</v>
      </c>
      <c r="U330" s="69" t="s">
        <v>96</v>
      </c>
      <c r="V330" s="72" t="str">
        <f t="shared" ref="V330:V393" si="5">UPPER(CONCATENATE(TRIM(U330),"_",TRIM(T330)))</f>
        <v>FL_CALHOUN</v>
      </c>
      <c r="AJ330" s="1" t="s">
        <v>55</v>
      </c>
      <c r="AK330" s="1" t="s">
        <v>460</v>
      </c>
      <c r="AL330" s="1" t="s">
        <v>5660</v>
      </c>
      <c r="AM330" s="1" t="s">
        <v>9105</v>
      </c>
    </row>
    <row r="331" spans="20:39" x14ac:dyDescent="0.2">
      <c r="T331" s="28" t="s">
        <v>479</v>
      </c>
      <c r="U331" s="68" t="s">
        <v>96</v>
      </c>
      <c r="V331" s="72" t="str">
        <f t="shared" si="5"/>
        <v>FL_CHARLOTTE</v>
      </c>
      <c r="AJ331" s="1" t="s">
        <v>55</v>
      </c>
      <c r="AK331" s="1" t="s">
        <v>460</v>
      </c>
      <c r="AL331" s="1" t="s">
        <v>5660</v>
      </c>
      <c r="AM331" s="1" t="s">
        <v>9106</v>
      </c>
    </row>
    <row r="332" spans="20:39" x14ac:dyDescent="0.2">
      <c r="T332" s="29" t="s">
        <v>480</v>
      </c>
      <c r="U332" s="69" t="s">
        <v>96</v>
      </c>
      <c r="V332" s="72" t="str">
        <f t="shared" si="5"/>
        <v>FL_CITRUS</v>
      </c>
      <c r="AJ332" s="1" t="s">
        <v>55</v>
      </c>
      <c r="AK332" s="1" t="s">
        <v>460</v>
      </c>
      <c r="AL332" s="1" t="s">
        <v>5660</v>
      </c>
      <c r="AM332" s="1" t="s">
        <v>9115</v>
      </c>
    </row>
    <row r="333" spans="20:39" x14ac:dyDescent="0.2">
      <c r="T333" s="28" t="s">
        <v>207</v>
      </c>
      <c r="U333" s="68" t="s">
        <v>96</v>
      </c>
      <c r="V333" s="72" t="str">
        <f t="shared" si="5"/>
        <v>FL_CLAY</v>
      </c>
      <c r="AJ333" s="1" t="s">
        <v>55</v>
      </c>
      <c r="AK333" s="1" t="s">
        <v>460</v>
      </c>
      <c r="AL333" s="1" t="s">
        <v>5660</v>
      </c>
      <c r="AM333" s="1" t="s">
        <v>9107</v>
      </c>
    </row>
    <row r="334" spans="20:39" x14ac:dyDescent="0.2">
      <c r="T334" s="29" t="s">
        <v>481</v>
      </c>
      <c r="U334" s="69" t="s">
        <v>96</v>
      </c>
      <c r="V334" s="72" t="str">
        <f t="shared" si="5"/>
        <v>FL_COLLIER</v>
      </c>
      <c r="AJ334" s="1" t="s">
        <v>55</v>
      </c>
      <c r="AK334" s="1" t="s">
        <v>460</v>
      </c>
      <c r="AL334" s="1" t="s">
        <v>5660</v>
      </c>
      <c r="AM334" s="1" t="s">
        <v>9112</v>
      </c>
    </row>
    <row r="335" spans="20:39" x14ac:dyDescent="0.2">
      <c r="T335" s="28" t="s">
        <v>303</v>
      </c>
      <c r="U335" s="68" t="s">
        <v>96</v>
      </c>
      <c r="V335" s="72" t="str">
        <f t="shared" si="5"/>
        <v>FL_COLUMBIA</v>
      </c>
      <c r="AJ335" s="1" t="s">
        <v>55</v>
      </c>
      <c r="AK335" s="1" t="s">
        <v>460</v>
      </c>
      <c r="AL335" s="1" t="s">
        <v>5660</v>
      </c>
      <c r="AM335" s="1" t="s">
        <v>9118</v>
      </c>
    </row>
    <row r="336" spans="20:39" x14ac:dyDescent="0.2">
      <c r="T336" s="29" t="s">
        <v>482</v>
      </c>
      <c r="U336" s="69" t="s">
        <v>96</v>
      </c>
      <c r="V336" s="72" t="str">
        <f t="shared" si="5"/>
        <v>FL_DADE</v>
      </c>
      <c r="AJ336" s="1" t="s">
        <v>55</v>
      </c>
      <c r="AK336" s="1" t="s">
        <v>460</v>
      </c>
      <c r="AL336" s="1" t="s">
        <v>5660</v>
      </c>
      <c r="AM336" s="1" t="s">
        <v>9117</v>
      </c>
    </row>
    <row r="337" spans="20:39" x14ac:dyDescent="0.2">
      <c r="T337" s="28" t="s">
        <v>483</v>
      </c>
      <c r="U337" s="68" t="s">
        <v>96</v>
      </c>
      <c r="V337" s="72" t="str">
        <f t="shared" si="5"/>
        <v>FL_DESOTO</v>
      </c>
      <c r="AJ337" s="1" t="s">
        <v>55</v>
      </c>
      <c r="AK337" s="1" t="s">
        <v>460</v>
      </c>
      <c r="AL337" s="1" t="s">
        <v>5660</v>
      </c>
      <c r="AM337" s="1" t="s">
        <v>9108</v>
      </c>
    </row>
    <row r="338" spans="20:39" x14ac:dyDescent="0.2">
      <c r="T338" s="29" t="s">
        <v>484</v>
      </c>
      <c r="U338" s="69" t="s">
        <v>96</v>
      </c>
      <c r="V338" s="72" t="str">
        <f t="shared" si="5"/>
        <v>FL_DIXIE</v>
      </c>
      <c r="AJ338" s="1" t="s">
        <v>55</v>
      </c>
      <c r="AK338" s="1" t="s">
        <v>460</v>
      </c>
      <c r="AL338" s="1" t="s">
        <v>5660</v>
      </c>
      <c r="AM338" s="1" t="s">
        <v>9109</v>
      </c>
    </row>
    <row r="339" spans="20:39" x14ac:dyDescent="0.2">
      <c r="T339" s="28" t="s">
        <v>485</v>
      </c>
      <c r="U339" s="68" t="s">
        <v>96</v>
      </c>
      <c r="V339" s="72" t="str">
        <f t="shared" si="5"/>
        <v>FL_DUVAL</v>
      </c>
      <c r="AJ339" s="1" t="s">
        <v>55</v>
      </c>
      <c r="AK339" s="1" t="s">
        <v>460</v>
      </c>
      <c r="AL339" s="1" t="s">
        <v>5660</v>
      </c>
      <c r="AM339" s="1" t="s">
        <v>9111</v>
      </c>
    </row>
    <row r="340" spans="20:39" x14ac:dyDescent="0.2">
      <c r="T340" s="29" t="s">
        <v>220</v>
      </c>
      <c r="U340" s="69" t="s">
        <v>96</v>
      </c>
      <c r="V340" s="72" t="str">
        <f t="shared" si="5"/>
        <v>FL_ESCAMBIA</v>
      </c>
      <c r="AJ340" s="1" t="s">
        <v>55</v>
      </c>
      <c r="AK340" s="1" t="s">
        <v>460</v>
      </c>
      <c r="AL340" s="1" t="s">
        <v>5660</v>
      </c>
      <c r="AM340" s="1" t="s">
        <v>9114</v>
      </c>
    </row>
    <row r="341" spans="20:39" x14ac:dyDescent="0.2">
      <c r="T341" s="28" t="s">
        <v>486</v>
      </c>
      <c r="U341" s="68" t="s">
        <v>96</v>
      </c>
      <c r="V341" s="72" t="str">
        <f t="shared" si="5"/>
        <v>FL_FLAGLER</v>
      </c>
      <c r="AJ341" s="1" t="s">
        <v>55</v>
      </c>
      <c r="AK341" s="1" t="s">
        <v>460</v>
      </c>
      <c r="AL341" s="1" t="s">
        <v>5660</v>
      </c>
      <c r="AM341" s="1" t="s">
        <v>9103</v>
      </c>
    </row>
    <row r="342" spans="20:39" x14ac:dyDescent="0.2">
      <c r="T342" s="29" t="s">
        <v>223</v>
      </c>
      <c r="U342" s="69" t="s">
        <v>96</v>
      </c>
      <c r="V342" s="72" t="str">
        <f t="shared" si="5"/>
        <v>FL_FRANKLIN</v>
      </c>
      <c r="AJ342" s="1" t="s">
        <v>55</v>
      </c>
      <c r="AK342" s="1" t="s">
        <v>460</v>
      </c>
      <c r="AL342" s="1" t="s">
        <v>5660</v>
      </c>
      <c r="AM342" s="1" t="s">
        <v>9113</v>
      </c>
    </row>
    <row r="343" spans="20:39" x14ac:dyDescent="0.2">
      <c r="T343" s="28" t="s">
        <v>487</v>
      </c>
      <c r="U343" s="68" t="s">
        <v>96</v>
      </c>
      <c r="V343" s="72" t="str">
        <f t="shared" si="5"/>
        <v>FL_GADSDEN</v>
      </c>
      <c r="AJ343" s="1" t="s">
        <v>55</v>
      </c>
      <c r="AK343" s="1" t="s">
        <v>461</v>
      </c>
      <c r="AL343" s="1" t="s">
        <v>5661</v>
      </c>
      <c r="AM343" s="1" t="s">
        <v>9119</v>
      </c>
    </row>
    <row r="344" spans="20:39" x14ac:dyDescent="0.2">
      <c r="T344" s="29" t="s">
        <v>488</v>
      </c>
      <c r="U344" s="69" t="s">
        <v>96</v>
      </c>
      <c r="V344" s="72" t="str">
        <f t="shared" si="5"/>
        <v>FL_GILCHRIST</v>
      </c>
      <c r="AJ344" s="1" t="s">
        <v>55</v>
      </c>
      <c r="AK344" s="1" t="s">
        <v>461</v>
      </c>
      <c r="AL344" s="1" t="s">
        <v>5661</v>
      </c>
      <c r="AM344" s="1" t="s">
        <v>9120</v>
      </c>
    </row>
    <row r="345" spans="20:39" x14ac:dyDescent="0.2">
      <c r="T345" s="28" t="s">
        <v>489</v>
      </c>
      <c r="U345" s="68" t="s">
        <v>96</v>
      </c>
      <c r="V345" s="72" t="str">
        <f t="shared" si="5"/>
        <v>FL_GLADES</v>
      </c>
      <c r="AJ345" s="1" t="s">
        <v>55</v>
      </c>
      <c r="AK345" s="1" t="s">
        <v>461</v>
      </c>
      <c r="AL345" s="1" t="s">
        <v>5661</v>
      </c>
      <c r="AM345" s="1" t="s">
        <v>9121</v>
      </c>
    </row>
    <row r="346" spans="20:39" x14ac:dyDescent="0.2">
      <c r="T346" s="29" t="s">
        <v>490</v>
      </c>
      <c r="U346" s="69" t="s">
        <v>96</v>
      </c>
      <c r="V346" s="72" t="str">
        <f t="shared" si="5"/>
        <v>FL_GULF</v>
      </c>
      <c r="AJ346" s="1" t="s">
        <v>55</v>
      </c>
      <c r="AK346" s="1" t="s">
        <v>462</v>
      </c>
      <c r="AL346" s="1" t="s">
        <v>5662</v>
      </c>
      <c r="AM346" s="1" t="s">
        <v>9122</v>
      </c>
    </row>
    <row r="347" spans="20:39" x14ac:dyDescent="0.2">
      <c r="T347" s="28" t="s">
        <v>491</v>
      </c>
      <c r="U347" s="68" t="s">
        <v>96</v>
      </c>
      <c r="V347" s="72" t="str">
        <f t="shared" si="5"/>
        <v>FL_HAMILTON</v>
      </c>
      <c r="AJ347" s="1" t="s">
        <v>55</v>
      </c>
      <c r="AK347" s="1" t="s">
        <v>462</v>
      </c>
      <c r="AL347" s="1" t="s">
        <v>5662</v>
      </c>
      <c r="AM347" s="1" t="s">
        <v>9123</v>
      </c>
    </row>
    <row r="348" spans="20:39" x14ac:dyDescent="0.2">
      <c r="T348" s="29" t="s">
        <v>492</v>
      </c>
      <c r="U348" s="69" t="s">
        <v>96</v>
      </c>
      <c r="V348" s="72" t="str">
        <f t="shared" si="5"/>
        <v>FL_HARDEE</v>
      </c>
      <c r="AJ348" s="1" t="s">
        <v>55</v>
      </c>
      <c r="AK348" s="1" t="s">
        <v>462</v>
      </c>
      <c r="AL348" s="1" t="s">
        <v>5662</v>
      </c>
      <c r="AM348" s="1" t="s">
        <v>9121</v>
      </c>
    </row>
    <row r="349" spans="20:39" x14ac:dyDescent="0.2">
      <c r="T349" s="28" t="s">
        <v>493</v>
      </c>
      <c r="U349" s="68" t="s">
        <v>96</v>
      </c>
      <c r="V349" s="72" t="str">
        <f t="shared" si="5"/>
        <v>FL_HENDRY</v>
      </c>
      <c r="AJ349" s="1" t="s">
        <v>55</v>
      </c>
      <c r="AK349" s="1" t="s">
        <v>462</v>
      </c>
      <c r="AL349" s="1" t="s">
        <v>5662</v>
      </c>
      <c r="AM349" s="1" t="s">
        <v>9111</v>
      </c>
    </row>
    <row r="350" spans="20:39" x14ac:dyDescent="0.2">
      <c r="T350" s="29" t="s">
        <v>494</v>
      </c>
      <c r="U350" s="69" t="s">
        <v>96</v>
      </c>
      <c r="V350" s="72" t="str">
        <f t="shared" si="5"/>
        <v>FL_HERNANDO</v>
      </c>
      <c r="AJ350" s="1" t="s">
        <v>55</v>
      </c>
      <c r="AK350" s="1" t="s">
        <v>463</v>
      </c>
      <c r="AL350" s="1" t="s">
        <v>5663</v>
      </c>
      <c r="AM350" s="1" t="s">
        <v>9125</v>
      </c>
    </row>
    <row r="351" spans="20:39" x14ac:dyDescent="0.2">
      <c r="T351" s="28" t="s">
        <v>495</v>
      </c>
      <c r="U351" s="68" t="s">
        <v>96</v>
      </c>
      <c r="V351" s="72" t="str">
        <f t="shared" si="5"/>
        <v>FL_HIGHLANDS</v>
      </c>
      <c r="AJ351" s="1" t="s">
        <v>55</v>
      </c>
      <c r="AK351" s="1" t="s">
        <v>463</v>
      </c>
      <c r="AL351" s="1" t="s">
        <v>5663</v>
      </c>
      <c r="AM351" s="1" t="s">
        <v>9126</v>
      </c>
    </row>
    <row r="352" spans="20:39" x14ac:dyDescent="0.2">
      <c r="T352" s="29" t="s">
        <v>496</v>
      </c>
      <c r="U352" s="69" t="s">
        <v>96</v>
      </c>
      <c r="V352" s="72" t="str">
        <f t="shared" si="5"/>
        <v>FL_HILLSBOROUGH</v>
      </c>
      <c r="AJ352" s="1" t="s">
        <v>55</v>
      </c>
      <c r="AK352" s="1" t="s">
        <v>463</v>
      </c>
      <c r="AL352" s="1" t="s">
        <v>5663</v>
      </c>
      <c r="AM352" s="1" t="s">
        <v>9127</v>
      </c>
    </row>
    <row r="353" spans="20:39" x14ac:dyDescent="0.2">
      <c r="T353" s="28" t="s">
        <v>497</v>
      </c>
      <c r="U353" s="68" t="s">
        <v>96</v>
      </c>
      <c r="V353" s="72" t="str">
        <f t="shared" si="5"/>
        <v>FL_HOLMES</v>
      </c>
      <c r="AJ353" s="1" t="s">
        <v>55</v>
      </c>
      <c r="AK353" s="1" t="s">
        <v>463</v>
      </c>
      <c r="AL353" s="1" t="s">
        <v>5663</v>
      </c>
      <c r="AM353" s="1" t="s">
        <v>9120</v>
      </c>
    </row>
    <row r="354" spans="20:39" x14ac:dyDescent="0.2">
      <c r="T354" s="29" t="s">
        <v>498</v>
      </c>
      <c r="U354" s="69" t="s">
        <v>96</v>
      </c>
      <c r="V354" s="72" t="str">
        <f t="shared" si="5"/>
        <v>FL_INDIAN RIVER</v>
      </c>
      <c r="AJ354" s="1" t="s">
        <v>55</v>
      </c>
      <c r="AK354" s="1" t="s">
        <v>463</v>
      </c>
      <c r="AL354" s="1" t="s">
        <v>5663</v>
      </c>
      <c r="AM354" s="1" t="s">
        <v>9128</v>
      </c>
    </row>
    <row r="355" spans="20:39" x14ac:dyDescent="0.2">
      <c r="T355" s="28" t="s">
        <v>229</v>
      </c>
      <c r="U355" s="68" t="s">
        <v>96</v>
      </c>
      <c r="V355" s="72" t="str">
        <f t="shared" si="5"/>
        <v>FL_JACKSON</v>
      </c>
      <c r="AJ355" s="1" t="s">
        <v>55</v>
      </c>
      <c r="AK355" s="1" t="s">
        <v>463</v>
      </c>
      <c r="AL355" s="1" t="s">
        <v>5663</v>
      </c>
      <c r="AM355" s="1" t="s">
        <v>9129</v>
      </c>
    </row>
    <row r="356" spans="20:39" x14ac:dyDescent="0.2">
      <c r="T356" s="29" t="s">
        <v>230</v>
      </c>
      <c r="U356" s="69" t="s">
        <v>96</v>
      </c>
      <c r="V356" s="72" t="str">
        <f t="shared" si="5"/>
        <v>FL_JEFFERSON</v>
      </c>
      <c r="AJ356" s="1" t="s">
        <v>55</v>
      </c>
      <c r="AK356" s="1" t="s">
        <v>463</v>
      </c>
      <c r="AL356" s="1" t="s">
        <v>5663</v>
      </c>
      <c r="AM356" s="1" t="s">
        <v>9124</v>
      </c>
    </row>
    <row r="357" spans="20:39" x14ac:dyDescent="0.2">
      <c r="T357" s="28" t="s">
        <v>321</v>
      </c>
      <c r="U357" s="68" t="s">
        <v>96</v>
      </c>
      <c r="V357" s="72" t="str">
        <f t="shared" si="5"/>
        <v>FL_LAFAYETTE</v>
      </c>
      <c r="AJ357" s="1" t="s">
        <v>55</v>
      </c>
      <c r="AK357" s="1" t="s">
        <v>464</v>
      </c>
      <c r="AL357" s="1" t="s">
        <v>5664</v>
      </c>
      <c r="AM357" s="1" t="s">
        <v>9130</v>
      </c>
    </row>
    <row r="358" spans="20:39" x14ac:dyDescent="0.2">
      <c r="T358" s="29" t="s">
        <v>366</v>
      </c>
      <c r="U358" s="69" t="s">
        <v>96</v>
      </c>
      <c r="V358" s="72" t="str">
        <f t="shared" si="5"/>
        <v>FL_LAKE</v>
      </c>
      <c r="AJ358" s="1" t="s">
        <v>55</v>
      </c>
      <c r="AK358" s="1" t="s">
        <v>464</v>
      </c>
      <c r="AL358" s="1" t="s">
        <v>5664</v>
      </c>
      <c r="AM358" s="1" t="s">
        <v>9136</v>
      </c>
    </row>
    <row r="359" spans="20:39" x14ac:dyDescent="0.2">
      <c r="T359" s="28" t="s">
        <v>234</v>
      </c>
      <c r="U359" s="68" t="s">
        <v>96</v>
      </c>
      <c r="V359" s="72" t="str">
        <f t="shared" si="5"/>
        <v>FL_LEE</v>
      </c>
      <c r="AJ359" s="1" t="s">
        <v>55</v>
      </c>
      <c r="AK359" s="1" t="s">
        <v>464</v>
      </c>
      <c r="AL359" s="1" t="s">
        <v>5664</v>
      </c>
      <c r="AM359" s="1" t="s">
        <v>9134</v>
      </c>
    </row>
    <row r="360" spans="20:39" x14ac:dyDescent="0.2">
      <c r="T360" s="29" t="s">
        <v>499</v>
      </c>
      <c r="U360" s="69" t="s">
        <v>96</v>
      </c>
      <c r="V360" s="72" t="str">
        <f t="shared" si="5"/>
        <v>FL_LEON</v>
      </c>
      <c r="AJ360" s="1" t="s">
        <v>55</v>
      </c>
      <c r="AK360" s="1" t="s">
        <v>464</v>
      </c>
      <c r="AL360" s="1" t="s">
        <v>5664</v>
      </c>
      <c r="AM360" s="1" t="s">
        <v>9135</v>
      </c>
    </row>
    <row r="361" spans="20:39" x14ac:dyDescent="0.2">
      <c r="T361" s="28" t="s">
        <v>500</v>
      </c>
      <c r="U361" s="68" t="s">
        <v>96</v>
      </c>
      <c r="V361" s="72" t="str">
        <f t="shared" si="5"/>
        <v>FL_LEVY</v>
      </c>
      <c r="AJ361" s="1" t="s">
        <v>55</v>
      </c>
      <c r="AK361" s="1" t="s">
        <v>464</v>
      </c>
      <c r="AL361" s="1" t="s">
        <v>5664</v>
      </c>
      <c r="AM361" s="1" t="s">
        <v>9133</v>
      </c>
    </row>
    <row r="362" spans="20:39" x14ac:dyDescent="0.2">
      <c r="T362" s="29" t="s">
        <v>501</v>
      </c>
      <c r="U362" s="69" t="s">
        <v>96</v>
      </c>
      <c r="V362" s="72" t="str">
        <f t="shared" si="5"/>
        <v>FL_LIBERTY</v>
      </c>
      <c r="AJ362" s="1" t="s">
        <v>55</v>
      </c>
      <c r="AK362" s="1" t="s">
        <v>464</v>
      </c>
      <c r="AL362" s="1" t="s">
        <v>5664</v>
      </c>
      <c r="AM362" s="1" t="s">
        <v>9132</v>
      </c>
    </row>
    <row r="363" spans="20:39" x14ac:dyDescent="0.2">
      <c r="T363" s="28" t="s">
        <v>238</v>
      </c>
      <c r="U363" s="68" t="s">
        <v>96</v>
      </c>
      <c r="V363" s="72" t="str">
        <f t="shared" si="5"/>
        <v>FL_MADISON</v>
      </c>
      <c r="AJ363" s="1" t="s">
        <v>55</v>
      </c>
      <c r="AK363" s="1" t="s">
        <v>464</v>
      </c>
      <c r="AL363" s="1" t="s">
        <v>5664</v>
      </c>
      <c r="AM363" s="1" t="s">
        <v>9131</v>
      </c>
    </row>
    <row r="364" spans="20:39" x14ac:dyDescent="0.2">
      <c r="T364" s="29" t="s">
        <v>502</v>
      </c>
      <c r="U364" s="69" t="s">
        <v>96</v>
      </c>
      <c r="V364" s="72" t="str">
        <f t="shared" si="5"/>
        <v>FL_MANATEE</v>
      </c>
      <c r="AJ364" s="1" t="s">
        <v>55</v>
      </c>
      <c r="AK364" s="1" t="s">
        <v>464</v>
      </c>
      <c r="AL364" s="1" t="s">
        <v>5664</v>
      </c>
      <c r="AM364" s="1" t="s">
        <v>9111</v>
      </c>
    </row>
    <row r="365" spans="20:39" x14ac:dyDescent="0.2">
      <c r="T365" s="28" t="s">
        <v>240</v>
      </c>
      <c r="U365" s="68" t="s">
        <v>96</v>
      </c>
      <c r="V365" s="72" t="str">
        <f t="shared" si="5"/>
        <v>FL_MARION</v>
      </c>
      <c r="AJ365" s="1" t="s">
        <v>55</v>
      </c>
      <c r="AK365" s="1" t="s">
        <v>465</v>
      </c>
      <c r="AL365" s="1" t="s">
        <v>5665</v>
      </c>
      <c r="AM365" s="1" t="s">
        <v>9137</v>
      </c>
    </row>
    <row r="366" spans="20:39" x14ac:dyDescent="0.2">
      <c r="T366" s="29" t="s">
        <v>503</v>
      </c>
      <c r="U366" s="69" t="s">
        <v>96</v>
      </c>
      <c r="V366" s="72" t="str">
        <f t="shared" si="5"/>
        <v>FL_MARTIN</v>
      </c>
      <c r="AJ366" s="1" t="s">
        <v>55</v>
      </c>
      <c r="AK366" s="1" t="s">
        <v>465</v>
      </c>
      <c r="AL366" s="1" t="s">
        <v>5665</v>
      </c>
      <c r="AM366" s="1" t="s">
        <v>9142</v>
      </c>
    </row>
    <row r="367" spans="20:39" x14ac:dyDescent="0.2">
      <c r="T367" s="28" t="s">
        <v>243</v>
      </c>
      <c r="U367" s="68" t="s">
        <v>96</v>
      </c>
      <c r="V367" s="72" t="str">
        <f t="shared" si="5"/>
        <v>FL_MONROE</v>
      </c>
      <c r="AJ367" s="1" t="s">
        <v>55</v>
      </c>
      <c r="AK367" s="1" t="s">
        <v>465</v>
      </c>
      <c r="AL367" s="1" t="s">
        <v>5665</v>
      </c>
      <c r="AM367" s="1" t="s">
        <v>9138</v>
      </c>
    </row>
    <row r="368" spans="20:39" x14ac:dyDescent="0.2">
      <c r="T368" s="29" t="s">
        <v>504</v>
      </c>
      <c r="U368" s="69" t="s">
        <v>96</v>
      </c>
      <c r="V368" s="72" t="str">
        <f t="shared" si="5"/>
        <v>FL_NASSAU</v>
      </c>
      <c r="AJ368" s="1" t="s">
        <v>55</v>
      </c>
      <c r="AK368" s="1" t="s">
        <v>465</v>
      </c>
      <c r="AL368" s="1" t="s">
        <v>5665</v>
      </c>
      <c r="AM368" s="1" t="s">
        <v>9140</v>
      </c>
    </row>
    <row r="369" spans="20:39" x14ac:dyDescent="0.2">
      <c r="T369" s="28" t="s">
        <v>505</v>
      </c>
      <c r="U369" s="68" t="s">
        <v>96</v>
      </c>
      <c r="V369" s="72" t="str">
        <f t="shared" si="5"/>
        <v>FL_OKALOOSA</v>
      </c>
      <c r="AJ369" s="1" t="s">
        <v>55</v>
      </c>
      <c r="AK369" s="1" t="s">
        <v>465</v>
      </c>
      <c r="AL369" s="1" t="s">
        <v>5665</v>
      </c>
      <c r="AM369" s="1" t="s">
        <v>9141</v>
      </c>
    </row>
    <row r="370" spans="20:39" x14ac:dyDescent="0.2">
      <c r="T370" s="29" t="s">
        <v>506</v>
      </c>
      <c r="U370" s="69" t="s">
        <v>96</v>
      </c>
      <c r="V370" s="72" t="str">
        <f t="shared" si="5"/>
        <v>FL_OKEECHOBEE</v>
      </c>
      <c r="AJ370" s="1" t="s">
        <v>55</v>
      </c>
      <c r="AK370" s="1" t="s">
        <v>465</v>
      </c>
      <c r="AL370" s="1" t="s">
        <v>5665</v>
      </c>
      <c r="AM370" s="1" t="s">
        <v>9139</v>
      </c>
    </row>
    <row r="371" spans="20:39" x14ac:dyDescent="0.2">
      <c r="T371" s="28" t="s">
        <v>378</v>
      </c>
      <c r="U371" s="68" t="s">
        <v>96</v>
      </c>
      <c r="V371" s="72" t="str">
        <f t="shared" si="5"/>
        <v>FL_ORANGE</v>
      </c>
      <c r="AJ371" s="1" t="s">
        <v>55</v>
      </c>
      <c r="AK371" s="1" t="s">
        <v>466</v>
      </c>
      <c r="AL371" s="1" t="s">
        <v>5666</v>
      </c>
      <c r="AM371" s="1" t="s">
        <v>9120</v>
      </c>
    </row>
    <row r="372" spans="20:39" x14ac:dyDescent="0.2">
      <c r="T372" s="29" t="s">
        <v>507</v>
      </c>
      <c r="U372" s="69" t="s">
        <v>96</v>
      </c>
      <c r="V372" s="72" t="str">
        <f t="shared" si="5"/>
        <v>FL_OSCEOLA</v>
      </c>
      <c r="AJ372" s="1" t="s">
        <v>55</v>
      </c>
      <c r="AK372" s="1" t="s">
        <v>466</v>
      </c>
      <c r="AL372" s="1" t="s">
        <v>5666</v>
      </c>
      <c r="AM372" s="1" t="s">
        <v>9143</v>
      </c>
    </row>
    <row r="373" spans="20:39" x14ac:dyDescent="0.2">
      <c r="T373" s="28" t="s">
        <v>508</v>
      </c>
      <c r="U373" s="68" t="s">
        <v>96</v>
      </c>
      <c r="V373" s="72" t="str">
        <f t="shared" si="5"/>
        <v>FL_PALM BEACH</v>
      </c>
      <c r="AJ373" s="1" t="s">
        <v>55</v>
      </c>
      <c r="AK373" s="1" t="s">
        <v>467</v>
      </c>
      <c r="AL373" s="1" t="s">
        <v>5667</v>
      </c>
      <c r="AM373" s="1" t="s">
        <v>9140</v>
      </c>
    </row>
    <row r="374" spans="20:39" x14ac:dyDescent="0.2">
      <c r="T374" s="29" t="s">
        <v>509</v>
      </c>
      <c r="U374" s="69" t="s">
        <v>96</v>
      </c>
      <c r="V374" s="72" t="str">
        <f t="shared" si="5"/>
        <v>FL_PASCO</v>
      </c>
      <c r="AJ374" s="1" t="s">
        <v>55</v>
      </c>
      <c r="AK374" s="1" t="s">
        <v>467</v>
      </c>
      <c r="AL374" s="1" t="s">
        <v>5667</v>
      </c>
      <c r="AM374" s="1" t="s">
        <v>9141</v>
      </c>
    </row>
    <row r="375" spans="20:39" x14ac:dyDescent="0.2">
      <c r="T375" s="28" t="s">
        <v>510</v>
      </c>
      <c r="U375" s="68" t="s">
        <v>96</v>
      </c>
      <c r="V375" s="72" t="str">
        <f t="shared" si="5"/>
        <v>FL_PINELLAS</v>
      </c>
      <c r="AJ375" s="1" t="s">
        <v>472</v>
      </c>
      <c r="AK375" s="1" t="s">
        <v>471</v>
      </c>
      <c r="AL375" s="1" t="s">
        <v>5668</v>
      </c>
      <c r="AM375" s="1" t="s">
        <v>3210</v>
      </c>
    </row>
    <row r="376" spans="20:39" x14ac:dyDescent="0.2">
      <c r="T376" s="29" t="s">
        <v>333</v>
      </c>
      <c r="U376" s="69" t="s">
        <v>96</v>
      </c>
      <c r="V376" s="72" t="str">
        <f t="shared" si="5"/>
        <v>FL_POLK</v>
      </c>
      <c r="AJ376" s="1" t="s">
        <v>97</v>
      </c>
      <c r="AK376" s="1" t="s">
        <v>468</v>
      </c>
      <c r="AL376" s="1" t="s">
        <v>5669</v>
      </c>
      <c r="AM376" s="1" t="s">
        <v>3211</v>
      </c>
    </row>
    <row r="377" spans="20:39" x14ac:dyDescent="0.2">
      <c r="T377" s="28" t="s">
        <v>511</v>
      </c>
      <c r="U377" s="68" t="s">
        <v>96</v>
      </c>
      <c r="V377" s="72" t="str">
        <f t="shared" si="5"/>
        <v>FL_PUTNAM</v>
      </c>
      <c r="AJ377" s="1" t="s">
        <v>97</v>
      </c>
      <c r="AK377" s="1" t="s">
        <v>469</v>
      </c>
      <c r="AL377" s="1" t="s">
        <v>5670</v>
      </c>
      <c r="AM377" s="1" t="s">
        <v>3212</v>
      </c>
    </row>
    <row r="378" spans="20:39" x14ac:dyDescent="0.2">
      <c r="T378" s="29" t="s">
        <v>512</v>
      </c>
      <c r="U378" s="69" t="s">
        <v>96</v>
      </c>
      <c r="V378" s="72" t="str">
        <f t="shared" si="5"/>
        <v>FL_ST. JOHNS</v>
      </c>
      <c r="AJ378" s="1" t="s">
        <v>97</v>
      </c>
      <c r="AK378" s="1" t="s">
        <v>470</v>
      </c>
      <c r="AL378" s="1" t="s">
        <v>5671</v>
      </c>
      <c r="AM378" s="1" t="s">
        <v>9144</v>
      </c>
    </row>
    <row r="379" spans="20:39" x14ac:dyDescent="0.2">
      <c r="T379" s="28" t="s">
        <v>513</v>
      </c>
      <c r="U379" s="68" t="s">
        <v>96</v>
      </c>
      <c r="V379" s="72" t="str">
        <f t="shared" si="5"/>
        <v>FL_ST. LUCIE</v>
      </c>
      <c r="AJ379" s="1" t="s">
        <v>96</v>
      </c>
      <c r="AK379" s="1" t="s">
        <v>473</v>
      </c>
      <c r="AL379" s="1" t="s">
        <v>5672</v>
      </c>
      <c r="AM379" s="1" t="s">
        <v>3224</v>
      </c>
    </row>
    <row r="380" spans="20:39" x14ac:dyDescent="0.2">
      <c r="T380" s="29" t="s">
        <v>514</v>
      </c>
      <c r="U380" s="69" t="s">
        <v>96</v>
      </c>
      <c r="V380" s="72" t="str">
        <f t="shared" si="5"/>
        <v>FL_SANTA ROSA</v>
      </c>
      <c r="AJ380" s="1" t="s">
        <v>96</v>
      </c>
      <c r="AK380" s="1" t="s">
        <v>474</v>
      </c>
      <c r="AL380" s="1" t="s">
        <v>5673</v>
      </c>
      <c r="AM380" s="1" t="s">
        <v>3213</v>
      </c>
    </row>
    <row r="381" spans="20:39" x14ac:dyDescent="0.2">
      <c r="T381" s="28" t="s">
        <v>515</v>
      </c>
      <c r="U381" s="68" t="s">
        <v>96</v>
      </c>
      <c r="V381" s="72" t="str">
        <f t="shared" si="5"/>
        <v>FL_SARASOTA</v>
      </c>
      <c r="AJ381" s="1" t="s">
        <v>96</v>
      </c>
      <c r="AK381" s="1" t="s">
        <v>475</v>
      </c>
      <c r="AL381" s="1" t="s">
        <v>5674</v>
      </c>
      <c r="AM381" s="1" t="s">
        <v>9145</v>
      </c>
    </row>
    <row r="382" spans="20:39" x14ac:dyDescent="0.2">
      <c r="T382" s="29" t="s">
        <v>516</v>
      </c>
      <c r="U382" s="69" t="s">
        <v>96</v>
      </c>
      <c r="V382" s="72" t="str">
        <f t="shared" si="5"/>
        <v>FL_SEMINOLE</v>
      </c>
      <c r="AJ382" s="1" t="s">
        <v>96</v>
      </c>
      <c r="AK382" s="1" t="s">
        <v>476</v>
      </c>
      <c r="AL382" s="1" t="s">
        <v>5675</v>
      </c>
      <c r="AM382" s="1" t="s">
        <v>3214</v>
      </c>
    </row>
    <row r="383" spans="20:39" x14ac:dyDescent="0.2">
      <c r="T383" s="28" t="s">
        <v>253</v>
      </c>
      <c r="U383" s="68" t="s">
        <v>96</v>
      </c>
      <c r="V383" s="72" t="str">
        <f t="shared" si="5"/>
        <v>FL_SUMTER</v>
      </c>
      <c r="AJ383" s="1" t="s">
        <v>96</v>
      </c>
      <c r="AK383" s="1" t="s">
        <v>477</v>
      </c>
      <c r="AL383" s="1" t="s">
        <v>5676</v>
      </c>
      <c r="AM383" s="1" t="s">
        <v>3244</v>
      </c>
    </row>
    <row r="384" spans="20:39" x14ac:dyDescent="0.2">
      <c r="T384" s="29" t="s">
        <v>517</v>
      </c>
      <c r="U384" s="69" t="s">
        <v>96</v>
      </c>
      <c r="V384" s="72" t="str">
        <f t="shared" si="5"/>
        <v>FL_SUWANNEE</v>
      </c>
      <c r="AJ384" s="1" t="s">
        <v>96</v>
      </c>
      <c r="AK384" s="1" t="s">
        <v>478</v>
      </c>
      <c r="AL384" s="1" t="s">
        <v>5677</v>
      </c>
      <c r="AM384" s="1" t="s">
        <v>3222</v>
      </c>
    </row>
    <row r="385" spans="20:39" x14ac:dyDescent="0.2">
      <c r="T385" s="28" t="s">
        <v>518</v>
      </c>
      <c r="U385" s="68" t="s">
        <v>96</v>
      </c>
      <c r="V385" s="72" t="str">
        <f t="shared" si="5"/>
        <v>FL_TAYLOR</v>
      </c>
      <c r="AJ385" s="1" t="s">
        <v>96</v>
      </c>
      <c r="AK385" s="1" t="s">
        <v>201</v>
      </c>
      <c r="AL385" s="1" t="s">
        <v>5678</v>
      </c>
      <c r="AM385" s="1" t="s">
        <v>3215</v>
      </c>
    </row>
    <row r="386" spans="20:39" x14ac:dyDescent="0.2">
      <c r="T386" s="29" t="s">
        <v>345</v>
      </c>
      <c r="U386" s="69" t="s">
        <v>96</v>
      </c>
      <c r="V386" s="72" t="str">
        <f t="shared" si="5"/>
        <v>FL_UNION</v>
      </c>
      <c r="AJ386" s="1" t="s">
        <v>96</v>
      </c>
      <c r="AK386" s="1" t="s">
        <v>479</v>
      </c>
      <c r="AL386" s="1" t="s">
        <v>5679</v>
      </c>
      <c r="AM386" s="1" t="s">
        <v>3248</v>
      </c>
    </row>
    <row r="387" spans="20:39" x14ac:dyDescent="0.2">
      <c r="T387" s="28" t="s">
        <v>519</v>
      </c>
      <c r="U387" s="68" t="s">
        <v>96</v>
      </c>
      <c r="V387" s="72" t="str">
        <f t="shared" si="5"/>
        <v>FL_VOLUSIA</v>
      </c>
      <c r="AJ387" s="1" t="s">
        <v>96</v>
      </c>
      <c r="AK387" s="1" t="s">
        <v>480</v>
      </c>
      <c r="AL387" s="1" t="s">
        <v>5680</v>
      </c>
      <c r="AM387" s="1" t="s">
        <v>3231</v>
      </c>
    </row>
    <row r="388" spans="20:39" x14ac:dyDescent="0.2">
      <c r="T388" s="29" t="s">
        <v>520</v>
      </c>
      <c r="U388" s="69" t="s">
        <v>96</v>
      </c>
      <c r="V388" s="72" t="str">
        <f t="shared" si="5"/>
        <v>FL_WAKULLA</v>
      </c>
      <c r="AJ388" s="1" t="s">
        <v>96</v>
      </c>
      <c r="AK388" s="1" t="s">
        <v>207</v>
      </c>
      <c r="AL388" s="1" t="s">
        <v>5681</v>
      </c>
      <c r="AM388" s="1" t="s">
        <v>3233</v>
      </c>
    </row>
    <row r="389" spans="20:39" x14ac:dyDescent="0.2">
      <c r="T389" s="28" t="s">
        <v>521</v>
      </c>
      <c r="U389" s="68" t="s">
        <v>96</v>
      </c>
      <c r="V389" s="72" t="str">
        <f t="shared" si="5"/>
        <v>FL_WALTON</v>
      </c>
      <c r="AJ389" s="1" t="s">
        <v>96</v>
      </c>
      <c r="AK389" s="1" t="s">
        <v>481</v>
      </c>
      <c r="AL389" s="1" t="s">
        <v>5682</v>
      </c>
      <c r="AM389" s="1" t="s">
        <v>9146</v>
      </c>
    </row>
    <row r="390" spans="20:39" x14ac:dyDescent="0.2">
      <c r="T390" s="29" t="s">
        <v>258</v>
      </c>
      <c r="U390" s="69" t="s">
        <v>96</v>
      </c>
      <c r="V390" s="72" t="str">
        <f t="shared" si="5"/>
        <v>FL_WASHINGTON</v>
      </c>
      <c r="AJ390" s="1" t="s">
        <v>96</v>
      </c>
      <c r="AK390" s="1" t="s">
        <v>303</v>
      </c>
      <c r="AL390" s="1" t="s">
        <v>5683</v>
      </c>
      <c r="AM390" s="1" t="s">
        <v>3217</v>
      </c>
    </row>
    <row r="391" spans="20:39" x14ac:dyDescent="0.2">
      <c r="T391" s="28" t="s">
        <v>522</v>
      </c>
      <c r="U391" s="68" t="s">
        <v>95</v>
      </c>
      <c r="V391" s="72" t="str">
        <f t="shared" si="5"/>
        <v>GA_APPLING</v>
      </c>
      <c r="AJ391" s="1" t="s">
        <v>96</v>
      </c>
      <c r="AK391" s="1" t="s">
        <v>482</v>
      </c>
      <c r="AL391" s="1" t="s">
        <v>5684</v>
      </c>
      <c r="AM391" s="1" t="s">
        <v>3239</v>
      </c>
    </row>
    <row r="392" spans="20:39" x14ac:dyDescent="0.2">
      <c r="T392" s="29" t="s">
        <v>523</v>
      </c>
      <c r="U392" s="69" t="s">
        <v>95</v>
      </c>
      <c r="V392" s="72" t="str">
        <f t="shared" si="5"/>
        <v>GA_ATKINSON</v>
      </c>
      <c r="AJ392" s="1" t="s">
        <v>96</v>
      </c>
      <c r="AK392" s="1" t="s">
        <v>483</v>
      </c>
      <c r="AL392" s="1" t="s">
        <v>5685</v>
      </c>
      <c r="AM392" s="1" t="s">
        <v>3220</v>
      </c>
    </row>
    <row r="393" spans="20:39" x14ac:dyDescent="0.2">
      <c r="T393" s="28" t="s">
        <v>524</v>
      </c>
      <c r="U393" s="68" t="s">
        <v>95</v>
      </c>
      <c r="V393" s="72" t="str">
        <f t="shared" si="5"/>
        <v>GA_BACON</v>
      </c>
      <c r="AJ393" s="1" t="s">
        <v>96</v>
      </c>
      <c r="AK393" s="1" t="s">
        <v>484</v>
      </c>
      <c r="AL393" s="1" t="s">
        <v>5686</v>
      </c>
      <c r="AM393" s="1" t="s">
        <v>3221</v>
      </c>
    </row>
    <row r="394" spans="20:39" x14ac:dyDescent="0.2">
      <c r="T394" s="29" t="s">
        <v>474</v>
      </c>
      <c r="U394" s="69" t="s">
        <v>95</v>
      </c>
      <c r="V394" s="72" t="str">
        <f t="shared" ref="V394:V457" si="6">UPPER(CONCATENATE(TRIM(U394),"_",TRIM(T394)))</f>
        <v>GA_BAKER</v>
      </c>
      <c r="AJ394" s="1" t="s">
        <v>96</v>
      </c>
      <c r="AK394" s="1" t="s">
        <v>485</v>
      </c>
      <c r="AL394" s="1" t="s">
        <v>5687</v>
      </c>
      <c r="AM394" s="1" t="s">
        <v>3233</v>
      </c>
    </row>
    <row r="395" spans="20:39" x14ac:dyDescent="0.2">
      <c r="T395" s="28" t="s">
        <v>195</v>
      </c>
      <c r="U395" s="68" t="s">
        <v>95</v>
      </c>
      <c r="V395" s="72" t="str">
        <f t="shared" si="6"/>
        <v>GA_BALDWIN</v>
      </c>
      <c r="AJ395" s="1" t="s">
        <v>96</v>
      </c>
      <c r="AK395" s="1" t="s">
        <v>220</v>
      </c>
      <c r="AL395" s="1" t="s">
        <v>5688</v>
      </c>
      <c r="AM395" s="1" t="s">
        <v>3246</v>
      </c>
    </row>
    <row r="396" spans="20:39" x14ac:dyDescent="0.2">
      <c r="T396" s="29" t="s">
        <v>525</v>
      </c>
      <c r="U396" s="69" t="s">
        <v>95</v>
      </c>
      <c r="V396" s="72" t="str">
        <f t="shared" si="6"/>
        <v>GA_BANKS</v>
      </c>
      <c r="AJ396" s="1" t="s">
        <v>96</v>
      </c>
      <c r="AK396" s="1" t="s">
        <v>486</v>
      </c>
      <c r="AL396" s="1" t="s">
        <v>5689</v>
      </c>
      <c r="AM396" s="1" t="s">
        <v>3245</v>
      </c>
    </row>
    <row r="397" spans="20:39" x14ac:dyDescent="0.2">
      <c r="T397" s="28" t="s">
        <v>526</v>
      </c>
      <c r="U397" s="68" t="s">
        <v>95</v>
      </c>
      <c r="V397" s="72" t="str">
        <f t="shared" si="6"/>
        <v>GA_BARROW</v>
      </c>
      <c r="AJ397" s="1" t="s">
        <v>96</v>
      </c>
      <c r="AK397" s="1" t="s">
        <v>223</v>
      </c>
      <c r="AL397" s="1" t="s">
        <v>5690</v>
      </c>
      <c r="AM397" s="1" t="s">
        <v>3223</v>
      </c>
    </row>
    <row r="398" spans="20:39" x14ac:dyDescent="0.2">
      <c r="T398" s="29" t="s">
        <v>527</v>
      </c>
      <c r="U398" s="69" t="s">
        <v>95</v>
      </c>
      <c r="V398" s="72" t="str">
        <f t="shared" si="6"/>
        <v>GA_BARTOW</v>
      </c>
      <c r="AJ398" s="1" t="s">
        <v>96</v>
      </c>
      <c r="AK398" s="1" t="s">
        <v>487</v>
      </c>
      <c r="AL398" s="1" t="s">
        <v>5691</v>
      </c>
      <c r="AM398" s="1" t="s">
        <v>3252</v>
      </c>
    </row>
    <row r="399" spans="20:39" x14ac:dyDescent="0.2">
      <c r="T399" s="28" t="s">
        <v>528</v>
      </c>
      <c r="U399" s="68" t="s">
        <v>95</v>
      </c>
      <c r="V399" s="72" t="str">
        <f t="shared" si="6"/>
        <v>GA_BEN HILL</v>
      </c>
      <c r="AJ399" s="1" t="s">
        <v>96</v>
      </c>
      <c r="AK399" s="1" t="s">
        <v>488</v>
      </c>
      <c r="AL399" s="1" t="s">
        <v>5692</v>
      </c>
      <c r="AM399" s="1" t="s">
        <v>3224</v>
      </c>
    </row>
    <row r="400" spans="20:39" x14ac:dyDescent="0.2">
      <c r="T400" s="29" t="s">
        <v>529</v>
      </c>
      <c r="U400" s="69" t="s">
        <v>95</v>
      </c>
      <c r="V400" s="72" t="str">
        <f t="shared" si="6"/>
        <v>GA_BERRIEN</v>
      </c>
      <c r="AJ400" s="1" t="s">
        <v>96</v>
      </c>
      <c r="AK400" s="1" t="s">
        <v>489</v>
      </c>
      <c r="AL400" s="1" t="s">
        <v>5693</v>
      </c>
      <c r="AM400" s="1" t="s">
        <v>3225</v>
      </c>
    </row>
    <row r="401" spans="20:39" x14ac:dyDescent="0.2">
      <c r="T401" s="28" t="s">
        <v>197</v>
      </c>
      <c r="U401" s="68" t="s">
        <v>95</v>
      </c>
      <c r="V401" s="72" t="str">
        <f t="shared" si="6"/>
        <v>GA_BIBB</v>
      </c>
      <c r="AJ401" s="1" t="s">
        <v>96</v>
      </c>
      <c r="AK401" s="1" t="s">
        <v>490</v>
      </c>
      <c r="AL401" s="1" t="s">
        <v>5694</v>
      </c>
      <c r="AM401" s="1" t="s">
        <v>3226</v>
      </c>
    </row>
    <row r="402" spans="20:39" x14ac:dyDescent="0.2">
      <c r="T402" s="29" t="s">
        <v>530</v>
      </c>
      <c r="U402" s="69" t="s">
        <v>95</v>
      </c>
      <c r="V402" s="72" t="str">
        <f t="shared" si="6"/>
        <v>GA_BLECKLEY</v>
      </c>
      <c r="AJ402" s="1" t="s">
        <v>96</v>
      </c>
      <c r="AK402" s="1" t="s">
        <v>491</v>
      </c>
      <c r="AL402" s="1" t="s">
        <v>5695</v>
      </c>
      <c r="AM402" s="1" t="s">
        <v>3227</v>
      </c>
    </row>
    <row r="403" spans="20:39" x14ac:dyDescent="0.2">
      <c r="T403" s="28" t="s">
        <v>531</v>
      </c>
      <c r="U403" s="68" t="s">
        <v>95</v>
      </c>
      <c r="V403" s="72" t="str">
        <f t="shared" si="6"/>
        <v>GA_BRANTLEY</v>
      </c>
      <c r="AJ403" s="1" t="s">
        <v>96</v>
      </c>
      <c r="AK403" s="1" t="s">
        <v>492</v>
      </c>
      <c r="AL403" s="1" t="s">
        <v>5696</v>
      </c>
      <c r="AM403" s="1" t="s">
        <v>3228</v>
      </c>
    </row>
    <row r="404" spans="20:39" x14ac:dyDescent="0.2">
      <c r="T404" s="29" t="s">
        <v>532</v>
      </c>
      <c r="U404" s="69" t="s">
        <v>95</v>
      </c>
      <c r="V404" s="72" t="str">
        <f t="shared" si="6"/>
        <v>GA_BROOKS</v>
      </c>
      <c r="AJ404" s="1" t="s">
        <v>96</v>
      </c>
      <c r="AK404" s="1" t="s">
        <v>493</v>
      </c>
      <c r="AL404" s="1" t="s">
        <v>5697</v>
      </c>
      <c r="AM404" s="1" t="s">
        <v>3229</v>
      </c>
    </row>
    <row r="405" spans="20:39" x14ac:dyDescent="0.2">
      <c r="T405" s="28" t="s">
        <v>533</v>
      </c>
      <c r="U405" s="68" t="s">
        <v>95</v>
      </c>
      <c r="V405" s="72" t="str">
        <f t="shared" si="6"/>
        <v>GA_BRYAN</v>
      </c>
      <c r="AJ405" s="1" t="s">
        <v>96</v>
      </c>
      <c r="AK405" s="1" t="s">
        <v>494</v>
      </c>
      <c r="AL405" s="1" t="s">
        <v>5698</v>
      </c>
      <c r="AM405" s="1" t="s">
        <v>3253</v>
      </c>
    </row>
    <row r="406" spans="20:39" x14ac:dyDescent="0.2">
      <c r="T406" s="29" t="s">
        <v>534</v>
      </c>
      <c r="U406" s="69" t="s">
        <v>95</v>
      </c>
      <c r="V406" s="72" t="str">
        <f t="shared" si="6"/>
        <v>GA_BULLOCH</v>
      </c>
      <c r="AJ406" s="1" t="s">
        <v>96</v>
      </c>
      <c r="AK406" s="1" t="s">
        <v>495</v>
      </c>
      <c r="AL406" s="1" t="s">
        <v>5699</v>
      </c>
      <c r="AM406" s="1" t="s">
        <v>3250</v>
      </c>
    </row>
    <row r="407" spans="20:39" x14ac:dyDescent="0.2">
      <c r="T407" s="28" t="s">
        <v>535</v>
      </c>
      <c r="U407" s="68" t="s">
        <v>95</v>
      </c>
      <c r="V407" s="72" t="str">
        <f t="shared" si="6"/>
        <v>GA_BURKE</v>
      </c>
      <c r="AJ407" s="1" t="s">
        <v>96</v>
      </c>
      <c r="AK407" s="1" t="s">
        <v>496</v>
      </c>
      <c r="AL407" s="1" t="s">
        <v>5700</v>
      </c>
      <c r="AM407" s="1" t="s">
        <v>3253</v>
      </c>
    </row>
    <row r="408" spans="20:39" x14ac:dyDescent="0.2">
      <c r="T408" s="29" t="s">
        <v>536</v>
      </c>
      <c r="U408" s="69" t="s">
        <v>95</v>
      </c>
      <c r="V408" s="72" t="str">
        <f t="shared" si="6"/>
        <v>GA_BUTTS</v>
      </c>
      <c r="AJ408" s="1" t="s">
        <v>96</v>
      </c>
      <c r="AK408" s="1" t="s">
        <v>497</v>
      </c>
      <c r="AL408" s="1" t="s">
        <v>5701</v>
      </c>
      <c r="AM408" s="1" t="s">
        <v>3230</v>
      </c>
    </row>
    <row r="409" spans="20:39" x14ac:dyDescent="0.2">
      <c r="T409" s="28" t="s">
        <v>201</v>
      </c>
      <c r="U409" s="68" t="s">
        <v>95</v>
      </c>
      <c r="V409" s="72" t="str">
        <f t="shared" si="6"/>
        <v>GA_CALHOUN</v>
      </c>
      <c r="AJ409" s="1" t="s">
        <v>96</v>
      </c>
      <c r="AK409" s="1" t="s">
        <v>498</v>
      </c>
      <c r="AL409" s="1" t="s">
        <v>5702</v>
      </c>
      <c r="AM409" s="1" t="s">
        <v>9147</v>
      </c>
    </row>
    <row r="410" spans="20:39" x14ac:dyDescent="0.2">
      <c r="T410" s="29" t="s">
        <v>537</v>
      </c>
      <c r="U410" s="69" t="s">
        <v>95</v>
      </c>
      <c r="V410" s="72" t="str">
        <f t="shared" si="6"/>
        <v>GA_CAMDEN</v>
      </c>
      <c r="AJ410" s="1" t="s">
        <v>96</v>
      </c>
      <c r="AK410" s="1" t="s">
        <v>229</v>
      </c>
      <c r="AL410" s="1" t="s">
        <v>5703</v>
      </c>
      <c r="AM410" s="1" t="s">
        <v>3232</v>
      </c>
    </row>
    <row r="411" spans="20:39" x14ac:dyDescent="0.2">
      <c r="T411" s="28" t="s">
        <v>538</v>
      </c>
      <c r="U411" s="68" t="s">
        <v>95</v>
      </c>
      <c r="V411" s="72" t="str">
        <f t="shared" si="6"/>
        <v>GA_CANDLER</v>
      </c>
      <c r="AJ411" s="1" t="s">
        <v>96</v>
      </c>
      <c r="AK411" s="1" t="s">
        <v>230</v>
      </c>
      <c r="AL411" s="1" t="s">
        <v>5704</v>
      </c>
      <c r="AM411" s="1" t="s">
        <v>3252</v>
      </c>
    </row>
    <row r="412" spans="20:39" x14ac:dyDescent="0.2">
      <c r="T412" s="29" t="s">
        <v>299</v>
      </c>
      <c r="U412" s="69" t="s">
        <v>95</v>
      </c>
      <c r="V412" s="72" t="str">
        <f t="shared" si="6"/>
        <v>GA_CARROLL</v>
      </c>
      <c r="AJ412" s="1" t="s">
        <v>96</v>
      </c>
      <c r="AK412" s="1" t="s">
        <v>321</v>
      </c>
      <c r="AL412" s="1" t="s">
        <v>5705</v>
      </c>
      <c r="AM412" s="1" t="s">
        <v>3234</v>
      </c>
    </row>
    <row r="413" spans="20:39" x14ac:dyDescent="0.2">
      <c r="T413" s="28" t="s">
        <v>539</v>
      </c>
      <c r="U413" s="68" t="s">
        <v>95</v>
      </c>
      <c r="V413" s="72" t="str">
        <f t="shared" si="6"/>
        <v>GA_CATOOSA</v>
      </c>
      <c r="AJ413" s="1" t="s">
        <v>96</v>
      </c>
      <c r="AK413" s="1" t="s">
        <v>366</v>
      </c>
      <c r="AL413" s="1" t="s">
        <v>5706</v>
      </c>
      <c r="AM413" s="1" t="s">
        <v>3243</v>
      </c>
    </row>
    <row r="414" spans="20:39" x14ac:dyDescent="0.2">
      <c r="T414" s="29" t="s">
        <v>540</v>
      </c>
      <c r="U414" s="69" t="s">
        <v>95</v>
      </c>
      <c r="V414" s="72" t="str">
        <f t="shared" si="6"/>
        <v>GA_CHARLTON</v>
      </c>
      <c r="AJ414" s="1" t="s">
        <v>96</v>
      </c>
      <c r="AK414" s="1" t="s">
        <v>234</v>
      </c>
      <c r="AL414" s="1" t="s">
        <v>5707</v>
      </c>
      <c r="AM414" s="1" t="s">
        <v>3216</v>
      </c>
    </row>
    <row r="415" spans="20:39" x14ac:dyDescent="0.2">
      <c r="T415" s="28" t="s">
        <v>541</v>
      </c>
      <c r="U415" s="68" t="s">
        <v>95</v>
      </c>
      <c r="V415" s="72" t="str">
        <f t="shared" si="6"/>
        <v>GA_CHATHAM</v>
      </c>
      <c r="AJ415" s="1" t="s">
        <v>96</v>
      </c>
      <c r="AK415" s="1" t="s">
        <v>499</v>
      </c>
      <c r="AL415" s="1" t="s">
        <v>5708</v>
      </c>
      <c r="AM415" s="1" t="s">
        <v>3252</v>
      </c>
    </row>
    <row r="416" spans="20:39" x14ac:dyDescent="0.2">
      <c r="T416" s="29" t="s">
        <v>542</v>
      </c>
      <c r="U416" s="69" t="s">
        <v>95</v>
      </c>
      <c r="V416" s="72" t="str">
        <f t="shared" si="6"/>
        <v>GA_CHATTAHOOCHEE</v>
      </c>
      <c r="AJ416" s="1" t="s">
        <v>96</v>
      </c>
      <c r="AK416" s="1" t="s">
        <v>500</v>
      </c>
      <c r="AL416" s="1" t="s">
        <v>5709</v>
      </c>
      <c r="AM416" s="1" t="s">
        <v>3236</v>
      </c>
    </row>
    <row r="417" spans="20:39" x14ac:dyDescent="0.2">
      <c r="T417" s="28" t="s">
        <v>543</v>
      </c>
      <c r="U417" s="68" t="s">
        <v>95</v>
      </c>
      <c r="V417" s="72" t="str">
        <f t="shared" si="6"/>
        <v>GA_CHATTOOGA</v>
      </c>
      <c r="AJ417" s="1" t="s">
        <v>96</v>
      </c>
      <c r="AK417" s="1" t="s">
        <v>501</v>
      </c>
      <c r="AL417" s="1" t="s">
        <v>5710</v>
      </c>
      <c r="AM417" s="1" t="s">
        <v>3237</v>
      </c>
    </row>
    <row r="418" spans="20:39" x14ac:dyDescent="0.2">
      <c r="T418" s="29" t="s">
        <v>203</v>
      </c>
      <c r="U418" s="69" t="s">
        <v>95</v>
      </c>
      <c r="V418" s="72" t="str">
        <f t="shared" si="6"/>
        <v>GA_CHEROKEE</v>
      </c>
      <c r="AJ418" s="1" t="s">
        <v>96</v>
      </c>
      <c r="AK418" s="1" t="s">
        <v>238</v>
      </c>
      <c r="AL418" s="1" t="s">
        <v>5711</v>
      </c>
      <c r="AM418" s="1" t="s">
        <v>3238</v>
      </c>
    </row>
    <row r="419" spans="20:39" x14ac:dyDescent="0.2">
      <c r="T419" s="28" t="s">
        <v>206</v>
      </c>
      <c r="U419" s="68" t="s">
        <v>95</v>
      </c>
      <c r="V419" s="72" t="str">
        <f t="shared" si="6"/>
        <v>GA_CLARKE</v>
      </c>
      <c r="AJ419" s="1" t="s">
        <v>96</v>
      </c>
      <c r="AK419" s="1" t="s">
        <v>502</v>
      </c>
      <c r="AL419" s="1" t="s">
        <v>5712</v>
      </c>
      <c r="AM419" s="1" t="s">
        <v>9148</v>
      </c>
    </row>
    <row r="420" spans="20:39" x14ac:dyDescent="0.2">
      <c r="T420" s="29" t="s">
        <v>207</v>
      </c>
      <c r="U420" s="69" t="s">
        <v>95</v>
      </c>
      <c r="V420" s="72" t="str">
        <f t="shared" si="6"/>
        <v>GA_CLAY</v>
      </c>
      <c r="AJ420" s="1" t="s">
        <v>96</v>
      </c>
      <c r="AK420" s="1" t="s">
        <v>240</v>
      </c>
      <c r="AL420" s="1" t="s">
        <v>5713</v>
      </c>
      <c r="AM420" s="1" t="s">
        <v>3241</v>
      </c>
    </row>
    <row r="421" spans="20:39" x14ac:dyDescent="0.2">
      <c r="T421" s="28" t="s">
        <v>544</v>
      </c>
      <c r="U421" s="68" t="s">
        <v>95</v>
      </c>
      <c r="V421" s="72" t="str">
        <f t="shared" si="6"/>
        <v>GA_CLAYTON</v>
      </c>
      <c r="AJ421" s="1" t="s">
        <v>96</v>
      </c>
      <c r="AK421" s="1" t="s">
        <v>503</v>
      </c>
      <c r="AL421" s="1" t="s">
        <v>5714</v>
      </c>
      <c r="AM421" s="1" t="s">
        <v>3247</v>
      </c>
    </row>
    <row r="422" spans="20:39" x14ac:dyDescent="0.2">
      <c r="T422" s="29" t="s">
        <v>545</v>
      </c>
      <c r="U422" s="69" t="s">
        <v>95</v>
      </c>
      <c r="V422" s="72" t="str">
        <f t="shared" si="6"/>
        <v>GA_CLINCH</v>
      </c>
      <c r="AJ422" s="1" t="s">
        <v>96</v>
      </c>
      <c r="AK422" s="1" t="s">
        <v>243</v>
      </c>
      <c r="AL422" s="1" t="s">
        <v>5715</v>
      </c>
      <c r="AM422" s="1" t="s">
        <v>3240</v>
      </c>
    </row>
    <row r="423" spans="20:39" x14ac:dyDescent="0.2">
      <c r="T423" s="28" t="s">
        <v>546</v>
      </c>
      <c r="U423" s="68" t="s">
        <v>95</v>
      </c>
      <c r="V423" s="72" t="str">
        <f t="shared" si="6"/>
        <v>GA_COBB</v>
      </c>
      <c r="AJ423" s="1" t="s">
        <v>96</v>
      </c>
      <c r="AK423" s="1" t="s">
        <v>504</v>
      </c>
      <c r="AL423" s="1" t="s">
        <v>5716</v>
      </c>
      <c r="AM423" s="1" t="s">
        <v>3233</v>
      </c>
    </row>
    <row r="424" spans="20:39" x14ac:dyDescent="0.2">
      <c r="T424" s="29" t="s">
        <v>209</v>
      </c>
      <c r="U424" s="69" t="s">
        <v>95</v>
      </c>
      <c r="V424" s="72" t="str">
        <f t="shared" si="6"/>
        <v>GA_COFFEE</v>
      </c>
      <c r="AJ424" s="1" t="s">
        <v>96</v>
      </c>
      <c r="AK424" s="1" t="s">
        <v>505</v>
      </c>
      <c r="AL424" s="1" t="s">
        <v>5717</v>
      </c>
      <c r="AM424" s="1" t="s">
        <v>3218</v>
      </c>
    </row>
    <row r="425" spans="20:39" x14ac:dyDescent="0.2">
      <c r="T425" s="28" t="s">
        <v>547</v>
      </c>
      <c r="U425" s="68" t="s">
        <v>95</v>
      </c>
      <c r="V425" s="72" t="str">
        <f t="shared" si="6"/>
        <v>GA_COLQUITT</v>
      </c>
      <c r="AJ425" s="1" t="s">
        <v>96</v>
      </c>
      <c r="AK425" s="1" t="s">
        <v>506</v>
      </c>
      <c r="AL425" s="1" t="s">
        <v>5718</v>
      </c>
      <c r="AM425" s="1" t="s">
        <v>3242</v>
      </c>
    </row>
    <row r="426" spans="20:39" x14ac:dyDescent="0.2">
      <c r="T426" s="29" t="s">
        <v>303</v>
      </c>
      <c r="U426" s="69" t="s">
        <v>95</v>
      </c>
      <c r="V426" s="72" t="str">
        <f t="shared" si="6"/>
        <v>GA_COLUMBIA</v>
      </c>
      <c r="AJ426" s="1" t="s">
        <v>96</v>
      </c>
      <c r="AK426" s="1" t="s">
        <v>378</v>
      </c>
      <c r="AL426" s="1" t="s">
        <v>5719</v>
      </c>
      <c r="AM426" s="1" t="s">
        <v>3243</v>
      </c>
    </row>
    <row r="427" spans="20:39" x14ac:dyDescent="0.2">
      <c r="T427" s="28" t="s">
        <v>548</v>
      </c>
      <c r="U427" s="68" t="s">
        <v>95</v>
      </c>
      <c r="V427" s="72" t="str">
        <f t="shared" si="6"/>
        <v>GA_COOK</v>
      </c>
      <c r="AJ427" s="1" t="s">
        <v>96</v>
      </c>
      <c r="AK427" s="1" t="s">
        <v>507</v>
      </c>
      <c r="AL427" s="1" t="s">
        <v>5720</v>
      </c>
      <c r="AM427" s="1" t="s">
        <v>3243</v>
      </c>
    </row>
    <row r="428" spans="20:39" x14ac:dyDescent="0.2">
      <c r="T428" s="29" t="s">
        <v>549</v>
      </c>
      <c r="U428" s="69" t="s">
        <v>95</v>
      </c>
      <c r="V428" s="72" t="str">
        <f t="shared" si="6"/>
        <v>GA_COWETA</v>
      </c>
      <c r="AJ428" s="1" t="s">
        <v>96</v>
      </c>
      <c r="AK428" s="1" t="s">
        <v>508</v>
      </c>
      <c r="AL428" s="1" t="s">
        <v>5721</v>
      </c>
      <c r="AM428" s="1" t="s">
        <v>3258</v>
      </c>
    </row>
    <row r="429" spans="20:39" x14ac:dyDescent="0.2">
      <c r="T429" s="28" t="s">
        <v>306</v>
      </c>
      <c r="U429" s="68" t="s">
        <v>95</v>
      </c>
      <c r="V429" s="72" t="str">
        <f t="shared" si="6"/>
        <v>GA_CRAWFORD</v>
      </c>
      <c r="AJ429" s="1" t="s">
        <v>96</v>
      </c>
      <c r="AK429" s="1" t="s">
        <v>509</v>
      </c>
      <c r="AL429" s="1" t="s">
        <v>5722</v>
      </c>
      <c r="AM429" s="1" t="s">
        <v>3253</v>
      </c>
    </row>
    <row r="430" spans="20:39" x14ac:dyDescent="0.2">
      <c r="T430" s="29" t="s">
        <v>550</v>
      </c>
      <c r="U430" s="69" t="s">
        <v>95</v>
      </c>
      <c r="V430" s="72" t="str">
        <f t="shared" si="6"/>
        <v>GA_CRISP</v>
      </c>
      <c r="AJ430" s="1" t="s">
        <v>96</v>
      </c>
      <c r="AK430" s="1" t="s">
        <v>510</v>
      </c>
      <c r="AL430" s="1" t="s">
        <v>5723</v>
      </c>
      <c r="AM430" s="1" t="s">
        <v>3253</v>
      </c>
    </row>
    <row r="431" spans="20:39" x14ac:dyDescent="0.2">
      <c r="T431" s="28" t="s">
        <v>482</v>
      </c>
      <c r="U431" s="68" t="s">
        <v>95</v>
      </c>
      <c r="V431" s="72" t="str">
        <f t="shared" si="6"/>
        <v>GA_DADE</v>
      </c>
      <c r="AJ431" s="1" t="s">
        <v>96</v>
      </c>
      <c r="AK431" s="1" t="s">
        <v>333</v>
      </c>
      <c r="AL431" s="1" t="s">
        <v>5724</v>
      </c>
      <c r="AM431" s="1" t="s">
        <v>3235</v>
      </c>
    </row>
    <row r="432" spans="20:39" x14ac:dyDescent="0.2">
      <c r="T432" s="29" t="s">
        <v>551</v>
      </c>
      <c r="U432" s="69" t="s">
        <v>95</v>
      </c>
      <c r="V432" s="72" t="str">
        <f t="shared" si="6"/>
        <v>GA_DAWSON</v>
      </c>
      <c r="AJ432" s="1" t="s">
        <v>96</v>
      </c>
      <c r="AK432" s="1" t="s">
        <v>511</v>
      </c>
      <c r="AL432" s="1" t="s">
        <v>5725</v>
      </c>
      <c r="AM432" s="1" t="s">
        <v>3249</v>
      </c>
    </row>
    <row r="433" spans="20:39" x14ac:dyDescent="0.2">
      <c r="T433" s="28" t="s">
        <v>552</v>
      </c>
      <c r="U433" s="68" t="s">
        <v>95</v>
      </c>
      <c r="V433" s="72" t="str">
        <f t="shared" si="6"/>
        <v>GA_DECATUR</v>
      </c>
      <c r="AJ433" s="1" t="s">
        <v>96</v>
      </c>
      <c r="AK433" s="1" t="s">
        <v>514</v>
      </c>
      <c r="AL433" s="1" t="s">
        <v>5726</v>
      </c>
      <c r="AM433" s="1" t="s">
        <v>3246</v>
      </c>
    </row>
    <row r="434" spans="20:39" x14ac:dyDescent="0.2">
      <c r="T434" s="29" t="s">
        <v>553</v>
      </c>
      <c r="U434" s="69" t="s">
        <v>95</v>
      </c>
      <c r="V434" s="72" t="str">
        <f t="shared" si="6"/>
        <v>GA_DE KALB</v>
      </c>
      <c r="AJ434" s="1" t="s">
        <v>96</v>
      </c>
      <c r="AK434" s="1" t="s">
        <v>515</v>
      </c>
      <c r="AL434" s="1" t="s">
        <v>5727</v>
      </c>
      <c r="AM434" s="1" t="s">
        <v>9148</v>
      </c>
    </row>
    <row r="435" spans="20:39" x14ac:dyDescent="0.2">
      <c r="T435" s="28" t="s">
        <v>554</v>
      </c>
      <c r="U435" s="68" t="s">
        <v>95</v>
      </c>
      <c r="V435" s="72" t="str">
        <f t="shared" si="6"/>
        <v>GA_DODGE</v>
      </c>
      <c r="AJ435" s="1" t="s">
        <v>96</v>
      </c>
      <c r="AK435" s="1" t="s">
        <v>516</v>
      </c>
      <c r="AL435" s="1" t="s">
        <v>5728</v>
      </c>
      <c r="AM435" s="1" t="s">
        <v>3243</v>
      </c>
    </row>
    <row r="436" spans="20:39" x14ac:dyDescent="0.2">
      <c r="T436" s="29" t="s">
        <v>555</v>
      </c>
      <c r="U436" s="69" t="s">
        <v>95</v>
      </c>
      <c r="V436" s="72" t="str">
        <f t="shared" si="6"/>
        <v>GA_DOOLY</v>
      </c>
      <c r="AJ436" s="1" t="s">
        <v>96</v>
      </c>
      <c r="AK436" s="1" t="s">
        <v>512</v>
      </c>
      <c r="AL436" s="1" t="s">
        <v>5729</v>
      </c>
      <c r="AM436" s="1" t="s">
        <v>3233</v>
      </c>
    </row>
    <row r="437" spans="20:39" x14ac:dyDescent="0.2">
      <c r="T437" s="28" t="s">
        <v>556</v>
      </c>
      <c r="U437" s="68" t="s">
        <v>95</v>
      </c>
      <c r="V437" s="72" t="str">
        <f t="shared" si="6"/>
        <v>GA_DOUGHERTY</v>
      </c>
      <c r="AJ437" s="1" t="s">
        <v>96</v>
      </c>
      <c r="AK437" s="1" t="s">
        <v>513</v>
      </c>
      <c r="AL437" s="1" t="s">
        <v>5730</v>
      </c>
      <c r="AM437" s="1" t="s">
        <v>3247</v>
      </c>
    </row>
    <row r="438" spans="20:39" x14ac:dyDescent="0.2">
      <c r="T438" s="29" t="s">
        <v>423</v>
      </c>
      <c r="U438" s="69" t="s">
        <v>95</v>
      </c>
      <c r="V438" s="72" t="str">
        <f t="shared" si="6"/>
        <v>GA_DOUGLAS</v>
      </c>
      <c r="AJ438" s="1" t="s">
        <v>96</v>
      </c>
      <c r="AK438" s="1" t="s">
        <v>253</v>
      </c>
      <c r="AL438" s="1" t="s">
        <v>5731</v>
      </c>
      <c r="AM438" s="1" t="s">
        <v>9149</v>
      </c>
    </row>
    <row r="439" spans="20:39" x14ac:dyDescent="0.2">
      <c r="T439" s="28" t="s">
        <v>557</v>
      </c>
      <c r="U439" s="68" t="s">
        <v>95</v>
      </c>
      <c r="V439" s="72" t="str">
        <f t="shared" si="6"/>
        <v>GA_EARLY</v>
      </c>
      <c r="AJ439" s="1" t="s">
        <v>96</v>
      </c>
      <c r="AK439" s="1" t="s">
        <v>517</v>
      </c>
      <c r="AL439" s="1" t="s">
        <v>5732</v>
      </c>
      <c r="AM439" s="1" t="s">
        <v>3251</v>
      </c>
    </row>
    <row r="440" spans="20:39" x14ac:dyDescent="0.2">
      <c r="T440" s="29" t="s">
        <v>558</v>
      </c>
      <c r="U440" s="69" t="s">
        <v>95</v>
      </c>
      <c r="V440" s="72" t="str">
        <f t="shared" si="6"/>
        <v>GA_ECHOLS</v>
      </c>
      <c r="AJ440" s="1" t="s">
        <v>96</v>
      </c>
      <c r="AK440" s="1" t="s">
        <v>518</v>
      </c>
      <c r="AL440" s="1" t="s">
        <v>5733</v>
      </c>
      <c r="AM440" s="1" t="s">
        <v>3254</v>
      </c>
    </row>
    <row r="441" spans="20:39" x14ac:dyDescent="0.2">
      <c r="T441" s="28" t="s">
        <v>559</v>
      </c>
      <c r="U441" s="68" t="s">
        <v>95</v>
      </c>
      <c r="V441" s="72" t="str">
        <f t="shared" si="6"/>
        <v>GA_EFFINGHAM</v>
      </c>
      <c r="AJ441" s="1" t="s">
        <v>96</v>
      </c>
      <c r="AK441" s="1" t="s">
        <v>345</v>
      </c>
      <c r="AL441" s="1" t="s">
        <v>5734</v>
      </c>
      <c r="AM441" s="1" t="s">
        <v>3255</v>
      </c>
    </row>
    <row r="442" spans="20:39" x14ac:dyDescent="0.2">
      <c r="T442" s="29" t="s">
        <v>425</v>
      </c>
      <c r="U442" s="69" t="s">
        <v>95</v>
      </c>
      <c r="V442" s="72" t="str">
        <f t="shared" si="6"/>
        <v>GA_ELBERT</v>
      </c>
      <c r="AJ442" s="1" t="s">
        <v>96</v>
      </c>
      <c r="AK442" s="1" t="s">
        <v>519</v>
      </c>
      <c r="AL442" s="1" t="s">
        <v>5735</v>
      </c>
      <c r="AM442" s="1" t="s">
        <v>3219</v>
      </c>
    </row>
    <row r="443" spans="20:39" x14ac:dyDescent="0.2">
      <c r="T443" s="28" t="s">
        <v>560</v>
      </c>
      <c r="U443" s="68" t="s">
        <v>95</v>
      </c>
      <c r="V443" s="72" t="str">
        <f t="shared" si="6"/>
        <v>GA_EMANUEL</v>
      </c>
      <c r="AJ443" s="1" t="s">
        <v>96</v>
      </c>
      <c r="AK443" s="1" t="s">
        <v>520</v>
      </c>
      <c r="AL443" s="1" t="s">
        <v>5736</v>
      </c>
      <c r="AM443" s="1" t="s">
        <v>3256</v>
      </c>
    </row>
    <row r="444" spans="20:39" x14ac:dyDescent="0.2">
      <c r="T444" s="29" t="s">
        <v>561</v>
      </c>
      <c r="U444" s="69" t="s">
        <v>95</v>
      </c>
      <c r="V444" s="72" t="str">
        <f t="shared" si="6"/>
        <v>GA_EVANS</v>
      </c>
      <c r="AJ444" s="1" t="s">
        <v>96</v>
      </c>
      <c r="AK444" s="1" t="s">
        <v>521</v>
      </c>
      <c r="AL444" s="1" t="s">
        <v>5737</v>
      </c>
      <c r="AM444" s="1" t="s">
        <v>3257</v>
      </c>
    </row>
    <row r="445" spans="20:39" x14ac:dyDescent="0.2">
      <c r="T445" s="28" t="s">
        <v>562</v>
      </c>
      <c r="U445" s="68" t="s">
        <v>95</v>
      </c>
      <c r="V445" s="72" t="str">
        <f t="shared" si="6"/>
        <v>GA_FANNIN</v>
      </c>
      <c r="AJ445" s="1" t="s">
        <v>96</v>
      </c>
      <c r="AK445" s="1" t="s">
        <v>258</v>
      </c>
      <c r="AL445" s="1" t="s">
        <v>5738</v>
      </c>
      <c r="AM445" s="1" t="s">
        <v>9150</v>
      </c>
    </row>
    <row r="446" spans="20:39" x14ac:dyDescent="0.2">
      <c r="T446" s="29" t="s">
        <v>222</v>
      </c>
      <c r="U446" s="69" t="s">
        <v>95</v>
      </c>
      <c r="V446" s="72" t="str">
        <f t="shared" si="6"/>
        <v>GA_FAYETTE</v>
      </c>
      <c r="AJ446" s="1" t="s">
        <v>95</v>
      </c>
      <c r="AK446" s="1" t="s">
        <v>522</v>
      </c>
      <c r="AL446" s="1" t="s">
        <v>5739</v>
      </c>
      <c r="AM446" s="1" t="s">
        <v>3260</v>
      </c>
    </row>
    <row r="447" spans="20:39" x14ac:dyDescent="0.2">
      <c r="T447" s="28" t="s">
        <v>563</v>
      </c>
      <c r="U447" s="68" t="s">
        <v>95</v>
      </c>
      <c r="V447" s="72" t="str">
        <f t="shared" si="6"/>
        <v>GA_FLOYD</v>
      </c>
      <c r="AJ447" s="1" t="s">
        <v>95</v>
      </c>
      <c r="AK447" s="1" t="s">
        <v>523</v>
      </c>
      <c r="AL447" s="1" t="s">
        <v>5740</v>
      </c>
      <c r="AM447" s="1" t="s">
        <v>3262</v>
      </c>
    </row>
    <row r="448" spans="20:39" x14ac:dyDescent="0.2">
      <c r="T448" s="29" t="s">
        <v>564</v>
      </c>
      <c r="U448" s="69" t="s">
        <v>95</v>
      </c>
      <c r="V448" s="72" t="str">
        <f t="shared" si="6"/>
        <v>GA_FORSYTH</v>
      </c>
      <c r="AJ448" s="1" t="s">
        <v>95</v>
      </c>
      <c r="AK448" s="1" t="s">
        <v>524</v>
      </c>
      <c r="AL448" s="1" t="s">
        <v>5741</v>
      </c>
      <c r="AM448" s="1" t="s">
        <v>3265</v>
      </c>
    </row>
    <row r="449" spans="20:39" x14ac:dyDescent="0.2">
      <c r="T449" s="28" t="s">
        <v>223</v>
      </c>
      <c r="U449" s="68" t="s">
        <v>95</v>
      </c>
      <c r="V449" s="72" t="str">
        <f t="shared" si="6"/>
        <v>GA_FRANKLIN</v>
      </c>
      <c r="AJ449" s="1" t="s">
        <v>95</v>
      </c>
      <c r="AK449" s="1" t="s">
        <v>474</v>
      </c>
      <c r="AL449" s="1" t="s">
        <v>5742</v>
      </c>
      <c r="AM449" s="1" t="s">
        <v>3266</v>
      </c>
    </row>
    <row r="450" spans="20:39" x14ac:dyDescent="0.2">
      <c r="T450" s="29" t="s">
        <v>312</v>
      </c>
      <c r="U450" s="69" t="s">
        <v>95</v>
      </c>
      <c r="V450" s="72" t="str">
        <f t="shared" si="6"/>
        <v>GA_FULTON</v>
      </c>
      <c r="AJ450" s="1" t="s">
        <v>95</v>
      </c>
      <c r="AK450" s="1" t="s">
        <v>195</v>
      </c>
      <c r="AL450" s="1" t="s">
        <v>5743</v>
      </c>
      <c r="AM450" s="1" t="s">
        <v>3267</v>
      </c>
    </row>
    <row r="451" spans="20:39" x14ac:dyDescent="0.2">
      <c r="T451" s="28" t="s">
        <v>565</v>
      </c>
      <c r="U451" s="68" t="s">
        <v>95</v>
      </c>
      <c r="V451" s="72" t="str">
        <f t="shared" si="6"/>
        <v>GA_GILMER</v>
      </c>
      <c r="AJ451" s="1" t="s">
        <v>95</v>
      </c>
      <c r="AK451" s="1" t="s">
        <v>525</v>
      </c>
      <c r="AL451" s="1" t="s">
        <v>5744</v>
      </c>
      <c r="AM451" s="1" t="s">
        <v>3268</v>
      </c>
    </row>
    <row r="452" spans="20:39" x14ac:dyDescent="0.2">
      <c r="T452" s="29" t="s">
        <v>566</v>
      </c>
      <c r="U452" s="69" t="s">
        <v>95</v>
      </c>
      <c r="V452" s="72" t="str">
        <f t="shared" si="6"/>
        <v>GA_GLASCOCK</v>
      </c>
      <c r="AJ452" s="1" t="s">
        <v>95</v>
      </c>
      <c r="AK452" s="1" t="s">
        <v>526</v>
      </c>
      <c r="AL452" s="1" t="s">
        <v>5745</v>
      </c>
      <c r="AM452" s="1" t="s">
        <v>3263</v>
      </c>
    </row>
    <row r="453" spans="20:39" x14ac:dyDescent="0.2">
      <c r="T453" s="28" t="s">
        <v>567</v>
      </c>
      <c r="U453" s="68" t="s">
        <v>95</v>
      </c>
      <c r="V453" s="72" t="str">
        <f t="shared" si="6"/>
        <v>GA_GLYNN</v>
      </c>
      <c r="AJ453" s="1" t="s">
        <v>95</v>
      </c>
      <c r="AK453" s="1" t="s">
        <v>527</v>
      </c>
      <c r="AL453" s="1" t="s">
        <v>5746</v>
      </c>
      <c r="AM453" s="1" t="s">
        <v>3263</v>
      </c>
    </row>
    <row r="454" spans="20:39" x14ac:dyDescent="0.2">
      <c r="T454" s="29" t="s">
        <v>568</v>
      </c>
      <c r="U454" s="69" t="s">
        <v>95</v>
      </c>
      <c r="V454" s="72" t="str">
        <f t="shared" si="6"/>
        <v>GA_GORDON</v>
      </c>
      <c r="AJ454" s="1" t="s">
        <v>95</v>
      </c>
      <c r="AK454" s="1" t="s">
        <v>528</v>
      </c>
      <c r="AL454" s="1" t="s">
        <v>5747</v>
      </c>
      <c r="AM454" s="1" t="s">
        <v>3269</v>
      </c>
    </row>
    <row r="455" spans="20:39" x14ac:dyDescent="0.2">
      <c r="T455" s="28" t="s">
        <v>569</v>
      </c>
      <c r="U455" s="68" t="s">
        <v>95</v>
      </c>
      <c r="V455" s="72" t="str">
        <f t="shared" si="6"/>
        <v>GA_GRADY</v>
      </c>
      <c r="AJ455" s="1" t="s">
        <v>95</v>
      </c>
      <c r="AK455" s="1" t="s">
        <v>529</v>
      </c>
      <c r="AL455" s="1" t="s">
        <v>5748</v>
      </c>
      <c r="AM455" s="1" t="s">
        <v>3270</v>
      </c>
    </row>
    <row r="456" spans="20:39" x14ac:dyDescent="0.2">
      <c r="T456" s="29" t="s">
        <v>225</v>
      </c>
      <c r="U456" s="69" t="s">
        <v>95</v>
      </c>
      <c r="V456" s="72" t="str">
        <f t="shared" si="6"/>
        <v>GA_GREENE</v>
      </c>
      <c r="AJ456" s="1" t="s">
        <v>95</v>
      </c>
      <c r="AK456" s="1" t="s">
        <v>197</v>
      </c>
      <c r="AL456" s="1" t="s">
        <v>5749</v>
      </c>
      <c r="AM456" s="1" t="s">
        <v>3317</v>
      </c>
    </row>
    <row r="457" spans="20:39" x14ac:dyDescent="0.2">
      <c r="T457" s="28" t="s">
        <v>570</v>
      </c>
      <c r="U457" s="68" t="s">
        <v>95</v>
      </c>
      <c r="V457" s="72" t="str">
        <f t="shared" si="6"/>
        <v>GA_GWINNETT</v>
      </c>
      <c r="AJ457" s="1" t="s">
        <v>95</v>
      </c>
      <c r="AK457" s="1" t="s">
        <v>530</v>
      </c>
      <c r="AL457" s="1" t="s">
        <v>5750</v>
      </c>
      <c r="AM457" s="1" t="s">
        <v>3271</v>
      </c>
    </row>
    <row r="458" spans="20:39" x14ac:dyDescent="0.2">
      <c r="T458" s="29" t="s">
        <v>571</v>
      </c>
      <c r="U458" s="69" t="s">
        <v>95</v>
      </c>
      <c r="V458" s="72" t="str">
        <f t="shared" ref="V458:V521" si="7">UPPER(CONCATENATE(TRIM(U458),"_",TRIM(T458)))</f>
        <v>GA_HABERSHAM</v>
      </c>
      <c r="AJ458" s="1" t="s">
        <v>95</v>
      </c>
      <c r="AK458" s="1" t="s">
        <v>531</v>
      </c>
      <c r="AL458" s="1" t="s">
        <v>5751</v>
      </c>
      <c r="AM458" s="1" t="s">
        <v>9151</v>
      </c>
    </row>
    <row r="459" spans="20:39" x14ac:dyDescent="0.2">
      <c r="T459" s="28" t="s">
        <v>572</v>
      </c>
      <c r="U459" s="68" t="s">
        <v>95</v>
      </c>
      <c r="V459" s="72" t="str">
        <f t="shared" si="7"/>
        <v>GA_HALL</v>
      </c>
      <c r="AJ459" s="1" t="s">
        <v>95</v>
      </c>
      <c r="AK459" s="1" t="s">
        <v>532</v>
      </c>
      <c r="AL459" s="1" t="s">
        <v>5752</v>
      </c>
      <c r="AM459" s="1" t="s">
        <v>3355</v>
      </c>
    </row>
    <row r="460" spans="20:39" x14ac:dyDescent="0.2">
      <c r="T460" s="29" t="s">
        <v>573</v>
      </c>
      <c r="U460" s="69" t="s">
        <v>95</v>
      </c>
      <c r="V460" s="72" t="str">
        <f t="shared" si="7"/>
        <v>GA_HANCOCK</v>
      </c>
      <c r="AJ460" s="1" t="s">
        <v>95</v>
      </c>
      <c r="AK460" s="1" t="s">
        <v>533</v>
      </c>
      <c r="AL460" s="1" t="s">
        <v>5753</v>
      </c>
      <c r="AM460" s="1" t="s">
        <v>3334</v>
      </c>
    </row>
    <row r="461" spans="20:39" x14ac:dyDescent="0.2">
      <c r="T461" s="28" t="s">
        <v>574</v>
      </c>
      <c r="U461" s="68" t="s">
        <v>95</v>
      </c>
      <c r="V461" s="72" t="str">
        <f t="shared" si="7"/>
        <v>GA_HARALSON</v>
      </c>
      <c r="AJ461" s="1" t="s">
        <v>95</v>
      </c>
      <c r="AK461" s="1" t="s">
        <v>534</v>
      </c>
      <c r="AL461" s="1" t="s">
        <v>5754</v>
      </c>
      <c r="AM461" s="1" t="s">
        <v>3272</v>
      </c>
    </row>
    <row r="462" spans="20:39" x14ac:dyDescent="0.2">
      <c r="T462" s="29" t="s">
        <v>575</v>
      </c>
      <c r="U462" s="69" t="s">
        <v>95</v>
      </c>
      <c r="V462" s="72" t="str">
        <f t="shared" si="7"/>
        <v>GA_HARRIS</v>
      </c>
      <c r="AJ462" s="1" t="s">
        <v>95</v>
      </c>
      <c r="AK462" s="1" t="s">
        <v>535</v>
      </c>
      <c r="AL462" s="1" t="s">
        <v>5755</v>
      </c>
      <c r="AM462" s="1" t="s">
        <v>3264</v>
      </c>
    </row>
    <row r="463" spans="20:39" x14ac:dyDescent="0.2">
      <c r="T463" s="28" t="s">
        <v>576</v>
      </c>
      <c r="U463" s="68" t="s">
        <v>95</v>
      </c>
      <c r="V463" s="72" t="str">
        <f t="shared" si="7"/>
        <v>GA_HART</v>
      </c>
      <c r="AJ463" s="1" t="s">
        <v>95</v>
      </c>
      <c r="AK463" s="1" t="s">
        <v>536</v>
      </c>
      <c r="AL463" s="1" t="s">
        <v>5756</v>
      </c>
      <c r="AM463" s="1" t="s">
        <v>3273</v>
      </c>
    </row>
    <row r="464" spans="20:39" x14ac:dyDescent="0.2">
      <c r="T464" s="29" t="s">
        <v>577</v>
      </c>
      <c r="U464" s="69" t="s">
        <v>95</v>
      </c>
      <c r="V464" s="72" t="str">
        <f t="shared" si="7"/>
        <v>GA_HEARD</v>
      </c>
      <c r="AJ464" s="1" t="s">
        <v>95</v>
      </c>
      <c r="AK464" s="1" t="s">
        <v>201</v>
      </c>
      <c r="AL464" s="1" t="s">
        <v>5757</v>
      </c>
      <c r="AM464" s="1" t="s">
        <v>3274</v>
      </c>
    </row>
    <row r="465" spans="20:39" x14ac:dyDescent="0.2">
      <c r="T465" s="28" t="s">
        <v>227</v>
      </c>
      <c r="U465" s="68" t="s">
        <v>95</v>
      </c>
      <c r="V465" s="72" t="str">
        <f t="shared" si="7"/>
        <v>GA_HENRY</v>
      </c>
      <c r="AJ465" s="1" t="s">
        <v>95</v>
      </c>
      <c r="AK465" s="1" t="s">
        <v>537</v>
      </c>
      <c r="AL465" s="1" t="s">
        <v>5758</v>
      </c>
      <c r="AM465" s="1" t="s">
        <v>3275</v>
      </c>
    </row>
    <row r="466" spans="20:39" x14ac:dyDescent="0.2">
      <c r="T466" s="29" t="s">
        <v>228</v>
      </c>
      <c r="U466" s="69" t="s">
        <v>95</v>
      </c>
      <c r="V466" s="72" t="str">
        <f t="shared" si="7"/>
        <v>GA_HOUSTON</v>
      </c>
      <c r="AJ466" s="1" t="s">
        <v>95</v>
      </c>
      <c r="AK466" s="1" t="s">
        <v>538</v>
      </c>
      <c r="AL466" s="1" t="s">
        <v>5759</v>
      </c>
      <c r="AM466" s="1" t="s">
        <v>3276</v>
      </c>
    </row>
    <row r="467" spans="20:39" x14ac:dyDescent="0.2">
      <c r="T467" s="28" t="s">
        <v>578</v>
      </c>
      <c r="U467" s="68" t="s">
        <v>95</v>
      </c>
      <c r="V467" s="72" t="str">
        <f t="shared" si="7"/>
        <v>GA_IRWIN</v>
      </c>
      <c r="AJ467" s="1" t="s">
        <v>95</v>
      </c>
      <c r="AK467" s="1" t="s">
        <v>299</v>
      </c>
      <c r="AL467" s="1" t="s">
        <v>5760</v>
      </c>
      <c r="AM467" s="1" t="s">
        <v>3263</v>
      </c>
    </row>
    <row r="468" spans="20:39" x14ac:dyDescent="0.2">
      <c r="T468" s="29" t="s">
        <v>229</v>
      </c>
      <c r="U468" s="69" t="s">
        <v>95</v>
      </c>
      <c r="V468" s="72" t="str">
        <f t="shared" si="7"/>
        <v>GA_JACKSON</v>
      </c>
      <c r="AJ468" s="1" t="s">
        <v>95</v>
      </c>
      <c r="AK468" s="1" t="s">
        <v>539</v>
      </c>
      <c r="AL468" s="1" t="s">
        <v>5761</v>
      </c>
      <c r="AM468" s="1" t="s">
        <v>3278</v>
      </c>
    </row>
    <row r="469" spans="20:39" x14ac:dyDescent="0.2">
      <c r="T469" s="28" t="s">
        <v>579</v>
      </c>
      <c r="U469" s="68" t="s">
        <v>95</v>
      </c>
      <c r="V469" s="72" t="str">
        <f t="shared" si="7"/>
        <v>GA_JASPER</v>
      </c>
      <c r="AJ469" s="1" t="s">
        <v>95</v>
      </c>
      <c r="AK469" s="1" t="s">
        <v>540</v>
      </c>
      <c r="AL469" s="1" t="s">
        <v>5762</v>
      </c>
      <c r="AM469" s="1" t="s">
        <v>3277</v>
      </c>
    </row>
    <row r="470" spans="20:39" x14ac:dyDescent="0.2">
      <c r="T470" s="29" t="s">
        <v>580</v>
      </c>
      <c r="U470" s="69" t="s">
        <v>95</v>
      </c>
      <c r="V470" s="72" t="str">
        <f t="shared" si="7"/>
        <v>GA_JEFF DAVIS</v>
      </c>
      <c r="AJ470" s="1" t="s">
        <v>95</v>
      </c>
      <c r="AK470" s="1" t="s">
        <v>541</v>
      </c>
      <c r="AL470" s="1" t="s">
        <v>5763</v>
      </c>
      <c r="AM470" s="1" t="s">
        <v>3334</v>
      </c>
    </row>
    <row r="471" spans="20:39" x14ac:dyDescent="0.2">
      <c r="T471" s="28" t="s">
        <v>230</v>
      </c>
      <c r="U471" s="68" t="s">
        <v>95</v>
      </c>
      <c r="V471" s="72" t="str">
        <f t="shared" si="7"/>
        <v>GA_JEFFERSON</v>
      </c>
      <c r="AJ471" s="1" t="s">
        <v>95</v>
      </c>
      <c r="AK471" s="1" t="s">
        <v>542</v>
      </c>
      <c r="AL471" s="1" t="s">
        <v>5764</v>
      </c>
      <c r="AM471" s="1" t="s">
        <v>3000</v>
      </c>
    </row>
    <row r="472" spans="20:39" x14ac:dyDescent="0.2">
      <c r="T472" s="29" t="s">
        <v>581</v>
      </c>
      <c r="U472" s="69" t="s">
        <v>95</v>
      </c>
      <c r="V472" s="72" t="str">
        <f t="shared" si="7"/>
        <v>GA_JENKINS</v>
      </c>
      <c r="AJ472" s="1" t="s">
        <v>95</v>
      </c>
      <c r="AK472" s="1" t="s">
        <v>543</v>
      </c>
      <c r="AL472" s="1" t="s">
        <v>5765</v>
      </c>
      <c r="AM472" s="1" t="s">
        <v>3279</v>
      </c>
    </row>
    <row r="473" spans="20:39" x14ac:dyDescent="0.2">
      <c r="T473" s="28" t="s">
        <v>320</v>
      </c>
      <c r="U473" s="68" t="s">
        <v>95</v>
      </c>
      <c r="V473" s="72" t="str">
        <f t="shared" si="7"/>
        <v>GA_JOHNSON</v>
      </c>
      <c r="AJ473" s="1" t="s">
        <v>95</v>
      </c>
      <c r="AK473" s="1" t="s">
        <v>203</v>
      </c>
      <c r="AL473" s="1" t="s">
        <v>5766</v>
      </c>
      <c r="AM473" s="1" t="s">
        <v>3263</v>
      </c>
    </row>
    <row r="474" spans="20:39" x14ac:dyDescent="0.2">
      <c r="T474" s="29" t="s">
        <v>582</v>
      </c>
      <c r="U474" s="69" t="s">
        <v>95</v>
      </c>
      <c r="V474" s="72" t="str">
        <f t="shared" si="7"/>
        <v>GA_JONES</v>
      </c>
      <c r="AJ474" s="1" t="s">
        <v>95</v>
      </c>
      <c r="AK474" s="1" t="s">
        <v>206</v>
      </c>
      <c r="AL474" s="1" t="s">
        <v>5767</v>
      </c>
      <c r="AM474" s="1" t="s">
        <v>3261</v>
      </c>
    </row>
    <row r="475" spans="20:39" x14ac:dyDescent="0.2">
      <c r="T475" s="28" t="s">
        <v>231</v>
      </c>
      <c r="U475" s="68" t="s">
        <v>95</v>
      </c>
      <c r="V475" s="72" t="str">
        <f t="shared" si="7"/>
        <v>GA_LAMAR</v>
      </c>
      <c r="AJ475" s="1" t="s">
        <v>95</v>
      </c>
      <c r="AK475" s="1" t="s">
        <v>207</v>
      </c>
      <c r="AL475" s="1" t="s">
        <v>5768</v>
      </c>
      <c r="AM475" s="1" t="s">
        <v>3280</v>
      </c>
    </row>
    <row r="476" spans="20:39" x14ac:dyDescent="0.2">
      <c r="T476" s="29" t="s">
        <v>583</v>
      </c>
      <c r="U476" s="69" t="s">
        <v>95</v>
      </c>
      <c r="V476" s="72" t="str">
        <f t="shared" si="7"/>
        <v>GA_LANIER</v>
      </c>
      <c r="AJ476" s="1" t="s">
        <v>95</v>
      </c>
      <c r="AK476" s="1" t="s">
        <v>544</v>
      </c>
      <c r="AL476" s="1" t="s">
        <v>5769</v>
      </c>
      <c r="AM476" s="1" t="s">
        <v>3263</v>
      </c>
    </row>
    <row r="477" spans="20:39" x14ac:dyDescent="0.2">
      <c r="T477" s="28" t="s">
        <v>584</v>
      </c>
      <c r="U477" s="68" t="s">
        <v>95</v>
      </c>
      <c r="V477" s="72" t="str">
        <f t="shared" si="7"/>
        <v>GA_LAURENS</v>
      </c>
      <c r="AJ477" s="1" t="s">
        <v>95</v>
      </c>
      <c r="AK477" s="1" t="s">
        <v>545</v>
      </c>
      <c r="AL477" s="1" t="s">
        <v>5770</v>
      </c>
      <c r="AM477" s="1" t="s">
        <v>3281</v>
      </c>
    </row>
    <row r="478" spans="20:39" x14ac:dyDescent="0.2">
      <c r="T478" s="29" t="s">
        <v>234</v>
      </c>
      <c r="U478" s="69" t="s">
        <v>95</v>
      </c>
      <c r="V478" s="72" t="str">
        <f t="shared" si="7"/>
        <v>GA_LEE</v>
      </c>
      <c r="AJ478" s="1" t="s">
        <v>95</v>
      </c>
      <c r="AK478" s="1" t="s">
        <v>546</v>
      </c>
      <c r="AL478" s="1" t="s">
        <v>5771</v>
      </c>
      <c r="AM478" s="1" t="s">
        <v>3263</v>
      </c>
    </row>
    <row r="479" spans="20:39" x14ac:dyDescent="0.2">
      <c r="T479" s="28" t="s">
        <v>501</v>
      </c>
      <c r="U479" s="68" t="s">
        <v>95</v>
      </c>
      <c r="V479" s="72" t="str">
        <f t="shared" si="7"/>
        <v>GA_LIBERTY</v>
      </c>
      <c r="AJ479" s="1" t="s">
        <v>95</v>
      </c>
      <c r="AK479" s="1" t="s">
        <v>209</v>
      </c>
      <c r="AL479" s="1" t="s">
        <v>5772</v>
      </c>
      <c r="AM479" s="1" t="s">
        <v>3282</v>
      </c>
    </row>
    <row r="480" spans="20:39" x14ac:dyDescent="0.2">
      <c r="T480" s="29" t="s">
        <v>322</v>
      </c>
      <c r="U480" s="69" t="s">
        <v>95</v>
      </c>
      <c r="V480" s="72" t="str">
        <f t="shared" si="7"/>
        <v>GA_LINCOLN</v>
      </c>
      <c r="AJ480" s="1" t="s">
        <v>95</v>
      </c>
      <c r="AK480" s="1" t="s">
        <v>547</v>
      </c>
      <c r="AL480" s="1" t="s">
        <v>5773</v>
      </c>
      <c r="AM480" s="1" t="s">
        <v>3283</v>
      </c>
    </row>
    <row r="481" spans="20:39" x14ac:dyDescent="0.2">
      <c r="T481" s="28" t="s">
        <v>585</v>
      </c>
      <c r="U481" s="68" t="s">
        <v>95</v>
      </c>
      <c r="V481" s="72" t="str">
        <f t="shared" si="7"/>
        <v>GA_LONG</v>
      </c>
      <c r="AJ481" s="1" t="s">
        <v>95</v>
      </c>
      <c r="AK481" s="1" t="s">
        <v>303</v>
      </c>
      <c r="AL481" s="1" t="s">
        <v>5774</v>
      </c>
      <c r="AM481" s="1" t="s">
        <v>3264</v>
      </c>
    </row>
    <row r="482" spans="20:39" x14ac:dyDescent="0.2">
      <c r="T482" s="29" t="s">
        <v>236</v>
      </c>
      <c r="U482" s="69" t="s">
        <v>95</v>
      </c>
      <c r="V482" s="72" t="str">
        <f t="shared" si="7"/>
        <v>GA_LOWNDES</v>
      </c>
      <c r="AJ482" s="1" t="s">
        <v>95</v>
      </c>
      <c r="AK482" s="1" t="s">
        <v>548</v>
      </c>
      <c r="AL482" s="1" t="s">
        <v>5775</v>
      </c>
      <c r="AM482" s="1" t="s">
        <v>3284</v>
      </c>
    </row>
    <row r="483" spans="20:39" x14ac:dyDescent="0.2">
      <c r="T483" s="28" t="s">
        <v>586</v>
      </c>
      <c r="U483" s="68" t="s">
        <v>95</v>
      </c>
      <c r="V483" s="72" t="str">
        <f t="shared" si="7"/>
        <v>GA_LUMPKIN</v>
      </c>
      <c r="AJ483" s="1" t="s">
        <v>95</v>
      </c>
      <c r="AK483" s="1" t="s">
        <v>549</v>
      </c>
      <c r="AL483" s="1" t="s">
        <v>5776</v>
      </c>
      <c r="AM483" s="1" t="s">
        <v>3263</v>
      </c>
    </row>
    <row r="484" spans="20:39" x14ac:dyDescent="0.2">
      <c r="T484" s="29" t="s">
        <v>587</v>
      </c>
      <c r="U484" s="69" t="s">
        <v>95</v>
      </c>
      <c r="V484" s="72" t="str">
        <f t="shared" si="7"/>
        <v>GA_MCDUFFIE</v>
      </c>
      <c r="AJ484" s="1" t="s">
        <v>95</v>
      </c>
      <c r="AK484" s="1" t="s">
        <v>306</v>
      </c>
      <c r="AL484" s="1" t="s">
        <v>5777</v>
      </c>
      <c r="AM484" s="1" t="s">
        <v>3317</v>
      </c>
    </row>
    <row r="485" spans="20:39" x14ac:dyDescent="0.2">
      <c r="T485" s="28" t="s">
        <v>588</v>
      </c>
      <c r="U485" s="68" t="s">
        <v>95</v>
      </c>
      <c r="V485" s="72" t="str">
        <f t="shared" si="7"/>
        <v>GA_MCINTOSH</v>
      </c>
      <c r="AJ485" s="1" t="s">
        <v>95</v>
      </c>
      <c r="AK485" s="1" t="s">
        <v>550</v>
      </c>
      <c r="AL485" s="1" t="s">
        <v>5778</v>
      </c>
      <c r="AM485" s="1" t="s">
        <v>3285</v>
      </c>
    </row>
    <row r="486" spans="20:39" x14ac:dyDescent="0.2">
      <c r="T486" s="29" t="s">
        <v>237</v>
      </c>
      <c r="U486" s="69" t="s">
        <v>95</v>
      </c>
      <c r="V486" s="72" t="str">
        <f t="shared" si="7"/>
        <v>GA_MACON</v>
      </c>
      <c r="AJ486" s="1" t="s">
        <v>95</v>
      </c>
      <c r="AK486" s="1" t="s">
        <v>482</v>
      </c>
      <c r="AL486" s="1" t="s">
        <v>5779</v>
      </c>
      <c r="AM486" s="1" t="s">
        <v>3278</v>
      </c>
    </row>
    <row r="487" spans="20:39" x14ac:dyDescent="0.2">
      <c r="T487" s="28" t="s">
        <v>238</v>
      </c>
      <c r="U487" s="68" t="s">
        <v>95</v>
      </c>
      <c r="V487" s="72" t="str">
        <f t="shared" si="7"/>
        <v>GA_MADISON</v>
      </c>
      <c r="AJ487" s="1" t="s">
        <v>95</v>
      </c>
      <c r="AK487" s="1" t="s">
        <v>551</v>
      </c>
      <c r="AL487" s="1" t="s">
        <v>5780</v>
      </c>
      <c r="AM487" s="1" t="s">
        <v>3263</v>
      </c>
    </row>
    <row r="488" spans="20:39" x14ac:dyDescent="0.2">
      <c r="T488" s="29" t="s">
        <v>240</v>
      </c>
      <c r="U488" s="69" t="s">
        <v>95</v>
      </c>
      <c r="V488" s="72" t="str">
        <f t="shared" si="7"/>
        <v>GA_MARION</v>
      </c>
      <c r="AJ488" s="1" t="s">
        <v>95</v>
      </c>
      <c r="AK488" s="1" t="s">
        <v>553</v>
      </c>
      <c r="AL488" s="1" t="s">
        <v>5781</v>
      </c>
      <c r="AM488" s="1" t="s">
        <v>3263</v>
      </c>
    </row>
    <row r="489" spans="20:39" x14ac:dyDescent="0.2">
      <c r="T489" s="28" t="s">
        <v>589</v>
      </c>
      <c r="U489" s="68" t="s">
        <v>95</v>
      </c>
      <c r="V489" s="72" t="str">
        <f t="shared" si="7"/>
        <v>GA_MERIWETHER</v>
      </c>
      <c r="AJ489" s="1" t="s">
        <v>95</v>
      </c>
      <c r="AK489" s="1" t="s">
        <v>552</v>
      </c>
      <c r="AL489" s="1" t="s">
        <v>5782</v>
      </c>
      <c r="AM489" s="1" t="s">
        <v>3287</v>
      </c>
    </row>
    <row r="490" spans="20:39" x14ac:dyDescent="0.2">
      <c r="T490" s="29" t="s">
        <v>326</v>
      </c>
      <c r="U490" s="69" t="s">
        <v>95</v>
      </c>
      <c r="V490" s="72" t="str">
        <f t="shared" si="7"/>
        <v>GA_MILLER</v>
      </c>
      <c r="AJ490" s="1" t="s">
        <v>95</v>
      </c>
      <c r="AK490" s="1" t="s">
        <v>554</v>
      </c>
      <c r="AL490" s="1" t="s">
        <v>5783</v>
      </c>
      <c r="AM490" s="1" t="s">
        <v>3288</v>
      </c>
    </row>
    <row r="491" spans="20:39" x14ac:dyDescent="0.2">
      <c r="T491" s="28" t="s">
        <v>590</v>
      </c>
      <c r="U491" s="68" t="s">
        <v>95</v>
      </c>
      <c r="V491" s="72" t="str">
        <f t="shared" si="7"/>
        <v>GA_MITCHELL</v>
      </c>
      <c r="AJ491" s="1" t="s">
        <v>95</v>
      </c>
      <c r="AK491" s="1" t="s">
        <v>555</v>
      </c>
      <c r="AL491" s="1" t="s">
        <v>5784</v>
      </c>
      <c r="AM491" s="1" t="s">
        <v>3289</v>
      </c>
    </row>
    <row r="492" spans="20:39" x14ac:dyDescent="0.2">
      <c r="T492" s="29" t="s">
        <v>243</v>
      </c>
      <c r="U492" s="69" t="s">
        <v>95</v>
      </c>
      <c r="V492" s="72" t="str">
        <f t="shared" si="7"/>
        <v>GA_MONROE</v>
      </c>
      <c r="AJ492" s="1" t="s">
        <v>95</v>
      </c>
      <c r="AK492" s="1" t="s">
        <v>556</v>
      </c>
      <c r="AL492" s="1" t="s">
        <v>5785</v>
      </c>
      <c r="AM492" s="1" t="s">
        <v>3259</v>
      </c>
    </row>
    <row r="493" spans="20:39" x14ac:dyDescent="0.2">
      <c r="T493" s="28" t="s">
        <v>244</v>
      </c>
      <c r="U493" s="68" t="s">
        <v>95</v>
      </c>
      <c r="V493" s="72" t="str">
        <f t="shared" si="7"/>
        <v>GA_MONTGOMERY</v>
      </c>
      <c r="AJ493" s="1" t="s">
        <v>95</v>
      </c>
      <c r="AK493" s="1" t="s">
        <v>423</v>
      </c>
      <c r="AL493" s="1" t="s">
        <v>5786</v>
      </c>
      <c r="AM493" s="1" t="s">
        <v>3263</v>
      </c>
    </row>
    <row r="494" spans="20:39" x14ac:dyDescent="0.2">
      <c r="T494" s="29" t="s">
        <v>245</v>
      </c>
      <c r="U494" s="69" t="s">
        <v>95</v>
      </c>
      <c r="V494" s="72" t="str">
        <f t="shared" si="7"/>
        <v>GA_MORGAN</v>
      </c>
      <c r="AJ494" s="1" t="s">
        <v>95</v>
      </c>
      <c r="AK494" s="1" t="s">
        <v>557</v>
      </c>
      <c r="AL494" s="1" t="s">
        <v>5787</v>
      </c>
      <c r="AM494" s="1" t="s">
        <v>3290</v>
      </c>
    </row>
    <row r="495" spans="20:39" x14ac:dyDescent="0.2">
      <c r="T495" s="28" t="s">
        <v>591</v>
      </c>
      <c r="U495" s="68" t="s">
        <v>95</v>
      </c>
      <c r="V495" s="72" t="str">
        <f t="shared" si="7"/>
        <v>GA_MURRAY</v>
      </c>
      <c r="AJ495" s="1" t="s">
        <v>95</v>
      </c>
      <c r="AK495" s="1" t="s">
        <v>558</v>
      </c>
      <c r="AL495" s="1" t="s">
        <v>5788</v>
      </c>
      <c r="AM495" s="1" t="s">
        <v>3355</v>
      </c>
    </row>
    <row r="496" spans="20:39" x14ac:dyDescent="0.2">
      <c r="T496" s="29" t="s">
        <v>592</v>
      </c>
      <c r="U496" s="69" t="s">
        <v>95</v>
      </c>
      <c r="V496" s="72" t="str">
        <f t="shared" si="7"/>
        <v>GA_MUSCOGEE</v>
      </c>
      <c r="AJ496" s="1" t="s">
        <v>95</v>
      </c>
      <c r="AK496" s="1" t="s">
        <v>559</v>
      </c>
      <c r="AL496" s="1" t="s">
        <v>5789</v>
      </c>
      <c r="AM496" s="1" t="s">
        <v>3334</v>
      </c>
    </row>
    <row r="497" spans="20:39" x14ac:dyDescent="0.2">
      <c r="T497" s="28" t="s">
        <v>329</v>
      </c>
      <c r="U497" s="68" t="s">
        <v>95</v>
      </c>
      <c r="V497" s="72" t="str">
        <f t="shared" si="7"/>
        <v>GA_NEWTON</v>
      </c>
      <c r="AJ497" s="1" t="s">
        <v>95</v>
      </c>
      <c r="AK497" s="1" t="s">
        <v>425</v>
      </c>
      <c r="AL497" s="1" t="s">
        <v>5790</v>
      </c>
      <c r="AM497" s="1" t="s">
        <v>3291</v>
      </c>
    </row>
    <row r="498" spans="20:39" x14ac:dyDescent="0.2">
      <c r="T498" s="29" t="s">
        <v>593</v>
      </c>
      <c r="U498" s="69" t="s">
        <v>95</v>
      </c>
      <c r="V498" s="72" t="str">
        <f t="shared" si="7"/>
        <v>GA_OCONEE</v>
      </c>
      <c r="AJ498" s="1" t="s">
        <v>95</v>
      </c>
      <c r="AK498" s="1" t="s">
        <v>560</v>
      </c>
      <c r="AL498" s="1" t="s">
        <v>5791</v>
      </c>
      <c r="AM498" s="1" t="s">
        <v>3292</v>
      </c>
    </row>
    <row r="499" spans="20:39" x14ac:dyDescent="0.2">
      <c r="T499" s="28" t="s">
        <v>594</v>
      </c>
      <c r="U499" s="68" t="s">
        <v>95</v>
      </c>
      <c r="V499" s="72" t="str">
        <f t="shared" si="7"/>
        <v>GA_OGLETHORPE</v>
      </c>
      <c r="AJ499" s="1" t="s">
        <v>95</v>
      </c>
      <c r="AK499" s="1" t="s">
        <v>561</v>
      </c>
      <c r="AL499" s="1" t="s">
        <v>5792</v>
      </c>
      <c r="AM499" s="1" t="s">
        <v>3293</v>
      </c>
    </row>
    <row r="500" spans="20:39" x14ac:dyDescent="0.2">
      <c r="T500" s="29" t="s">
        <v>595</v>
      </c>
      <c r="U500" s="69" t="s">
        <v>95</v>
      </c>
      <c r="V500" s="72" t="str">
        <f t="shared" si="7"/>
        <v>GA_PAULDING</v>
      </c>
      <c r="AJ500" s="1" t="s">
        <v>95</v>
      </c>
      <c r="AK500" s="1" t="s">
        <v>562</v>
      </c>
      <c r="AL500" s="1" t="s">
        <v>5793</v>
      </c>
      <c r="AM500" s="1" t="s">
        <v>3294</v>
      </c>
    </row>
    <row r="501" spans="20:39" x14ac:dyDescent="0.2">
      <c r="T501" s="28" t="s">
        <v>596</v>
      </c>
      <c r="U501" s="68" t="s">
        <v>95</v>
      </c>
      <c r="V501" s="72" t="str">
        <f t="shared" si="7"/>
        <v>GA_PEACH</v>
      </c>
      <c r="AJ501" s="1" t="s">
        <v>95</v>
      </c>
      <c r="AK501" s="1" t="s">
        <v>222</v>
      </c>
      <c r="AL501" s="1" t="s">
        <v>5794</v>
      </c>
      <c r="AM501" s="1" t="s">
        <v>3263</v>
      </c>
    </row>
    <row r="502" spans="20:39" x14ac:dyDescent="0.2">
      <c r="T502" s="29" t="s">
        <v>247</v>
      </c>
      <c r="U502" s="69" t="s">
        <v>95</v>
      </c>
      <c r="V502" s="72" t="str">
        <f t="shared" si="7"/>
        <v>GA_PICKENS</v>
      </c>
      <c r="AJ502" s="1" t="s">
        <v>95</v>
      </c>
      <c r="AK502" s="1" t="s">
        <v>563</v>
      </c>
      <c r="AL502" s="1" t="s">
        <v>5795</v>
      </c>
      <c r="AM502" s="1" t="s">
        <v>3333</v>
      </c>
    </row>
    <row r="503" spans="20:39" x14ac:dyDescent="0.2">
      <c r="T503" s="28" t="s">
        <v>597</v>
      </c>
      <c r="U503" s="68" t="s">
        <v>95</v>
      </c>
      <c r="V503" s="72" t="str">
        <f t="shared" si="7"/>
        <v>GA_PIERCE</v>
      </c>
      <c r="AJ503" s="1" t="s">
        <v>95</v>
      </c>
      <c r="AK503" s="1" t="s">
        <v>564</v>
      </c>
      <c r="AL503" s="1" t="s">
        <v>5796</v>
      </c>
      <c r="AM503" s="1" t="s">
        <v>3263</v>
      </c>
    </row>
    <row r="504" spans="20:39" x14ac:dyDescent="0.2">
      <c r="T504" s="29" t="s">
        <v>248</v>
      </c>
      <c r="U504" s="69" t="s">
        <v>95</v>
      </c>
      <c r="V504" s="72" t="str">
        <f t="shared" si="7"/>
        <v>GA_PIKE</v>
      </c>
      <c r="AJ504" s="1" t="s">
        <v>95</v>
      </c>
      <c r="AK504" s="1" t="s">
        <v>223</v>
      </c>
      <c r="AL504" s="1" t="s">
        <v>5797</v>
      </c>
      <c r="AM504" s="1" t="s">
        <v>3295</v>
      </c>
    </row>
    <row r="505" spans="20:39" x14ac:dyDescent="0.2">
      <c r="T505" s="28" t="s">
        <v>333</v>
      </c>
      <c r="U505" s="68" t="s">
        <v>95</v>
      </c>
      <c r="V505" s="72" t="str">
        <f t="shared" si="7"/>
        <v>GA_POLK</v>
      </c>
      <c r="AJ505" s="1" t="s">
        <v>95</v>
      </c>
      <c r="AK505" s="1" t="s">
        <v>312</v>
      </c>
      <c r="AL505" s="1" t="s">
        <v>5798</v>
      </c>
      <c r="AM505" s="1" t="s">
        <v>3263</v>
      </c>
    </row>
    <row r="506" spans="20:39" x14ac:dyDescent="0.2">
      <c r="T506" s="29" t="s">
        <v>336</v>
      </c>
      <c r="U506" s="69" t="s">
        <v>95</v>
      </c>
      <c r="V506" s="72" t="str">
        <f t="shared" si="7"/>
        <v>GA_PULASKI</v>
      </c>
      <c r="AJ506" s="1" t="s">
        <v>95</v>
      </c>
      <c r="AK506" s="1" t="s">
        <v>565</v>
      </c>
      <c r="AL506" s="1" t="s">
        <v>5799</v>
      </c>
      <c r="AM506" s="1" t="s">
        <v>3297</v>
      </c>
    </row>
    <row r="507" spans="20:39" x14ac:dyDescent="0.2">
      <c r="T507" s="28" t="s">
        <v>511</v>
      </c>
      <c r="U507" s="68" t="s">
        <v>95</v>
      </c>
      <c r="V507" s="72" t="str">
        <f t="shared" si="7"/>
        <v>GA_PUTNAM</v>
      </c>
      <c r="AJ507" s="1" t="s">
        <v>95</v>
      </c>
      <c r="AK507" s="1" t="s">
        <v>566</v>
      </c>
      <c r="AL507" s="1" t="s">
        <v>5800</v>
      </c>
      <c r="AM507" s="1" t="s">
        <v>3298</v>
      </c>
    </row>
    <row r="508" spans="20:39" x14ac:dyDescent="0.2">
      <c r="T508" s="29" t="s">
        <v>598</v>
      </c>
      <c r="U508" s="69" t="s">
        <v>95</v>
      </c>
      <c r="V508" s="72" t="str">
        <f t="shared" si="7"/>
        <v>GA_QUITMAN</v>
      </c>
      <c r="AJ508" s="1" t="s">
        <v>95</v>
      </c>
      <c r="AK508" s="1" t="s">
        <v>567</v>
      </c>
      <c r="AL508" s="1" t="s">
        <v>5801</v>
      </c>
      <c r="AM508" s="1" t="s">
        <v>9151</v>
      </c>
    </row>
    <row r="509" spans="20:39" x14ac:dyDescent="0.2">
      <c r="T509" s="28" t="s">
        <v>599</v>
      </c>
      <c r="U509" s="68" t="s">
        <v>95</v>
      </c>
      <c r="V509" s="72" t="str">
        <f t="shared" si="7"/>
        <v>GA_RABUN</v>
      </c>
      <c r="AJ509" s="1" t="s">
        <v>95</v>
      </c>
      <c r="AK509" s="1" t="s">
        <v>568</v>
      </c>
      <c r="AL509" s="1" t="s">
        <v>5802</v>
      </c>
      <c r="AM509" s="1" t="s">
        <v>3299</v>
      </c>
    </row>
    <row r="510" spans="20:39" x14ac:dyDescent="0.2">
      <c r="T510" s="29" t="s">
        <v>249</v>
      </c>
      <c r="U510" s="69" t="s">
        <v>95</v>
      </c>
      <c r="V510" s="72" t="str">
        <f t="shared" si="7"/>
        <v>GA_RANDOLPH</v>
      </c>
      <c r="AJ510" s="1" t="s">
        <v>95</v>
      </c>
      <c r="AK510" s="1" t="s">
        <v>569</v>
      </c>
      <c r="AL510" s="1" t="s">
        <v>5803</v>
      </c>
      <c r="AM510" s="1" t="s">
        <v>3300</v>
      </c>
    </row>
    <row r="511" spans="20:39" x14ac:dyDescent="0.2">
      <c r="T511" s="28" t="s">
        <v>600</v>
      </c>
      <c r="U511" s="68" t="s">
        <v>95</v>
      </c>
      <c r="V511" s="72" t="str">
        <f t="shared" si="7"/>
        <v>GA_RICHMOND</v>
      </c>
      <c r="AJ511" s="1" t="s">
        <v>95</v>
      </c>
      <c r="AK511" s="1" t="s">
        <v>225</v>
      </c>
      <c r="AL511" s="1" t="s">
        <v>5804</v>
      </c>
      <c r="AM511" s="1" t="s">
        <v>3301</v>
      </c>
    </row>
    <row r="512" spans="20:39" x14ac:dyDescent="0.2">
      <c r="T512" s="29" t="s">
        <v>601</v>
      </c>
      <c r="U512" s="69" t="s">
        <v>95</v>
      </c>
      <c r="V512" s="72" t="str">
        <f t="shared" si="7"/>
        <v>GA_ROCKDALE</v>
      </c>
      <c r="AJ512" s="1" t="s">
        <v>95</v>
      </c>
      <c r="AK512" s="1" t="s">
        <v>570</v>
      </c>
      <c r="AL512" s="1" t="s">
        <v>5805</v>
      </c>
      <c r="AM512" s="1" t="s">
        <v>3263</v>
      </c>
    </row>
    <row r="513" spans="20:39" x14ac:dyDescent="0.2">
      <c r="T513" s="28" t="s">
        <v>602</v>
      </c>
      <c r="U513" s="68" t="s">
        <v>95</v>
      </c>
      <c r="V513" s="72" t="str">
        <f t="shared" si="7"/>
        <v>GA_SCHLEY</v>
      </c>
      <c r="AJ513" s="1" t="s">
        <v>95</v>
      </c>
      <c r="AK513" s="1" t="s">
        <v>571</v>
      </c>
      <c r="AL513" s="1" t="s">
        <v>5806</v>
      </c>
      <c r="AM513" s="1" t="s">
        <v>3302</v>
      </c>
    </row>
    <row r="514" spans="20:39" x14ac:dyDescent="0.2">
      <c r="T514" s="29" t="s">
        <v>603</v>
      </c>
      <c r="U514" s="69" t="s">
        <v>95</v>
      </c>
      <c r="V514" s="72" t="str">
        <f t="shared" si="7"/>
        <v>GA_SCREVEN</v>
      </c>
      <c r="AJ514" s="1" t="s">
        <v>95</v>
      </c>
      <c r="AK514" s="1" t="s">
        <v>572</v>
      </c>
      <c r="AL514" s="1" t="s">
        <v>5807</v>
      </c>
      <c r="AM514" s="1" t="s">
        <v>3296</v>
      </c>
    </row>
    <row r="515" spans="20:39" x14ac:dyDescent="0.2">
      <c r="T515" s="28" t="s">
        <v>516</v>
      </c>
      <c r="U515" s="68" t="s">
        <v>95</v>
      </c>
      <c r="V515" s="72" t="str">
        <f t="shared" si="7"/>
        <v>GA_SEMINOLE</v>
      </c>
      <c r="AJ515" s="1" t="s">
        <v>95</v>
      </c>
      <c r="AK515" s="1" t="s">
        <v>573</v>
      </c>
      <c r="AL515" s="1" t="s">
        <v>5808</v>
      </c>
      <c r="AM515" s="1" t="s">
        <v>3303</v>
      </c>
    </row>
    <row r="516" spans="20:39" x14ac:dyDescent="0.2">
      <c r="T516" s="29" t="s">
        <v>604</v>
      </c>
      <c r="U516" s="69" t="s">
        <v>95</v>
      </c>
      <c r="V516" s="72" t="str">
        <f t="shared" si="7"/>
        <v>GA_SPALDING</v>
      </c>
      <c r="AJ516" s="1" t="s">
        <v>95</v>
      </c>
      <c r="AK516" s="1" t="s">
        <v>574</v>
      </c>
      <c r="AL516" s="1" t="s">
        <v>5809</v>
      </c>
      <c r="AM516" s="1" t="s">
        <v>3304</v>
      </c>
    </row>
    <row r="517" spans="20:39" x14ac:dyDescent="0.2">
      <c r="T517" s="28" t="s">
        <v>605</v>
      </c>
      <c r="U517" s="68" t="s">
        <v>95</v>
      </c>
      <c r="V517" s="72" t="str">
        <f t="shared" si="7"/>
        <v>GA_STEPHENS</v>
      </c>
      <c r="AJ517" s="1" t="s">
        <v>95</v>
      </c>
      <c r="AK517" s="1" t="s">
        <v>575</v>
      </c>
      <c r="AL517" s="1" t="s">
        <v>5810</v>
      </c>
      <c r="AM517" s="1" t="s">
        <v>3000</v>
      </c>
    </row>
    <row r="518" spans="20:39" x14ac:dyDescent="0.2">
      <c r="T518" s="29" t="s">
        <v>606</v>
      </c>
      <c r="U518" s="69" t="s">
        <v>95</v>
      </c>
      <c r="V518" s="72" t="str">
        <f t="shared" si="7"/>
        <v>GA_STEWART</v>
      </c>
      <c r="AJ518" s="1" t="s">
        <v>95</v>
      </c>
      <c r="AK518" s="1" t="s">
        <v>576</v>
      </c>
      <c r="AL518" s="1" t="s">
        <v>5811</v>
      </c>
      <c r="AM518" s="1" t="s">
        <v>3305</v>
      </c>
    </row>
    <row r="519" spans="20:39" x14ac:dyDescent="0.2">
      <c r="T519" s="28" t="s">
        <v>253</v>
      </c>
      <c r="U519" s="68" t="s">
        <v>95</v>
      </c>
      <c r="V519" s="72" t="str">
        <f t="shared" si="7"/>
        <v>GA_SUMTER</v>
      </c>
      <c r="AJ519" s="1" t="s">
        <v>95</v>
      </c>
      <c r="AK519" s="1" t="s">
        <v>577</v>
      </c>
      <c r="AL519" s="1" t="s">
        <v>5812</v>
      </c>
      <c r="AM519" s="1" t="s">
        <v>3263</v>
      </c>
    </row>
    <row r="520" spans="20:39" x14ac:dyDescent="0.2">
      <c r="T520" s="29" t="s">
        <v>607</v>
      </c>
      <c r="U520" s="69" t="s">
        <v>95</v>
      </c>
      <c r="V520" s="72" t="str">
        <f t="shared" si="7"/>
        <v>GA_TALBOT</v>
      </c>
      <c r="AJ520" s="1" t="s">
        <v>95</v>
      </c>
      <c r="AK520" s="1" t="s">
        <v>227</v>
      </c>
      <c r="AL520" s="1" t="s">
        <v>5813</v>
      </c>
      <c r="AM520" s="1" t="s">
        <v>3263</v>
      </c>
    </row>
    <row r="521" spans="20:39" x14ac:dyDescent="0.2">
      <c r="T521" s="28" t="s">
        <v>608</v>
      </c>
      <c r="U521" s="68" t="s">
        <v>95</v>
      </c>
      <c r="V521" s="72" t="str">
        <f t="shared" si="7"/>
        <v>GA_TALIAFERRO</v>
      </c>
      <c r="AJ521" s="1" t="s">
        <v>95</v>
      </c>
      <c r="AK521" s="1" t="s">
        <v>228</v>
      </c>
      <c r="AL521" s="1" t="s">
        <v>5814</v>
      </c>
      <c r="AM521" s="1" t="s">
        <v>3357</v>
      </c>
    </row>
    <row r="522" spans="20:39" x14ac:dyDescent="0.2">
      <c r="T522" s="29" t="s">
        <v>609</v>
      </c>
      <c r="U522" s="69" t="s">
        <v>95</v>
      </c>
      <c r="V522" s="72" t="str">
        <f t="shared" ref="V522:V585" si="8">UPPER(CONCATENATE(TRIM(U522),"_",TRIM(T522)))</f>
        <v>GA_TATTNALL</v>
      </c>
      <c r="AJ522" s="1" t="s">
        <v>95</v>
      </c>
      <c r="AK522" s="1" t="s">
        <v>578</v>
      </c>
      <c r="AL522" s="1" t="s">
        <v>5815</v>
      </c>
      <c r="AM522" s="1" t="s">
        <v>3307</v>
      </c>
    </row>
    <row r="523" spans="20:39" x14ac:dyDescent="0.2">
      <c r="T523" s="28" t="s">
        <v>518</v>
      </c>
      <c r="U523" s="68" t="s">
        <v>95</v>
      </c>
      <c r="V523" s="72" t="str">
        <f t="shared" si="8"/>
        <v>GA_TAYLOR</v>
      </c>
      <c r="AJ523" s="1" t="s">
        <v>95</v>
      </c>
      <c r="AK523" s="1" t="s">
        <v>229</v>
      </c>
      <c r="AL523" s="1" t="s">
        <v>5816</v>
      </c>
      <c r="AM523" s="1" t="s">
        <v>3308</v>
      </c>
    </row>
    <row r="524" spans="20:39" x14ac:dyDescent="0.2">
      <c r="T524" s="29" t="s">
        <v>610</v>
      </c>
      <c r="U524" s="69" t="s">
        <v>95</v>
      </c>
      <c r="V524" s="72" t="str">
        <f t="shared" si="8"/>
        <v>GA_TELFAIR</v>
      </c>
      <c r="AJ524" s="1" t="s">
        <v>95</v>
      </c>
      <c r="AK524" s="1" t="s">
        <v>579</v>
      </c>
      <c r="AL524" s="1" t="s">
        <v>5817</v>
      </c>
      <c r="AM524" s="1" t="s">
        <v>3263</v>
      </c>
    </row>
    <row r="525" spans="20:39" x14ac:dyDescent="0.2">
      <c r="T525" s="28" t="s">
        <v>611</v>
      </c>
      <c r="U525" s="68" t="s">
        <v>95</v>
      </c>
      <c r="V525" s="72" t="str">
        <f t="shared" si="8"/>
        <v>GA_TERRELL</v>
      </c>
      <c r="AJ525" s="1" t="s">
        <v>95</v>
      </c>
      <c r="AK525" s="1" t="s">
        <v>580</v>
      </c>
      <c r="AL525" s="1" t="s">
        <v>5818</v>
      </c>
      <c r="AM525" s="1" t="s">
        <v>3309</v>
      </c>
    </row>
    <row r="526" spans="20:39" x14ac:dyDescent="0.2">
      <c r="T526" s="29" t="s">
        <v>612</v>
      </c>
      <c r="U526" s="69" t="s">
        <v>95</v>
      </c>
      <c r="V526" s="72" t="str">
        <f t="shared" si="8"/>
        <v>GA_THOMAS</v>
      </c>
      <c r="AJ526" s="1" t="s">
        <v>95</v>
      </c>
      <c r="AK526" s="1" t="s">
        <v>230</v>
      </c>
      <c r="AL526" s="1" t="s">
        <v>5819</v>
      </c>
      <c r="AM526" s="1" t="s">
        <v>3310</v>
      </c>
    </row>
    <row r="527" spans="20:39" x14ac:dyDescent="0.2">
      <c r="T527" s="28" t="s">
        <v>613</v>
      </c>
      <c r="U527" s="68" t="s">
        <v>95</v>
      </c>
      <c r="V527" s="72" t="str">
        <f t="shared" si="8"/>
        <v>GA_TIFT</v>
      </c>
      <c r="AJ527" s="1" t="s">
        <v>95</v>
      </c>
      <c r="AK527" s="1" t="s">
        <v>581</v>
      </c>
      <c r="AL527" s="1" t="s">
        <v>5820</v>
      </c>
      <c r="AM527" s="1" t="s">
        <v>3311</v>
      </c>
    </row>
    <row r="528" spans="20:39" x14ac:dyDescent="0.2">
      <c r="T528" s="29" t="s">
        <v>614</v>
      </c>
      <c r="U528" s="69" t="s">
        <v>95</v>
      </c>
      <c r="V528" s="72" t="str">
        <f t="shared" si="8"/>
        <v>GA_TOOMBS</v>
      </c>
      <c r="AJ528" s="1" t="s">
        <v>95</v>
      </c>
      <c r="AK528" s="1" t="s">
        <v>320</v>
      </c>
      <c r="AL528" s="1" t="s">
        <v>5821</v>
      </c>
      <c r="AM528" s="1" t="s">
        <v>3312</v>
      </c>
    </row>
    <row r="529" spans="20:39" x14ac:dyDescent="0.2">
      <c r="T529" s="28" t="s">
        <v>615</v>
      </c>
      <c r="U529" s="68" t="s">
        <v>95</v>
      </c>
      <c r="V529" s="72" t="str">
        <f t="shared" si="8"/>
        <v>GA_TOWNS</v>
      </c>
      <c r="AJ529" s="1" t="s">
        <v>95</v>
      </c>
      <c r="AK529" s="1" t="s">
        <v>582</v>
      </c>
      <c r="AL529" s="1" t="s">
        <v>5822</v>
      </c>
      <c r="AM529" s="1" t="s">
        <v>3317</v>
      </c>
    </row>
    <row r="530" spans="20:39" x14ac:dyDescent="0.2">
      <c r="T530" s="29" t="s">
        <v>616</v>
      </c>
      <c r="U530" s="69" t="s">
        <v>95</v>
      </c>
      <c r="V530" s="72" t="str">
        <f t="shared" si="8"/>
        <v>GA_TREUTLEN</v>
      </c>
      <c r="AJ530" s="1" t="s">
        <v>95</v>
      </c>
      <c r="AK530" s="1" t="s">
        <v>231</v>
      </c>
      <c r="AL530" s="1" t="s">
        <v>5823</v>
      </c>
      <c r="AM530" s="1" t="s">
        <v>9152</v>
      </c>
    </row>
    <row r="531" spans="20:39" x14ac:dyDescent="0.2">
      <c r="T531" s="28" t="s">
        <v>617</v>
      </c>
      <c r="U531" s="68" t="s">
        <v>95</v>
      </c>
      <c r="V531" s="72" t="str">
        <f t="shared" si="8"/>
        <v>GA_TROUP</v>
      </c>
      <c r="AJ531" s="1" t="s">
        <v>95</v>
      </c>
      <c r="AK531" s="1" t="s">
        <v>583</v>
      </c>
      <c r="AL531" s="1" t="s">
        <v>5824</v>
      </c>
      <c r="AM531" s="1" t="s">
        <v>3355</v>
      </c>
    </row>
    <row r="532" spans="20:39" x14ac:dyDescent="0.2">
      <c r="T532" s="29" t="s">
        <v>618</v>
      </c>
      <c r="U532" s="69" t="s">
        <v>95</v>
      </c>
      <c r="V532" s="72" t="str">
        <f t="shared" si="8"/>
        <v>GA_TURNER</v>
      </c>
      <c r="AJ532" s="1" t="s">
        <v>95</v>
      </c>
      <c r="AK532" s="1" t="s">
        <v>584</v>
      </c>
      <c r="AL532" s="1" t="s">
        <v>5825</v>
      </c>
      <c r="AM532" s="1" t="s">
        <v>3313</v>
      </c>
    </row>
    <row r="533" spans="20:39" x14ac:dyDescent="0.2">
      <c r="T533" s="28" t="s">
        <v>619</v>
      </c>
      <c r="U533" s="68" t="s">
        <v>95</v>
      </c>
      <c r="V533" s="72" t="str">
        <f t="shared" si="8"/>
        <v>GA_TWIGGS</v>
      </c>
      <c r="AJ533" s="1" t="s">
        <v>95</v>
      </c>
      <c r="AK533" s="1" t="s">
        <v>234</v>
      </c>
      <c r="AL533" s="1" t="s">
        <v>5826</v>
      </c>
      <c r="AM533" s="1" t="s">
        <v>3259</v>
      </c>
    </row>
    <row r="534" spans="20:39" x14ac:dyDescent="0.2">
      <c r="T534" s="29" t="s">
        <v>345</v>
      </c>
      <c r="U534" s="69" t="s">
        <v>95</v>
      </c>
      <c r="V534" s="72" t="str">
        <f t="shared" si="8"/>
        <v>GA_UNION</v>
      </c>
      <c r="AJ534" s="1" t="s">
        <v>95</v>
      </c>
      <c r="AK534" s="1" t="s">
        <v>501</v>
      </c>
      <c r="AL534" s="1" t="s">
        <v>5827</v>
      </c>
      <c r="AM534" s="1" t="s">
        <v>3306</v>
      </c>
    </row>
    <row r="535" spans="20:39" x14ac:dyDescent="0.2">
      <c r="T535" s="28" t="s">
        <v>620</v>
      </c>
      <c r="U535" s="68" t="s">
        <v>95</v>
      </c>
      <c r="V535" s="72" t="str">
        <f t="shared" si="8"/>
        <v>GA_UPSON</v>
      </c>
      <c r="AJ535" s="1" t="s">
        <v>95</v>
      </c>
      <c r="AK535" s="1" t="s">
        <v>322</v>
      </c>
      <c r="AL535" s="1" t="s">
        <v>5828</v>
      </c>
      <c r="AM535" s="1" t="s">
        <v>3314</v>
      </c>
    </row>
    <row r="536" spans="20:39" x14ac:dyDescent="0.2">
      <c r="T536" s="29" t="s">
        <v>257</v>
      </c>
      <c r="U536" s="69" t="s">
        <v>95</v>
      </c>
      <c r="V536" s="72" t="str">
        <f t="shared" si="8"/>
        <v>GA_WALKER</v>
      </c>
      <c r="AJ536" s="1" t="s">
        <v>95</v>
      </c>
      <c r="AK536" s="1" t="s">
        <v>585</v>
      </c>
      <c r="AL536" s="1" t="s">
        <v>5829</v>
      </c>
      <c r="AM536" s="1" t="s">
        <v>3315</v>
      </c>
    </row>
    <row r="537" spans="20:39" x14ac:dyDescent="0.2">
      <c r="T537" s="28" t="s">
        <v>521</v>
      </c>
      <c r="U537" s="68" t="s">
        <v>95</v>
      </c>
      <c r="V537" s="72" t="str">
        <f t="shared" si="8"/>
        <v>GA_WALTON</v>
      </c>
      <c r="AJ537" s="1" t="s">
        <v>95</v>
      </c>
      <c r="AK537" s="1" t="s">
        <v>236</v>
      </c>
      <c r="AL537" s="1" t="s">
        <v>5830</v>
      </c>
      <c r="AM537" s="1" t="s">
        <v>3355</v>
      </c>
    </row>
    <row r="538" spans="20:39" x14ac:dyDescent="0.2">
      <c r="T538" s="29" t="s">
        <v>621</v>
      </c>
      <c r="U538" s="69" t="s">
        <v>95</v>
      </c>
      <c r="V538" s="72" t="str">
        <f t="shared" si="8"/>
        <v>GA_WARE</v>
      </c>
      <c r="AJ538" s="1" t="s">
        <v>95</v>
      </c>
      <c r="AK538" s="1" t="s">
        <v>586</v>
      </c>
      <c r="AL538" s="1" t="s">
        <v>5831</v>
      </c>
      <c r="AM538" s="1" t="s">
        <v>9153</v>
      </c>
    </row>
    <row r="539" spans="20:39" x14ac:dyDescent="0.2">
      <c r="T539" s="28" t="s">
        <v>622</v>
      </c>
      <c r="U539" s="68" t="s">
        <v>95</v>
      </c>
      <c r="V539" s="72" t="str">
        <f t="shared" si="8"/>
        <v>GA_WARREN</v>
      </c>
      <c r="AJ539" s="1" t="s">
        <v>95</v>
      </c>
      <c r="AK539" s="1" t="s">
        <v>237</v>
      </c>
      <c r="AL539" s="1" t="s">
        <v>5832</v>
      </c>
      <c r="AM539" s="1" t="s">
        <v>3316</v>
      </c>
    </row>
    <row r="540" spans="20:39" x14ac:dyDescent="0.2">
      <c r="T540" s="29" t="s">
        <v>258</v>
      </c>
      <c r="U540" s="69" t="s">
        <v>95</v>
      </c>
      <c r="V540" s="72" t="str">
        <f t="shared" si="8"/>
        <v>GA_WASHINGTON</v>
      </c>
      <c r="AJ540" s="1" t="s">
        <v>95</v>
      </c>
      <c r="AK540" s="1" t="s">
        <v>238</v>
      </c>
      <c r="AL540" s="1" t="s">
        <v>5833</v>
      </c>
      <c r="AM540" s="1" t="s">
        <v>3261</v>
      </c>
    </row>
    <row r="541" spans="20:39" x14ac:dyDescent="0.2">
      <c r="T541" s="28" t="s">
        <v>623</v>
      </c>
      <c r="U541" s="68" t="s">
        <v>95</v>
      </c>
      <c r="V541" s="72" t="str">
        <f t="shared" si="8"/>
        <v>GA_WAYNE</v>
      </c>
      <c r="AJ541" s="1" t="s">
        <v>95</v>
      </c>
      <c r="AK541" s="1" t="s">
        <v>240</v>
      </c>
      <c r="AL541" s="1" t="s">
        <v>5834</v>
      </c>
      <c r="AM541" s="1" t="s">
        <v>3000</v>
      </c>
    </row>
    <row r="542" spans="20:39" x14ac:dyDescent="0.2">
      <c r="T542" s="29" t="s">
        <v>624</v>
      </c>
      <c r="U542" s="69" t="s">
        <v>95</v>
      </c>
      <c r="V542" s="72" t="str">
        <f t="shared" si="8"/>
        <v>GA_WEBSTER</v>
      </c>
      <c r="AJ542" s="1" t="s">
        <v>95</v>
      </c>
      <c r="AK542" s="1" t="s">
        <v>587</v>
      </c>
      <c r="AL542" s="1" t="s">
        <v>5835</v>
      </c>
      <c r="AM542" s="1" t="s">
        <v>3264</v>
      </c>
    </row>
    <row r="543" spans="20:39" x14ac:dyDescent="0.2">
      <c r="T543" s="28" t="s">
        <v>625</v>
      </c>
      <c r="U543" s="68" t="s">
        <v>95</v>
      </c>
      <c r="V543" s="72" t="str">
        <f t="shared" si="8"/>
        <v>GA_WHEELER</v>
      </c>
      <c r="AJ543" s="1" t="s">
        <v>95</v>
      </c>
      <c r="AK543" s="1" t="s">
        <v>588</v>
      </c>
      <c r="AL543" s="1" t="s">
        <v>5836</v>
      </c>
      <c r="AM543" s="1" t="s">
        <v>9151</v>
      </c>
    </row>
    <row r="544" spans="20:39" x14ac:dyDescent="0.2">
      <c r="T544" s="29" t="s">
        <v>347</v>
      </c>
      <c r="U544" s="69" t="s">
        <v>95</v>
      </c>
      <c r="V544" s="72" t="str">
        <f t="shared" si="8"/>
        <v>GA_WHITE</v>
      </c>
      <c r="AJ544" s="1" t="s">
        <v>95</v>
      </c>
      <c r="AK544" s="1" t="s">
        <v>589</v>
      </c>
      <c r="AL544" s="1" t="s">
        <v>5837</v>
      </c>
      <c r="AM544" s="1" t="s">
        <v>3318</v>
      </c>
    </row>
    <row r="545" spans="20:39" x14ac:dyDescent="0.2">
      <c r="T545" s="28" t="s">
        <v>626</v>
      </c>
      <c r="U545" s="68" t="s">
        <v>95</v>
      </c>
      <c r="V545" s="72" t="str">
        <f t="shared" si="8"/>
        <v>GA_WHITFIELD</v>
      </c>
      <c r="AJ545" s="1" t="s">
        <v>95</v>
      </c>
      <c r="AK545" s="1" t="s">
        <v>326</v>
      </c>
      <c r="AL545" s="1" t="s">
        <v>5838</v>
      </c>
      <c r="AM545" s="1" t="s">
        <v>3319</v>
      </c>
    </row>
    <row r="546" spans="20:39" x14ac:dyDescent="0.2">
      <c r="T546" s="29" t="s">
        <v>259</v>
      </c>
      <c r="U546" s="69" t="s">
        <v>95</v>
      </c>
      <c r="V546" s="72" t="str">
        <f t="shared" si="8"/>
        <v>GA_WILCOX</v>
      </c>
      <c r="AJ546" s="1" t="s">
        <v>95</v>
      </c>
      <c r="AK546" s="1" t="s">
        <v>590</v>
      </c>
      <c r="AL546" s="1" t="s">
        <v>5839</v>
      </c>
      <c r="AM546" s="1" t="s">
        <v>3320</v>
      </c>
    </row>
    <row r="547" spans="20:39" x14ac:dyDescent="0.2">
      <c r="T547" s="28" t="s">
        <v>627</v>
      </c>
      <c r="U547" s="68" t="s">
        <v>95</v>
      </c>
      <c r="V547" s="72" t="str">
        <f t="shared" si="8"/>
        <v>GA_WILKES</v>
      </c>
      <c r="AJ547" s="1" t="s">
        <v>95</v>
      </c>
      <c r="AK547" s="1" t="s">
        <v>243</v>
      </c>
      <c r="AL547" s="1" t="s">
        <v>5840</v>
      </c>
      <c r="AM547" s="1" t="s">
        <v>3321</v>
      </c>
    </row>
    <row r="548" spans="20:39" x14ac:dyDescent="0.2">
      <c r="T548" s="29" t="s">
        <v>628</v>
      </c>
      <c r="U548" s="69" t="s">
        <v>95</v>
      </c>
      <c r="V548" s="72" t="str">
        <f t="shared" si="8"/>
        <v>GA_WILKINSON</v>
      </c>
      <c r="AJ548" s="1" t="s">
        <v>95</v>
      </c>
      <c r="AK548" s="1" t="s">
        <v>244</v>
      </c>
      <c r="AL548" s="1" t="s">
        <v>5841</v>
      </c>
      <c r="AM548" s="1" t="s">
        <v>3322</v>
      </c>
    </row>
    <row r="549" spans="20:39" x14ac:dyDescent="0.2">
      <c r="T549" s="28" t="s">
        <v>629</v>
      </c>
      <c r="U549" s="68" t="s">
        <v>95</v>
      </c>
      <c r="V549" s="72" t="str">
        <f t="shared" si="8"/>
        <v>GA_WORTH</v>
      </c>
      <c r="AJ549" s="1" t="s">
        <v>95</v>
      </c>
      <c r="AK549" s="1" t="s">
        <v>245</v>
      </c>
      <c r="AL549" s="1" t="s">
        <v>5842</v>
      </c>
      <c r="AM549" s="1" t="s">
        <v>3323</v>
      </c>
    </row>
    <row r="550" spans="20:39" x14ac:dyDescent="0.2">
      <c r="T550" s="29" t="s">
        <v>630</v>
      </c>
      <c r="U550" s="69" t="s">
        <v>94</v>
      </c>
      <c r="V550" s="72" t="str">
        <f t="shared" si="8"/>
        <v>HI_HAWAII</v>
      </c>
      <c r="AJ550" s="1" t="s">
        <v>95</v>
      </c>
      <c r="AK550" s="1" t="s">
        <v>591</v>
      </c>
      <c r="AL550" s="1" t="s">
        <v>5843</v>
      </c>
      <c r="AM550" s="1" t="s">
        <v>3324</v>
      </c>
    </row>
    <row r="551" spans="20:39" x14ac:dyDescent="0.2">
      <c r="T551" s="28" t="s">
        <v>631</v>
      </c>
      <c r="U551" s="68" t="s">
        <v>94</v>
      </c>
      <c r="V551" s="72" t="str">
        <f t="shared" si="8"/>
        <v>HI_HONOLULU</v>
      </c>
      <c r="AJ551" s="1" t="s">
        <v>95</v>
      </c>
      <c r="AK551" s="1" t="s">
        <v>592</v>
      </c>
      <c r="AL551" s="1" t="s">
        <v>5844</v>
      </c>
      <c r="AM551" s="1" t="s">
        <v>3000</v>
      </c>
    </row>
    <row r="552" spans="20:39" x14ac:dyDescent="0.2">
      <c r="T552" s="29" t="s">
        <v>632</v>
      </c>
      <c r="U552" s="69" t="s">
        <v>94</v>
      </c>
      <c r="V552" s="72" t="str">
        <f t="shared" si="8"/>
        <v>HI_KALAWAO</v>
      </c>
      <c r="AJ552" s="1" t="s">
        <v>95</v>
      </c>
      <c r="AK552" s="1" t="s">
        <v>329</v>
      </c>
      <c r="AL552" s="1" t="s">
        <v>5845</v>
      </c>
      <c r="AM552" s="1" t="s">
        <v>3263</v>
      </c>
    </row>
    <row r="553" spans="20:39" x14ac:dyDescent="0.2">
      <c r="T553" s="28" t="s">
        <v>633</v>
      </c>
      <c r="U553" s="68" t="s">
        <v>94</v>
      </c>
      <c r="V553" s="72" t="str">
        <f t="shared" si="8"/>
        <v>HI_KAUAI</v>
      </c>
      <c r="AJ553" s="1" t="s">
        <v>95</v>
      </c>
      <c r="AK553" s="1" t="s">
        <v>593</v>
      </c>
      <c r="AL553" s="1" t="s">
        <v>5846</v>
      </c>
      <c r="AM553" s="1" t="s">
        <v>3261</v>
      </c>
    </row>
    <row r="554" spans="20:39" x14ac:dyDescent="0.2">
      <c r="T554" s="29" t="s">
        <v>634</v>
      </c>
      <c r="U554" s="69" t="s">
        <v>94</v>
      </c>
      <c r="V554" s="72" t="str">
        <f t="shared" si="8"/>
        <v>HI_MAUI</v>
      </c>
      <c r="AJ554" s="1" t="s">
        <v>95</v>
      </c>
      <c r="AK554" s="1" t="s">
        <v>594</v>
      </c>
      <c r="AL554" s="1" t="s">
        <v>5847</v>
      </c>
      <c r="AM554" s="1" t="s">
        <v>3261</v>
      </c>
    </row>
    <row r="555" spans="20:39" x14ac:dyDescent="0.2">
      <c r="T555" s="28" t="s">
        <v>635</v>
      </c>
      <c r="U555" s="68" t="s">
        <v>93</v>
      </c>
      <c r="V555" s="72" t="str">
        <f t="shared" si="8"/>
        <v>ID_ADA</v>
      </c>
      <c r="AJ555" s="1" t="s">
        <v>95</v>
      </c>
      <c r="AK555" s="1" t="s">
        <v>595</v>
      </c>
      <c r="AL555" s="1" t="s">
        <v>5848</v>
      </c>
      <c r="AM555" s="1" t="s">
        <v>3263</v>
      </c>
    </row>
    <row r="556" spans="20:39" x14ac:dyDescent="0.2">
      <c r="T556" s="29" t="s">
        <v>406</v>
      </c>
      <c r="U556" s="69" t="s">
        <v>93</v>
      </c>
      <c r="V556" s="72" t="str">
        <f t="shared" si="8"/>
        <v>ID_ADAMS</v>
      </c>
      <c r="AJ556" s="1" t="s">
        <v>95</v>
      </c>
      <c r="AK556" s="1" t="s">
        <v>596</v>
      </c>
      <c r="AL556" s="1" t="s">
        <v>5849</v>
      </c>
      <c r="AM556" s="1" t="s">
        <v>3325</v>
      </c>
    </row>
    <row r="557" spans="20:39" x14ac:dyDescent="0.2">
      <c r="T557" s="28" t="s">
        <v>636</v>
      </c>
      <c r="U557" s="68" t="s">
        <v>93</v>
      </c>
      <c r="V557" s="72" t="str">
        <f t="shared" si="8"/>
        <v>ID_BANNOCK</v>
      </c>
      <c r="AJ557" s="1" t="s">
        <v>95</v>
      </c>
      <c r="AK557" s="1" t="s">
        <v>247</v>
      </c>
      <c r="AL557" s="1" t="s">
        <v>5850</v>
      </c>
      <c r="AM557" s="1" t="s">
        <v>3263</v>
      </c>
    </row>
    <row r="558" spans="20:39" x14ac:dyDescent="0.2">
      <c r="T558" s="29" t="s">
        <v>637</v>
      </c>
      <c r="U558" s="69" t="s">
        <v>93</v>
      </c>
      <c r="V558" s="72" t="str">
        <f t="shared" si="8"/>
        <v>ID_BEAR LAKE</v>
      </c>
      <c r="AJ558" s="1" t="s">
        <v>95</v>
      </c>
      <c r="AK558" s="1" t="s">
        <v>597</v>
      </c>
      <c r="AL558" s="1" t="s">
        <v>5851</v>
      </c>
      <c r="AM558" s="1" t="s">
        <v>3326</v>
      </c>
    </row>
    <row r="559" spans="20:39" x14ac:dyDescent="0.2">
      <c r="T559" s="28" t="s">
        <v>638</v>
      </c>
      <c r="U559" s="68" t="s">
        <v>93</v>
      </c>
      <c r="V559" s="72" t="str">
        <f t="shared" si="8"/>
        <v>ID_BENEWAH</v>
      </c>
      <c r="AJ559" s="1" t="s">
        <v>95</v>
      </c>
      <c r="AK559" s="1" t="s">
        <v>248</v>
      </c>
      <c r="AL559" s="1" t="s">
        <v>5852</v>
      </c>
      <c r="AM559" s="1" t="s">
        <v>3263</v>
      </c>
    </row>
    <row r="560" spans="20:39" x14ac:dyDescent="0.2">
      <c r="T560" s="29" t="s">
        <v>639</v>
      </c>
      <c r="U560" s="69" t="s">
        <v>93</v>
      </c>
      <c r="V560" s="72" t="str">
        <f t="shared" si="8"/>
        <v>ID_BINGHAM</v>
      </c>
      <c r="AJ560" s="1" t="s">
        <v>95</v>
      </c>
      <c r="AK560" s="1" t="s">
        <v>333</v>
      </c>
      <c r="AL560" s="1" t="s">
        <v>5853</v>
      </c>
      <c r="AM560" s="1" t="s">
        <v>3327</v>
      </c>
    </row>
    <row r="561" spans="20:39" x14ac:dyDescent="0.2">
      <c r="T561" s="28" t="s">
        <v>640</v>
      </c>
      <c r="U561" s="68" t="s">
        <v>93</v>
      </c>
      <c r="V561" s="72" t="str">
        <f t="shared" si="8"/>
        <v>ID_BLAINE</v>
      </c>
      <c r="AJ561" s="1" t="s">
        <v>95</v>
      </c>
      <c r="AK561" s="1" t="s">
        <v>336</v>
      </c>
      <c r="AL561" s="1" t="s">
        <v>5854</v>
      </c>
      <c r="AM561" s="1" t="s">
        <v>3328</v>
      </c>
    </row>
    <row r="562" spans="20:39" x14ac:dyDescent="0.2">
      <c r="T562" s="29" t="s">
        <v>641</v>
      </c>
      <c r="U562" s="69" t="s">
        <v>93</v>
      </c>
      <c r="V562" s="72" t="str">
        <f t="shared" si="8"/>
        <v>ID_BOISE</v>
      </c>
      <c r="AJ562" s="1" t="s">
        <v>95</v>
      </c>
      <c r="AK562" s="1" t="s">
        <v>511</v>
      </c>
      <c r="AL562" s="1" t="s">
        <v>5855</v>
      </c>
      <c r="AM562" s="1" t="s">
        <v>3329</v>
      </c>
    </row>
    <row r="563" spans="20:39" x14ac:dyDescent="0.2">
      <c r="T563" s="28" t="s">
        <v>642</v>
      </c>
      <c r="U563" s="68" t="s">
        <v>93</v>
      </c>
      <c r="V563" s="72" t="str">
        <f t="shared" si="8"/>
        <v>ID_BONNER</v>
      </c>
      <c r="AJ563" s="1" t="s">
        <v>95</v>
      </c>
      <c r="AK563" s="1" t="s">
        <v>598</v>
      </c>
      <c r="AL563" s="1" t="s">
        <v>5856</v>
      </c>
      <c r="AM563" s="1" t="s">
        <v>3330</v>
      </c>
    </row>
    <row r="564" spans="20:39" x14ac:dyDescent="0.2">
      <c r="T564" s="29" t="s">
        <v>643</v>
      </c>
      <c r="U564" s="69" t="s">
        <v>93</v>
      </c>
      <c r="V564" s="72" t="str">
        <f t="shared" si="8"/>
        <v>ID_BONNEVILLE</v>
      </c>
      <c r="AJ564" s="1" t="s">
        <v>95</v>
      </c>
      <c r="AK564" s="1" t="s">
        <v>599</v>
      </c>
      <c r="AL564" s="1" t="s">
        <v>5857</v>
      </c>
      <c r="AM564" s="1" t="s">
        <v>3331</v>
      </c>
    </row>
    <row r="565" spans="20:39" x14ac:dyDescent="0.2">
      <c r="T565" s="28" t="s">
        <v>644</v>
      </c>
      <c r="U565" s="68" t="s">
        <v>93</v>
      </c>
      <c r="V565" s="72" t="str">
        <f t="shared" si="8"/>
        <v>ID_BOUNDARY</v>
      </c>
      <c r="AJ565" s="1" t="s">
        <v>95</v>
      </c>
      <c r="AK565" s="1" t="s">
        <v>249</v>
      </c>
      <c r="AL565" s="1" t="s">
        <v>5858</v>
      </c>
      <c r="AM565" s="1" t="s">
        <v>3332</v>
      </c>
    </row>
    <row r="566" spans="20:39" x14ac:dyDescent="0.2">
      <c r="T566" s="29" t="s">
        <v>353</v>
      </c>
      <c r="U566" s="69" t="s">
        <v>93</v>
      </c>
      <c r="V566" s="72" t="str">
        <f t="shared" si="8"/>
        <v>ID_BUTTE</v>
      </c>
      <c r="AJ566" s="1" t="s">
        <v>95</v>
      </c>
      <c r="AK566" s="1" t="s">
        <v>600</v>
      </c>
      <c r="AL566" s="1" t="s">
        <v>5859</v>
      </c>
      <c r="AM566" s="1" t="s">
        <v>3264</v>
      </c>
    </row>
    <row r="567" spans="20:39" x14ac:dyDescent="0.2">
      <c r="T567" s="28" t="s">
        <v>645</v>
      </c>
      <c r="U567" s="68" t="s">
        <v>93</v>
      </c>
      <c r="V567" s="72" t="str">
        <f t="shared" si="8"/>
        <v>ID_CAMAS</v>
      </c>
      <c r="AJ567" s="1" t="s">
        <v>95</v>
      </c>
      <c r="AK567" s="1" t="s">
        <v>601</v>
      </c>
      <c r="AL567" s="1" t="s">
        <v>5860</v>
      </c>
      <c r="AM567" s="1" t="s">
        <v>3263</v>
      </c>
    </row>
    <row r="568" spans="20:39" x14ac:dyDescent="0.2">
      <c r="T568" s="29" t="s">
        <v>646</v>
      </c>
      <c r="U568" s="69" t="s">
        <v>93</v>
      </c>
      <c r="V568" s="72" t="str">
        <f t="shared" si="8"/>
        <v>ID_CANYON</v>
      </c>
      <c r="AJ568" s="1" t="s">
        <v>95</v>
      </c>
      <c r="AK568" s="1" t="s">
        <v>602</v>
      </c>
      <c r="AL568" s="1" t="s">
        <v>5861</v>
      </c>
      <c r="AM568" s="1" t="s">
        <v>3335</v>
      </c>
    </row>
    <row r="569" spans="20:39" x14ac:dyDescent="0.2">
      <c r="T569" s="28" t="s">
        <v>647</v>
      </c>
      <c r="U569" s="68" t="s">
        <v>93</v>
      </c>
      <c r="V569" s="72" t="str">
        <f t="shared" si="8"/>
        <v>ID_CARIBOU</v>
      </c>
      <c r="AJ569" s="1" t="s">
        <v>95</v>
      </c>
      <c r="AK569" s="1" t="s">
        <v>603</v>
      </c>
      <c r="AL569" s="1" t="s">
        <v>5862</v>
      </c>
      <c r="AM569" s="1" t="s">
        <v>3336</v>
      </c>
    </row>
    <row r="570" spans="20:39" x14ac:dyDescent="0.2">
      <c r="T570" s="29" t="s">
        <v>648</v>
      </c>
      <c r="U570" s="69" t="s">
        <v>93</v>
      </c>
      <c r="V570" s="72" t="str">
        <f t="shared" si="8"/>
        <v>ID_CASSIA</v>
      </c>
      <c r="AJ570" s="1" t="s">
        <v>95</v>
      </c>
      <c r="AK570" s="1" t="s">
        <v>516</v>
      </c>
      <c r="AL570" s="1" t="s">
        <v>5863</v>
      </c>
      <c r="AM570" s="1" t="s">
        <v>3337</v>
      </c>
    </row>
    <row r="571" spans="20:39" x14ac:dyDescent="0.2">
      <c r="T571" s="28" t="s">
        <v>301</v>
      </c>
      <c r="U571" s="68" t="s">
        <v>93</v>
      </c>
      <c r="V571" s="72" t="str">
        <f t="shared" si="8"/>
        <v>ID_CLARK</v>
      </c>
      <c r="AJ571" s="1" t="s">
        <v>95</v>
      </c>
      <c r="AK571" s="1" t="s">
        <v>604</v>
      </c>
      <c r="AL571" s="1" t="s">
        <v>5864</v>
      </c>
      <c r="AM571" s="1" t="s">
        <v>3263</v>
      </c>
    </row>
    <row r="572" spans="20:39" x14ac:dyDescent="0.2">
      <c r="T572" s="29" t="s">
        <v>649</v>
      </c>
      <c r="U572" s="69" t="s">
        <v>93</v>
      </c>
      <c r="V572" s="72" t="str">
        <f t="shared" si="8"/>
        <v>ID_CLEARWATER</v>
      </c>
      <c r="AJ572" s="1" t="s">
        <v>95</v>
      </c>
      <c r="AK572" s="1" t="s">
        <v>605</v>
      </c>
      <c r="AL572" s="1" t="s">
        <v>5865</v>
      </c>
      <c r="AM572" s="1" t="s">
        <v>3338</v>
      </c>
    </row>
    <row r="573" spans="20:39" x14ac:dyDescent="0.2">
      <c r="T573" s="28" t="s">
        <v>419</v>
      </c>
      <c r="U573" s="68" t="s">
        <v>93</v>
      </c>
      <c r="V573" s="72" t="str">
        <f t="shared" si="8"/>
        <v>ID_CUSTER</v>
      </c>
      <c r="AJ573" s="1" t="s">
        <v>95</v>
      </c>
      <c r="AK573" s="1" t="s">
        <v>606</v>
      </c>
      <c r="AL573" s="1" t="s">
        <v>5866</v>
      </c>
      <c r="AM573" s="1" t="s">
        <v>3339</v>
      </c>
    </row>
    <row r="574" spans="20:39" x14ac:dyDescent="0.2">
      <c r="T574" s="29" t="s">
        <v>219</v>
      </c>
      <c r="U574" s="69" t="s">
        <v>93</v>
      </c>
      <c r="V574" s="72" t="str">
        <f t="shared" si="8"/>
        <v>ID_ELMORE</v>
      </c>
      <c r="AJ574" s="1" t="s">
        <v>95</v>
      </c>
      <c r="AK574" s="1" t="s">
        <v>253</v>
      </c>
      <c r="AL574" s="1" t="s">
        <v>5867</v>
      </c>
      <c r="AM574" s="1" t="s">
        <v>3340</v>
      </c>
    </row>
    <row r="575" spans="20:39" x14ac:dyDescent="0.2">
      <c r="T575" s="28" t="s">
        <v>223</v>
      </c>
      <c r="U575" s="68" t="s">
        <v>93</v>
      </c>
      <c r="V575" s="72" t="str">
        <f t="shared" si="8"/>
        <v>ID_FRANKLIN</v>
      </c>
      <c r="AJ575" s="1" t="s">
        <v>95</v>
      </c>
      <c r="AK575" s="1" t="s">
        <v>607</v>
      </c>
      <c r="AL575" s="1" t="s">
        <v>5868</v>
      </c>
      <c r="AM575" s="1" t="s">
        <v>3341</v>
      </c>
    </row>
    <row r="576" spans="20:39" x14ac:dyDescent="0.2">
      <c r="T576" s="29" t="s">
        <v>427</v>
      </c>
      <c r="U576" s="69" t="s">
        <v>93</v>
      </c>
      <c r="V576" s="72" t="str">
        <f t="shared" si="8"/>
        <v>ID_FREMONT</v>
      </c>
      <c r="AJ576" s="1" t="s">
        <v>95</v>
      </c>
      <c r="AK576" s="1" t="s">
        <v>608</v>
      </c>
      <c r="AL576" s="1" t="s">
        <v>5869</v>
      </c>
      <c r="AM576" s="1" t="s">
        <v>3342</v>
      </c>
    </row>
    <row r="577" spans="20:39" x14ac:dyDescent="0.2">
      <c r="T577" s="28" t="s">
        <v>650</v>
      </c>
      <c r="U577" s="68" t="s">
        <v>93</v>
      </c>
      <c r="V577" s="72" t="str">
        <f t="shared" si="8"/>
        <v>ID_GEM</v>
      </c>
      <c r="AJ577" s="1" t="s">
        <v>95</v>
      </c>
      <c r="AK577" s="1" t="s">
        <v>609</v>
      </c>
      <c r="AL577" s="1" t="s">
        <v>5870</v>
      </c>
      <c r="AM577" s="1" t="s">
        <v>3343</v>
      </c>
    </row>
    <row r="578" spans="20:39" x14ac:dyDescent="0.2">
      <c r="T578" s="29" t="s">
        <v>651</v>
      </c>
      <c r="U578" s="69" t="s">
        <v>93</v>
      </c>
      <c r="V578" s="72" t="str">
        <f t="shared" si="8"/>
        <v>ID_GOODING</v>
      </c>
      <c r="AJ578" s="1" t="s">
        <v>95</v>
      </c>
      <c r="AK578" s="1" t="s">
        <v>518</v>
      </c>
      <c r="AL578" s="1" t="s">
        <v>5871</v>
      </c>
      <c r="AM578" s="1" t="s">
        <v>3344</v>
      </c>
    </row>
    <row r="579" spans="20:39" x14ac:dyDescent="0.2">
      <c r="T579" s="28" t="s">
        <v>652</v>
      </c>
      <c r="U579" s="68" t="s">
        <v>93</v>
      </c>
      <c r="V579" s="72" t="str">
        <f t="shared" si="8"/>
        <v>ID_IDAHO</v>
      </c>
      <c r="AJ579" s="1" t="s">
        <v>95</v>
      </c>
      <c r="AK579" s="1" t="s">
        <v>610</v>
      </c>
      <c r="AL579" s="1" t="s">
        <v>5872</v>
      </c>
      <c r="AM579" s="1" t="s">
        <v>3345</v>
      </c>
    </row>
    <row r="580" spans="20:39" x14ac:dyDescent="0.2">
      <c r="T580" s="29" t="s">
        <v>230</v>
      </c>
      <c r="U580" s="69" t="s">
        <v>93</v>
      </c>
      <c r="V580" s="72" t="str">
        <f t="shared" si="8"/>
        <v>ID_JEFFERSON</v>
      </c>
      <c r="AJ580" s="1" t="s">
        <v>95</v>
      </c>
      <c r="AK580" s="1" t="s">
        <v>611</v>
      </c>
      <c r="AL580" s="1" t="s">
        <v>5873</v>
      </c>
      <c r="AM580" s="1" t="s">
        <v>3259</v>
      </c>
    </row>
    <row r="581" spans="20:39" x14ac:dyDescent="0.2">
      <c r="T581" s="28" t="s">
        <v>653</v>
      </c>
      <c r="U581" s="68" t="s">
        <v>93</v>
      </c>
      <c r="V581" s="72" t="str">
        <f t="shared" si="8"/>
        <v>ID_JEROME</v>
      </c>
      <c r="AJ581" s="1" t="s">
        <v>95</v>
      </c>
      <c r="AK581" s="1" t="s">
        <v>612</v>
      </c>
      <c r="AL581" s="1" t="s">
        <v>5874</v>
      </c>
      <c r="AM581" s="1" t="s">
        <v>3346</v>
      </c>
    </row>
    <row r="582" spans="20:39" x14ac:dyDescent="0.2">
      <c r="T582" s="29" t="s">
        <v>654</v>
      </c>
      <c r="U582" s="69" t="s">
        <v>93</v>
      </c>
      <c r="V582" s="72" t="str">
        <f t="shared" si="8"/>
        <v>ID_KOOTENAI</v>
      </c>
      <c r="AJ582" s="1" t="s">
        <v>95</v>
      </c>
      <c r="AK582" s="1" t="s">
        <v>613</v>
      </c>
      <c r="AL582" s="1" t="s">
        <v>5875</v>
      </c>
      <c r="AM582" s="1" t="s">
        <v>3347</v>
      </c>
    </row>
    <row r="583" spans="20:39" x14ac:dyDescent="0.2">
      <c r="T583" s="28" t="s">
        <v>655</v>
      </c>
      <c r="U583" s="68" t="s">
        <v>93</v>
      </c>
      <c r="V583" s="72" t="str">
        <f t="shared" si="8"/>
        <v>ID_LATAH</v>
      </c>
      <c r="AJ583" s="1" t="s">
        <v>95</v>
      </c>
      <c r="AK583" s="1" t="s">
        <v>614</v>
      </c>
      <c r="AL583" s="1" t="s">
        <v>5876</v>
      </c>
      <c r="AM583" s="1" t="s">
        <v>3348</v>
      </c>
    </row>
    <row r="584" spans="20:39" x14ac:dyDescent="0.2">
      <c r="T584" s="29" t="s">
        <v>656</v>
      </c>
      <c r="U584" s="69" t="s">
        <v>93</v>
      </c>
      <c r="V584" s="72" t="str">
        <f t="shared" si="8"/>
        <v>ID_LEMHI</v>
      </c>
      <c r="AJ584" s="1" t="s">
        <v>95</v>
      </c>
      <c r="AK584" s="1" t="s">
        <v>615</v>
      </c>
      <c r="AL584" s="1" t="s">
        <v>5877</v>
      </c>
      <c r="AM584" s="1" t="s">
        <v>3349</v>
      </c>
    </row>
    <row r="585" spans="20:39" x14ac:dyDescent="0.2">
      <c r="T585" s="28" t="s">
        <v>657</v>
      </c>
      <c r="U585" s="68" t="s">
        <v>93</v>
      </c>
      <c r="V585" s="72" t="str">
        <f t="shared" si="8"/>
        <v>ID_LEWIS</v>
      </c>
      <c r="AJ585" s="1" t="s">
        <v>95</v>
      </c>
      <c r="AK585" s="1" t="s">
        <v>616</v>
      </c>
      <c r="AL585" s="1" t="s">
        <v>5878</v>
      </c>
      <c r="AM585" s="1" t="s">
        <v>3350</v>
      </c>
    </row>
    <row r="586" spans="20:39" x14ac:dyDescent="0.2">
      <c r="T586" s="29" t="s">
        <v>322</v>
      </c>
      <c r="U586" s="69" t="s">
        <v>93</v>
      </c>
      <c r="V586" s="72" t="str">
        <f t="shared" ref="V586:V649" si="9">UPPER(CONCATENATE(TRIM(U586),"_",TRIM(T586)))</f>
        <v>ID_LINCOLN</v>
      </c>
      <c r="AJ586" s="1" t="s">
        <v>95</v>
      </c>
      <c r="AK586" s="1" t="s">
        <v>617</v>
      </c>
      <c r="AL586" s="1" t="s">
        <v>5879</v>
      </c>
      <c r="AM586" s="1" t="s">
        <v>3351</v>
      </c>
    </row>
    <row r="587" spans="20:39" x14ac:dyDescent="0.2">
      <c r="T587" s="28" t="s">
        <v>238</v>
      </c>
      <c r="U587" s="68" t="s">
        <v>93</v>
      </c>
      <c r="V587" s="72" t="str">
        <f t="shared" si="9"/>
        <v>ID_MADISON</v>
      </c>
      <c r="AJ587" s="1" t="s">
        <v>95</v>
      </c>
      <c r="AK587" s="1" t="s">
        <v>618</v>
      </c>
      <c r="AL587" s="1" t="s">
        <v>5880</v>
      </c>
      <c r="AM587" s="1" t="s">
        <v>3352</v>
      </c>
    </row>
    <row r="588" spans="20:39" x14ac:dyDescent="0.2">
      <c r="T588" s="29" t="s">
        <v>658</v>
      </c>
      <c r="U588" s="69" t="s">
        <v>93</v>
      </c>
      <c r="V588" s="72" t="str">
        <f t="shared" si="9"/>
        <v>ID_MINIDOKA</v>
      </c>
      <c r="AJ588" s="1" t="s">
        <v>95</v>
      </c>
      <c r="AK588" s="1" t="s">
        <v>619</v>
      </c>
      <c r="AL588" s="1" t="s">
        <v>5881</v>
      </c>
      <c r="AM588" s="1" t="s">
        <v>3317</v>
      </c>
    </row>
    <row r="589" spans="20:39" x14ac:dyDescent="0.2">
      <c r="T589" s="28" t="s">
        <v>659</v>
      </c>
      <c r="U589" s="68" t="s">
        <v>93</v>
      </c>
      <c r="V589" s="72" t="str">
        <f t="shared" si="9"/>
        <v>ID_NEZ PERCE</v>
      </c>
      <c r="AJ589" s="1" t="s">
        <v>95</v>
      </c>
      <c r="AK589" s="1" t="s">
        <v>345</v>
      </c>
      <c r="AL589" s="1" t="s">
        <v>5882</v>
      </c>
      <c r="AM589" s="1" t="s">
        <v>3353</v>
      </c>
    </row>
    <row r="590" spans="20:39" x14ac:dyDescent="0.2">
      <c r="T590" s="29" t="s">
        <v>660</v>
      </c>
      <c r="U590" s="69" t="s">
        <v>93</v>
      </c>
      <c r="V590" s="72" t="str">
        <f t="shared" si="9"/>
        <v>ID_ONEIDA</v>
      </c>
      <c r="AJ590" s="1" t="s">
        <v>95</v>
      </c>
      <c r="AK590" s="1" t="s">
        <v>620</v>
      </c>
      <c r="AL590" s="1" t="s">
        <v>5883</v>
      </c>
      <c r="AM590" s="1" t="s">
        <v>3354</v>
      </c>
    </row>
    <row r="591" spans="20:39" x14ac:dyDescent="0.2">
      <c r="T591" s="28" t="s">
        <v>661</v>
      </c>
      <c r="U591" s="68" t="s">
        <v>93</v>
      </c>
      <c r="V591" s="72" t="str">
        <f t="shared" si="9"/>
        <v>ID_OWYHEE</v>
      </c>
      <c r="AJ591" s="1" t="s">
        <v>95</v>
      </c>
      <c r="AK591" s="1" t="s">
        <v>257</v>
      </c>
      <c r="AL591" s="1" t="s">
        <v>5884</v>
      </c>
      <c r="AM591" s="1" t="s">
        <v>3278</v>
      </c>
    </row>
    <row r="592" spans="20:39" x14ac:dyDescent="0.2">
      <c r="T592" s="29" t="s">
        <v>662</v>
      </c>
      <c r="U592" s="69" t="s">
        <v>93</v>
      </c>
      <c r="V592" s="72" t="str">
        <f t="shared" si="9"/>
        <v>ID_PAYETTE</v>
      </c>
      <c r="AJ592" s="1" t="s">
        <v>95</v>
      </c>
      <c r="AK592" s="1" t="s">
        <v>521</v>
      </c>
      <c r="AL592" s="1" t="s">
        <v>5885</v>
      </c>
      <c r="AM592" s="1" t="s">
        <v>3263</v>
      </c>
    </row>
    <row r="593" spans="20:39" x14ac:dyDescent="0.2">
      <c r="T593" s="28" t="s">
        <v>663</v>
      </c>
      <c r="U593" s="68" t="s">
        <v>93</v>
      </c>
      <c r="V593" s="72" t="str">
        <f t="shared" si="9"/>
        <v>ID_POWER</v>
      </c>
      <c r="AJ593" s="1" t="s">
        <v>95</v>
      </c>
      <c r="AK593" s="1" t="s">
        <v>621</v>
      </c>
      <c r="AL593" s="1" t="s">
        <v>5886</v>
      </c>
      <c r="AM593" s="1" t="s">
        <v>3356</v>
      </c>
    </row>
    <row r="594" spans="20:39" x14ac:dyDescent="0.2">
      <c r="T594" s="29" t="s">
        <v>664</v>
      </c>
      <c r="U594" s="69" t="s">
        <v>93</v>
      </c>
      <c r="V594" s="72" t="str">
        <f t="shared" si="9"/>
        <v>ID_SHOSHONE</v>
      </c>
      <c r="AJ594" s="1" t="s">
        <v>95</v>
      </c>
      <c r="AK594" s="1" t="s">
        <v>622</v>
      </c>
      <c r="AL594" s="1" t="s">
        <v>5887</v>
      </c>
      <c r="AM594" s="1" t="s">
        <v>3358</v>
      </c>
    </row>
    <row r="595" spans="20:39" x14ac:dyDescent="0.2">
      <c r="T595" s="28" t="s">
        <v>665</v>
      </c>
      <c r="U595" s="68" t="s">
        <v>93</v>
      </c>
      <c r="V595" s="72" t="str">
        <f t="shared" si="9"/>
        <v>ID_TETON</v>
      </c>
      <c r="AJ595" s="1" t="s">
        <v>95</v>
      </c>
      <c r="AK595" s="1" t="s">
        <v>258</v>
      </c>
      <c r="AL595" s="1" t="s">
        <v>5888</v>
      </c>
      <c r="AM595" s="1" t="s">
        <v>3359</v>
      </c>
    </row>
    <row r="596" spans="20:39" x14ac:dyDescent="0.2">
      <c r="T596" s="29" t="s">
        <v>666</v>
      </c>
      <c r="U596" s="69" t="s">
        <v>93</v>
      </c>
      <c r="V596" s="72" t="str">
        <f t="shared" si="9"/>
        <v>ID_TWIN FALLS</v>
      </c>
      <c r="AJ596" s="1" t="s">
        <v>95</v>
      </c>
      <c r="AK596" s="1" t="s">
        <v>623</v>
      </c>
      <c r="AL596" s="1" t="s">
        <v>5889</v>
      </c>
      <c r="AM596" s="1" t="s">
        <v>3360</v>
      </c>
    </row>
    <row r="597" spans="20:39" x14ac:dyDescent="0.2">
      <c r="T597" s="28" t="s">
        <v>667</v>
      </c>
      <c r="U597" s="68" t="s">
        <v>93</v>
      </c>
      <c r="V597" s="72" t="str">
        <f t="shared" si="9"/>
        <v>ID_VALLEY</v>
      </c>
      <c r="AJ597" s="1" t="s">
        <v>95</v>
      </c>
      <c r="AK597" s="1" t="s">
        <v>624</v>
      </c>
      <c r="AL597" s="1" t="s">
        <v>5890</v>
      </c>
      <c r="AM597" s="1" t="s">
        <v>3361</v>
      </c>
    </row>
    <row r="598" spans="20:39" x14ac:dyDescent="0.2">
      <c r="T598" s="29" t="s">
        <v>258</v>
      </c>
      <c r="U598" s="69" t="s">
        <v>93</v>
      </c>
      <c r="V598" s="72" t="str">
        <f t="shared" si="9"/>
        <v>ID_WASHINGTON</v>
      </c>
      <c r="AJ598" s="1" t="s">
        <v>95</v>
      </c>
      <c r="AK598" s="1" t="s">
        <v>625</v>
      </c>
      <c r="AL598" s="1" t="s">
        <v>5891</v>
      </c>
      <c r="AM598" s="1" t="s">
        <v>3362</v>
      </c>
    </row>
    <row r="599" spans="20:39" x14ac:dyDescent="0.2">
      <c r="T599" s="28" t="s">
        <v>406</v>
      </c>
      <c r="U599" s="68" t="s">
        <v>92</v>
      </c>
      <c r="V599" s="72" t="str">
        <f t="shared" si="9"/>
        <v>IL_ADAMS</v>
      </c>
      <c r="AJ599" s="1" t="s">
        <v>95</v>
      </c>
      <c r="AK599" s="1" t="s">
        <v>347</v>
      </c>
      <c r="AL599" s="1" t="s">
        <v>5892</v>
      </c>
      <c r="AM599" s="1" t="s">
        <v>3363</v>
      </c>
    </row>
    <row r="600" spans="20:39" x14ac:dyDescent="0.2">
      <c r="T600" s="29" t="s">
        <v>668</v>
      </c>
      <c r="U600" s="69" t="s">
        <v>92</v>
      </c>
      <c r="V600" s="72" t="str">
        <f t="shared" si="9"/>
        <v>IL_ALEXANDER</v>
      </c>
      <c r="AJ600" s="1" t="s">
        <v>95</v>
      </c>
      <c r="AK600" s="1" t="s">
        <v>626</v>
      </c>
      <c r="AL600" s="1" t="s">
        <v>5893</v>
      </c>
      <c r="AM600" s="1" t="s">
        <v>3286</v>
      </c>
    </row>
    <row r="601" spans="20:39" x14ac:dyDescent="0.2">
      <c r="T601" s="28" t="s">
        <v>669</v>
      </c>
      <c r="U601" s="68" t="s">
        <v>92</v>
      </c>
      <c r="V601" s="72" t="str">
        <f t="shared" si="9"/>
        <v>IL_BOND</v>
      </c>
      <c r="AJ601" s="1" t="s">
        <v>95</v>
      </c>
      <c r="AK601" s="1" t="s">
        <v>259</v>
      </c>
      <c r="AL601" s="1" t="s">
        <v>5894</v>
      </c>
      <c r="AM601" s="1" t="s">
        <v>3364</v>
      </c>
    </row>
    <row r="602" spans="20:39" x14ac:dyDescent="0.2">
      <c r="T602" s="29" t="s">
        <v>297</v>
      </c>
      <c r="U602" s="69" t="s">
        <v>92</v>
      </c>
      <c r="V602" s="72" t="str">
        <f t="shared" si="9"/>
        <v>IL_BOONE</v>
      </c>
      <c r="AJ602" s="1" t="s">
        <v>95</v>
      </c>
      <c r="AK602" s="1" t="s">
        <v>627</v>
      </c>
      <c r="AL602" s="1" t="s">
        <v>5895</v>
      </c>
      <c r="AM602" s="1" t="s">
        <v>3365</v>
      </c>
    </row>
    <row r="603" spans="20:39" x14ac:dyDescent="0.2">
      <c r="T603" s="28" t="s">
        <v>670</v>
      </c>
      <c r="U603" s="68" t="s">
        <v>92</v>
      </c>
      <c r="V603" s="72" t="str">
        <f t="shared" si="9"/>
        <v>IL_BROWN</v>
      </c>
      <c r="AJ603" s="1" t="s">
        <v>95</v>
      </c>
      <c r="AK603" s="1" t="s">
        <v>628</v>
      </c>
      <c r="AL603" s="1" t="s">
        <v>5896</v>
      </c>
      <c r="AM603" s="1" t="s">
        <v>3366</v>
      </c>
    </row>
    <row r="604" spans="20:39" x14ac:dyDescent="0.2">
      <c r="T604" s="29" t="s">
        <v>671</v>
      </c>
      <c r="U604" s="69" t="s">
        <v>92</v>
      </c>
      <c r="V604" s="72" t="str">
        <f t="shared" si="9"/>
        <v>IL_BUREAU</v>
      </c>
      <c r="AJ604" s="1" t="s">
        <v>95</v>
      </c>
      <c r="AK604" s="1" t="s">
        <v>629</v>
      </c>
      <c r="AL604" s="1" t="s">
        <v>5897</v>
      </c>
      <c r="AM604" s="1" t="s">
        <v>3259</v>
      </c>
    </row>
    <row r="605" spans="20:39" x14ac:dyDescent="0.2">
      <c r="T605" s="28" t="s">
        <v>201</v>
      </c>
      <c r="U605" s="68" t="s">
        <v>92</v>
      </c>
      <c r="V605" s="72" t="str">
        <f t="shared" si="9"/>
        <v>IL_CALHOUN</v>
      </c>
      <c r="AJ605" s="1" t="s">
        <v>2928</v>
      </c>
      <c r="AK605" s="1" t="s">
        <v>2929</v>
      </c>
      <c r="AL605" s="1" t="s">
        <v>5898</v>
      </c>
      <c r="AM605" s="1" t="s">
        <v>3367</v>
      </c>
    </row>
    <row r="606" spans="20:39" x14ac:dyDescent="0.2">
      <c r="T606" s="29" t="s">
        <v>299</v>
      </c>
      <c r="U606" s="69" t="s">
        <v>92</v>
      </c>
      <c r="V606" s="72" t="str">
        <f t="shared" si="9"/>
        <v>IL_CARROLL</v>
      </c>
      <c r="AJ606" s="1" t="s">
        <v>2928</v>
      </c>
      <c r="AK606" s="1" t="s">
        <v>2930</v>
      </c>
      <c r="AL606" s="1" t="s">
        <v>5899</v>
      </c>
      <c r="AM606" s="1" t="s">
        <v>3367</v>
      </c>
    </row>
    <row r="607" spans="20:39" x14ac:dyDescent="0.2">
      <c r="T607" s="28" t="s">
        <v>672</v>
      </c>
      <c r="U607" s="68" t="s">
        <v>92</v>
      </c>
      <c r="V607" s="72" t="str">
        <f t="shared" si="9"/>
        <v>IL_CASS</v>
      </c>
      <c r="AJ607" s="1" t="s">
        <v>2928</v>
      </c>
      <c r="AK607" s="1" t="s">
        <v>2931</v>
      </c>
      <c r="AL607" s="1" t="s">
        <v>5900</v>
      </c>
      <c r="AM607" s="1" t="s">
        <v>3367</v>
      </c>
    </row>
    <row r="608" spans="20:39" x14ac:dyDescent="0.2">
      <c r="T608" s="29" t="s">
        <v>673</v>
      </c>
      <c r="U608" s="69" t="s">
        <v>92</v>
      </c>
      <c r="V608" s="72" t="str">
        <f t="shared" si="9"/>
        <v>IL_CHAMPAIGN</v>
      </c>
      <c r="AJ608" s="1" t="s">
        <v>2928</v>
      </c>
      <c r="AK608" s="1" t="s">
        <v>2932</v>
      </c>
      <c r="AL608" s="1" t="s">
        <v>5901</v>
      </c>
      <c r="AM608" s="1" t="s">
        <v>3367</v>
      </c>
    </row>
    <row r="609" spans="20:39" x14ac:dyDescent="0.2">
      <c r="T609" s="28" t="s">
        <v>674</v>
      </c>
      <c r="U609" s="68" t="s">
        <v>92</v>
      </c>
      <c r="V609" s="72" t="str">
        <f t="shared" si="9"/>
        <v>IL_CHRISTIAN</v>
      </c>
      <c r="AJ609" s="1" t="s">
        <v>2928</v>
      </c>
      <c r="AK609" s="1" t="s">
        <v>2933</v>
      </c>
      <c r="AL609" s="1" t="s">
        <v>5902</v>
      </c>
      <c r="AM609" s="1" t="s">
        <v>3367</v>
      </c>
    </row>
    <row r="610" spans="20:39" x14ac:dyDescent="0.2">
      <c r="T610" s="29" t="s">
        <v>301</v>
      </c>
      <c r="U610" s="69" t="s">
        <v>92</v>
      </c>
      <c r="V610" s="72" t="str">
        <f t="shared" si="9"/>
        <v>IL_CLARK</v>
      </c>
      <c r="AJ610" s="1" t="s">
        <v>2928</v>
      </c>
      <c r="AK610" s="1" t="s">
        <v>2934</v>
      </c>
      <c r="AL610" s="1" t="s">
        <v>5903</v>
      </c>
      <c r="AM610" s="1" t="s">
        <v>3367</v>
      </c>
    </row>
    <row r="611" spans="20:39" x14ac:dyDescent="0.2">
      <c r="T611" s="28" t="s">
        <v>207</v>
      </c>
      <c r="U611" s="68" t="s">
        <v>92</v>
      </c>
      <c r="V611" s="72" t="str">
        <f t="shared" si="9"/>
        <v>IL_CLAY</v>
      </c>
      <c r="AJ611" s="1" t="s">
        <v>2928</v>
      </c>
      <c r="AK611" s="1" t="s">
        <v>2935</v>
      </c>
      <c r="AL611" s="1" t="s">
        <v>5904</v>
      </c>
      <c r="AM611" s="1" t="s">
        <v>3367</v>
      </c>
    </row>
    <row r="612" spans="20:39" x14ac:dyDescent="0.2">
      <c r="T612" s="29" t="s">
        <v>675</v>
      </c>
      <c r="U612" s="69" t="s">
        <v>92</v>
      </c>
      <c r="V612" s="72" t="str">
        <f t="shared" si="9"/>
        <v>IL_CLINTON</v>
      </c>
      <c r="AJ612" s="1" t="s">
        <v>2928</v>
      </c>
      <c r="AK612" s="1" t="s">
        <v>2936</v>
      </c>
      <c r="AL612" s="1" t="s">
        <v>5905</v>
      </c>
      <c r="AM612" s="1" t="s">
        <v>3367</v>
      </c>
    </row>
    <row r="613" spans="20:39" x14ac:dyDescent="0.2">
      <c r="T613" s="28" t="s">
        <v>676</v>
      </c>
      <c r="U613" s="68" t="s">
        <v>92</v>
      </c>
      <c r="V613" s="72" t="str">
        <f t="shared" si="9"/>
        <v>IL_COLES</v>
      </c>
      <c r="AJ613" s="1" t="s">
        <v>2928</v>
      </c>
      <c r="AK613" s="1" t="s">
        <v>2937</v>
      </c>
      <c r="AL613" s="1" t="s">
        <v>5906</v>
      </c>
      <c r="AM613" s="1" t="s">
        <v>3367</v>
      </c>
    </row>
    <row r="614" spans="20:39" x14ac:dyDescent="0.2">
      <c r="T614" s="29" t="s">
        <v>548</v>
      </c>
      <c r="U614" s="69" t="s">
        <v>92</v>
      </c>
      <c r="V614" s="72" t="str">
        <f t="shared" si="9"/>
        <v>IL_COOK</v>
      </c>
      <c r="AJ614" s="1" t="s">
        <v>2928</v>
      </c>
      <c r="AK614" s="1" t="s">
        <v>2938</v>
      </c>
      <c r="AL614" s="1" t="s">
        <v>5907</v>
      </c>
      <c r="AM614" s="1" t="s">
        <v>3367</v>
      </c>
    </row>
    <row r="615" spans="20:39" x14ac:dyDescent="0.2">
      <c r="T615" s="28" t="s">
        <v>306</v>
      </c>
      <c r="U615" s="68" t="s">
        <v>92</v>
      </c>
      <c r="V615" s="72" t="str">
        <f t="shared" si="9"/>
        <v>IL_CRAWFORD</v>
      </c>
      <c r="AJ615" s="1" t="s">
        <v>2928</v>
      </c>
      <c r="AK615" s="1" t="s">
        <v>2939</v>
      </c>
      <c r="AL615" s="1" t="s">
        <v>5908</v>
      </c>
      <c r="AM615" s="1" t="s">
        <v>3367</v>
      </c>
    </row>
    <row r="616" spans="20:39" x14ac:dyDescent="0.2">
      <c r="T616" s="29" t="s">
        <v>677</v>
      </c>
      <c r="U616" s="69" t="s">
        <v>92</v>
      </c>
      <c r="V616" s="72" t="str">
        <f t="shared" si="9"/>
        <v>IL_CUMBERLAND</v>
      </c>
      <c r="AJ616" s="1" t="s">
        <v>2928</v>
      </c>
      <c r="AK616" s="1" t="s">
        <v>2940</v>
      </c>
      <c r="AL616" s="1" t="s">
        <v>5909</v>
      </c>
      <c r="AM616" s="1" t="s">
        <v>3367</v>
      </c>
    </row>
    <row r="617" spans="20:39" x14ac:dyDescent="0.2">
      <c r="T617" s="28" t="s">
        <v>218</v>
      </c>
      <c r="U617" s="68" t="s">
        <v>92</v>
      </c>
      <c r="V617" s="72" t="str">
        <f t="shared" si="9"/>
        <v>IL_DEKALB</v>
      </c>
      <c r="AJ617" s="1" t="s">
        <v>2928</v>
      </c>
      <c r="AK617" s="1" t="s">
        <v>2941</v>
      </c>
      <c r="AL617" s="1" t="s">
        <v>5910</v>
      </c>
      <c r="AM617" s="1" t="s">
        <v>3367</v>
      </c>
    </row>
    <row r="618" spans="20:39" x14ac:dyDescent="0.2">
      <c r="T618" s="29" t="s">
        <v>678</v>
      </c>
      <c r="U618" s="69" t="s">
        <v>92</v>
      </c>
      <c r="V618" s="72" t="str">
        <f t="shared" si="9"/>
        <v>IL_DE WITT</v>
      </c>
      <c r="AJ618" s="1" t="s">
        <v>2928</v>
      </c>
      <c r="AK618" s="1" t="s">
        <v>2942</v>
      </c>
      <c r="AL618" s="1" t="s">
        <v>5911</v>
      </c>
      <c r="AM618" s="1" t="s">
        <v>3367</v>
      </c>
    </row>
    <row r="619" spans="20:39" x14ac:dyDescent="0.2">
      <c r="T619" s="28" t="s">
        <v>423</v>
      </c>
      <c r="U619" s="68" t="s">
        <v>92</v>
      </c>
      <c r="V619" s="72" t="str">
        <f t="shared" si="9"/>
        <v>IL_DOUGLAS</v>
      </c>
      <c r="AJ619" s="1" t="s">
        <v>2928</v>
      </c>
      <c r="AK619" s="1" t="s">
        <v>2943</v>
      </c>
      <c r="AL619" s="1" t="s">
        <v>5912</v>
      </c>
      <c r="AM619" s="1" t="s">
        <v>3367</v>
      </c>
    </row>
    <row r="620" spans="20:39" x14ac:dyDescent="0.2">
      <c r="T620" s="29" t="s">
        <v>679</v>
      </c>
      <c r="U620" s="69" t="s">
        <v>92</v>
      </c>
      <c r="V620" s="72" t="str">
        <f t="shared" si="9"/>
        <v>IL_DU PAGE</v>
      </c>
      <c r="AJ620" s="1" t="s">
        <v>2928</v>
      </c>
      <c r="AK620" s="1" t="s">
        <v>2944</v>
      </c>
      <c r="AL620" s="1" t="s">
        <v>5913</v>
      </c>
      <c r="AM620" s="1" t="s">
        <v>3367</v>
      </c>
    </row>
    <row r="621" spans="20:39" x14ac:dyDescent="0.2">
      <c r="T621" s="28" t="s">
        <v>680</v>
      </c>
      <c r="U621" s="68" t="s">
        <v>92</v>
      </c>
      <c r="V621" s="72" t="str">
        <f t="shared" si="9"/>
        <v>IL_EDGAR</v>
      </c>
      <c r="AJ621" s="1" t="s">
        <v>2928</v>
      </c>
      <c r="AK621" s="1" t="s">
        <v>2945</v>
      </c>
      <c r="AL621" s="1" t="s">
        <v>5914</v>
      </c>
      <c r="AM621" s="1" t="s">
        <v>3367</v>
      </c>
    </row>
    <row r="622" spans="20:39" x14ac:dyDescent="0.2">
      <c r="T622" s="29" t="s">
        <v>681</v>
      </c>
      <c r="U622" s="69" t="s">
        <v>92</v>
      </c>
      <c r="V622" s="72" t="str">
        <f t="shared" si="9"/>
        <v>IL_EDWARDS</v>
      </c>
      <c r="AJ622" s="1" t="s">
        <v>2928</v>
      </c>
      <c r="AK622" s="1" t="s">
        <v>2946</v>
      </c>
      <c r="AL622" s="1" t="s">
        <v>5915</v>
      </c>
      <c r="AM622" s="1" t="s">
        <v>3367</v>
      </c>
    </row>
    <row r="623" spans="20:39" x14ac:dyDescent="0.2">
      <c r="T623" s="28" t="s">
        <v>559</v>
      </c>
      <c r="U623" s="68" t="s">
        <v>92</v>
      </c>
      <c r="V623" s="72" t="str">
        <f t="shared" si="9"/>
        <v>IL_EFFINGHAM</v>
      </c>
      <c r="AJ623" s="1" t="s">
        <v>2928</v>
      </c>
      <c r="AK623" s="1" t="s">
        <v>2947</v>
      </c>
      <c r="AL623" s="1" t="s">
        <v>5916</v>
      </c>
      <c r="AM623" s="1" t="s">
        <v>3367</v>
      </c>
    </row>
    <row r="624" spans="20:39" x14ac:dyDescent="0.2">
      <c r="T624" s="29" t="s">
        <v>222</v>
      </c>
      <c r="U624" s="69" t="s">
        <v>92</v>
      </c>
      <c r="V624" s="72" t="str">
        <f t="shared" si="9"/>
        <v>IL_FAYETTE</v>
      </c>
      <c r="AJ624" s="1" t="s">
        <v>94</v>
      </c>
      <c r="AK624" s="1" t="s">
        <v>630</v>
      </c>
      <c r="AL624" s="1" t="s">
        <v>5917</v>
      </c>
      <c r="AM624" s="1" t="s">
        <v>3368</v>
      </c>
    </row>
    <row r="625" spans="20:39" x14ac:dyDescent="0.2">
      <c r="T625" s="28" t="s">
        <v>682</v>
      </c>
      <c r="U625" s="68" t="s">
        <v>92</v>
      </c>
      <c r="V625" s="72" t="str">
        <f t="shared" si="9"/>
        <v>IL_FORD</v>
      </c>
      <c r="AJ625" s="1" t="s">
        <v>94</v>
      </c>
      <c r="AK625" s="1" t="s">
        <v>631</v>
      </c>
      <c r="AL625" s="1" t="s">
        <v>5918</v>
      </c>
      <c r="AM625" s="1" t="s">
        <v>3370</v>
      </c>
    </row>
    <row r="626" spans="20:39" x14ac:dyDescent="0.2">
      <c r="T626" s="29" t="s">
        <v>223</v>
      </c>
      <c r="U626" s="69" t="s">
        <v>92</v>
      </c>
      <c r="V626" s="72" t="str">
        <f t="shared" si="9"/>
        <v>IL_FRANKLIN</v>
      </c>
      <c r="AJ626" s="1" t="s">
        <v>94</v>
      </c>
      <c r="AK626" s="1" t="s">
        <v>632</v>
      </c>
      <c r="AL626" s="1" t="s">
        <v>5919</v>
      </c>
      <c r="AM626" s="1" t="s">
        <v>9154</v>
      </c>
    </row>
    <row r="627" spans="20:39" x14ac:dyDescent="0.2">
      <c r="T627" s="28" t="s">
        <v>312</v>
      </c>
      <c r="U627" s="68" t="s">
        <v>92</v>
      </c>
      <c r="V627" s="72" t="str">
        <f t="shared" si="9"/>
        <v>IL_FULTON</v>
      </c>
      <c r="AJ627" s="1" t="s">
        <v>94</v>
      </c>
      <c r="AK627" s="1" t="s">
        <v>633</v>
      </c>
      <c r="AL627" s="1" t="s">
        <v>5920</v>
      </c>
      <c r="AM627" s="1" t="s">
        <v>3369</v>
      </c>
    </row>
    <row r="628" spans="20:39" x14ac:dyDescent="0.2">
      <c r="T628" s="29" t="s">
        <v>683</v>
      </c>
      <c r="U628" s="69" t="s">
        <v>92</v>
      </c>
      <c r="V628" s="72" t="str">
        <f t="shared" si="9"/>
        <v>IL_GALLATIN</v>
      </c>
      <c r="AJ628" s="1" t="s">
        <v>94</v>
      </c>
      <c r="AK628" s="1" t="s">
        <v>634</v>
      </c>
      <c r="AL628" s="1" t="s">
        <v>5921</v>
      </c>
      <c r="AM628" s="1" t="s">
        <v>9155</v>
      </c>
    </row>
    <row r="629" spans="20:39" x14ac:dyDescent="0.2">
      <c r="T629" s="28" t="s">
        <v>225</v>
      </c>
      <c r="U629" s="68" t="s">
        <v>92</v>
      </c>
      <c r="V629" s="72" t="str">
        <f t="shared" si="9"/>
        <v>IL_GREENE</v>
      </c>
      <c r="AJ629" s="1" t="s">
        <v>90</v>
      </c>
      <c r="AK629" s="1" t="s">
        <v>763</v>
      </c>
      <c r="AL629" s="1" t="s">
        <v>5922</v>
      </c>
      <c r="AM629" s="1" t="s">
        <v>3371</v>
      </c>
    </row>
    <row r="630" spans="20:39" x14ac:dyDescent="0.2">
      <c r="T630" s="29" t="s">
        <v>684</v>
      </c>
      <c r="U630" s="69" t="s">
        <v>92</v>
      </c>
      <c r="V630" s="72" t="str">
        <f t="shared" si="9"/>
        <v>IL_GRUNDY</v>
      </c>
      <c r="AJ630" s="1" t="s">
        <v>90</v>
      </c>
      <c r="AK630" s="1" t="s">
        <v>406</v>
      </c>
      <c r="AL630" s="1" t="s">
        <v>5923</v>
      </c>
      <c r="AM630" s="1" t="s">
        <v>3372</v>
      </c>
    </row>
    <row r="631" spans="20:39" x14ac:dyDescent="0.2">
      <c r="T631" s="28" t="s">
        <v>491</v>
      </c>
      <c r="U631" s="68" t="s">
        <v>92</v>
      </c>
      <c r="V631" s="72" t="str">
        <f t="shared" si="9"/>
        <v>IL_HAMILTON</v>
      </c>
      <c r="AJ631" s="1" t="s">
        <v>90</v>
      </c>
      <c r="AK631" s="1" t="s">
        <v>764</v>
      </c>
      <c r="AL631" s="1" t="s">
        <v>5924</v>
      </c>
      <c r="AM631" s="1" t="s">
        <v>3373</v>
      </c>
    </row>
    <row r="632" spans="20:39" x14ac:dyDescent="0.2">
      <c r="T632" s="29" t="s">
        <v>573</v>
      </c>
      <c r="U632" s="69" t="s">
        <v>92</v>
      </c>
      <c r="V632" s="72" t="str">
        <f t="shared" si="9"/>
        <v>IL_HANCOCK</v>
      </c>
      <c r="AJ632" s="1" t="s">
        <v>90</v>
      </c>
      <c r="AK632" s="1" t="s">
        <v>765</v>
      </c>
      <c r="AL632" s="1" t="s">
        <v>5925</v>
      </c>
      <c r="AM632" s="1" t="s">
        <v>3375</v>
      </c>
    </row>
    <row r="633" spans="20:39" x14ac:dyDescent="0.2">
      <c r="T633" s="28" t="s">
        <v>685</v>
      </c>
      <c r="U633" s="68" t="s">
        <v>92</v>
      </c>
      <c r="V633" s="72" t="str">
        <f t="shared" si="9"/>
        <v>IL_HARDIN</v>
      </c>
      <c r="AJ633" s="1" t="s">
        <v>90</v>
      </c>
      <c r="AK633" s="1" t="s">
        <v>766</v>
      </c>
      <c r="AL633" s="1" t="s">
        <v>5926</v>
      </c>
      <c r="AM633" s="1" t="s">
        <v>3376</v>
      </c>
    </row>
    <row r="634" spans="20:39" x14ac:dyDescent="0.2">
      <c r="T634" s="29" t="s">
        <v>686</v>
      </c>
      <c r="U634" s="69" t="s">
        <v>92</v>
      </c>
      <c r="V634" s="72" t="str">
        <f t="shared" si="9"/>
        <v>IL_HENDERSON</v>
      </c>
      <c r="AJ634" s="1" t="s">
        <v>90</v>
      </c>
      <c r="AK634" s="1" t="s">
        <v>296</v>
      </c>
      <c r="AL634" s="1" t="s">
        <v>5927</v>
      </c>
      <c r="AM634" s="1" t="s">
        <v>3377</v>
      </c>
    </row>
    <row r="635" spans="20:39" x14ac:dyDescent="0.2">
      <c r="T635" s="28" t="s">
        <v>227</v>
      </c>
      <c r="U635" s="68" t="s">
        <v>92</v>
      </c>
      <c r="V635" s="72" t="str">
        <f t="shared" si="9"/>
        <v>IL_HENRY</v>
      </c>
      <c r="AJ635" s="1" t="s">
        <v>90</v>
      </c>
      <c r="AK635" s="1" t="s">
        <v>767</v>
      </c>
      <c r="AL635" s="1" t="s">
        <v>5928</v>
      </c>
      <c r="AM635" s="1" t="s">
        <v>3456</v>
      </c>
    </row>
    <row r="636" spans="20:39" x14ac:dyDescent="0.2">
      <c r="T636" s="29" t="s">
        <v>687</v>
      </c>
      <c r="U636" s="69" t="s">
        <v>92</v>
      </c>
      <c r="V636" s="72" t="str">
        <f t="shared" si="9"/>
        <v>IL_IROQUOIS</v>
      </c>
      <c r="AJ636" s="1" t="s">
        <v>90</v>
      </c>
      <c r="AK636" s="1" t="s">
        <v>297</v>
      </c>
      <c r="AL636" s="1" t="s">
        <v>5929</v>
      </c>
      <c r="AM636" s="1" t="s">
        <v>3378</v>
      </c>
    </row>
    <row r="637" spans="20:39" x14ac:dyDescent="0.2">
      <c r="T637" s="28" t="s">
        <v>229</v>
      </c>
      <c r="U637" s="68" t="s">
        <v>92</v>
      </c>
      <c r="V637" s="72" t="str">
        <f t="shared" si="9"/>
        <v>IL_JACKSON</v>
      </c>
      <c r="AJ637" s="1" t="s">
        <v>90</v>
      </c>
      <c r="AK637" s="1" t="s">
        <v>768</v>
      </c>
      <c r="AL637" s="1" t="s">
        <v>5930</v>
      </c>
      <c r="AM637" s="1" t="s">
        <v>3379</v>
      </c>
    </row>
    <row r="638" spans="20:39" x14ac:dyDescent="0.2">
      <c r="T638" s="29" t="s">
        <v>579</v>
      </c>
      <c r="U638" s="69" t="s">
        <v>92</v>
      </c>
      <c r="V638" s="72" t="str">
        <f t="shared" si="9"/>
        <v>IL_JASPER</v>
      </c>
      <c r="AJ638" s="1" t="s">
        <v>90</v>
      </c>
      <c r="AK638" s="1" t="s">
        <v>769</v>
      </c>
      <c r="AL638" s="1" t="s">
        <v>5931</v>
      </c>
      <c r="AM638" s="1" t="s">
        <v>3380</v>
      </c>
    </row>
    <row r="639" spans="20:39" x14ac:dyDescent="0.2">
      <c r="T639" s="28" t="s">
        <v>230</v>
      </c>
      <c r="U639" s="68" t="s">
        <v>92</v>
      </c>
      <c r="V639" s="72" t="str">
        <f t="shared" si="9"/>
        <v>IL_JEFFERSON</v>
      </c>
      <c r="AJ639" s="1" t="s">
        <v>90</v>
      </c>
      <c r="AK639" s="1" t="s">
        <v>770</v>
      </c>
      <c r="AL639" s="1" t="s">
        <v>5932</v>
      </c>
      <c r="AM639" s="1" t="s">
        <v>3381</v>
      </c>
    </row>
    <row r="640" spans="20:39" x14ac:dyDescent="0.2">
      <c r="T640" s="29" t="s">
        <v>688</v>
      </c>
      <c r="U640" s="69" t="s">
        <v>92</v>
      </c>
      <c r="V640" s="72" t="str">
        <f t="shared" si="9"/>
        <v>IL_JERSEY</v>
      </c>
      <c r="AJ640" s="1" t="s">
        <v>90</v>
      </c>
      <c r="AK640" s="1" t="s">
        <v>200</v>
      </c>
      <c r="AL640" s="1" t="s">
        <v>5933</v>
      </c>
      <c r="AM640" s="1" t="s">
        <v>3382</v>
      </c>
    </row>
    <row r="641" spans="20:39" x14ac:dyDescent="0.2">
      <c r="T641" s="28" t="s">
        <v>689</v>
      </c>
      <c r="U641" s="68" t="s">
        <v>92</v>
      </c>
      <c r="V641" s="72" t="str">
        <f t="shared" si="9"/>
        <v>IL_JO DAVIESS</v>
      </c>
      <c r="AJ641" s="1" t="s">
        <v>90</v>
      </c>
      <c r="AK641" s="1" t="s">
        <v>201</v>
      </c>
      <c r="AL641" s="1" t="s">
        <v>5934</v>
      </c>
      <c r="AM641" s="1" t="s">
        <v>3383</v>
      </c>
    </row>
    <row r="642" spans="20:39" x14ac:dyDescent="0.2">
      <c r="T642" s="29" t="s">
        <v>320</v>
      </c>
      <c r="U642" s="69" t="s">
        <v>92</v>
      </c>
      <c r="V642" s="72" t="str">
        <f t="shared" si="9"/>
        <v>IL_JOHNSON</v>
      </c>
      <c r="AJ642" s="1" t="s">
        <v>90</v>
      </c>
      <c r="AK642" s="1" t="s">
        <v>299</v>
      </c>
      <c r="AL642" s="1" t="s">
        <v>5935</v>
      </c>
      <c r="AM642" s="1" t="s">
        <v>3384</v>
      </c>
    </row>
    <row r="643" spans="20:39" x14ac:dyDescent="0.2">
      <c r="T643" s="28" t="s">
        <v>690</v>
      </c>
      <c r="U643" s="68" t="s">
        <v>92</v>
      </c>
      <c r="V643" s="72" t="str">
        <f t="shared" si="9"/>
        <v>IL_KANE</v>
      </c>
      <c r="AJ643" s="1" t="s">
        <v>90</v>
      </c>
      <c r="AK643" s="1" t="s">
        <v>672</v>
      </c>
      <c r="AL643" s="1" t="s">
        <v>5936</v>
      </c>
      <c r="AM643" s="1" t="s">
        <v>3385</v>
      </c>
    </row>
    <row r="644" spans="20:39" x14ac:dyDescent="0.2">
      <c r="T644" s="29" t="s">
        <v>691</v>
      </c>
      <c r="U644" s="69" t="s">
        <v>92</v>
      </c>
      <c r="V644" s="72" t="str">
        <f t="shared" si="9"/>
        <v>IL_KANKAKEE</v>
      </c>
      <c r="AJ644" s="1" t="s">
        <v>90</v>
      </c>
      <c r="AK644" s="1" t="s">
        <v>771</v>
      </c>
      <c r="AL644" s="1" t="s">
        <v>5937</v>
      </c>
      <c r="AM644" s="1" t="s">
        <v>3386</v>
      </c>
    </row>
    <row r="645" spans="20:39" x14ac:dyDescent="0.2">
      <c r="T645" s="28" t="s">
        <v>692</v>
      </c>
      <c r="U645" s="68" t="s">
        <v>92</v>
      </c>
      <c r="V645" s="72" t="str">
        <f t="shared" si="9"/>
        <v>IL_KENDALL</v>
      </c>
      <c r="AJ645" s="1" t="s">
        <v>90</v>
      </c>
      <c r="AK645" s="1" t="s">
        <v>772</v>
      </c>
      <c r="AL645" s="1" t="s">
        <v>5938</v>
      </c>
      <c r="AM645" s="1" t="s">
        <v>3388</v>
      </c>
    </row>
    <row r="646" spans="20:39" x14ac:dyDescent="0.2">
      <c r="T646" s="29" t="s">
        <v>693</v>
      </c>
      <c r="U646" s="69" t="s">
        <v>92</v>
      </c>
      <c r="V646" s="72" t="str">
        <f t="shared" si="9"/>
        <v>IL_KNOX</v>
      </c>
      <c r="AJ646" s="1" t="s">
        <v>90</v>
      </c>
      <c r="AK646" s="1" t="s">
        <v>203</v>
      </c>
      <c r="AL646" s="1" t="s">
        <v>5939</v>
      </c>
      <c r="AM646" s="1" t="s">
        <v>3389</v>
      </c>
    </row>
    <row r="647" spans="20:39" x14ac:dyDescent="0.2">
      <c r="T647" s="28" t="s">
        <v>366</v>
      </c>
      <c r="U647" s="68" t="s">
        <v>92</v>
      </c>
      <c r="V647" s="72" t="str">
        <f t="shared" si="9"/>
        <v>IL_LAKE</v>
      </c>
      <c r="AJ647" s="1" t="s">
        <v>90</v>
      </c>
      <c r="AK647" s="1" t="s">
        <v>773</v>
      </c>
      <c r="AL647" s="1" t="s">
        <v>5940</v>
      </c>
      <c r="AM647" s="1" t="s">
        <v>3390</v>
      </c>
    </row>
    <row r="648" spans="20:39" x14ac:dyDescent="0.2">
      <c r="T648" s="29" t="s">
        <v>694</v>
      </c>
      <c r="U648" s="69" t="s">
        <v>92</v>
      </c>
      <c r="V648" s="72" t="str">
        <f t="shared" si="9"/>
        <v>IL_LA SALLE</v>
      </c>
      <c r="AJ648" s="1" t="s">
        <v>90</v>
      </c>
      <c r="AK648" s="1" t="s">
        <v>206</v>
      </c>
      <c r="AL648" s="1" t="s">
        <v>5941</v>
      </c>
      <c r="AM648" s="1" t="s">
        <v>3391</v>
      </c>
    </row>
    <row r="649" spans="20:39" x14ac:dyDescent="0.2">
      <c r="T649" s="28" t="s">
        <v>233</v>
      </c>
      <c r="U649" s="68" t="s">
        <v>92</v>
      </c>
      <c r="V649" s="72" t="str">
        <f t="shared" si="9"/>
        <v>IL_LAWRENCE</v>
      </c>
      <c r="AJ649" s="1" t="s">
        <v>90</v>
      </c>
      <c r="AK649" s="1" t="s">
        <v>207</v>
      </c>
      <c r="AL649" s="1" t="s">
        <v>5942</v>
      </c>
      <c r="AM649" s="1" t="s">
        <v>3392</v>
      </c>
    </row>
    <row r="650" spans="20:39" x14ac:dyDescent="0.2">
      <c r="T650" s="29" t="s">
        <v>234</v>
      </c>
      <c r="U650" s="69" t="s">
        <v>92</v>
      </c>
      <c r="V650" s="72" t="str">
        <f t="shared" ref="V650:V713" si="10">UPPER(CONCATENATE(TRIM(U650),"_",TRIM(T650)))</f>
        <v>IL_LEE</v>
      </c>
      <c r="AJ650" s="1" t="s">
        <v>90</v>
      </c>
      <c r="AK650" s="1" t="s">
        <v>544</v>
      </c>
      <c r="AL650" s="1" t="s">
        <v>5943</v>
      </c>
      <c r="AM650" s="1" t="s">
        <v>3393</v>
      </c>
    </row>
    <row r="651" spans="20:39" x14ac:dyDescent="0.2">
      <c r="T651" s="28" t="s">
        <v>695</v>
      </c>
      <c r="U651" s="68" t="s">
        <v>92</v>
      </c>
      <c r="V651" s="72" t="str">
        <f t="shared" si="10"/>
        <v>IL_LIVINGSTON</v>
      </c>
      <c r="AJ651" s="1" t="s">
        <v>90</v>
      </c>
      <c r="AK651" s="1" t="s">
        <v>675</v>
      </c>
      <c r="AL651" s="1" t="s">
        <v>5944</v>
      </c>
      <c r="AM651" s="1" t="s">
        <v>3394</v>
      </c>
    </row>
    <row r="652" spans="20:39" x14ac:dyDescent="0.2">
      <c r="T652" s="29" t="s">
        <v>324</v>
      </c>
      <c r="U652" s="69" t="s">
        <v>92</v>
      </c>
      <c r="V652" s="72" t="str">
        <f t="shared" si="10"/>
        <v>IL_LOGAN</v>
      </c>
      <c r="AJ652" s="1" t="s">
        <v>90</v>
      </c>
      <c r="AK652" s="1" t="s">
        <v>306</v>
      </c>
      <c r="AL652" s="1" t="s">
        <v>5945</v>
      </c>
      <c r="AM652" s="1" t="s">
        <v>3395</v>
      </c>
    </row>
    <row r="653" spans="20:39" x14ac:dyDescent="0.2">
      <c r="T653" s="28" t="s">
        <v>696</v>
      </c>
      <c r="U653" s="68" t="s">
        <v>92</v>
      </c>
      <c r="V653" s="72" t="str">
        <f t="shared" si="10"/>
        <v>IL_MCDONOUGH</v>
      </c>
      <c r="AJ653" s="1" t="s">
        <v>90</v>
      </c>
      <c r="AK653" s="1" t="s">
        <v>217</v>
      </c>
      <c r="AL653" s="1" t="s">
        <v>5946</v>
      </c>
      <c r="AM653" s="1" t="s">
        <v>3401</v>
      </c>
    </row>
    <row r="654" spans="20:39" x14ac:dyDescent="0.2">
      <c r="T654" s="29" t="s">
        <v>697</v>
      </c>
      <c r="U654" s="69" t="s">
        <v>92</v>
      </c>
      <c r="V654" s="72" t="str">
        <f t="shared" si="10"/>
        <v>IL_MCHENRY</v>
      </c>
      <c r="AJ654" s="1" t="s">
        <v>90</v>
      </c>
      <c r="AK654" s="1" t="s">
        <v>774</v>
      </c>
      <c r="AL654" s="1" t="s">
        <v>5947</v>
      </c>
      <c r="AM654" s="1" t="s">
        <v>3397</v>
      </c>
    </row>
    <row r="655" spans="20:39" x14ac:dyDescent="0.2">
      <c r="T655" s="28" t="s">
        <v>698</v>
      </c>
      <c r="U655" s="68" t="s">
        <v>92</v>
      </c>
      <c r="V655" s="72" t="str">
        <f t="shared" si="10"/>
        <v>IL_MCLEAN</v>
      </c>
      <c r="AJ655" s="1" t="s">
        <v>90</v>
      </c>
      <c r="AK655" s="1" t="s">
        <v>552</v>
      </c>
      <c r="AL655" s="1" t="s">
        <v>5948</v>
      </c>
      <c r="AM655" s="1" t="s">
        <v>3398</v>
      </c>
    </row>
    <row r="656" spans="20:39" x14ac:dyDescent="0.2">
      <c r="T656" s="29" t="s">
        <v>237</v>
      </c>
      <c r="U656" s="69" t="s">
        <v>92</v>
      </c>
      <c r="V656" s="72" t="str">
        <f t="shared" si="10"/>
        <v>IL_MACON</v>
      </c>
      <c r="AJ656" s="1" t="s">
        <v>90</v>
      </c>
      <c r="AK656" s="1" t="s">
        <v>727</v>
      </c>
      <c r="AL656" s="1" t="s">
        <v>5949</v>
      </c>
      <c r="AM656" s="1" t="s">
        <v>3399</v>
      </c>
    </row>
    <row r="657" spans="20:39" x14ac:dyDescent="0.2">
      <c r="T657" s="28" t="s">
        <v>699</v>
      </c>
      <c r="U657" s="68" t="s">
        <v>92</v>
      </c>
      <c r="V657" s="72" t="str">
        <f t="shared" si="10"/>
        <v>IL_MACOUPIN</v>
      </c>
      <c r="AJ657" s="1" t="s">
        <v>90</v>
      </c>
      <c r="AK657" s="1" t="s">
        <v>775</v>
      </c>
      <c r="AL657" s="1" t="s">
        <v>5950</v>
      </c>
      <c r="AM657" s="1" t="s">
        <v>3400</v>
      </c>
    </row>
    <row r="658" spans="20:39" x14ac:dyDescent="0.2">
      <c r="T658" s="29" t="s">
        <v>238</v>
      </c>
      <c r="U658" s="69" t="s">
        <v>92</v>
      </c>
      <c r="V658" s="72" t="str">
        <f t="shared" si="10"/>
        <v>IL_MADISON</v>
      </c>
      <c r="AJ658" s="1" t="s">
        <v>90</v>
      </c>
      <c r="AK658" s="1" t="s">
        <v>776</v>
      </c>
      <c r="AL658" s="1" t="s">
        <v>5951</v>
      </c>
      <c r="AM658" s="1" t="s">
        <v>3402</v>
      </c>
    </row>
    <row r="659" spans="20:39" x14ac:dyDescent="0.2">
      <c r="T659" s="28" t="s">
        <v>240</v>
      </c>
      <c r="U659" s="68" t="s">
        <v>92</v>
      </c>
      <c r="V659" s="72" t="str">
        <f t="shared" si="10"/>
        <v>IL_MARION</v>
      </c>
      <c r="AJ659" s="1" t="s">
        <v>90</v>
      </c>
      <c r="AK659" s="1" t="s">
        <v>777</v>
      </c>
      <c r="AL659" s="1" t="s">
        <v>5952</v>
      </c>
      <c r="AM659" s="1" t="s">
        <v>3403</v>
      </c>
    </row>
    <row r="660" spans="20:39" x14ac:dyDescent="0.2">
      <c r="T660" s="29" t="s">
        <v>241</v>
      </c>
      <c r="U660" s="69" t="s">
        <v>92</v>
      </c>
      <c r="V660" s="72" t="str">
        <f t="shared" si="10"/>
        <v>IL_MARSHALL</v>
      </c>
      <c r="AJ660" s="1" t="s">
        <v>90</v>
      </c>
      <c r="AK660" s="1" t="s">
        <v>778</v>
      </c>
      <c r="AL660" s="1" t="s">
        <v>5953</v>
      </c>
      <c r="AM660" s="1" t="s">
        <v>3404</v>
      </c>
    </row>
    <row r="661" spans="20:39" x14ac:dyDescent="0.2">
      <c r="T661" s="28" t="s">
        <v>700</v>
      </c>
      <c r="U661" s="68" t="s">
        <v>92</v>
      </c>
      <c r="V661" s="72" t="str">
        <f t="shared" si="10"/>
        <v>IL_MASON</v>
      </c>
      <c r="AJ661" s="1" t="s">
        <v>90</v>
      </c>
      <c r="AK661" s="1" t="s">
        <v>222</v>
      </c>
      <c r="AL661" s="1" t="s">
        <v>5954</v>
      </c>
      <c r="AM661" s="1" t="s">
        <v>3405</v>
      </c>
    </row>
    <row r="662" spans="20:39" x14ac:dyDescent="0.2">
      <c r="T662" s="29" t="s">
        <v>701</v>
      </c>
      <c r="U662" s="69" t="s">
        <v>92</v>
      </c>
      <c r="V662" s="72" t="str">
        <f t="shared" si="10"/>
        <v>IL_MASSAC</v>
      </c>
      <c r="AJ662" s="1" t="s">
        <v>90</v>
      </c>
      <c r="AK662" s="1" t="s">
        <v>563</v>
      </c>
      <c r="AL662" s="1" t="s">
        <v>5955</v>
      </c>
      <c r="AM662" s="1" t="s">
        <v>3406</v>
      </c>
    </row>
    <row r="663" spans="20:39" x14ac:dyDescent="0.2">
      <c r="T663" s="28" t="s">
        <v>702</v>
      </c>
      <c r="U663" s="68" t="s">
        <v>92</v>
      </c>
      <c r="V663" s="72" t="str">
        <f t="shared" si="10"/>
        <v>IL_MENARD</v>
      </c>
      <c r="AJ663" s="1" t="s">
        <v>90</v>
      </c>
      <c r="AK663" s="1" t="s">
        <v>223</v>
      </c>
      <c r="AL663" s="1" t="s">
        <v>5956</v>
      </c>
      <c r="AM663" s="1" t="s">
        <v>3407</v>
      </c>
    </row>
    <row r="664" spans="20:39" x14ac:dyDescent="0.2">
      <c r="T664" s="29" t="s">
        <v>703</v>
      </c>
      <c r="U664" s="69" t="s">
        <v>92</v>
      </c>
      <c r="V664" s="72" t="str">
        <f t="shared" si="10"/>
        <v>IL_MERCER</v>
      </c>
      <c r="AJ664" s="1" t="s">
        <v>90</v>
      </c>
      <c r="AK664" s="1" t="s">
        <v>427</v>
      </c>
      <c r="AL664" s="1" t="s">
        <v>5957</v>
      </c>
      <c r="AM664" s="1" t="s">
        <v>3408</v>
      </c>
    </row>
    <row r="665" spans="20:39" x14ac:dyDescent="0.2">
      <c r="T665" s="28" t="s">
        <v>243</v>
      </c>
      <c r="U665" s="68" t="s">
        <v>92</v>
      </c>
      <c r="V665" s="72" t="str">
        <f t="shared" si="10"/>
        <v>IL_MONROE</v>
      </c>
      <c r="AJ665" s="1" t="s">
        <v>90</v>
      </c>
      <c r="AK665" s="1" t="s">
        <v>225</v>
      </c>
      <c r="AL665" s="1" t="s">
        <v>5958</v>
      </c>
      <c r="AM665" s="1" t="s">
        <v>3409</v>
      </c>
    </row>
    <row r="666" spans="20:39" x14ac:dyDescent="0.2">
      <c r="T666" s="29" t="s">
        <v>244</v>
      </c>
      <c r="U666" s="69" t="s">
        <v>92</v>
      </c>
      <c r="V666" s="72" t="str">
        <f t="shared" si="10"/>
        <v>IL_MONTGOMERY</v>
      </c>
      <c r="AJ666" s="1" t="s">
        <v>90</v>
      </c>
      <c r="AK666" s="1" t="s">
        <v>684</v>
      </c>
      <c r="AL666" s="1" t="s">
        <v>5959</v>
      </c>
      <c r="AM666" s="1" t="s">
        <v>3456</v>
      </c>
    </row>
    <row r="667" spans="20:39" x14ac:dyDescent="0.2">
      <c r="T667" s="28" t="s">
        <v>245</v>
      </c>
      <c r="U667" s="68" t="s">
        <v>92</v>
      </c>
      <c r="V667" s="72" t="str">
        <f t="shared" si="10"/>
        <v>IL_MORGAN</v>
      </c>
      <c r="AJ667" s="1" t="s">
        <v>90</v>
      </c>
      <c r="AK667" s="1" t="s">
        <v>779</v>
      </c>
      <c r="AL667" s="1" t="s">
        <v>5960</v>
      </c>
      <c r="AM667" s="1" t="s">
        <v>3401</v>
      </c>
    </row>
    <row r="668" spans="20:39" x14ac:dyDescent="0.2">
      <c r="T668" s="29" t="s">
        <v>704</v>
      </c>
      <c r="U668" s="69" t="s">
        <v>92</v>
      </c>
      <c r="V668" s="72" t="str">
        <f t="shared" si="10"/>
        <v>IL_MOULTRIE</v>
      </c>
      <c r="AJ668" s="1" t="s">
        <v>90</v>
      </c>
      <c r="AK668" s="1" t="s">
        <v>491</v>
      </c>
      <c r="AL668" s="1" t="s">
        <v>5961</v>
      </c>
      <c r="AM668" s="1" t="s">
        <v>3410</v>
      </c>
    </row>
    <row r="669" spans="20:39" x14ac:dyDescent="0.2">
      <c r="T669" s="28" t="s">
        <v>705</v>
      </c>
      <c r="U669" s="68" t="s">
        <v>92</v>
      </c>
      <c r="V669" s="72" t="str">
        <f t="shared" si="10"/>
        <v>IL_OGLE</v>
      </c>
      <c r="AJ669" s="1" t="s">
        <v>90</v>
      </c>
      <c r="AK669" s="1" t="s">
        <v>573</v>
      </c>
      <c r="AL669" s="1" t="s">
        <v>5962</v>
      </c>
      <c r="AM669" s="1" t="s">
        <v>3411</v>
      </c>
    </row>
    <row r="670" spans="20:39" x14ac:dyDescent="0.2">
      <c r="T670" s="29" t="s">
        <v>706</v>
      </c>
      <c r="U670" s="69" t="s">
        <v>92</v>
      </c>
      <c r="V670" s="72" t="str">
        <f t="shared" si="10"/>
        <v>IL_PEORIA</v>
      </c>
      <c r="AJ670" s="1" t="s">
        <v>90</v>
      </c>
      <c r="AK670" s="1" t="s">
        <v>685</v>
      </c>
      <c r="AL670" s="1" t="s">
        <v>5963</v>
      </c>
      <c r="AM670" s="1" t="s">
        <v>3412</v>
      </c>
    </row>
    <row r="671" spans="20:39" x14ac:dyDescent="0.2">
      <c r="T671" s="28" t="s">
        <v>246</v>
      </c>
      <c r="U671" s="68" t="s">
        <v>92</v>
      </c>
      <c r="V671" s="72" t="str">
        <f t="shared" si="10"/>
        <v>IL_PERRY</v>
      </c>
      <c r="AJ671" s="1" t="s">
        <v>90</v>
      </c>
      <c r="AK671" s="1" t="s">
        <v>732</v>
      </c>
      <c r="AL671" s="1" t="s">
        <v>5964</v>
      </c>
      <c r="AM671" s="1" t="s">
        <v>3438</v>
      </c>
    </row>
    <row r="672" spans="20:39" x14ac:dyDescent="0.2">
      <c r="T672" s="29" t="s">
        <v>707</v>
      </c>
      <c r="U672" s="69" t="s">
        <v>92</v>
      </c>
      <c r="V672" s="72" t="str">
        <f t="shared" si="10"/>
        <v>IL_PIATT</v>
      </c>
      <c r="AJ672" s="1" t="s">
        <v>90</v>
      </c>
      <c r="AK672" s="1" t="s">
        <v>227</v>
      </c>
      <c r="AL672" s="1" t="s">
        <v>5965</v>
      </c>
      <c r="AM672" s="1" t="s">
        <v>3413</v>
      </c>
    </row>
    <row r="673" spans="20:39" x14ac:dyDescent="0.2">
      <c r="T673" s="28" t="s">
        <v>248</v>
      </c>
      <c r="U673" s="68" t="s">
        <v>92</v>
      </c>
      <c r="V673" s="72" t="str">
        <f t="shared" si="10"/>
        <v>IL_PIKE</v>
      </c>
      <c r="AJ673" s="1" t="s">
        <v>90</v>
      </c>
      <c r="AK673" s="1" t="s">
        <v>317</v>
      </c>
      <c r="AL673" s="1" t="s">
        <v>5966</v>
      </c>
      <c r="AM673" s="1" t="s">
        <v>3414</v>
      </c>
    </row>
    <row r="674" spans="20:39" x14ac:dyDescent="0.2">
      <c r="T674" s="29" t="s">
        <v>334</v>
      </c>
      <c r="U674" s="69" t="s">
        <v>92</v>
      </c>
      <c r="V674" s="72" t="str">
        <f t="shared" si="10"/>
        <v>IL_POPE</v>
      </c>
      <c r="AJ674" s="1" t="s">
        <v>90</v>
      </c>
      <c r="AK674" s="1" t="s">
        <v>361</v>
      </c>
      <c r="AL674" s="1" t="s">
        <v>5967</v>
      </c>
      <c r="AM674" s="1" t="s">
        <v>3415</v>
      </c>
    </row>
    <row r="675" spans="20:39" x14ac:dyDescent="0.2">
      <c r="T675" s="28" t="s">
        <v>336</v>
      </c>
      <c r="U675" s="68" t="s">
        <v>92</v>
      </c>
      <c r="V675" s="72" t="str">
        <f t="shared" si="10"/>
        <v>IL_PULASKI</v>
      </c>
      <c r="AJ675" s="1" t="s">
        <v>90</v>
      </c>
      <c r="AK675" s="1" t="s">
        <v>780</v>
      </c>
      <c r="AL675" s="1" t="s">
        <v>5968</v>
      </c>
      <c r="AM675" s="1" t="s">
        <v>3416</v>
      </c>
    </row>
    <row r="676" spans="20:39" x14ac:dyDescent="0.2">
      <c r="T676" s="29" t="s">
        <v>511</v>
      </c>
      <c r="U676" s="69" t="s">
        <v>92</v>
      </c>
      <c r="V676" s="72" t="str">
        <f t="shared" si="10"/>
        <v>IL_PUTNAM</v>
      </c>
      <c r="AJ676" s="1" t="s">
        <v>90</v>
      </c>
      <c r="AK676" s="1" t="s">
        <v>781</v>
      </c>
      <c r="AL676" s="1" t="s">
        <v>5969</v>
      </c>
      <c r="AM676" s="1" t="s">
        <v>3418</v>
      </c>
    </row>
    <row r="677" spans="20:39" x14ac:dyDescent="0.2">
      <c r="T677" s="28" t="s">
        <v>249</v>
      </c>
      <c r="U677" s="68" t="s">
        <v>92</v>
      </c>
      <c r="V677" s="72" t="str">
        <f t="shared" si="10"/>
        <v>IL_RANDOLPH</v>
      </c>
      <c r="AJ677" s="1" t="s">
        <v>90</v>
      </c>
      <c r="AK677" s="1" t="s">
        <v>229</v>
      </c>
      <c r="AL677" s="1" t="s">
        <v>5970</v>
      </c>
      <c r="AM677" s="1" t="s">
        <v>3419</v>
      </c>
    </row>
    <row r="678" spans="20:39" x14ac:dyDescent="0.2">
      <c r="T678" s="29" t="s">
        <v>708</v>
      </c>
      <c r="U678" s="69" t="s">
        <v>92</v>
      </c>
      <c r="V678" s="72" t="str">
        <f t="shared" si="10"/>
        <v>IL_RICHLAND</v>
      </c>
      <c r="AJ678" s="1" t="s">
        <v>90</v>
      </c>
      <c r="AK678" s="1" t="s">
        <v>579</v>
      </c>
      <c r="AL678" s="1" t="s">
        <v>5971</v>
      </c>
      <c r="AM678" s="1" t="s">
        <v>3420</v>
      </c>
    </row>
    <row r="679" spans="20:39" x14ac:dyDescent="0.2">
      <c r="T679" s="28" t="s">
        <v>709</v>
      </c>
      <c r="U679" s="68" t="s">
        <v>92</v>
      </c>
      <c r="V679" s="72" t="str">
        <f t="shared" si="10"/>
        <v>IL_ROCK ISLAND</v>
      </c>
      <c r="AJ679" s="1" t="s">
        <v>90</v>
      </c>
      <c r="AK679" s="1" t="s">
        <v>230</v>
      </c>
      <c r="AL679" s="1" t="s">
        <v>5972</v>
      </c>
      <c r="AM679" s="1" t="s">
        <v>3421</v>
      </c>
    </row>
    <row r="680" spans="20:39" x14ac:dyDescent="0.2">
      <c r="T680" s="29" t="s">
        <v>251</v>
      </c>
      <c r="U680" s="69" t="s">
        <v>92</v>
      </c>
      <c r="V680" s="72" t="str">
        <f t="shared" si="10"/>
        <v>IL_ST. CLAIR</v>
      </c>
      <c r="AJ680" s="1" t="s">
        <v>90</v>
      </c>
      <c r="AK680" s="1" t="s">
        <v>320</v>
      </c>
      <c r="AL680" s="1" t="s">
        <v>5973</v>
      </c>
      <c r="AM680" s="1" t="s">
        <v>3417</v>
      </c>
    </row>
    <row r="681" spans="20:39" x14ac:dyDescent="0.2">
      <c r="T681" s="28" t="s">
        <v>338</v>
      </c>
      <c r="U681" s="68" t="s">
        <v>92</v>
      </c>
      <c r="V681" s="72" t="str">
        <f t="shared" si="10"/>
        <v>IL_SALINE</v>
      </c>
      <c r="AJ681" s="1" t="s">
        <v>90</v>
      </c>
      <c r="AK681" s="1" t="s">
        <v>582</v>
      </c>
      <c r="AL681" s="1" t="s">
        <v>5974</v>
      </c>
      <c r="AM681" s="1" t="s">
        <v>3422</v>
      </c>
    </row>
    <row r="682" spans="20:39" x14ac:dyDescent="0.2">
      <c r="T682" s="29" t="s">
        <v>710</v>
      </c>
      <c r="U682" s="69" t="s">
        <v>92</v>
      </c>
      <c r="V682" s="72" t="str">
        <f t="shared" si="10"/>
        <v>IL_SANGAMON</v>
      </c>
      <c r="AJ682" s="1" t="s">
        <v>90</v>
      </c>
      <c r="AK682" s="1" t="s">
        <v>782</v>
      </c>
      <c r="AL682" s="1" t="s">
        <v>5975</v>
      </c>
      <c r="AM682" s="1" t="s">
        <v>3423</v>
      </c>
    </row>
    <row r="683" spans="20:39" x14ac:dyDescent="0.2">
      <c r="T683" s="28" t="s">
        <v>711</v>
      </c>
      <c r="U683" s="68" t="s">
        <v>92</v>
      </c>
      <c r="V683" s="72" t="str">
        <f t="shared" si="10"/>
        <v>IL_SCHUYLER</v>
      </c>
      <c r="AJ683" s="1" t="s">
        <v>90</v>
      </c>
      <c r="AK683" s="1" t="s">
        <v>783</v>
      </c>
      <c r="AL683" s="1" t="s">
        <v>5976</v>
      </c>
      <c r="AM683" s="1" t="s">
        <v>3424</v>
      </c>
    </row>
    <row r="684" spans="20:39" x14ac:dyDescent="0.2">
      <c r="T684" s="29" t="s">
        <v>339</v>
      </c>
      <c r="U684" s="69" t="s">
        <v>92</v>
      </c>
      <c r="V684" s="72" t="str">
        <f t="shared" si="10"/>
        <v>IL_SCOTT</v>
      </c>
      <c r="AJ684" s="1" t="s">
        <v>90</v>
      </c>
      <c r="AK684" s="1" t="s">
        <v>234</v>
      </c>
      <c r="AL684" s="1" t="s">
        <v>5977</v>
      </c>
      <c r="AM684" s="1" t="s">
        <v>3425</v>
      </c>
    </row>
    <row r="685" spans="20:39" x14ac:dyDescent="0.2">
      <c r="T685" s="28" t="s">
        <v>252</v>
      </c>
      <c r="U685" s="68" t="s">
        <v>92</v>
      </c>
      <c r="V685" s="72" t="str">
        <f t="shared" si="10"/>
        <v>IL_SHELBY</v>
      </c>
      <c r="AJ685" s="1" t="s">
        <v>90</v>
      </c>
      <c r="AK685" s="1" t="s">
        <v>784</v>
      </c>
      <c r="AL685" s="1" t="s">
        <v>5978</v>
      </c>
      <c r="AM685" s="1" t="s">
        <v>3387</v>
      </c>
    </row>
    <row r="686" spans="20:39" x14ac:dyDescent="0.2">
      <c r="T686" s="29" t="s">
        <v>712</v>
      </c>
      <c r="U686" s="69" t="s">
        <v>92</v>
      </c>
      <c r="V686" s="72" t="str">
        <f t="shared" si="10"/>
        <v>IL_STARK</v>
      </c>
      <c r="AJ686" s="1" t="s">
        <v>90</v>
      </c>
      <c r="AK686" s="1" t="s">
        <v>785</v>
      </c>
      <c r="AL686" s="1" t="s">
        <v>5979</v>
      </c>
      <c r="AM686" s="1" t="s">
        <v>3426</v>
      </c>
    </row>
    <row r="687" spans="20:39" x14ac:dyDescent="0.2">
      <c r="T687" s="28" t="s">
        <v>713</v>
      </c>
      <c r="U687" s="68" t="s">
        <v>92</v>
      </c>
      <c r="V687" s="72" t="str">
        <f t="shared" si="10"/>
        <v>IL_STEPHENSON</v>
      </c>
      <c r="AJ687" s="1" t="s">
        <v>90</v>
      </c>
      <c r="AK687" s="1" t="s">
        <v>786</v>
      </c>
      <c r="AL687" s="1" t="s">
        <v>5980</v>
      </c>
      <c r="AM687" s="1" t="s">
        <v>3427</v>
      </c>
    </row>
    <row r="688" spans="20:39" x14ac:dyDescent="0.2">
      <c r="T688" s="29" t="s">
        <v>714</v>
      </c>
      <c r="U688" s="69" t="s">
        <v>92</v>
      </c>
      <c r="V688" s="72" t="str">
        <f t="shared" si="10"/>
        <v>IL_TAZEWELL</v>
      </c>
      <c r="AJ688" s="1" t="s">
        <v>90</v>
      </c>
      <c r="AK688" s="1" t="s">
        <v>787</v>
      </c>
      <c r="AL688" s="1" t="s">
        <v>5981</v>
      </c>
      <c r="AM688" s="1" t="s">
        <v>3428</v>
      </c>
    </row>
    <row r="689" spans="20:39" x14ac:dyDescent="0.2">
      <c r="T689" s="28" t="s">
        <v>345</v>
      </c>
      <c r="U689" s="68" t="s">
        <v>92</v>
      </c>
      <c r="V689" s="72" t="str">
        <f t="shared" si="10"/>
        <v>IL_UNION</v>
      </c>
      <c r="AJ689" s="1" t="s">
        <v>90</v>
      </c>
      <c r="AK689" s="1" t="s">
        <v>238</v>
      </c>
      <c r="AL689" s="1" t="s">
        <v>5982</v>
      </c>
      <c r="AM689" s="1" t="s">
        <v>3401</v>
      </c>
    </row>
    <row r="690" spans="20:39" x14ac:dyDescent="0.2">
      <c r="T690" s="29" t="s">
        <v>715</v>
      </c>
      <c r="U690" s="69" t="s">
        <v>92</v>
      </c>
      <c r="V690" s="72" t="str">
        <f t="shared" si="10"/>
        <v>IL_VERMILION</v>
      </c>
      <c r="AJ690" s="1" t="s">
        <v>90</v>
      </c>
      <c r="AK690" s="1" t="s">
        <v>788</v>
      </c>
      <c r="AL690" s="1" t="s">
        <v>5983</v>
      </c>
      <c r="AM690" s="1" t="s">
        <v>3429</v>
      </c>
    </row>
    <row r="691" spans="20:39" x14ac:dyDescent="0.2">
      <c r="T691" s="28" t="s">
        <v>716</v>
      </c>
      <c r="U691" s="68" t="s">
        <v>92</v>
      </c>
      <c r="V691" s="72" t="str">
        <f t="shared" si="10"/>
        <v>IL_WABASH</v>
      </c>
      <c r="AJ691" s="1" t="s">
        <v>90</v>
      </c>
      <c r="AK691" s="1" t="s">
        <v>240</v>
      </c>
      <c r="AL691" s="1" t="s">
        <v>5984</v>
      </c>
      <c r="AM691" s="1" t="s">
        <v>3430</v>
      </c>
    </row>
    <row r="692" spans="20:39" x14ac:dyDescent="0.2">
      <c r="T692" s="29" t="s">
        <v>622</v>
      </c>
      <c r="U692" s="69" t="s">
        <v>92</v>
      </c>
      <c r="V692" s="72" t="str">
        <f t="shared" si="10"/>
        <v>IL_WARREN</v>
      </c>
      <c r="AJ692" s="1" t="s">
        <v>90</v>
      </c>
      <c r="AK692" s="1" t="s">
        <v>241</v>
      </c>
      <c r="AL692" s="1" t="s">
        <v>5985</v>
      </c>
      <c r="AM692" s="1" t="s">
        <v>3431</v>
      </c>
    </row>
    <row r="693" spans="20:39" x14ac:dyDescent="0.2">
      <c r="T693" s="28" t="s">
        <v>258</v>
      </c>
      <c r="U693" s="68" t="s">
        <v>92</v>
      </c>
      <c r="V693" s="72" t="str">
        <f t="shared" si="10"/>
        <v>IL_WASHINGTON</v>
      </c>
      <c r="AJ693" s="1" t="s">
        <v>90</v>
      </c>
      <c r="AK693" s="1" t="s">
        <v>789</v>
      </c>
      <c r="AL693" s="1" t="s">
        <v>5986</v>
      </c>
      <c r="AM693" s="1" t="s">
        <v>3438</v>
      </c>
    </row>
    <row r="694" spans="20:39" x14ac:dyDescent="0.2">
      <c r="T694" s="29" t="s">
        <v>623</v>
      </c>
      <c r="U694" s="69" t="s">
        <v>92</v>
      </c>
      <c r="V694" s="72" t="str">
        <f t="shared" si="10"/>
        <v>IL_WAYNE</v>
      </c>
      <c r="AJ694" s="1" t="s">
        <v>90</v>
      </c>
      <c r="AK694" s="1" t="s">
        <v>590</v>
      </c>
      <c r="AL694" s="1" t="s">
        <v>5987</v>
      </c>
      <c r="AM694" s="1" t="s">
        <v>3432</v>
      </c>
    </row>
    <row r="695" spans="20:39" x14ac:dyDescent="0.2">
      <c r="T695" s="28" t="s">
        <v>347</v>
      </c>
      <c r="U695" s="68" t="s">
        <v>92</v>
      </c>
      <c r="V695" s="72" t="str">
        <f t="shared" si="10"/>
        <v>IL_WHITE</v>
      </c>
      <c r="AJ695" s="1" t="s">
        <v>90</v>
      </c>
      <c r="AK695" s="1" t="s">
        <v>790</v>
      </c>
      <c r="AL695" s="1" t="s">
        <v>5988</v>
      </c>
      <c r="AM695" s="1" t="s">
        <v>3433</v>
      </c>
    </row>
    <row r="696" spans="20:39" x14ac:dyDescent="0.2">
      <c r="T696" s="29" t="s">
        <v>717</v>
      </c>
      <c r="U696" s="69" t="s">
        <v>92</v>
      </c>
      <c r="V696" s="72" t="str">
        <f t="shared" si="10"/>
        <v>IL_WHITESIDE</v>
      </c>
      <c r="AJ696" s="1" t="s">
        <v>90</v>
      </c>
      <c r="AK696" s="1" t="s">
        <v>243</v>
      </c>
      <c r="AL696" s="1" t="s">
        <v>5989</v>
      </c>
      <c r="AM696" s="1" t="s">
        <v>3434</v>
      </c>
    </row>
    <row r="697" spans="20:39" x14ac:dyDescent="0.2">
      <c r="T697" s="28" t="s">
        <v>718</v>
      </c>
      <c r="U697" s="68" t="s">
        <v>92</v>
      </c>
      <c r="V697" s="72" t="str">
        <f t="shared" si="10"/>
        <v>IL_WILL</v>
      </c>
      <c r="AJ697" s="1" t="s">
        <v>90</v>
      </c>
      <c r="AK697" s="1" t="s">
        <v>244</v>
      </c>
      <c r="AL697" s="1" t="s">
        <v>5990</v>
      </c>
      <c r="AM697" s="1" t="s">
        <v>3435</v>
      </c>
    </row>
    <row r="698" spans="20:39" x14ac:dyDescent="0.2">
      <c r="T698" s="29" t="s">
        <v>719</v>
      </c>
      <c r="U698" s="69" t="s">
        <v>92</v>
      </c>
      <c r="V698" s="72" t="str">
        <f t="shared" si="10"/>
        <v>IL_WILLIAMSON</v>
      </c>
      <c r="AJ698" s="1" t="s">
        <v>90</v>
      </c>
      <c r="AK698" s="1" t="s">
        <v>791</v>
      </c>
      <c r="AL698" s="1" t="s">
        <v>5991</v>
      </c>
      <c r="AM698" s="1" t="s">
        <v>3436</v>
      </c>
    </row>
    <row r="699" spans="20:39" x14ac:dyDescent="0.2">
      <c r="T699" s="28" t="s">
        <v>720</v>
      </c>
      <c r="U699" s="68" t="s">
        <v>92</v>
      </c>
      <c r="V699" s="72" t="str">
        <f t="shared" si="10"/>
        <v>IL_WINNEBAGO</v>
      </c>
      <c r="AJ699" s="1" t="s">
        <v>90</v>
      </c>
      <c r="AK699" s="1" t="s">
        <v>792</v>
      </c>
      <c r="AL699" s="1" t="s">
        <v>5992</v>
      </c>
      <c r="AM699" s="1" t="s">
        <v>3437</v>
      </c>
    </row>
    <row r="700" spans="20:39" x14ac:dyDescent="0.2">
      <c r="T700" s="29" t="s">
        <v>721</v>
      </c>
      <c r="U700" s="69" t="s">
        <v>92</v>
      </c>
      <c r="V700" s="72" t="str">
        <f t="shared" si="10"/>
        <v>IL_WOODFORD</v>
      </c>
      <c r="AJ700" s="1" t="s">
        <v>90</v>
      </c>
      <c r="AK700" s="1" t="s">
        <v>507</v>
      </c>
      <c r="AL700" s="1" t="s">
        <v>5993</v>
      </c>
      <c r="AM700" s="1" t="s">
        <v>3439</v>
      </c>
    </row>
    <row r="701" spans="20:39" x14ac:dyDescent="0.2">
      <c r="T701" s="28" t="s">
        <v>406</v>
      </c>
      <c r="U701" s="68" t="s">
        <v>91</v>
      </c>
      <c r="V701" s="72" t="str">
        <f t="shared" si="10"/>
        <v>IN_ADAMS</v>
      </c>
      <c r="AJ701" s="1" t="s">
        <v>90</v>
      </c>
      <c r="AK701" s="1" t="s">
        <v>793</v>
      </c>
      <c r="AL701" s="1" t="s">
        <v>5994</v>
      </c>
      <c r="AM701" s="1" t="s">
        <v>3440</v>
      </c>
    </row>
    <row r="702" spans="20:39" x14ac:dyDescent="0.2">
      <c r="T702" s="29" t="s">
        <v>722</v>
      </c>
      <c r="U702" s="69" t="s">
        <v>91</v>
      </c>
      <c r="V702" s="72" t="str">
        <f t="shared" si="10"/>
        <v>IN_ALLEN</v>
      </c>
      <c r="AJ702" s="1" t="s">
        <v>90</v>
      </c>
      <c r="AK702" s="1" t="s">
        <v>794</v>
      </c>
      <c r="AL702" s="1" t="s">
        <v>5995</v>
      </c>
      <c r="AM702" s="1" t="s">
        <v>3441</v>
      </c>
    </row>
    <row r="703" spans="20:39" x14ac:dyDescent="0.2">
      <c r="T703" s="28" t="s">
        <v>723</v>
      </c>
      <c r="U703" s="68" t="s">
        <v>91</v>
      </c>
      <c r="V703" s="72" t="str">
        <f t="shared" si="10"/>
        <v>IN_BARTHOLOMEW</v>
      </c>
      <c r="AJ703" s="1" t="s">
        <v>90</v>
      </c>
      <c r="AK703" s="1" t="s">
        <v>795</v>
      </c>
      <c r="AL703" s="1" t="s">
        <v>5996</v>
      </c>
      <c r="AM703" s="1" t="s">
        <v>3442</v>
      </c>
    </row>
    <row r="704" spans="20:39" x14ac:dyDescent="0.2">
      <c r="T704" s="29" t="s">
        <v>296</v>
      </c>
      <c r="U704" s="69" t="s">
        <v>91</v>
      </c>
      <c r="V704" s="72" t="str">
        <f t="shared" si="10"/>
        <v>IN_BENTON</v>
      </c>
      <c r="AJ704" s="1" t="s">
        <v>90</v>
      </c>
      <c r="AK704" s="1" t="s">
        <v>796</v>
      </c>
      <c r="AL704" s="1" t="s">
        <v>5997</v>
      </c>
      <c r="AM704" s="1" t="s">
        <v>3443</v>
      </c>
    </row>
    <row r="705" spans="20:39" x14ac:dyDescent="0.2">
      <c r="T705" s="28" t="s">
        <v>724</v>
      </c>
      <c r="U705" s="68" t="s">
        <v>91</v>
      </c>
      <c r="V705" s="72" t="str">
        <f t="shared" si="10"/>
        <v>IN_BLACKFORD</v>
      </c>
      <c r="AJ705" s="1" t="s">
        <v>90</v>
      </c>
      <c r="AK705" s="1" t="s">
        <v>333</v>
      </c>
      <c r="AL705" s="1" t="s">
        <v>5998</v>
      </c>
      <c r="AM705" s="1" t="s">
        <v>3401</v>
      </c>
    </row>
    <row r="706" spans="20:39" x14ac:dyDescent="0.2">
      <c r="T706" s="29" t="s">
        <v>297</v>
      </c>
      <c r="U706" s="69" t="s">
        <v>91</v>
      </c>
      <c r="V706" s="72" t="str">
        <f t="shared" si="10"/>
        <v>IN_BOONE</v>
      </c>
      <c r="AJ706" s="1" t="s">
        <v>90</v>
      </c>
      <c r="AK706" s="1" t="s">
        <v>797</v>
      </c>
      <c r="AL706" s="1" t="s">
        <v>5999</v>
      </c>
      <c r="AM706" s="1" t="s">
        <v>3438</v>
      </c>
    </row>
    <row r="707" spans="20:39" x14ac:dyDescent="0.2">
      <c r="T707" s="28" t="s">
        <v>670</v>
      </c>
      <c r="U707" s="68" t="s">
        <v>91</v>
      </c>
      <c r="V707" s="72" t="str">
        <f t="shared" si="10"/>
        <v>IN_BROWN</v>
      </c>
      <c r="AJ707" s="1" t="s">
        <v>90</v>
      </c>
      <c r="AK707" s="1" t="s">
        <v>798</v>
      </c>
      <c r="AL707" s="1" t="s">
        <v>6000</v>
      </c>
      <c r="AM707" s="1" t="s">
        <v>3444</v>
      </c>
    </row>
    <row r="708" spans="20:39" x14ac:dyDescent="0.2">
      <c r="T708" s="29" t="s">
        <v>299</v>
      </c>
      <c r="U708" s="69" t="s">
        <v>91</v>
      </c>
      <c r="V708" s="72" t="str">
        <f t="shared" si="10"/>
        <v>IN_CARROLL</v>
      </c>
      <c r="AJ708" s="1" t="s">
        <v>90</v>
      </c>
      <c r="AK708" s="1" t="s">
        <v>799</v>
      </c>
      <c r="AL708" s="1" t="s">
        <v>6001</v>
      </c>
      <c r="AM708" s="1" t="s">
        <v>3445</v>
      </c>
    </row>
    <row r="709" spans="20:39" x14ac:dyDescent="0.2">
      <c r="T709" s="28" t="s">
        <v>672</v>
      </c>
      <c r="U709" s="68" t="s">
        <v>91</v>
      </c>
      <c r="V709" s="72" t="str">
        <f t="shared" si="10"/>
        <v>IN_CASS</v>
      </c>
      <c r="AJ709" s="1" t="s">
        <v>90</v>
      </c>
      <c r="AK709" s="1" t="s">
        <v>800</v>
      </c>
      <c r="AL709" s="1" t="s">
        <v>6002</v>
      </c>
      <c r="AM709" s="1" t="s">
        <v>3446</v>
      </c>
    </row>
    <row r="710" spans="20:39" x14ac:dyDescent="0.2">
      <c r="T710" s="29" t="s">
        <v>301</v>
      </c>
      <c r="U710" s="69" t="s">
        <v>91</v>
      </c>
      <c r="V710" s="72" t="str">
        <f t="shared" si="10"/>
        <v>IN_CLARK</v>
      </c>
      <c r="AJ710" s="1" t="s">
        <v>90</v>
      </c>
      <c r="AK710" s="1" t="s">
        <v>339</v>
      </c>
      <c r="AL710" s="1" t="s">
        <v>6003</v>
      </c>
      <c r="AM710" s="1" t="s">
        <v>3396</v>
      </c>
    </row>
    <row r="711" spans="20:39" x14ac:dyDescent="0.2">
      <c r="T711" s="28" t="s">
        <v>207</v>
      </c>
      <c r="U711" s="68" t="s">
        <v>91</v>
      </c>
      <c r="V711" s="72" t="str">
        <f t="shared" si="10"/>
        <v>IN_CLAY</v>
      </c>
      <c r="AJ711" s="1" t="s">
        <v>90</v>
      </c>
      <c r="AK711" s="1" t="s">
        <v>252</v>
      </c>
      <c r="AL711" s="1" t="s">
        <v>6004</v>
      </c>
      <c r="AM711" s="1" t="s">
        <v>3447</v>
      </c>
    </row>
    <row r="712" spans="20:39" x14ac:dyDescent="0.2">
      <c r="T712" s="29" t="s">
        <v>675</v>
      </c>
      <c r="U712" s="69" t="s">
        <v>91</v>
      </c>
      <c r="V712" s="72" t="str">
        <f t="shared" si="10"/>
        <v>IN_CLINTON</v>
      </c>
      <c r="AJ712" s="1" t="s">
        <v>90</v>
      </c>
      <c r="AK712" s="1" t="s">
        <v>801</v>
      </c>
      <c r="AL712" s="1" t="s">
        <v>6005</v>
      </c>
      <c r="AM712" s="1" t="s">
        <v>3449</v>
      </c>
    </row>
    <row r="713" spans="20:39" x14ac:dyDescent="0.2">
      <c r="T713" s="28" t="s">
        <v>306</v>
      </c>
      <c r="U713" s="68" t="s">
        <v>91</v>
      </c>
      <c r="V713" s="72" t="str">
        <f t="shared" si="10"/>
        <v>IN_CRAWFORD</v>
      </c>
      <c r="AJ713" s="1" t="s">
        <v>90</v>
      </c>
      <c r="AK713" s="1" t="s">
        <v>802</v>
      </c>
      <c r="AL713" s="1" t="s">
        <v>6006</v>
      </c>
      <c r="AM713" s="1" t="s">
        <v>3374</v>
      </c>
    </row>
    <row r="714" spans="20:39" x14ac:dyDescent="0.2">
      <c r="T714" s="29" t="s">
        <v>725</v>
      </c>
      <c r="U714" s="69" t="s">
        <v>91</v>
      </c>
      <c r="V714" s="72" t="str">
        <f t="shared" ref="V714:V777" si="11">UPPER(CONCATENATE(TRIM(U714),"_",TRIM(T714)))</f>
        <v>IN_DAVIESS</v>
      </c>
      <c r="AJ714" s="1" t="s">
        <v>90</v>
      </c>
      <c r="AK714" s="1" t="s">
        <v>803</v>
      </c>
      <c r="AL714" s="1" t="s">
        <v>6007</v>
      </c>
      <c r="AM714" s="1" t="s">
        <v>3450</v>
      </c>
    </row>
    <row r="715" spans="20:39" x14ac:dyDescent="0.2">
      <c r="T715" s="28" t="s">
        <v>726</v>
      </c>
      <c r="U715" s="68" t="s">
        <v>91</v>
      </c>
      <c r="V715" s="72" t="str">
        <f t="shared" si="11"/>
        <v>IN_DEARBORN</v>
      </c>
      <c r="AJ715" s="1" t="s">
        <v>90</v>
      </c>
      <c r="AK715" s="1" t="s">
        <v>518</v>
      </c>
      <c r="AL715" s="1" t="s">
        <v>6008</v>
      </c>
      <c r="AM715" s="1" t="s">
        <v>3451</v>
      </c>
    </row>
    <row r="716" spans="20:39" x14ac:dyDescent="0.2">
      <c r="T716" s="29" t="s">
        <v>552</v>
      </c>
      <c r="U716" s="69" t="s">
        <v>91</v>
      </c>
      <c r="V716" s="72" t="str">
        <f t="shared" si="11"/>
        <v>IN_DECATUR</v>
      </c>
      <c r="AJ716" s="1" t="s">
        <v>90</v>
      </c>
      <c r="AK716" s="1" t="s">
        <v>345</v>
      </c>
      <c r="AL716" s="1" t="s">
        <v>6009</v>
      </c>
      <c r="AM716" s="1" t="s">
        <v>3452</v>
      </c>
    </row>
    <row r="717" spans="20:39" x14ac:dyDescent="0.2">
      <c r="T717" s="28" t="s">
        <v>553</v>
      </c>
      <c r="U717" s="68" t="s">
        <v>91</v>
      </c>
      <c r="V717" s="72" t="str">
        <f t="shared" si="11"/>
        <v>IN_DE KALB</v>
      </c>
      <c r="AJ717" s="1" t="s">
        <v>90</v>
      </c>
      <c r="AK717" s="1" t="s">
        <v>346</v>
      </c>
      <c r="AL717" s="1" t="s">
        <v>6010</v>
      </c>
      <c r="AM717" s="1" t="s">
        <v>3453</v>
      </c>
    </row>
    <row r="718" spans="20:39" x14ac:dyDescent="0.2">
      <c r="T718" s="29" t="s">
        <v>727</v>
      </c>
      <c r="U718" s="69" t="s">
        <v>91</v>
      </c>
      <c r="V718" s="72" t="str">
        <f t="shared" si="11"/>
        <v>IN_DELAWARE</v>
      </c>
      <c r="AJ718" s="1" t="s">
        <v>90</v>
      </c>
      <c r="AK718" s="1" t="s">
        <v>804</v>
      </c>
      <c r="AL718" s="1" t="s">
        <v>6011</v>
      </c>
      <c r="AM718" s="1" t="s">
        <v>3454</v>
      </c>
    </row>
    <row r="719" spans="20:39" x14ac:dyDescent="0.2">
      <c r="T719" s="28" t="s">
        <v>728</v>
      </c>
      <c r="U719" s="68" t="s">
        <v>91</v>
      </c>
      <c r="V719" s="72" t="str">
        <f t="shared" si="11"/>
        <v>IN_DUBOIS</v>
      </c>
      <c r="AJ719" s="1" t="s">
        <v>90</v>
      </c>
      <c r="AK719" s="1" t="s">
        <v>622</v>
      </c>
      <c r="AL719" s="1" t="s">
        <v>6012</v>
      </c>
      <c r="AM719" s="1" t="s">
        <v>3401</v>
      </c>
    </row>
    <row r="720" spans="20:39" x14ac:dyDescent="0.2">
      <c r="T720" s="29" t="s">
        <v>729</v>
      </c>
      <c r="U720" s="69" t="s">
        <v>91</v>
      </c>
      <c r="V720" s="72" t="str">
        <f t="shared" si="11"/>
        <v>IN_ELKHART</v>
      </c>
      <c r="AJ720" s="1" t="s">
        <v>90</v>
      </c>
      <c r="AK720" s="1" t="s">
        <v>258</v>
      </c>
      <c r="AL720" s="1" t="s">
        <v>6013</v>
      </c>
      <c r="AM720" s="1" t="s">
        <v>3455</v>
      </c>
    </row>
    <row r="721" spans="20:39" x14ac:dyDescent="0.2">
      <c r="T721" s="28" t="s">
        <v>222</v>
      </c>
      <c r="U721" s="68" t="s">
        <v>91</v>
      </c>
      <c r="V721" s="72" t="str">
        <f t="shared" si="11"/>
        <v>IN_FAYETTE</v>
      </c>
      <c r="AJ721" s="1" t="s">
        <v>90</v>
      </c>
      <c r="AK721" s="1" t="s">
        <v>623</v>
      </c>
      <c r="AL721" s="1" t="s">
        <v>6014</v>
      </c>
      <c r="AM721" s="1" t="s">
        <v>3457</v>
      </c>
    </row>
    <row r="722" spans="20:39" x14ac:dyDescent="0.2">
      <c r="T722" s="29" t="s">
        <v>563</v>
      </c>
      <c r="U722" s="69" t="s">
        <v>91</v>
      </c>
      <c r="V722" s="72" t="str">
        <f t="shared" si="11"/>
        <v>IN_FLOYD</v>
      </c>
      <c r="AJ722" s="1" t="s">
        <v>90</v>
      </c>
      <c r="AK722" s="1" t="s">
        <v>624</v>
      </c>
      <c r="AL722" s="1" t="s">
        <v>6015</v>
      </c>
      <c r="AM722" s="1" t="s">
        <v>3458</v>
      </c>
    </row>
    <row r="723" spans="20:39" x14ac:dyDescent="0.2">
      <c r="T723" s="28" t="s">
        <v>730</v>
      </c>
      <c r="U723" s="68" t="s">
        <v>91</v>
      </c>
      <c r="V723" s="72" t="str">
        <f t="shared" si="11"/>
        <v>IN_FOUNTAIN</v>
      </c>
      <c r="AJ723" s="1" t="s">
        <v>90</v>
      </c>
      <c r="AK723" s="1" t="s">
        <v>720</v>
      </c>
      <c r="AL723" s="1" t="s">
        <v>6016</v>
      </c>
      <c r="AM723" s="1" t="s">
        <v>3459</v>
      </c>
    </row>
    <row r="724" spans="20:39" x14ac:dyDescent="0.2">
      <c r="T724" s="29" t="s">
        <v>223</v>
      </c>
      <c r="U724" s="69" t="s">
        <v>91</v>
      </c>
      <c r="V724" s="72" t="str">
        <f t="shared" si="11"/>
        <v>IN_FRANKLIN</v>
      </c>
      <c r="AJ724" s="1" t="s">
        <v>90</v>
      </c>
      <c r="AK724" s="1" t="s">
        <v>805</v>
      </c>
      <c r="AL724" s="1" t="s">
        <v>6017</v>
      </c>
      <c r="AM724" s="1" t="s">
        <v>3460</v>
      </c>
    </row>
    <row r="725" spans="20:39" x14ac:dyDescent="0.2">
      <c r="T725" s="28" t="s">
        <v>312</v>
      </c>
      <c r="U725" s="68" t="s">
        <v>91</v>
      </c>
      <c r="V725" s="72" t="str">
        <f t="shared" si="11"/>
        <v>IN_FULTON</v>
      </c>
      <c r="AJ725" s="1" t="s">
        <v>90</v>
      </c>
      <c r="AK725" s="1" t="s">
        <v>806</v>
      </c>
      <c r="AL725" s="1" t="s">
        <v>6018</v>
      </c>
      <c r="AM725" s="1" t="s">
        <v>3448</v>
      </c>
    </row>
    <row r="726" spans="20:39" x14ac:dyDescent="0.2">
      <c r="T726" s="29" t="s">
        <v>731</v>
      </c>
      <c r="U726" s="69" t="s">
        <v>91</v>
      </c>
      <c r="V726" s="72" t="str">
        <f t="shared" si="11"/>
        <v>IN_GIBSON</v>
      </c>
      <c r="AJ726" s="1" t="s">
        <v>90</v>
      </c>
      <c r="AK726" s="1" t="s">
        <v>629</v>
      </c>
      <c r="AL726" s="1" t="s">
        <v>6019</v>
      </c>
      <c r="AM726" s="1" t="s">
        <v>3461</v>
      </c>
    </row>
    <row r="727" spans="20:39" x14ac:dyDescent="0.2">
      <c r="T727" s="28" t="s">
        <v>314</v>
      </c>
      <c r="U727" s="68" t="s">
        <v>91</v>
      </c>
      <c r="V727" s="72" t="str">
        <f t="shared" si="11"/>
        <v>IN_GRANT</v>
      </c>
      <c r="AJ727" s="1" t="s">
        <v>90</v>
      </c>
      <c r="AK727" s="1" t="s">
        <v>807</v>
      </c>
      <c r="AL727" s="1" t="s">
        <v>6020</v>
      </c>
      <c r="AM727" s="1" t="s">
        <v>3462</v>
      </c>
    </row>
    <row r="728" spans="20:39" x14ac:dyDescent="0.2">
      <c r="T728" s="29" t="s">
        <v>225</v>
      </c>
      <c r="U728" s="69" t="s">
        <v>91</v>
      </c>
      <c r="V728" s="72" t="str">
        <f t="shared" si="11"/>
        <v>IN_GREENE</v>
      </c>
      <c r="AJ728" s="1" t="s">
        <v>93</v>
      </c>
      <c r="AK728" s="1" t="s">
        <v>635</v>
      </c>
      <c r="AL728" s="1" t="s">
        <v>6021</v>
      </c>
      <c r="AM728" s="1" t="s">
        <v>3468</v>
      </c>
    </row>
    <row r="729" spans="20:39" x14ac:dyDescent="0.2">
      <c r="T729" s="28" t="s">
        <v>491</v>
      </c>
      <c r="U729" s="68" t="s">
        <v>91</v>
      </c>
      <c r="V729" s="72" t="str">
        <f t="shared" si="11"/>
        <v>IN_HAMILTON</v>
      </c>
      <c r="AJ729" s="1" t="s">
        <v>93</v>
      </c>
      <c r="AK729" s="1" t="s">
        <v>406</v>
      </c>
      <c r="AL729" s="1" t="s">
        <v>6022</v>
      </c>
      <c r="AM729" s="1" t="s">
        <v>3463</v>
      </c>
    </row>
    <row r="730" spans="20:39" x14ac:dyDescent="0.2">
      <c r="T730" s="29" t="s">
        <v>573</v>
      </c>
      <c r="U730" s="69" t="s">
        <v>91</v>
      </c>
      <c r="V730" s="72" t="str">
        <f t="shared" si="11"/>
        <v>IN_HANCOCK</v>
      </c>
      <c r="AJ730" s="1" t="s">
        <v>93</v>
      </c>
      <c r="AK730" s="1" t="s">
        <v>636</v>
      </c>
      <c r="AL730" s="1" t="s">
        <v>6023</v>
      </c>
      <c r="AM730" s="1" t="s">
        <v>9156</v>
      </c>
    </row>
    <row r="731" spans="20:39" x14ac:dyDescent="0.2">
      <c r="T731" s="28" t="s">
        <v>732</v>
      </c>
      <c r="U731" s="68" t="s">
        <v>91</v>
      </c>
      <c r="V731" s="72" t="str">
        <f t="shared" si="11"/>
        <v>IN_HARRISON</v>
      </c>
      <c r="AJ731" s="1" t="s">
        <v>93</v>
      </c>
      <c r="AK731" s="1" t="s">
        <v>637</v>
      </c>
      <c r="AL731" s="1" t="s">
        <v>6024</v>
      </c>
      <c r="AM731" s="1" t="s">
        <v>3464</v>
      </c>
    </row>
    <row r="732" spans="20:39" x14ac:dyDescent="0.2">
      <c r="T732" s="29" t="s">
        <v>733</v>
      </c>
      <c r="U732" s="69" t="s">
        <v>91</v>
      </c>
      <c r="V732" s="72" t="str">
        <f t="shared" si="11"/>
        <v>IN_HENDRICKS</v>
      </c>
      <c r="AJ732" s="1" t="s">
        <v>93</v>
      </c>
      <c r="AK732" s="1" t="s">
        <v>638</v>
      </c>
      <c r="AL732" s="1" t="s">
        <v>6025</v>
      </c>
      <c r="AM732" s="1" t="s">
        <v>3465</v>
      </c>
    </row>
    <row r="733" spans="20:39" x14ac:dyDescent="0.2">
      <c r="T733" s="28" t="s">
        <v>227</v>
      </c>
      <c r="U733" s="68" t="s">
        <v>91</v>
      </c>
      <c r="V733" s="72" t="str">
        <f t="shared" si="11"/>
        <v>IN_HENRY</v>
      </c>
      <c r="AJ733" s="1" t="s">
        <v>93</v>
      </c>
      <c r="AK733" s="1" t="s">
        <v>639</v>
      </c>
      <c r="AL733" s="1" t="s">
        <v>6026</v>
      </c>
      <c r="AM733" s="1" t="s">
        <v>3466</v>
      </c>
    </row>
    <row r="734" spans="20:39" x14ac:dyDescent="0.2">
      <c r="T734" s="29" t="s">
        <v>317</v>
      </c>
      <c r="U734" s="69" t="s">
        <v>91</v>
      </c>
      <c r="V734" s="72" t="str">
        <f t="shared" si="11"/>
        <v>IN_HOWARD</v>
      </c>
      <c r="AJ734" s="1" t="s">
        <v>93</v>
      </c>
      <c r="AK734" s="1" t="s">
        <v>640</v>
      </c>
      <c r="AL734" s="1" t="s">
        <v>6027</v>
      </c>
      <c r="AM734" s="1" t="s">
        <v>3467</v>
      </c>
    </row>
    <row r="735" spans="20:39" x14ac:dyDescent="0.2">
      <c r="T735" s="28" t="s">
        <v>734</v>
      </c>
      <c r="U735" s="68" t="s">
        <v>91</v>
      </c>
      <c r="V735" s="72" t="str">
        <f t="shared" si="11"/>
        <v>IN_HUNTINGTON</v>
      </c>
      <c r="AJ735" s="1" t="s">
        <v>93</v>
      </c>
      <c r="AK735" s="1" t="s">
        <v>641</v>
      </c>
      <c r="AL735" s="1" t="s">
        <v>6028</v>
      </c>
      <c r="AM735" s="1" t="s">
        <v>3468</v>
      </c>
    </row>
    <row r="736" spans="20:39" x14ac:dyDescent="0.2">
      <c r="T736" s="29" t="s">
        <v>229</v>
      </c>
      <c r="U736" s="69" t="s">
        <v>91</v>
      </c>
      <c r="V736" s="72" t="str">
        <f t="shared" si="11"/>
        <v>IN_JACKSON</v>
      </c>
      <c r="AJ736" s="1" t="s">
        <v>93</v>
      </c>
      <c r="AK736" s="1" t="s">
        <v>642</v>
      </c>
      <c r="AL736" s="1" t="s">
        <v>6029</v>
      </c>
      <c r="AM736" s="1" t="s">
        <v>3469</v>
      </c>
    </row>
    <row r="737" spans="20:39" x14ac:dyDescent="0.2">
      <c r="T737" s="28" t="s">
        <v>579</v>
      </c>
      <c r="U737" s="68" t="s">
        <v>91</v>
      </c>
      <c r="V737" s="72" t="str">
        <f t="shared" si="11"/>
        <v>IN_JASPER</v>
      </c>
      <c r="AJ737" s="1" t="s">
        <v>93</v>
      </c>
      <c r="AK737" s="1" t="s">
        <v>643</v>
      </c>
      <c r="AL737" s="1" t="s">
        <v>6030</v>
      </c>
      <c r="AM737" s="1" t="s">
        <v>3484</v>
      </c>
    </row>
    <row r="738" spans="20:39" x14ac:dyDescent="0.2">
      <c r="T738" s="29" t="s">
        <v>735</v>
      </c>
      <c r="U738" s="69" t="s">
        <v>91</v>
      </c>
      <c r="V738" s="72" t="str">
        <f t="shared" si="11"/>
        <v>IN_JAY</v>
      </c>
      <c r="AJ738" s="1" t="s">
        <v>93</v>
      </c>
      <c r="AK738" s="1" t="s">
        <v>644</v>
      </c>
      <c r="AL738" s="1" t="s">
        <v>6031</v>
      </c>
      <c r="AM738" s="1" t="s">
        <v>3470</v>
      </c>
    </row>
    <row r="739" spans="20:39" x14ac:dyDescent="0.2">
      <c r="T739" s="28" t="s">
        <v>230</v>
      </c>
      <c r="U739" s="68" t="s">
        <v>91</v>
      </c>
      <c r="V739" s="72" t="str">
        <f t="shared" si="11"/>
        <v>IN_JEFFERSON</v>
      </c>
      <c r="AJ739" s="1" t="s">
        <v>93</v>
      </c>
      <c r="AK739" s="1" t="s">
        <v>353</v>
      </c>
      <c r="AL739" s="1" t="s">
        <v>6032</v>
      </c>
      <c r="AM739" s="1" t="s">
        <v>3471</v>
      </c>
    </row>
    <row r="740" spans="20:39" x14ac:dyDescent="0.2">
      <c r="T740" s="29" t="s">
        <v>736</v>
      </c>
      <c r="U740" s="69" t="s">
        <v>91</v>
      </c>
      <c r="V740" s="72" t="str">
        <f t="shared" si="11"/>
        <v>IN_JENNINGS</v>
      </c>
      <c r="AJ740" s="1" t="s">
        <v>93</v>
      </c>
      <c r="AK740" s="1" t="s">
        <v>645</v>
      </c>
      <c r="AL740" s="1" t="s">
        <v>6033</v>
      </c>
      <c r="AM740" s="1" t="s">
        <v>3472</v>
      </c>
    </row>
    <row r="741" spans="20:39" x14ac:dyDescent="0.2">
      <c r="T741" s="28" t="s">
        <v>320</v>
      </c>
      <c r="U741" s="68" t="s">
        <v>91</v>
      </c>
      <c r="V741" s="72" t="str">
        <f t="shared" si="11"/>
        <v>IN_JOHNSON</v>
      </c>
      <c r="AJ741" s="1" t="s">
        <v>93</v>
      </c>
      <c r="AK741" s="1" t="s">
        <v>646</v>
      </c>
      <c r="AL741" s="1" t="s">
        <v>6034</v>
      </c>
      <c r="AM741" s="1" t="s">
        <v>3468</v>
      </c>
    </row>
    <row r="742" spans="20:39" x14ac:dyDescent="0.2">
      <c r="T742" s="29" t="s">
        <v>693</v>
      </c>
      <c r="U742" s="69" t="s">
        <v>91</v>
      </c>
      <c r="V742" s="72" t="str">
        <f t="shared" si="11"/>
        <v>IN_KNOX</v>
      </c>
      <c r="AJ742" s="1" t="s">
        <v>93</v>
      </c>
      <c r="AK742" s="1" t="s">
        <v>647</v>
      </c>
      <c r="AL742" s="1" t="s">
        <v>6035</v>
      </c>
      <c r="AM742" s="1" t="s">
        <v>3473</v>
      </c>
    </row>
    <row r="743" spans="20:39" x14ac:dyDescent="0.2">
      <c r="T743" s="28" t="s">
        <v>737</v>
      </c>
      <c r="U743" s="68" t="s">
        <v>91</v>
      </c>
      <c r="V743" s="72" t="str">
        <f t="shared" si="11"/>
        <v>IN_KOSCIUSKO</v>
      </c>
      <c r="AJ743" s="1" t="s">
        <v>93</v>
      </c>
      <c r="AK743" s="1" t="s">
        <v>648</v>
      </c>
      <c r="AL743" s="1" t="s">
        <v>6036</v>
      </c>
      <c r="AM743" s="1" t="s">
        <v>3474</v>
      </c>
    </row>
    <row r="744" spans="20:39" x14ac:dyDescent="0.2">
      <c r="T744" s="29" t="s">
        <v>738</v>
      </c>
      <c r="U744" s="69" t="s">
        <v>91</v>
      </c>
      <c r="V744" s="72" t="str">
        <f t="shared" si="11"/>
        <v>IN_LAGRANGE</v>
      </c>
      <c r="AJ744" s="1" t="s">
        <v>93</v>
      </c>
      <c r="AK744" s="1" t="s">
        <v>301</v>
      </c>
      <c r="AL744" s="1" t="s">
        <v>6037</v>
      </c>
      <c r="AM744" s="1" t="s">
        <v>3475</v>
      </c>
    </row>
    <row r="745" spans="20:39" x14ac:dyDescent="0.2">
      <c r="T745" s="28" t="s">
        <v>366</v>
      </c>
      <c r="U745" s="68" t="s">
        <v>91</v>
      </c>
      <c r="V745" s="72" t="str">
        <f t="shared" si="11"/>
        <v>IN_LAKE</v>
      </c>
      <c r="AJ745" s="1" t="s">
        <v>93</v>
      </c>
      <c r="AK745" s="1" t="s">
        <v>649</v>
      </c>
      <c r="AL745" s="1" t="s">
        <v>6038</v>
      </c>
      <c r="AM745" s="1" t="s">
        <v>3476</v>
      </c>
    </row>
    <row r="746" spans="20:39" x14ac:dyDescent="0.2">
      <c r="T746" s="29" t="s">
        <v>739</v>
      </c>
      <c r="U746" s="69" t="s">
        <v>91</v>
      </c>
      <c r="V746" s="72" t="str">
        <f t="shared" si="11"/>
        <v>IN_LA PORTE</v>
      </c>
      <c r="AJ746" s="1" t="s">
        <v>93</v>
      </c>
      <c r="AK746" s="1" t="s">
        <v>419</v>
      </c>
      <c r="AL746" s="1" t="s">
        <v>6039</v>
      </c>
      <c r="AM746" s="1" t="s">
        <v>3478</v>
      </c>
    </row>
    <row r="747" spans="20:39" x14ac:dyDescent="0.2">
      <c r="T747" s="28" t="s">
        <v>233</v>
      </c>
      <c r="U747" s="68" t="s">
        <v>91</v>
      </c>
      <c r="V747" s="72" t="str">
        <f t="shared" si="11"/>
        <v>IN_LAWRENCE</v>
      </c>
      <c r="AJ747" s="1" t="s">
        <v>93</v>
      </c>
      <c r="AK747" s="1" t="s">
        <v>219</v>
      </c>
      <c r="AL747" s="1" t="s">
        <v>6040</v>
      </c>
      <c r="AM747" s="1" t="s">
        <v>3479</v>
      </c>
    </row>
    <row r="748" spans="20:39" x14ac:dyDescent="0.2">
      <c r="T748" s="29" t="s">
        <v>238</v>
      </c>
      <c r="U748" s="69" t="s">
        <v>91</v>
      </c>
      <c r="V748" s="72" t="str">
        <f t="shared" si="11"/>
        <v>IN_MADISON</v>
      </c>
      <c r="AJ748" s="1" t="s">
        <v>93</v>
      </c>
      <c r="AK748" s="1" t="s">
        <v>223</v>
      </c>
      <c r="AL748" s="1" t="s">
        <v>6041</v>
      </c>
      <c r="AM748" s="1" t="s">
        <v>3491</v>
      </c>
    </row>
    <row r="749" spans="20:39" x14ac:dyDescent="0.2">
      <c r="T749" s="28" t="s">
        <v>240</v>
      </c>
      <c r="U749" s="68" t="s">
        <v>91</v>
      </c>
      <c r="V749" s="72" t="str">
        <f t="shared" si="11"/>
        <v>IN_MARION</v>
      </c>
      <c r="AJ749" s="1" t="s">
        <v>93</v>
      </c>
      <c r="AK749" s="1" t="s">
        <v>427</v>
      </c>
      <c r="AL749" s="1" t="s">
        <v>6042</v>
      </c>
      <c r="AM749" s="1" t="s">
        <v>3480</v>
      </c>
    </row>
    <row r="750" spans="20:39" x14ac:dyDescent="0.2">
      <c r="T750" s="29" t="s">
        <v>241</v>
      </c>
      <c r="U750" s="69" t="s">
        <v>91</v>
      </c>
      <c r="V750" s="72" t="str">
        <f t="shared" si="11"/>
        <v>IN_MARSHALL</v>
      </c>
      <c r="AJ750" s="1" t="s">
        <v>93</v>
      </c>
      <c r="AK750" s="1" t="s">
        <v>650</v>
      </c>
      <c r="AL750" s="1" t="s">
        <v>6043</v>
      </c>
      <c r="AM750" s="1" t="s">
        <v>3481</v>
      </c>
    </row>
    <row r="751" spans="20:39" x14ac:dyDescent="0.2">
      <c r="T751" s="28" t="s">
        <v>503</v>
      </c>
      <c r="U751" s="68" t="s">
        <v>91</v>
      </c>
      <c r="V751" s="72" t="str">
        <f t="shared" si="11"/>
        <v>IN_MARTIN</v>
      </c>
      <c r="AJ751" s="1" t="s">
        <v>93</v>
      </c>
      <c r="AK751" s="1" t="s">
        <v>651</v>
      </c>
      <c r="AL751" s="1" t="s">
        <v>6044</v>
      </c>
      <c r="AM751" s="1" t="s">
        <v>3482</v>
      </c>
    </row>
    <row r="752" spans="20:39" x14ac:dyDescent="0.2">
      <c r="T752" s="29" t="s">
        <v>740</v>
      </c>
      <c r="U752" s="69" t="s">
        <v>91</v>
      </c>
      <c r="V752" s="72" t="str">
        <f t="shared" si="11"/>
        <v>IN_MIAMI</v>
      </c>
      <c r="AJ752" s="1" t="s">
        <v>93</v>
      </c>
      <c r="AK752" s="1" t="s">
        <v>652</v>
      </c>
      <c r="AL752" s="1" t="s">
        <v>6045</v>
      </c>
      <c r="AM752" s="1" t="s">
        <v>3483</v>
      </c>
    </row>
    <row r="753" spans="20:39" x14ac:dyDescent="0.2">
      <c r="T753" s="28" t="s">
        <v>243</v>
      </c>
      <c r="U753" s="68" t="s">
        <v>91</v>
      </c>
      <c r="V753" s="72" t="str">
        <f t="shared" si="11"/>
        <v>IN_MONROE</v>
      </c>
      <c r="AJ753" s="1" t="s">
        <v>93</v>
      </c>
      <c r="AK753" s="1" t="s">
        <v>230</v>
      </c>
      <c r="AL753" s="1" t="s">
        <v>6046</v>
      </c>
      <c r="AM753" s="1" t="s">
        <v>3484</v>
      </c>
    </row>
    <row r="754" spans="20:39" x14ac:dyDescent="0.2">
      <c r="T754" s="29" t="s">
        <v>244</v>
      </c>
      <c r="U754" s="69" t="s">
        <v>91</v>
      </c>
      <c r="V754" s="72" t="str">
        <f t="shared" si="11"/>
        <v>IN_MONTGOMERY</v>
      </c>
      <c r="AJ754" s="1" t="s">
        <v>93</v>
      </c>
      <c r="AK754" s="1" t="s">
        <v>653</v>
      </c>
      <c r="AL754" s="1" t="s">
        <v>6047</v>
      </c>
      <c r="AM754" s="1" t="s">
        <v>3485</v>
      </c>
    </row>
    <row r="755" spans="20:39" x14ac:dyDescent="0.2">
      <c r="T755" s="28" t="s">
        <v>245</v>
      </c>
      <c r="U755" s="68" t="s">
        <v>91</v>
      </c>
      <c r="V755" s="72" t="str">
        <f t="shared" si="11"/>
        <v>IN_MORGAN</v>
      </c>
      <c r="AJ755" s="1" t="s">
        <v>93</v>
      </c>
      <c r="AK755" s="1" t="s">
        <v>654</v>
      </c>
      <c r="AL755" s="1" t="s">
        <v>6048</v>
      </c>
      <c r="AM755" s="1" t="s">
        <v>3477</v>
      </c>
    </row>
    <row r="756" spans="20:39" x14ac:dyDescent="0.2">
      <c r="T756" s="29" t="s">
        <v>329</v>
      </c>
      <c r="U756" s="69" t="s">
        <v>91</v>
      </c>
      <c r="V756" s="72" t="str">
        <f t="shared" si="11"/>
        <v>IN_NEWTON</v>
      </c>
      <c r="AJ756" s="1" t="s">
        <v>93</v>
      </c>
      <c r="AK756" s="1" t="s">
        <v>655</v>
      </c>
      <c r="AL756" s="1" t="s">
        <v>6049</v>
      </c>
      <c r="AM756" s="1" t="s">
        <v>3486</v>
      </c>
    </row>
    <row r="757" spans="20:39" x14ac:dyDescent="0.2">
      <c r="T757" s="28" t="s">
        <v>741</v>
      </c>
      <c r="U757" s="68" t="s">
        <v>91</v>
      </c>
      <c r="V757" s="72" t="str">
        <f t="shared" si="11"/>
        <v>IN_NOBLE</v>
      </c>
      <c r="AJ757" s="1" t="s">
        <v>93</v>
      </c>
      <c r="AK757" s="1" t="s">
        <v>656</v>
      </c>
      <c r="AL757" s="1" t="s">
        <v>6050</v>
      </c>
      <c r="AM757" s="1" t="s">
        <v>3487</v>
      </c>
    </row>
    <row r="758" spans="20:39" x14ac:dyDescent="0.2">
      <c r="T758" s="29" t="s">
        <v>742</v>
      </c>
      <c r="U758" s="69" t="s">
        <v>91</v>
      </c>
      <c r="V758" s="72" t="str">
        <f t="shared" si="11"/>
        <v>IN_OHIO</v>
      </c>
      <c r="AJ758" s="1" t="s">
        <v>93</v>
      </c>
      <c r="AK758" s="1" t="s">
        <v>657</v>
      </c>
      <c r="AL758" s="1" t="s">
        <v>6051</v>
      </c>
      <c r="AM758" s="1" t="s">
        <v>3488</v>
      </c>
    </row>
    <row r="759" spans="20:39" x14ac:dyDescent="0.2">
      <c r="T759" s="28" t="s">
        <v>378</v>
      </c>
      <c r="U759" s="68" t="s">
        <v>91</v>
      </c>
      <c r="V759" s="72" t="str">
        <f t="shared" si="11"/>
        <v>IN_ORANGE</v>
      </c>
      <c r="AJ759" s="1" t="s">
        <v>93</v>
      </c>
      <c r="AK759" s="1" t="s">
        <v>322</v>
      </c>
      <c r="AL759" s="1" t="s">
        <v>6052</v>
      </c>
      <c r="AM759" s="1" t="s">
        <v>3490</v>
      </c>
    </row>
    <row r="760" spans="20:39" x14ac:dyDescent="0.2">
      <c r="T760" s="29" t="s">
        <v>743</v>
      </c>
      <c r="U760" s="69" t="s">
        <v>91</v>
      </c>
      <c r="V760" s="72" t="str">
        <f t="shared" si="11"/>
        <v>IN_OWEN</v>
      </c>
      <c r="AJ760" s="1" t="s">
        <v>93</v>
      </c>
      <c r="AK760" s="1" t="s">
        <v>238</v>
      </c>
      <c r="AL760" s="1" t="s">
        <v>6053</v>
      </c>
      <c r="AM760" s="1" t="s">
        <v>3492</v>
      </c>
    </row>
    <row r="761" spans="20:39" x14ac:dyDescent="0.2">
      <c r="T761" s="28" t="s">
        <v>744</v>
      </c>
      <c r="U761" s="68" t="s">
        <v>91</v>
      </c>
      <c r="V761" s="72" t="str">
        <f t="shared" si="11"/>
        <v>IN_PARKE</v>
      </c>
      <c r="AJ761" s="1" t="s">
        <v>93</v>
      </c>
      <c r="AK761" s="1" t="s">
        <v>658</v>
      </c>
      <c r="AL761" s="1" t="s">
        <v>6054</v>
      </c>
      <c r="AM761" s="1" t="s">
        <v>3493</v>
      </c>
    </row>
    <row r="762" spans="20:39" x14ac:dyDescent="0.2">
      <c r="T762" s="29" t="s">
        <v>246</v>
      </c>
      <c r="U762" s="69" t="s">
        <v>91</v>
      </c>
      <c r="V762" s="72" t="str">
        <f t="shared" si="11"/>
        <v>IN_PERRY</v>
      </c>
      <c r="AJ762" s="1" t="s">
        <v>93</v>
      </c>
      <c r="AK762" s="1" t="s">
        <v>659</v>
      </c>
      <c r="AL762" s="1" t="s">
        <v>6055</v>
      </c>
      <c r="AM762" s="1" t="s">
        <v>3489</v>
      </c>
    </row>
    <row r="763" spans="20:39" x14ac:dyDescent="0.2">
      <c r="T763" s="28" t="s">
        <v>248</v>
      </c>
      <c r="U763" s="68" t="s">
        <v>91</v>
      </c>
      <c r="V763" s="72" t="str">
        <f t="shared" si="11"/>
        <v>IN_PIKE</v>
      </c>
      <c r="AJ763" s="1" t="s">
        <v>93</v>
      </c>
      <c r="AK763" s="1" t="s">
        <v>660</v>
      </c>
      <c r="AL763" s="1" t="s">
        <v>6056</v>
      </c>
      <c r="AM763" s="1" t="s">
        <v>3494</v>
      </c>
    </row>
    <row r="764" spans="20:39" x14ac:dyDescent="0.2">
      <c r="T764" s="29" t="s">
        <v>745</v>
      </c>
      <c r="U764" s="69" t="s">
        <v>91</v>
      </c>
      <c r="V764" s="72" t="str">
        <f t="shared" si="11"/>
        <v>IN_PORTER</v>
      </c>
      <c r="AJ764" s="1" t="s">
        <v>93</v>
      </c>
      <c r="AK764" s="1" t="s">
        <v>661</v>
      </c>
      <c r="AL764" s="1" t="s">
        <v>6057</v>
      </c>
      <c r="AM764" s="1" t="s">
        <v>3468</v>
      </c>
    </row>
    <row r="765" spans="20:39" x14ac:dyDescent="0.2">
      <c r="T765" s="28" t="s">
        <v>746</v>
      </c>
      <c r="U765" s="68" t="s">
        <v>91</v>
      </c>
      <c r="V765" s="72" t="str">
        <f t="shared" si="11"/>
        <v>IN_POSEY</v>
      </c>
      <c r="AJ765" s="1" t="s">
        <v>93</v>
      </c>
      <c r="AK765" s="1" t="s">
        <v>662</v>
      </c>
      <c r="AL765" s="1" t="s">
        <v>6058</v>
      </c>
      <c r="AM765" s="1" t="s">
        <v>3495</v>
      </c>
    </row>
    <row r="766" spans="20:39" x14ac:dyDescent="0.2">
      <c r="T766" s="29" t="s">
        <v>336</v>
      </c>
      <c r="U766" s="69" t="s">
        <v>91</v>
      </c>
      <c r="V766" s="72" t="str">
        <f t="shared" si="11"/>
        <v>IN_PULASKI</v>
      </c>
      <c r="AJ766" s="1" t="s">
        <v>93</v>
      </c>
      <c r="AK766" s="1" t="s">
        <v>663</v>
      </c>
      <c r="AL766" s="1" t="s">
        <v>6059</v>
      </c>
      <c r="AM766" s="1" t="s">
        <v>9157</v>
      </c>
    </row>
    <row r="767" spans="20:39" x14ac:dyDescent="0.2">
      <c r="T767" s="28" t="s">
        <v>511</v>
      </c>
      <c r="U767" s="68" t="s">
        <v>91</v>
      </c>
      <c r="V767" s="72" t="str">
        <f t="shared" si="11"/>
        <v>IN_PUTNAM</v>
      </c>
      <c r="AJ767" s="1" t="s">
        <v>93</v>
      </c>
      <c r="AK767" s="1" t="s">
        <v>664</v>
      </c>
      <c r="AL767" s="1" t="s">
        <v>6060</v>
      </c>
      <c r="AM767" s="1" t="s">
        <v>3496</v>
      </c>
    </row>
    <row r="768" spans="20:39" x14ac:dyDescent="0.2">
      <c r="T768" s="29" t="s">
        <v>249</v>
      </c>
      <c r="U768" s="69" t="s">
        <v>91</v>
      </c>
      <c r="V768" s="72" t="str">
        <f t="shared" si="11"/>
        <v>IN_RANDOLPH</v>
      </c>
      <c r="AJ768" s="1" t="s">
        <v>93</v>
      </c>
      <c r="AK768" s="1" t="s">
        <v>665</v>
      </c>
      <c r="AL768" s="1" t="s">
        <v>6061</v>
      </c>
      <c r="AM768" s="1" t="s">
        <v>3497</v>
      </c>
    </row>
    <row r="769" spans="20:39" x14ac:dyDescent="0.2">
      <c r="T769" s="28" t="s">
        <v>747</v>
      </c>
      <c r="U769" s="68" t="s">
        <v>91</v>
      </c>
      <c r="V769" s="72" t="str">
        <f t="shared" si="11"/>
        <v>IN_RIPLEY</v>
      </c>
      <c r="AJ769" s="1" t="s">
        <v>93</v>
      </c>
      <c r="AK769" s="1" t="s">
        <v>666</v>
      </c>
      <c r="AL769" s="1" t="s">
        <v>6062</v>
      </c>
      <c r="AM769" s="1" t="s">
        <v>3498</v>
      </c>
    </row>
    <row r="770" spans="20:39" x14ac:dyDescent="0.2">
      <c r="T770" s="29" t="s">
        <v>748</v>
      </c>
      <c r="U770" s="69" t="s">
        <v>91</v>
      </c>
      <c r="V770" s="72" t="str">
        <f t="shared" si="11"/>
        <v>IN_RUSH</v>
      </c>
      <c r="AJ770" s="1" t="s">
        <v>93</v>
      </c>
      <c r="AK770" s="1" t="s">
        <v>667</v>
      </c>
      <c r="AL770" s="1" t="s">
        <v>6063</v>
      </c>
      <c r="AM770" s="1" t="s">
        <v>3499</v>
      </c>
    </row>
    <row r="771" spans="20:39" x14ac:dyDescent="0.2">
      <c r="T771" s="28" t="s">
        <v>749</v>
      </c>
      <c r="U771" s="68" t="s">
        <v>91</v>
      </c>
      <c r="V771" s="72" t="str">
        <f t="shared" si="11"/>
        <v>IN_ST. JOSEPH</v>
      </c>
      <c r="AJ771" s="1" t="s">
        <v>93</v>
      </c>
      <c r="AK771" s="1" t="s">
        <v>258</v>
      </c>
      <c r="AL771" s="1" t="s">
        <v>6064</v>
      </c>
      <c r="AM771" s="1" t="s">
        <v>3500</v>
      </c>
    </row>
    <row r="772" spans="20:39" x14ac:dyDescent="0.2">
      <c r="T772" s="29" t="s">
        <v>339</v>
      </c>
      <c r="U772" s="69" t="s">
        <v>91</v>
      </c>
      <c r="V772" s="72" t="str">
        <f t="shared" si="11"/>
        <v>IN_SCOTT</v>
      </c>
      <c r="AJ772" s="1" t="s">
        <v>92</v>
      </c>
      <c r="AK772" s="1" t="s">
        <v>406</v>
      </c>
      <c r="AL772" s="1" t="s">
        <v>6065</v>
      </c>
      <c r="AM772" s="1" t="s">
        <v>3501</v>
      </c>
    </row>
    <row r="773" spans="20:39" x14ac:dyDescent="0.2">
      <c r="T773" s="28" t="s">
        <v>252</v>
      </c>
      <c r="U773" s="68" t="s">
        <v>91</v>
      </c>
      <c r="V773" s="72" t="str">
        <f t="shared" si="11"/>
        <v>IN_SHELBY</v>
      </c>
      <c r="AJ773" s="1" t="s">
        <v>92</v>
      </c>
      <c r="AK773" s="1" t="s">
        <v>668</v>
      </c>
      <c r="AL773" s="1" t="s">
        <v>6066</v>
      </c>
      <c r="AM773" s="1" t="s">
        <v>3506</v>
      </c>
    </row>
    <row r="774" spans="20:39" x14ac:dyDescent="0.2">
      <c r="T774" s="29" t="s">
        <v>750</v>
      </c>
      <c r="U774" s="69" t="s">
        <v>91</v>
      </c>
      <c r="V774" s="72" t="str">
        <f t="shared" si="11"/>
        <v>IN_SPENCER</v>
      </c>
      <c r="AJ774" s="1" t="s">
        <v>92</v>
      </c>
      <c r="AK774" s="1" t="s">
        <v>669</v>
      </c>
      <c r="AL774" s="1" t="s">
        <v>6067</v>
      </c>
      <c r="AM774" s="1" t="s">
        <v>3503</v>
      </c>
    </row>
    <row r="775" spans="20:39" x14ac:dyDescent="0.2">
      <c r="T775" s="28" t="s">
        <v>751</v>
      </c>
      <c r="U775" s="68" t="s">
        <v>91</v>
      </c>
      <c r="V775" s="72" t="str">
        <f t="shared" si="11"/>
        <v>IN_STARKE</v>
      </c>
      <c r="AJ775" s="1" t="s">
        <v>92</v>
      </c>
      <c r="AK775" s="1" t="s">
        <v>297</v>
      </c>
      <c r="AL775" s="1" t="s">
        <v>6068</v>
      </c>
      <c r="AM775" s="1" t="s">
        <v>3559</v>
      </c>
    </row>
    <row r="776" spans="20:39" x14ac:dyDescent="0.2">
      <c r="T776" s="29" t="s">
        <v>752</v>
      </c>
      <c r="U776" s="69" t="s">
        <v>91</v>
      </c>
      <c r="V776" s="72" t="str">
        <f t="shared" si="11"/>
        <v>IN_STEUBEN</v>
      </c>
      <c r="AJ776" s="1" t="s">
        <v>92</v>
      </c>
      <c r="AK776" s="1" t="s">
        <v>670</v>
      </c>
      <c r="AL776" s="1" t="s">
        <v>6069</v>
      </c>
      <c r="AM776" s="1" t="s">
        <v>3504</v>
      </c>
    </row>
    <row r="777" spans="20:39" x14ac:dyDescent="0.2">
      <c r="T777" s="28" t="s">
        <v>753</v>
      </c>
      <c r="U777" s="68" t="s">
        <v>91</v>
      </c>
      <c r="V777" s="72" t="str">
        <f t="shared" si="11"/>
        <v>IN_SULLIVAN</v>
      </c>
      <c r="AJ777" s="1" t="s">
        <v>92</v>
      </c>
      <c r="AK777" s="1" t="s">
        <v>671</v>
      </c>
      <c r="AL777" s="1" t="s">
        <v>6070</v>
      </c>
      <c r="AM777" s="1" t="s">
        <v>3505</v>
      </c>
    </row>
    <row r="778" spans="20:39" x14ac:dyDescent="0.2">
      <c r="T778" s="29" t="s">
        <v>754</v>
      </c>
      <c r="U778" s="69" t="s">
        <v>91</v>
      </c>
      <c r="V778" s="72" t="str">
        <f t="shared" ref="V778:V841" si="12">UPPER(CONCATENATE(TRIM(U778),"_",TRIM(T778)))</f>
        <v>IN_SWITZERLAND</v>
      </c>
      <c r="AJ778" s="1" t="s">
        <v>92</v>
      </c>
      <c r="AK778" s="1" t="s">
        <v>201</v>
      </c>
      <c r="AL778" s="1" t="s">
        <v>6071</v>
      </c>
      <c r="AM778" s="1" t="s">
        <v>3565</v>
      </c>
    </row>
    <row r="779" spans="20:39" x14ac:dyDescent="0.2">
      <c r="T779" s="28" t="s">
        <v>755</v>
      </c>
      <c r="U779" s="68" t="s">
        <v>91</v>
      </c>
      <c r="V779" s="72" t="str">
        <f t="shared" si="12"/>
        <v>IN_TIPPECANOE</v>
      </c>
      <c r="AJ779" s="1" t="s">
        <v>92</v>
      </c>
      <c r="AK779" s="1" t="s">
        <v>299</v>
      </c>
      <c r="AL779" s="1" t="s">
        <v>6072</v>
      </c>
      <c r="AM779" s="1" t="s">
        <v>3507</v>
      </c>
    </row>
    <row r="780" spans="20:39" x14ac:dyDescent="0.2">
      <c r="T780" s="29" t="s">
        <v>756</v>
      </c>
      <c r="U780" s="69" t="s">
        <v>91</v>
      </c>
      <c r="V780" s="72" t="str">
        <f t="shared" si="12"/>
        <v>IN_TIPTON</v>
      </c>
      <c r="AJ780" s="1" t="s">
        <v>92</v>
      </c>
      <c r="AK780" s="1" t="s">
        <v>672</v>
      </c>
      <c r="AL780" s="1" t="s">
        <v>6073</v>
      </c>
      <c r="AM780" s="1" t="s">
        <v>3508</v>
      </c>
    </row>
    <row r="781" spans="20:39" x14ac:dyDescent="0.2">
      <c r="T781" s="28" t="s">
        <v>345</v>
      </c>
      <c r="U781" s="68" t="s">
        <v>91</v>
      </c>
      <c r="V781" s="72" t="str">
        <f t="shared" si="12"/>
        <v>IN_UNION</v>
      </c>
      <c r="AJ781" s="1" t="s">
        <v>92</v>
      </c>
      <c r="AK781" s="1" t="s">
        <v>673</v>
      </c>
      <c r="AL781" s="1" t="s">
        <v>6074</v>
      </c>
      <c r="AM781" s="1" t="s">
        <v>9158</v>
      </c>
    </row>
    <row r="782" spans="20:39" x14ac:dyDescent="0.2">
      <c r="T782" s="29" t="s">
        <v>757</v>
      </c>
      <c r="U782" s="69" t="s">
        <v>91</v>
      </c>
      <c r="V782" s="72" t="str">
        <f t="shared" si="12"/>
        <v>IN_VANDERBURGH</v>
      </c>
      <c r="AJ782" s="1" t="s">
        <v>92</v>
      </c>
      <c r="AK782" s="1" t="s">
        <v>674</v>
      </c>
      <c r="AL782" s="1" t="s">
        <v>6075</v>
      </c>
      <c r="AM782" s="1" t="s">
        <v>3510</v>
      </c>
    </row>
    <row r="783" spans="20:39" x14ac:dyDescent="0.2">
      <c r="T783" s="28" t="s">
        <v>758</v>
      </c>
      <c r="U783" s="68" t="s">
        <v>91</v>
      </c>
      <c r="V783" s="72" t="str">
        <f t="shared" si="12"/>
        <v>IN_VERMILLION</v>
      </c>
      <c r="AJ783" s="1" t="s">
        <v>92</v>
      </c>
      <c r="AK783" s="1" t="s">
        <v>301</v>
      </c>
      <c r="AL783" s="1" t="s">
        <v>6076</v>
      </c>
      <c r="AM783" s="1" t="s">
        <v>3511</v>
      </c>
    </row>
    <row r="784" spans="20:39" x14ac:dyDescent="0.2">
      <c r="T784" s="29" t="s">
        <v>759</v>
      </c>
      <c r="U784" s="69" t="s">
        <v>91</v>
      </c>
      <c r="V784" s="72" t="str">
        <f t="shared" si="12"/>
        <v>IN_VIGO</v>
      </c>
      <c r="AJ784" s="1" t="s">
        <v>92</v>
      </c>
      <c r="AK784" s="1" t="s">
        <v>207</v>
      </c>
      <c r="AL784" s="1" t="s">
        <v>6077</v>
      </c>
      <c r="AM784" s="1" t="s">
        <v>3512</v>
      </c>
    </row>
    <row r="785" spans="20:39" x14ac:dyDescent="0.2">
      <c r="T785" s="28" t="s">
        <v>716</v>
      </c>
      <c r="U785" s="68" t="s">
        <v>91</v>
      </c>
      <c r="V785" s="72" t="str">
        <f t="shared" si="12"/>
        <v>IN_WABASH</v>
      </c>
      <c r="AJ785" s="1" t="s">
        <v>92</v>
      </c>
      <c r="AK785" s="1" t="s">
        <v>675</v>
      </c>
      <c r="AL785" s="1" t="s">
        <v>6078</v>
      </c>
      <c r="AM785" s="1" t="s">
        <v>3565</v>
      </c>
    </row>
    <row r="786" spans="20:39" x14ac:dyDescent="0.2">
      <c r="T786" s="29" t="s">
        <v>622</v>
      </c>
      <c r="U786" s="69" t="s">
        <v>91</v>
      </c>
      <c r="V786" s="72" t="str">
        <f t="shared" si="12"/>
        <v>IN_WARREN</v>
      </c>
      <c r="AJ786" s="1" t="s">
        <v>92</v>
      </c>
      <c r="AK786" s="1" t="s">
        <v>676</v>
      </c>
      <c r="AL786" s="1" t="s">
        <v>6079</v>
      </c>
      <c r="AM786" s="1" t="s">
        <v>3513</v>
      </c>
    </row>
    <row r="787" spans="20:39" x14ac:dyDescent="0.2">
      <c r="T787" s="28" t="s">
        <v>760</v>
      </c>
      <c r="U787" s="68" t="s">
        <v>91</v>
      </c>
      <c r="V787" s="72" t="str">
        <f t="shared" si="12"/>
        <v>IN_WARRICK</v>
      </c>
      <c r="AJ787" s="1" t="s">
        <v>92</v>
      </c>
      <c r="AK787" s="1" t="s">
        <v>548</v>
      </c>
      <c r="AL787" s="1" t="s">
        <v>6080</v>
      </c>
      <c r="AM787" s="1" t="s">
        <v>3509</v>
      </c>
    </row>
    <row r="788" spans="20:39" x14ac:dyDescent="0.2">
      <c r="T788" s="29" t="s">
        <v>258</v>
      </c>
      <c r="U788" s="69" t="s">
        <v>91</v>
      </c>
      <c r="V788" s="72" t="str">
        <f t="shared" si="12"/>
        <v>IN_WASHINGTON</v>
      </c>
      <c r="AJ788" s="1" t="s">
        <v>92</v>
      </c>
      <c r="AK788" s="1" t="s">
        <v>306</v>
      </c>
      <c r="AL788" s="1" t="s">
        <v>6081</v>
      </c>
      <c r="AM788" s="1" t="s">
        <v>3514</v>
      </c>
    </row>
    <row r="789" spans="20:39" x14ac:dyDescent="0.2">
      <c r="T789" s="28" t="s">
        <v>623</v>
      </c>
      <c r="U789" s="68" t="s">
        <v>91</v>
      </c>
      <c r="V789" s="72" t="str">
        <f t="shared" si="12"/>
        <v>IN_WAYNE</v>
      </c>
      <c r="AJ789" s="1" t="s">
        <v>92</v>
      </c>
      <c r="AK789" s="1" t="s">
        <v>677</v>
      </c>
      <c r="AL789" s="1" t="s">
        <v>6082</v>
      </c>
      <c r="AM789" s="1" t="s">
        <v>3515</v>
      </c>
    </row>
    <row r="790" spans="20:39" x14ac:dyDescent="0.2">
      <c r="T790" s="29" t="s">
        <v>761</v>
      </c>
      <c r="U790" s="69" t="s">
        <v>91</v>
      </c>
      <c r="V790" s="72" t="str">
        <f t="shared" si="12"/>
        <v>IN_WELLS</v>
      </c>
      <c r="AJ790" s="1" t="s">
        <v>92</v>
      </c>
      <c r="AK790" s="1" t="s">
        <v>678</v>
      </c>
      <c r="AL790" s="1" t="s">
        <v>6083</v>
      </c>
      <c r="AM790" s="1" t="s">
        <v>3516</v>
      </c>
    </row>
    <row r="791" spans="20:39" x14ac:dyDescent="0.2">
      <c r="T791" s="28" t="s">
        <v>347</v>
      </c>
      <c r="U791" s="68" t="s">
        <v>91</v>
      </c>
      <c r="V791" s="72" t="str">
        <f t="shared" si="12"/>
        <v>IN_WHITE</v>
      </c>
      <c r="AJ791" s="1" t="s">
        <v>92</v>
      </c>
      <c r="AK791" s="1" t="s">
        <v>218</v>
      </c>
      <c r="AL791" s="1" t="s">
        <v>6084</v>
      </c>
      <c r="AM791" s="1" t="s">
        <v>3518</v>
      </c>
    </row>
    <row r="792" spans="20:39" x14ac:dyDescent="0.2">
      <c r="T792" s="29" t="s">
        <v>762</v>
      </c>
      <c r="U792" s="69" t="s">
        <v>91</v>
      </c>
      <c r="V792" s="72" t="str">
        <f t="shared" si="12"/>
        <v>IN_WHITLEY</v>
      </c>
      <c r="AJ792" s="1" t="s">
        <v>92</v>
      </c>
      <c r="AK792" s="1" t="s">
        <v>423</v>
      </c>
      <c r="AL792" s="1" t="s">
        <v>6085</v>
      </c>
      <c r="AM792" s="1" t="s">
        <v>3519</v>
      </c>
    </row>
    <row r="793" spans="20:39" x14ac:dyDescent="0.2">
      <c r="T793" s="28" t="s">
        <v>763</v>
      </c>
      <c r="U793" s="68" t="s">
        <v>90</v>
      </c>
      <c r="V793" s="72" t="str">
        <f t="shared" si="12"/>
        <v>IA_ADAIR</v>
      </c>
      <c r="AJ793" s="1" t="s">
        <v>92</v>
      </c>
      <c r="AK793" s="1" t="s">
        <v>679</v>
      </c>
      <c r="AL793" s="1" t="s">
        <v>6086</v>
      </c>
      <c r="AM793" s="1" t="s">
        <v>3509</v>
      </c>
    </row>
    <row r="794" spans="20:39" x14ac:dyDescent="0.2">
      <c r="T794" s="29" t="s">
        <v>406</v>
      </c>
      <c r="U794" s="69" t="s">
        <v>90</v>
      </c>
      <c r="V794" s="72" t="str">
        <f t="shared" si="12"/>
        <v>IA_ADAMS</v>
      </c>
      <c r="AJ794" s="1" t="s">
        <v>92</v>
      </c>
      <c r="AK794" s="1" t="s">
        <v>680</v>
      </c>
      <c r="AL794" s="1" t="s">
        <v>6087</v>
      </c>
      <c r="AM794" s="1" t="s">
        <v>3520</v>
      </c>
    </row>
    <row r="795" spans="20:39" x14ac:dyDescent="0.2">
      <c r="T795" s="28" t="s">
        <v>764</v>
      </c>
      <c r="U795" s="68" t="s">
        <v>90</v>
      </c>
      <c r="V795" s="72" t="str">
        <f t="shared" si="12"/>
        <v>IA_ALLAMAKEE</v>
      </c>
      <c r="AJ795" s="1" t="s">
        <v>92</v>
      </c>
      <c r="AK795" s="1" t="s">
        <v>681</v>
      </c>
      <c r="AL795" s="1" t="s">
        <v>6088</v>
      </c>
      <c r="AM795" s="1" t="s">
        <v>3521</v>
      </c>
    </row>
    <row r="796" spans="20:39" x14ac:dyDescent="0.2">
      <c r="T796" s="29" t="s">
        <v>765</v>
      </c>
      <c r="U796" s="69" t="s">
        <v>90</v>
      </c>
      <c r="V796" s="72" t="str">
        <f t="shared" si="12"/>
        <v>IA_APPANOOSE</v>
      </c>
      <c r="AJ796" s="1" t="s">
        <v>92</v>
      </c>
      <c r="AK796" s="1" t="s">
        <v>559</v>
      </c>
      <c r="AL796" s="1" t="s">
        <v>6089</v>
      </c>
      <c r="AM796" s="1" t="s">
        <v>3522</v>
      </c>
    </row>
    <row r="797" spans="20:39" x14ac:dyDescent="0.2">
      <c r="T797" s="28" t="s">
        <v>766</v>
      </c>
      <c r="U797" s="68" t="s">
        <v>90</v>
      </c>
      <c r="V797" s="72" t="str">
        <f t="shared" si="12"/>
        <v>IA_AUDUBON</v>
      </c>
      <c r="AJ797" s="1" t="s">
        <v>92</v>
      </c>
      <c r="AK797" s="1" t="s">
        <v>222</v>
      </c>
      <c r="AL797" s="1" t="s">
        <v>6090</v>
      </c>
      <c r="AM797" s="1" t="s">
        <v>3523</v>
      </c>
    </row>
    <row r="798" spans="20:39" x14ac:dyDescent="0.2">
      <c r="T798" s="29" t="s">
        <v>296</v>
      </c>
      <c r="U798" s="69" t="s">
        <v>90</v>
      </c>
      <c r="V798" s="72" t="str">
        <f t="shared" si="12"/>
        <v>IA_BENTON</v>
      </c>
      <c r="AJ798" s="1" t="s">
        <v>92</v>
      </c>
      <c r="AK798" s="1" t="s">
        <v>682</v>
      </c>
      <c r="AL798" s="1" t="s">
        <v>6091</v>
      </c>
      <c r="AM798" s="1" t="s">
        <v>9159</v>
      </c>
    </row>
    <row r="799" spans="20:39" x14ac:dyDescent="0.2">
      <c r="T799" s="28" t="s">
        <v>767</v>
      </c>
      <c r="U799" s="68" t="s">
        <v>90</v>
      </c>
      <c r="V799" s="72" t="str">
        <f t="shared" si="12"/>
        <v>IA_BLACK HAWK</v>
      </c>
      <c r="AJ799" s="1" t="s">
        <v>92</v>
      </c>
      <c r="AK799" s="1" t="s">
        <v>223</v>
      </c>
      <c r="AL799" s="1" t="s">
        <v>6092</v>
      </c>
      <c r="AM799" s="1" t="s">
        <v>3524</v>
      </c>
    </row>
    <row r="800" spans="20:39" x14ac:dyDescent="0.2">
      <c r="T800" s="29" t="s">
        <v>297</v>
      </c>
      <c r="U800" s="69" t="s">
        <v>90</v>
      </c>
      <c r="V800" s="72" t="str">
        <f t="shared" si="12"/>
        <v>IA_BOONE</v>
      </c>
      <c r="AJ800" s="1" t="s">
        <v>92</v>
      </c>
      <c r="AK800" s="1" t="s">
        <v>312</v>
      </c>
      <c r="AL800" s="1" t="s">
        <v>6093</v>
      </c>
      <c r="AM800" s="1" t="s">
        <v>9160</v>
      </c>
    </row>
    <row r="801" spans="20:39" x14ac:dyDescent="0.2">
      <c r="T801" s="28" t="s">
        <v>768</v>
      </c>
      <c r="U801" s="68" t="s">
        <v>90</v>
      </c>
      <c r="V801" s="72" t="str">
        <f t="shared" si="12"/>
        <v>IA_BREMER</v>
      </c>
      <c r="AJ801" s="1" t="s">
        <v>92</v>
      </c>
      <c r="AK801" s="1" t="s">
        <v>683</v>
      </c>
      <c r="AL801" s="1" t="s">
        <v>6094</v>
      </c>
      <c r="AM801" s="1" t="s">
        <v>3525</v>
      </c>
    </row>
    <row r="802" spans="20:39" x14ac:dyDescent="0.2">
      <c r="T802" s="29" t="s">
        <v>769</v>
      </c>
      <c r="U802" s="69" t="s">
        <v>90</v>
      </c>
      <c r="V802" s="72" t="str">
        <f t="shared" si="12"/>
        <v>IA_BUCHANAN</v>
      </c>
      <c r="AJ802" s="1" t="s">
        <v>92</v>
      </c>
      <c r="AK802" s="1" t="s">
        <v>225</v>
      </c>
      <c r="AL802" s="1" t="s">
        <v>6095</v>
      </c>
      <c r="AM802" s="1" t="s">
        <v>3526</v>
      </c>
    </row>
    <row r="803" spans="20:39" x14ac:dyDescent="0.2">
      <c r="T803" s="28" t="s">
        <v>770</v>
      </c>
      <c r="U803" s="68" t="s">
        <v>90</v>
      </c>
      <c r="V803" s="72" t="str">
        <f t="shared" si="12"/>
        <v>IA_BUENA VISTA</v>
      </c>
      <c r="AJ803" s="1" t="s">
        <v>92</v>
      </c>
      <c r="AK803" s="1" t="s">
        <v>684</v>
      </c>
      <c r="AL803" s="1" t="s">
        <v>6096</v>
      </c>
      <c r="AM803" s="1" t="s">
        <v>3527</v>
      </c>
    </row>
    <row r="804" spans="20:39" x14ac:dyDescent="0.2">
      <c r="T804" s="29" t="s">
        <v>200</v>
      </c>
      <c r="U804" s="69" t="s">
        <v>90</v>
      </c>
      <c r="V804" s="72" t="str">
        <f t="shared" si="12"/>
        <v>IA_BUTLER</v>
      </c>
      <c r="AJ804" s="1" t="s">
        <v>92</v>
      </c>
      <c r="AK804" s="1" t="s">
        <v>491</v>
      </c>
      <c r="AL804" s="1" t="s">
        <v>6097</v>
      </c>
      <c r="AM804" s="1" t="s">
        <v>3528</v>
      </c>
    </row>
    <row r="805" spans="20:39" x14ac:dyDescent="0.2">
      <c r="T805" s="28" t="s">
        <v>201</v>
      </c>
      <c r="U805" s="68" t="s">
        <v>90</v>
      </c>
      <c r="V805" s="72" t="str">
        <f t="shared" si="12"/>
        <v>IA_CALHOUN</v>
      </c>
      <c r="AJ805" s="1" t="s">
        <v>92</v>
      </c>
      <c r="AK805" s="1" t="s">
        <v>573</v>
      </c>
      <c r="AL805" s="1" t="s">
        <v>6098</v>
      </c>
      <c r="AM805" s="1" t="s">
        <v>3529</v>
      </c>
    </row>
    <row r="806" spans="20:39" x14ac:dyDescent="0.2">
      <c r="T806" s="29" t="s">
        <v>299</v>
      </c>
      <c r="U806" s="69" t="s">
        <v>90</v>
      </c>
      <c r="V806" s="72" t="str">
        <f t="shared" si="12"/>
        <v>IA_CARROLL</v>
      </c>
      <c r="AJ806" s="1" t="s">
        <v>92</v>
      </c>
      <c r="AK806" s="1" t="s">
        <v>685</v>
      </c>
      <c r="AL806" s="1" t="s">
        <v>6099</v>
      </c>
      <c r="AM806" s="1" t="s">
        <v>3530</v>
      </c>
    </row>
    <row r="807" spans="20:39" x14ac:dyDescent="0.2">
      <c r="T807" s="28" t="s">
        <v>672</v>
      </c>
      <c r="U807" s="68" t="s">
        <v>90</v>
      </c>
      <c r="V807" s="72" t="str">
        <f t="shared" si="12"/>
        <v>IA_CASS</v>
      </c>
      <c r="AJ807" s="1" t="s">
        <v>92</v>
      </c>
      <c r="AK807" s="1" t="s">
        <v>686</v>
      </c>
      <c r="AL807" s="1" t="s">
        <v>6100</v>
      </c>
      <c r="AM807" s="1" t="s">
        <v>3531</v>
      </c>
    </row>
    <row r="808" spans="20:39" x14ac:dyDescent="0.2">
      <c r="T808" s="29" t="s">
        <v>771</v>
      </c>
      <c r="U808" s="69" t="s">
        <v>90</v>
      </c>
      <c r="V808" s="72" t="str">
        <f t="shared" si="12"/>
        <v>IA_CEDAR</v>
      </c>
      <c r="AJ808" s="1" t="s">
        <v>92</v>
      </c>
      <c r="AK808" s="1" t="s">
        <v>227</v>
      </c>
      <c r="AL808" s="1" t="s">
        <v>6101</v>
      </c>
      <c r="AM808" s="1" t="s">
        <v>3396</v>
      </c>
    </row>
    <row r="809" spans="20:39" x14ac:dyDescent="0.2">
      <c r="T809" s="28" t="s">
        <v>772</v>
      </c>
      <c r="U809" s="68" t="s">
        <v>90</v>
      </c>
      <c r="V809" s="72" t="str">
        <f t="shared" si="12"/>
        <v>IA_CERRO GORDO</v>
      </c>
      <c r="AJ809" s="1" t="s">
        <v>92</v>
      </c>
      <c r="AK809" s="1" t="s">
        <v>687</v>
      </c>
      <c r="AL809" s="1" t="s">
        <v>6102</v>
      </c>
      <c r="AM809" s="1" t="s">
        <v>3532</v>
      </c>
    </row>
    <row r="810" spans="20:39" x14ac:dyDescent="0.2">
      <c r="T810" s="29" t="s">
        <v>203</v>
      </c>
      <c r="U810" s="69" t="s">
        <v>90</v>
      </c>
      <c r="V810" s="72" t="str">
        <f t="shared" si="12"/>
        <v>IA_CHEROKEE</v>
      </c>
      <c r="AJ810" s="1" t="s">
        <v>92</v>
      </c>
      <c r="AK810" s="1" t="s">
        <v>229</v>
      </c>
      <c r="AL810" s="1" t="s">
        <v>6103</v>
      </c>
      <c r="AM810" s="1" t="s">
        <v>9161</v>
      </c>
    </row>
    <row r="811" spans="20:39" x14ac:dyDescent="0.2">
      <c r="T811" s="28" t="s">
        <v>773</v>
      </c>
      <c r="U811" s="68" t="s">
        <v>90</v>
      </c>
      <c r="V811" s="72" t="str">
        <f t="shared" si="12"/>
        <v>IA_CHICKASAW</v>
      </c>
      <c r="AJ811" s="1" t="s">
        <v>92</v>
      </c>
      <c r="AK811" s="1" t="s">
        <v>579</v>
      </c>
      <c r="AL811" s="1" t="s">
        <v>6104</v>
      </c>
      <c r="AM811" s="1" t="s">
        <v>3533</v>
      </c>
    </row>
    <row r="812" spans="20:39" x14ac:dyDescent="0.2">
      <c r="T812" s="29" t="s">
        <v>206</v>
      </c>
      <c r="U812" s="69" t="s">
        <v>90</v>
      </c>
      <c r="V812" s="72" t="str">
        <f t="shared" si="12"/>
        <v>IA_CLARKE</v>
      </c>
      <c r="AJ812" s="1" t="s">
        <v>92</v>
      </c>
      <c r="AK812" s="1" t="s">
        <v>230</v>
      </c>
      <c r="AL812" s="1" t="s">
        <v>6105</v>
      </c>
      <c r="AM812" s="1" t="s">
        <v>3534</v>
      </c>
    </row>
    <row r="813" spans="20:39" x14ac:dyDescent="0.2">
      <c r="T813" s="28" t="s">
        <v>207</v>
      </c>
      <c r="U813" s="68" t="s">
        <v>90</v>
      </c>
      <c r="V813" s="72" t="str">
        <f t="shared" si="12"/>
        <v>IA_CLAY</v>
      </c>
      <c r="AJ813" s="1" t="s">
        <v>92</v>
      </c>
      <c r="AK813" s="1" t="s">
        <v>688</v>
      </c>
      <c r="AL813" s="1" t="s">
        <v>6106</v>
      </c>
      <c r="AM813" s="1" t="s">
        <v>3565</v>
      </c>
    </row>
    <row r="814" spans="20:39" x14ac:dyDescent="0.2">
      <c r="T814" s="29" t="s">
        <v>544</v>
      </c>
      <c r="U814" s="69" t="s">
        <v>90</v>
      </c>
      <c r="V814" s="72" t="str">
        <f t="shared" si="12"/>
        <v>IA_CLAYTON</v>
      </c>
      <c r="AJ814" s="1" t="s">
        <v>92</v>
      </c>
      <c r="AK814" s="1" t="s">
        <v>689</v>
      </c>
      <c r="AL814" s="1" t="s">
        <v>6107</v>
      </c>
      <c r="AM814" s="1" t="s">
        <v>3535</v>
      </c>
    </row>
    <row r="815" spans="20:39" x14ac:dyDescent="0.2">
      <c r="T815" s="28" t="s">
        <v>675</v>
      </c>
      <c r="U815" s="68" t="s">
        <v>90</v>
      </c>
      <c r="V815" s="72" t="str">
        <f t="shared" si="12"/>
        <v>IA_CLINTON</v>
      </c>
      <c r="AJ815" s="1" t="s">
        <v>92</v>
      </c>
      <c r="AK815" s="1" t="s">
        <v>320</v>
      </c>
      <c r="AL815" s="1" t="s">
        <v>6108</v>
      </c>
      <c r="AM815" s="1" t="s">
        <v>9162</v>
      </c>
    </row>
    <row r="816" spans="20:39" x14ac:dyDescent="0.2">
      <c r="T816" s="29" t="s">
        <v>306</v>
      </c>
      <c r="U816" s="69" t="s">
        <v>90</v>
      </c>
      <c r="V816" s="72" t="str">
        <f t="shared" si="12"/>
        <v>IA_CRAWFORD</v>
      </c>
      <c r="AJ816" s="1" t="s">
        <v>92</v>
      </c>
      <c r="AK816" s="1" t="s">
        <v>690</v>
      </c>
      <c r="AL816" s="1" t="s">
        <v>6109</v>
      </c>
      <c r="AM816" s="1" t="s">
        <v>3509</v>
      </c>
    </row>
    <row r="817" spans="20:39" x14ac:dyDescent="0.2">
      <c r="T817" s="28" t="s">
        <v>217</v>
      </c>
      <c r="U817" s="68" t="s">
        <v>90</v>
      </c>
      <c r="V817" s="72" t="str">
        <f t="shared" si="12"/>
        <v>IA_DALLAS</v>
      </c>
      <c r="AJ817" s="1" t="s">
        <v>92</v>
      </c>
      <c r="AK817" s="1" t="s">
        <v>691</v>
      </c>
      <c r="AL817" s="1" t="s">
        <v>6110</v>
      </c>
      <c r="AM817" s="1" t="s">
        <v>3536</v>
      </c>
    </row>
    <row r="818" spans="20:39" x14ac:dyDescent="0.2">
      <c r="T818" s="29" t="s">
        <v>774</v>
      </c>
      <c r="U818" s="69" t="s">
        <v>90</v>
      </c>
      <c r="V818" s="72" t="str">
        <f t="shared" si="12"/>
        <v>IA_DAVIS</v>
      </c>
      <c r="AJ818" s="1" t="s">
        <v>92</v>
      </c>
      <c r="AK818" s="1" t="s">
        <v>692</v>
      </c>
      <c r="AL818" s="1" t="s">
        <v>6111</v>
      </c>
      <c r="AM818" s="1" t="s">
        <v>3537</v>
      </c>
    </row>
    <row r="819" spans="20:39" x14ac:dyDescent="0.2">
      <c r="T819" s="28" t="s">
        <v>552</v>
      </c>
      <c r="U819" s="68" t="s">
        <v>90</v>
      </c>
      <c r="V819" s="72" t="str">
        <f t="shared" si="12"/>
        <v>IA_DECATUR</v>
      </c>
      <c r="AJ819" s="1" t="s">
        <v>92</v>
      </c>
      <c r="AK819" s="1" t="s">
        <v>693</v>
      </c>
      <c r="AL819" s="1" t="s">
        <v>6112</v>
      </c>
      <c r="AM819" s="1" t="s">
        <v>3538</v>
      </c>
    </row>
    <row r="820" spans="20:39" x14ac:dyDescent="0.2">
      <c r="T820" s="29" t="s">
        <v>727</v>
      </c>
      <c r="U820" s="69" t="s">
        <v>90</v>
      </c>
      <c r="V820" s="72" t="str">
        <f t="shared" si="12"/>
        <v>IA_DELAWARE</v>
      </c>
      <c r="AJ820" s="1" t="s">
        <v>92</v>
      </c>
      <c r="AK820" s="1" t="s">
        <v>694</v>
      </c>
      <c r="AL820" s="1" t="s">
        <v>6113</v>
      </c>
      <c r="AM820" s="1" t="s">
        <v>3539</v>
      </c>
    </row>
    <row r="821" spans="20:39" x14ac:dyDescent="0.2">
      <c r="T821" s="28" t="s">
        <v>775</v>
      </c>
      <c r="U821" s="68" t="s">
        <v>90</v>
      </c>
      <c r="V821" s="72" t="str">
        <f t="shared" si="12"/>
        <v>IA_DES MOINES</v>
      </c>
      <c r="AJ821" s="1" t="s">
        <v>92</v>
      </c>
      <c r="AK821" s="1" t="s">
        <v>366</v>
      </c>
      <c r="AL821" s="1" t="s">
        <v>6114</v>
      </c>
      <c r="AM821" s="1" t="s">
        <v>3509</v>
      </c>
    </row>
    <row r="822" spans="20:39" x14ac:dyDescent="0.2">
      <c r="T822" s="29" t="s">
        <v>776</v>
      </c>
      <c r="U822" s="69" t="s">
        <v>90</v>
      </c>
      <c r="V822" s="72" t="str">
        <f t="shared" si="12"/>
        <v>IA_DICKINSON</v>
      </c>
      <c r="AJ822" s="1" t="s">
        <v>92</v>
      </c>
      <c r="AK822" s="1" t="s">
        <v>233</v>
      </c>
      <c r="AL822" s="1" t="s">
        <v>6115</v>
      </c>
      <c r="AM822" s="1" t="s">
        <v>3540</v>
      </c>
    </row>
    <row r="823" spans="20:39" x14ac:dyDescent="0.2">
      <c r="T823" s="28" t="s">
        <v>777</v>
      </c>
      <c r="U823" s="68" t="s">
        <v>90</v>
      </c>
      <c r="V823" s="72" t="str">
        <f t="shared" si="12"/>
        <v>IA_DUBUQUE</v>
      </c>
      <c r="AJ823" s="1" t="s">
        <v>92</v>
      </c>
      <c r="AK823" s="1" t="s">
        <v>234</v>
      </c>
      <c r="AL823" s="1" t="s">
        <v>6116</v>
      </c>
      <c r="AM823" s="1" t="s">
        <v>3541</v>
      </c>
    </row>
    <row r="824" spans="20:39" x14ac:dyDescent="0.2">
      <c r="T824" s="29" t="s">
        <v>778</v>
      </c>
      <c r="U824" s="69" t="s">
        <v>90</v>
      </c>
      <c r="V824" s="72" t="str">
        <f t="shared" si="12"/>
        <v>IA_EMMET</v>
      </c>
      <c r="AJ824" s="1" t="s">
        <v>92</v>
      </c>
      <c r="AK824" s="1" t="s">
        <v>695</v>
      </c>
      <c r="AL824" s="1" t="s">
        <v>6117</v>
      </c>
      <c r="AM824" s="1" t="s">
        <v>3542</v>
      </c>
    </row>
    <row r="825" spans="20:39" x14ac:dyDescent="0.2">
      <c r="T825" s="28" t="s">
        <v>222</v>
      </c>
      <c r="U825" s="68" t="s">
        <v>90</v>
      </c>
      <c r="V825" s="72" t="str">
        <f t="shared" si="12"/>
        <v>IA_FAYETTE</v>
      </c>
      <c r="AJ825" s="1" t="s">
        <v>92</v>
      </c>
      <c r="AK825" s="1" t="s">
        <v>324</v>
      </c>
      <c r="AL825" s="1" t="s">
        <v>6118</v>
      </c>
      <c r="AM825" s="1" t="s">
        <v>3543</v>
      </c>
    </row>
    <row r="826" spans="20:39" x14ac:dyDescent="0.2">
      <c r="T826" s="29" t="s">
        <v>563</v>
      </c>
      <c r="U826" s="69" t="s">
        <v>90</v>
      </c>
      <c r="V826" s="72" t="str">
        <f t="shared" si="12"/>
        <v>IA_FLOYD</v>
      </c>
      <c r="AJ826" s="1" t="s">
        <v>92</v>
      </c>
      <c r="AK826" s="1" t="s">
        <v>237</v>
      </c>
      <c r="AL826" s="1" t="s">
        <v>6119</v>
      </c>
      <c r="AM826" s="1" t="s">
        <v>3517</v>
      </c>
    </row>
    <row r="827" spans="20:39" x14ac:dyDescent="0.2">
      <c r="T827" s="28" t="s">
        <v>223</v>
      </c>
      <c r="U827" s="68" t="s">
        <v>90</v>
      </c>
      <c r="V827" s="72" t="str">
        <f t="shared" si="12"/>
        <v>IA_FRANKLIN</v>
      </c>
      <c r="AJ827" s="1" t="s">
        <v>92</v>
      </c>
      <c r="AK827" s="1" t="s">
        <v>699</v>
      </c>
      <c r="AL827" s="1" t="s">
        <v>6120</v>
      </c>
      <c r="AM827" s="1" t="s">
        <v>3544</v>
      </c>
    </row>
    <row r="828" spans="20:39" x14ac:dyDescent="0.2">
      <c r="T828" s="29" t="s">
        <v>427</v>
      </c>
      <c r="U828" s="69" t="s">
        <v>90</v>
      </c>
      <c r="V828" s="72" t="str">
        <f t="shared" si="12"/>
        <v>IA_FREMONT</v>
      </c>
      <c r="AJ828" s="1" t="s">
        <v>92</v>
      </c>
      <c r="AK828" s="1" t="s">
        <v>238</v>
      </c>
      <c r="AL828" s="1" t="s">
        <v>6121</v>
      </c>
      <c r="AM828" s="1" t="s">
        <v>3565</v>
      </c>
    </row>
    <row r="829" spans="20:39" x14ac:dyDescent="0.2">
      <c r="T829" s="28" t="s">
        <v>225</v>
      </c>
      <c r="U829" s="68" t="s">
        <v>90</v>
      </c>
      <c r="V829" s="72" t="str">
        <f t="shared" si="12"/>
        <v>IA_GREENE</v>
      </c>
      <c r="AJ829" s="1" t="s">
        <v>92</v>
      </c>
      <c r="AK829" s="1" t="s">
        <v>240</v>
      </c>
      <c r="AL829" s="1" t="s">
        <v>6122</v>
      </c>
      <c r="AM829" s="1" t="s">
        <v>3545</v>
      </c>
    </row>
    <row r="830" spans="20:39" x14ac:dyDescent="0.2">
      <c r="T830" s="29" t="s">
        <v>684</v>
      </c>
      <c r="U830" s="69" t="s">
        <v>90</v>
      </c>
      <c r="V830" s="72" t="str">
        <f t="shared" si="12"/>
        <v>IA_GRUNDY</v>
      </c>
      <c r="AJ830" s="1" t="s">
        <v>92</v>
      </c>
      <c r="AK830" s="1" t="s">
        <v>241</v>
      </c>
      <c r="AL830" s="1" t="s">
        <v>6123</v>
      </c>
      <c r="AM830" s="1" t="s">
        <v>9163</v>
      </c>
    </row>
    <row r="831" spans="20:39" x14ac:dyDescent="0.2">
      <c r="T831" s="28" t="s">
        <v>779</v>
      </c>
      <c r="U831" s="68" t="s">
        <v>90</v>
      </c>
      <c r="V831" s="72" t="str">
        <f t="shared" si="12"/>
        <v>IA_GUTHRIE</v>
      </c>
      <c r="AJ831" s="1" t="s">
        <v>92</v>
      </c>
      <c r="AK831" s="1" t="s">
        <v>700</v>
      </c>
      <c r="AL831" s="1" t="s">
        <v>6124</v>
      </c>
      <c r="AM831" s="1" t="s">
        <v>3546</v>
      </c>
    </row>
    <row r="832" spans="20:39" x14ac:dyDescent="0.2">
      <c r="T832" s="29" t="s">
        <v>491</v>
      </c>
      <c r="U832" s="69" t="s">
        <v>90</v>
      </c>
      <c r="V832" s="72" t="str">
        <f t="shared" si="12"/>
        <v>IA_HAMILTON</v>
      </c>
      <c r="AJ832" s="1" t="s">
        <v>92</v>
      </c>
      <c r="AK832" s="1" t="s">
        <v>701</v>
      </c>
      <c r="AL832" s="1" t="s">
        <v>6125</v>
      </c>
      <c r="AM832" s="1" t="s">
        <v>9164</v>
      </c>
    </row>
    <row r="833" spans="20:39" x14ac:dyDescent="0.2">
      <c r="T833" s="28" t="s">
        <v>573</v>
      </c>
      <c r="U833" s="68" t="s">
        <v>90</v>
      </c>
      <c r="V833" s="72" t="str">
        <f t="shared" si="12"/>
        <v>IA_HANCOCK</v>
      </c>
      <c r="AJ833" s="1" t="s">
        <v>92</v>
      </c>
      <c r="AK833" s="1" t="s">
        <v>696</v>
      </c>
      <c r="AL833" s="1" t="s">
        <v>6126</v>
      </c>
      <c r="AM833" s="1" t="s">
        <v>3547</v>
      </c>
    </row>
    <row r="834" spans="20:39" x14ac:dyDescent="0.2">
      <c r="T834" s="29" t="s">
        <v>685</v>
      </c>
      <c r="U834" s="69" t="s">
        <v>90</v>
      </c>
      <c r="V834" s="72" t="str">
        <f t="shared" si="12"/>
        <v>IA_HARDIN</v>
      </c>
      <c r="AJ834" s="1" t="s">
        <v>92</v>
      </c>
      <c r="AK834" s="1" t="s">
        <v>697</v>
      </c>
      <c r="AL834" s="1" t="s">
        <v>6127</v>
      </c>
      <c r="AM834" s="1" t="s">
        <v>3509</v>
      </c>
    </row>
    <row r="835" spans="20:39" x14ac:dyDescent="0.2">
      <c r="T835" s="28" t="s">
        <v>732</v>
      </c>
      <c r="U835" s="68" t="s">
        <v>90</v>
      </c>
      <c r="V835" s="72" t="str">
        <f t="shared" si="12"/>
        <v>IA_HARRISON</v>
      </c>
      <c r="AJ835" s="1" t="s">
        <v>92</v>
      </c>
      <c r="AK835" s="1" t="s">
        <v>698</v>
      </c>
      <c r="AL835" s="1" t="s">
        <v>6128</v>
      </c>
      <c r="AM835" s="1" t="s">
        <v>3502</v>
      </c>
    </row>
    <row r="836" spans="20:39" x14ac:dyDescent="0.2">
      <c r="T836" s="29" t="s">
        <v>227</v>
      </c>
      <c r="U836" s="69" t="s">
        <v>90</v>
      </c>
      <c r="V836" s="72" t="str">
        <f t="shared" si="12"/>
        <v>IA_HENRY</v>
      </c>
      <c r="AJ836" s="1" t="s">
        <v>92</v>
      </c>
      <c r="AK836" s="1" t="s">
        <v>702</v>
      </c>
      <c r="AL836" s="1" t="s">
        <v>6129</v>
      </c>
      <c r="AM836" s="1" t="s">
        <v>3564</v>
      </c>
    </row>
    <row r="837" spans="20:39" x14ac:dyDescent="0.2">
      <c r="T837" s="28" t="s">
        <v>317</v>
      </c>
      <c r="U837" s="68" t="s">
        <v>90</v>
      </c>
      <c r="V837" s="72" t="str">
        <f t="shared" si="12"/>
        <v>IA_HOWARD</v>
      </c>
      <c r="AJ837" s="1" t="s">
        <v>92</v>
      </c>
      <c r="AK837" s="1" t="s">
        <v>703</v>
      </c>
      <c r="AL837" s="1" t="s">
        <v>6130</v>
      </c>
      <c r="AM837" s="1" t="s">
        <v>3396</v>
      </c>
    </row>
    <row r="838" spans="20:39" x14ac:dyDescent="0.2">
      <c r="T838" s="29" t="s">
        <v>361</v>
      </c>
      <c r="U838" s="69" t="s">
        <v>90</v>
      </c>
      <c r="V838" s="72" t="str">
        <f t="shared" si="12"/>
        <v>IA_HUMBOLDT</v>
      </c>
      <c r="AJ838" s="1" t="s">
        <v>92</v>
      </c>
      <c r="AK838" s="1" t="s">
        <v>243</v>
      </c>
      <c r="AL838" s="1" t="s">
        <v>6131</v>
      </c>
      <c r="AM838" s="1" t="s">
        <v>3565</v>
      </c>
    </row>
    <row r="839" spans="20:39" x14ac:dyDescent="0.2">
      <c r="T839" s="28" t="s">
        <v>780</v>
      </c>
      <c r="U839" s="68" t="s">
        <v>90</v>
      </c>
      <c r="V839" s="72" t="str">
        <f t="shared" si="12"/>
        <v>IA_IDA</v>
      </c>
      <c r="AJ839" s="1" t="s">
        <v>92</v>
      </c>
      <c r="AK839" s="1" t="s">
        <v>244</v>
      </c>
      <c r="AL839" s="1" t="s">
        <v>6132</v>
      </c>
      <c r="AM839" s="1" t="s">
        <v>3548</v>
      </c>
    </row>
    <row r="840" spans="20:39" x14ac:dyDescent="0.2">
      <c r="T840" s="29" t="s">
        <v>781</v>
      </c>
      <c r="U840" s="69" t="s">
        <v>90</v>
      </c>
      <c r="V840" s="72" t="str">
        <f t="shared" si="12"/>
        <v>IA_IOWA</v>
      </c>
      <c r="AJ840" s="1" t="s">
        <v>92</v>
      </c>
      <c r="AK840" s="1" t="s">
        <v>245</v>
      </c>
      <c r="AL840" s="1" t="s">
        <v>6133</v>
      </c>
      <c r="AM840" s="1" t="s">
        <v>3549</v>
      </c>
    </row>
    <row r="841" spans="20:39" x14ac:dyDescent="0.2">
      <c r="T841" s="28" t="s">
        <v>229</v>
      </c>
      <c r="U841" s="68" t="s">
        <v>90</v>
      </c>
      <c r="V841" s="72" t="str">
        <f t="shared" si="12"/>
        <v>IA_JACKSON</v>
      </c>
      <c r="AJ841" s="1" t="s">
        <v>92</v>
      </c>
      <c r="AK841" s="1" t="s">
        <v>704</v>
      </c>
      <c r="AL841" s="1" t="s">
        <v>6134</v>
      </c>
      <c r="AM841" s="1" t="s">
        <v>3550</v>
      </c>
    </row>
    <row r="842" spans="20:39" x14ac:dyDescent="0.2">
      <c r="T842" s="29" t="s">
        <v>579</v>
      </c>
      <c r="U842" s="69" t="s">
        <v>90</v>
      </c>
      <c r="V842" s="72" t="str">
        <f t="shared" ref="V842:V905" si="13">UPPER(CONCATENATE(TRIM(U842),"_",TRIM(T842)))</f>
        <v>IA_JASPER</v>
      </c>
      <c r="AJ842" s="1" t="s">
        <v>92</v>
      </c>
      <c r="AK842" s="1" t="s">
        <v>705</v>
      </c>
      <c r="AL842" s="1" t="s">
        <v>6135</v>
      </c>
      <c r="AM842" s="1" t="s">
        <v>3551</v>
      </c>
    </row>
    <row r="843" spans="20:39" x14ac:dyDescent="0.2">
      <c r="T843" s="28" t="s">
        <v>230</v>
      </c>
      <c r="U843" s="68" t="s">
        <v>90</v>
      </c>
      <c r="V843" s="72" t="str">
        <f t="shared" si="13"/>
        <v>IA_JEFFERSON</v>
      </c>
      <c r="AJ843" s="1" t="s">
        <v>92</v>
      </c>
      <c r="AK843" s="1" t="s">
        <v>706</v>
      </c>
      <c r="AL843" s="1" t="s">
        <v>6136</v>
      </c>
      <c r="AM843" s="1" t="s">
        <v>9163</v>
      </c>
    </row>
    <row r="844" spans="20:39" x14ac:dyDescent="0.2">
      <c r="T844" s="29" t="s">
        <v>320</v>
      </c>
      <c r="U844" s="69" t="s">
        <v>90</v>
      </c>
      <c r="V844" s="72" t="str">
        <f t="shared" si="13"/>
        <v>IA_JOHNSON</v>
      </c>
      <c r="AJ844" s="1" t="s">
        <v>92</v>
      </c>
      <c r="AK844" s="1" t="s">
        <v>246</v>
      </c>
      <c r="AL844" s="1" t="s">
        <v>6137</v>
      </c>
      <c r="AM844" s="1" t="s">
        <v>3552</v>
      </c>
    </row>
    <row r="845" spans="20:39" x14ac:dyDescent="0.2">
      <c r="T845" s="28" t="s">
        <v>582</v>
      </c>
      <c r="U845" s="68" t="s">
        <v>90</v>
      </c>
      <c r="V845" s="72" t="str">
        <f t="shared" si="13"/>
        <v>IA_JONES</v>
      </c>
      <c r="AJ845" s="1" t="s">
        <v>92</v>
      </c>
      <c r="AK845" s="1" t="s">
        <v>707</v>
      </c>
      <c r="AL845" s="1" t="s">
        <v>6138</v>
      </c>
      <c r="AM845" s="1" t="s">
        <v>9158</v>
      </c>
    </row>
    <row r="846" spans="20:39" x14ac:dyDescent="0.2">
      <c r="T846" s="29" t="s">
        <v>782</v>
      </c>
      <c r="U846" s="69" t="s">
        <v>90</v>
      </c>
      <c r="V846" s="72" t="str">
        <f t="shared" si="13"/>
        <v>IA_KEOKUK</v>
      </c>
      <c r="AJ846" s="1" t="s">
        <v>92</v>
      </c>
      <c r="AK846" s="1" t="s">
        <v>248</v>
      </c>
      <c r="AL846" s="1" t="s">
        <v>6139</v>
      </c>
      <c r="AM846" s="1" t="s">
        <v>3553</v>
      </c>
    </row>
    <row r="847" spans="20:39" x14ac:dyDescent="0.2">
      <c r="T847" s="28" t="s">
        <v>783</v>
      </c>
      <c r="U847" s="68" t="s">
        <v>90</v>
      </c>
      <c r="V847" s="72" t="str">
        <f t="shared" si="13"/>
        <v>IA_KOSSUTH</v>
      </c>
      <c r="AJ847" s="1" t="s">
        <v>92</v>
      </c>
      <c r="AK847" s="1" t="s">
        <v>334</v>
      </c>
      <c r="AL847" s="1" t="s">
        <v>6140</v>
      </c>
      <c r="AM847" s="1" t="s">
        <v>3554</v>
      </c>
    </row>
    <row r="848" spans="20:39" x14ac:dyDescent="0.2">
      <c r="T848" s="29" t="s">
        <v>234</v>
      </c>
      <c r="U848" s="69" t="s">
        <v>90</v>
      </c>
      <c r="V848" s="72" t="str">
        <f t="shared" si="13"/>
        <v>IA_LEE</v>
      </c>
      <c r="AJ848" s="1" t="s">
        <v>92</v>
      </c>
      <c r="AK848" s="1" t="s">
        <v>336</v>
      </c>
      <c r="AL848" s="1" t="s">
        <v>6141</v>
      </c>
      <c r="AM848" s="1" t="s">
        <v>3555</v>
      </c>
    </row>
    <row r="849" spans="20:39" x14ac:dyDescent="0.2">
      <c r="T849" s="28" t="s">
        <v>784</v>
      </c>
      <c r="U849" s="68" t="s">
        <v>90</v>
      </c>
      <c r="V849" s="72" t="str">
        <f t="shared" si="13"/>
        <v>IA_LINN</v>
      </c>
      <c r="AJ849" s="1" t="s">
        <v>92</v>
      </c>
      <c r="AK849" s="1" t="s">
        <v>511</v>
      </c>
      <c r="AL849" s="1" t="s">
        <v>6142</v>
      </c>
      <c r="AM849" s="1" t="s">
        <v>3556</v>
      </c>
    </row>
    <row r="850" spans="20:39" x14ac:dyDescent="0.2">
      <c r="T850" s="29" t="s">
        <v>785</v>
      </c>
      <c r="U850" s="69" t="s">
        <v>90</v>
      </c>
      <c r="V850" s="72" t="str">
        <f t="shared" si="13"/>
        <v>IA_LOUISA</v>
      </c>
      <c r="AJ850" s="1" t="s">
        <v>92</v>
      </c>
      <c r="AK850" s="1" t="s">
        <v>249</v>
      </c>
      <c r="AL850" s="1" t="s">
        <v>6143</v>
      </c>
      <c r="AM850" s="1" t="s">
        <v>3557</v>
      </c>
    </row>
    <row r="851" spans="20:39" x14ac:dyDescent="0.2">
      <c r="T851" s="28" t="s">
        <v>786</v>
      </c>
      <c r="U851" s="68" t="s">
        <v>90</v>
      </c>
      <c r="V851" s="72" t="str">
        <f t="shared" si="13"/>
        <v>IA_LUCAS</v>
      </c>
      <c r="AJ851" s="1" t="s">
        <v>92</v>
      </c>
      <c r="AK851" s="1" t="s">
        <v>708</v>
      </c>
      <c r="AL851" s="1" t="s">
        <v>6144</v>
      </c>
      <c r="AM851" s="1" t="s">
        <v>3558</v>
      </c>
    </row>
    <row r="852" spans="20:39" x14ac:dyDescent="0.2">
      <c r="T852" s="29" t="s">
        <v>787</v>
      </c>
      <c r="U852" s="69" t="s">
        <v>90</v>
      </c>
      <c r="V852" s="72" t="str">
        <f t="shared" si="13"/>
        <v>IA_LYON</v>
      </c>
      <c r="AJ852" s="1" t="s">
        <v>92</v>
      </c>
      <c r="AK852" s="1" t="s">
        <v>709</v>
      </c>
      <c r="AL852" s="1" t="s">
        <v>6145</v>
      </c>
      <c r="AM852" s="1" t="s">
        <v>3396</v>
      </c>
    </row>
    <row r="853" spans="20:39" x14ac:dyDescent="0.2">
      <c r="T853" s="28" t="s">
        <v>238</v>
      </c>
      <c r="U853" s="68" t="s">
        <v>90</v>
      </c>
      <c r="V853" s="72" t="str">
        <f t="shared" si="13"/>
        <v>IA_MADISON</v>
      </c>
      <c r="AJ853" s="1" t="s">
        <v>92</v>
      </c>
      <c r="AK853" s="1" t="s">
        <v>338</v>
      </c>
      <c r="AL853" s="1" t="s">
        <v>6146</v>
      </c>
      <c r="AM853" s="1" t="s">
        <v>3560</v>
      </c>
    </row>
    <row r="854" spans="20:39" x14ac:dyDescent="0.2">
      <c r="T854" s="29" t="s">
        <v>788</v>
      </c>
      <c r="U854" s="69" t="s">
        <v>90</v>
      </c>
      <c r="V854" s="72" t="str">
        <f t="shared" si="13"/>
        <v>IA_MAHASKA</v>
      </c>
      <c r="AJ854" s="1" t="s">
        <v>92</v>
      </c>
      <c r="AK854" s="1" t="s">
        <v>710</v>
      </c>
      <c r="AL854" s="1" t="s">
        <v>6147</v>
      </c>
      <c r="AM854" s="1" t="s">
        <v>3564</v>
      </c>
    </row>
    <row r="855" spans="20:39" x14ac:dyDescent="0.2">
      <c r="T855" s="28" t="s">
        <v>240</v>
      </c>
      <c r="U855" s="68" t="s">
        <v>90</v>
      </c>
      <c r="V855" s="72" t="str">
        <f t="shared" si="13"/>
        <v>IA_MARION</v>
      </c>
      <c r="AJ855" s="1" t="s">
        <v>92</v>
      </c>
      <c r="AK855" s="1" t="s">
        <v>711</v>
      </c>
      <c r="AL855" s="1" t="s">
        <v>6148</v>
      </c>
      <c r="AM855" s="1" t="s">
        <v>3561</v>
      </c>
    </row>
    <row r="856" spans="20:39" x14ac:dyDescent="0.2">
      <c r="T856" s="29" t="s">
        <v>241</v>
      </c>
      <c r="U856" s="69" t="s">
        <v>90</v>
      </c>
      <c r="V856" s="72" t="str">
        <f t="shared" si="13"/>
        <v>IA_MARSHALL</v>
      </c>
      <c r="AJ856" s="1" t="s">
        <v>92</v>
      </c>
      <c r="AK856" s="1" t="s">
        <v>339</v>
      </c>
      <c r="AL856" s="1" t="s">
        <v>6149</v>
      </c>
      <c r="AM856" s="1" t="s">
        <v>3562</v>
      </c>
    </row>
    <row r="857" spans="20:39" x14ac:dyDescent="0.2">
      <c r="T857" s="28" t="s">
        <v>789</v>
      </c>
      <c r="U857" s="68" t="s">
        <v>90</v>
      </c>
      <c r="V857" s="72" t="str">
        <f t="shared" si="13"/>
        <v>IA_MILLS</v>
      </c>
      <c r="AJ857" s="1" t="s">
        <v>92</v>
      </c>
      <c r="AK857" s="1" t="s">
        <v>252</v>
      </c>
      <c r="AL857" s="1" t="s">
        <v>6150</v>
      </c>
      <c r="AM857" s="1" t="s">
        <v>3563</v>
      </c>
    </row>
    <row r="858" spans="20:39" x14ac:dyDescent="0.2">
      <c r="T858" s="29" t="s">
        <v>590</v>
      </c>
      <c r="U858" s="69" t="s">
        <v>90</v>
      </c>
      <c r="V858" s="72" t="str">
        <f t="shared" si="13"/>
        <v>IA_MITCHELL</v>
      </c>
      <c r="AJ858" s="1" t="s">
        <v>92</v>
      </c>
      <c r="AK858" s="1" t="s">
        <v>251</v>
      </c>
      <c r="AL858" s="1" t="s">
        <v>6151</v>
      </c>
      <c r="AM858" s="1" t="s">
        <v>3565</v>
      </c>
    </row>
    <row r="859" spans="20:39" x14ac:dyDescent="0.2">
      <c r="T859" s="28" t="s">
        <v>790</v>
      </c>
      <c r="U859" s="68" t="s">
        <v>90</v>
      </c>
      <c r="V859" s="72" t="str">
        <f t="shared" si="13"/>
        <v>IA_MONONA</v>
      </c>
      <c r="AJ859" s="1" t="s">
        <v>92</v>
      </c>
      <c r="AK859" s="1" t="s">
        <v>712</v>
      </c>
      <c r="AL859" s="1" t="s">
        <v>6152</v>
      </c>
      <c r="AM859" s="1" t="s">
        <v>9163</v>
      </c>
    </row>
    <row r="860" spans="20:39" x14ac:dyDescent="0.2">
      <c r="T860" s="29" t="s">
        <v>243</v>
      </c>
      <c r="U860" s="69" t="s">
        <v>90</v>
      </c>
      <c r="V860" s="72" t="str">
        <f t="shared" si="13"/>
        <v>IA_MONROE</v>
      </c>
      <c r="AJ860" s="1" t="s">
        <v>92</v>
      </c>
      <c r="AK860" s="1" t="s">
        <v>713</v>
      </c>
      <c r="AL860" s="1" t="s">
        <v>6153</v>
      </c>
      <c r="AM860" s="1" t="s">
        <v>3566</v>
      </c>
    </row>
    <row r="861" spans="20:39" x14ac:dyDescent="0.2">
      <c r="T861" s="28" t="s">
        <v>244</v>
      </c>
      <c r="U861" s="68" t="s">
        <v>90</v>
      </c>
      <c r="V861" s="72" t="str">
        <f t="shared" si="13"/>
        <v>IA_MONTGOMERY</v>
      </c>
      <c r="AJ861" s="1" t="s">
        <v>92</v>
      </c>
      <c r="AK861" s="1" t="s">
        <v>714</v>
      </c>
      <c r="AL861" s="1" t="s">
        <v>6154</v>
      </c>
      <c r="AM861" s="1" t="s">
        <v>9163</v>
      </c>
    </row>
    <row r="862" spans="20:39" x14ac:dyDescent="0.2">
      <c r="T862" s="29" t="s">
        <v>791</v>
      </c>
      <c r="U862" s="69" t="s">
        <v>90</v>
      </c>
      <c r="V862" s="72" t="str">
        <f t="shared" si="13"/>
        <v>IA_MUSCATINE</v>
      </c>
      <c r="AJ862" s="1" t="s">
        <v>92</v>
      </c>
      <c r="AK862" s="1" t="s">
        <v>345</v>
      </c>
      <c r="AL862" s="1" t="s">
        <v>6155</v>
      </c>
      <c r="AM862" s="1" t="s">
        <v>3567</v>
      </c>
    </row>
    <row r="863" spans="20:39" x14ac:dyDescent="0.2">
      <c r="T863" s="28" t="s">
        <v>792</v>
      </c>
      <c r="U863" s="68" t="s">
        <v>90</v>
      </c>
      <c r="V863" s="72" t="str">
        <f t="shared" si="13"/>
        <v>IA_O'BRIEN</v>
      </c>
      <c r="AJ863" s="1" t="s">
        <v>92</v>
      </c>
      <c r="AK863" s="1" t="s">
        <v>715</v>
      </c>
      <c r="AL863" s="1" t="s">
        <v>6156</v>
      </c>
      <c r="AM863" s="1" t="s">
        <v>9165</v>
      </c>
    </row>
    <row r="864" spans="20:39" x14ac:dyDescent="0.2">
      <c r="T864" s="29" t="s">
        <v>507</v>
      </c>
      <c r="U864" s="69" t="s">
        <v>90</v>
      </c>
      <c r="V864" s="72" t="str">
        <f t="shared" si="13"/>
        <v>IA_OSCEOLA</v>
      </c>
      <c r="AJ864" s="1" t="s">
        <v>92</v>
      </c>
      <c r="AK864" s="1" t="s">
        <v>716</v>
      </c>
      <c r="AL864" s="1" t="s">
        <v>6157</v>
      </c>
      <c r="AM864" s="1" t="s">
        <v>3568</v>
      </c>
    </row>
    <row r="865" spans="20:39" x14ac:dyDescent="0.2">
      <c r="T865" s="28" t="s">
        <v>793</v>
      </c>
      <c r="U865" s="68" t="s">
        <v>90</v>
      </c>
      <c r="V865" s="72" t="str">
        <f t="shared" si="13"/>
        <v>IA_PAGE</v>
      </c>
      <c r="AJ865" s="1" t="s">
        <v>92</v>
      </c>
      <c r="AK865" s="1" t="s">
        <v>622</v>
      </c>
      <c r="AL865" s="1" t="s">
        <v>6158</v>
      </c>
      <c r="AM865" s="1" t="s">
        <v>3569</v>
      </c>
    </row>
    <row r="866" spans="20:39" x14ac:dyDescent="0.2">
      <c r="T866" s="29" t="s">
        <v>794</v>
      </c>
      <c r="U866" s="69" t="s">
        <v>90</v>
      </c>
      <c r="V866" s="72" t="str">
        <f t="shared" si="13"/>
        <v>IA_PALO ALTO</v>
      </c>
      <c r="AJ866" s="1" t="s">
        <v>92</v>
      </c>
      <c r="AK866" s="1" t="s">
        <v>258</v>
      </c>
      <c r="AL866" s="1" t="s">
        <v>6159</v>
      </c>
      <c r="AM866" s="1" t="s">
        <v>3570</v>
      </c>
    </row>
    <row r="867" spans="20:39" x14ac:dyDescent="0.2">
      <c r="T867" s="28" t="s">
        <v>795</v>
      </c>
      <c r="U867" s="68" t="s">
        <v>90</v>
      </c>
      <c r="V867" s="72" t="str">
        <f t="shared" si="13"/>
        <v>IA_PLYMOUTH</v>
      </c>
      <c r="AJ867" s="1" t="s">
        <v>92</v>
      </c>
      <c r="AK867" s="1" t="s">
        <v>623</v>
      </c>
      <c r="AL867" s="1" t="s">
        <v>6160</v>
      </c>
      <c r="AM867" s="1" t="s">
        <v>3571</v>
      </c>
    </row>
    <row r="868" spans="20:39" x14ac:dyDescent="0.2">
      <c r="T868" s="29" t="s">
        <v>796</v>
      </c>
      <c r="U868" s="69" t="s">
        <v>90</v>
      </c>
      <c r="V868" s="72" t="str">
        <f t="shared" si="13"/>
        <v>IA_POCAHONTAS</v>
      </c>
      <c r="AJ868" s="1" t="s">
        <v>92</v>
      </c>
      <c r="AK868" s="1" t="s">
        <v>347</v>
      </c>
      <c r="AL868" s="1" t="s">
        <v>6161</v>
      </c>
      <c r="AM868" s="1" t="s">
        <v>3572</v>
      </c>
    </row>
    <row r="869" spans="20:39" x14ac:dyDescent="0.2">
      <c r="T869" s="28" t="s">
        <v>333</v>
      </c>
      <c r="U869" s="68" t="s">
        <v>90</v>
      </c>
      <c r="V869" s="72" t="str">
        <f t="shared" si="13"/>
        <v>IA_POLK</v>
      </c>
      <c r="AJ869" s="1" t="s">
        <v>92</v>
      </c>
      <c r="AK869" s="1" t="s">
        <v>717</v>
      </c>
      <c r="AL869" s="1" t="s">
        <v>6162</v>
      </c>
      <c r="AM869" s="1" t="s">
        <v>3573</v>
      </c>
    </row>
    <row r="870" spans="20:39" x14ac:dyDescent="0.2">
      <c r="T870" s="29" t="s">
        <v>797</v>
      </c>
      <c r="U870" s="69" t="s">
        <v>90</v>
      </c>
      <c r="V870" s="72" t="str">
        <f t="shared" si="13"/>
        <v>IA_POTTAWATTAMIE</v>
      </c>
      <c r="AJ870" s="1" t="s">
        <v>92</v>
      </c>
      <c r="AK870" s="1" t="s">
        <v>718</v>
      </c>
      <c r="AL870" s="1" t="s">
        <v>6163</v>
      </c>
      <c r="AM870" s="1" t="s">
        <v>3509</v>
      </c>
    </row>
    <row r="871" spans="20:39" x14ac:dyDescent="0.2">
      <c r="T871" s="28" t="s">
        <v>798</v>
      </c>
      <c r="U871" s="68" t="s">
        <v>90</v>
      </c>
      <c r="V871" s="72" t="str">
        <f t="shared" si="13"/>
        <v>IA_POWESHIEK</v>
      </c>
      <c r="AJ871" s="1" t="s">
        <v>92</v>
      </c>
      <c r="AK871" s="1" t="s">
        <v>719</v>
      </c>
      <c r="AL871" s="1" t="s">
        <v>6164</v>
      </c>
      <c r="AM871" s="1" t="s">
        <v>9166</v>
      </c>
    </row>
    <row r="872" spans="20:39" x14ac:dyDescent="0.2">
      <c r="T872" s="29" t="s">
        <v>799</v>
      </c>
      <c r="U872" s="69" t="s">
        <v>90</v>
      </c>
      <c r="V872" s="72" t="str">
        <f t="shared" si="13"/>
        <v>IA_RINGGOLD</v>
      </c>
      <c r="AJ872" s="1" t="s">
        <v>92</v>
      </c>
      <c r="AK872" s="1" t="s">
        <v>720</v>
      </c>
      <c r="AL872" s="1" t="s">
        <v>6165</v>
      </c>
      <c r="AM872" s="1" t="s">
        <v>3559</v>
      </c>
    </row>
    <row r="873" spans="20:39" x14ac:dyDescent="0.2">
      <c r="T873" s="28" t="s">
        <v>800</v>
      </c>
      <c r="U873" s="68" t="s">
        <v>90</v>
      </c>
      <c r="V873" s="72" t="str">
        <f t="shared" si="13"/>
        <v>IA_SAC</v>
      </c>
      <c r="AJ873" s="1" t="s">
        <v>92</v>
      </c>
      <c r="AK873" s="1" t="s">
        <v>721</v>
      </c>
      <c r="AL873" s="1" t="s">
        <v>6166</v>
      </c>
      <c r="AM873" s="1" t="s">
        <v>9163</v>
      </c>
    </row>
    <row r="874" spans="20:39" x14ac:dyDescent="0.2">
      <c r="T874" s="29" t="s">
        <v>339</v>
      </c>
      <c r="U874" s="69" t="s">
        <v>90</v>
      </c>
      <c r="V874" s="72" t="str">
        <f t="shared" si="13"/>
        <v>IA_SCOTT</v>
      </c>
      <c r="AJ874" s="1" t="s">
        <v>91</v>
      </c>
      <c r="AK874" s="1" t="s">
        <v>406</v>
      </c>
      <c r="AL874" s="1" t="s">
        <v>6167</v>
      </c>
      <c r="AM874" s="1" t="s">
        <v>3574</v>
      </c>
    </row>
    <row r="875" spans="20:39" x14ac:dyDescent="0.2">
      <c r="T875" s="28" t="s">
        <v>252</v>
      </c>
      <c r="U875" s="68" t="s">
        <v>90</v>
      </c>
      <c r="V875" s="72" t="str">
        <f t="shared" si="13"/>
        <v>IA_SHELBY</v>
      </c>
      <c r="AJ875" s="1" t="s">
        <v>91</v>
      </c>
      <c r="AK875" s="1" t="s">
        <v>722</v>
      </c>
      <c r="AL875" s="1" t="s">
        <v>6168</v>
      </c>
      <c r="AM875" s="1" t="s">
        <v>9167</v>
      </c>
    </row>
    <row r="876" spans="20:39" x14ac:dyDescent="0.2">
      <c r="T876" s="29" t="s">
        <v>801</v>
      </c>
      <c r="U876" s="69" t="s">
        <v>90</v>
      </c>
      <c r="V876" s="72" t="str">
        <f t="shared" si="13"/>
        <v>IA_SIOUX</v>
      </c>
      <c r="AJ876" s="1" t="s">
        <v>91</v>
      </c>
      <c r="AK876" s="1" t="s">
        <v>723</v>
      </c>
      <c r="AL876" s="1" t="s">
        <v>6169</v>
      </c>
      <c r="AM876" s="1" t="s">
        <v>3582</v>
      </c>
    </row>
    <row r="877" spans="20:39" x14ac:dyDescent="0.2">
      <c r="T877" s="28" t="s">
        <v>802</v>
      </c>
      <c r="U877" s="68" t="s">
        <v>90</v>
      </c>
      <c r="V877" s="72" t="str">
        <f t="shared" si="13"/>
        <v>IA_STORY</v>
      </c>
      <c r="AJ877" s="1" t="s">
        <v>91</v>
      </c>
      <c r="AK877" s="1" t="s">
        <v>296</v>
      </c>
      <c r="AL877" s="1" t="s">
        <v>6170</v>
      </c>
      <c r="AM877" s="1" t="s">
        <v>3608</v>
      </c>
    </row>
    <row r="878" spans="20:39" x14ac:dyDescent="0.2">
      <c r="T878" s="29" t="s">
        <v>803</v>
      </c>
      <c r="U878" s="69" t="s">
        <v>90</v>
      </c>
      <c r="V878" s="72" t="str">
        <f t="shared" si="13"/>
        <v>IA_TAMA</v>
      </c>
      <c r="AJ878" s="1" t="s">
        <v>91</v>
      </c>
      <c r="AK878" s="1" t="s">
        <v>724</v>
      </c>
      <c r="AL878" s="1" t="s">
        <v>6171</v>
      </c>
      <c r="AM878" s="1" t="s">
        <v>3576</v>
      </c>
    </row>
    <row r="879" spans="20:39" x14ac:dyDescent="0.2">
      <c r="T879" s="28" t="s">
        <v>518</v>
      </c>
      <c r="U879" s="68" t="s">
        <v>90</v>
      </c>
      <c r="V879" s="72" t="str">
        <f t="shared" si="13"/>
        <v>IA_TAYLOR</v>
      </c>
      <c r="AJ879" s="1" t="s">
        <v>91</v>
      </c>
      <c r="AK879" s="1" t="s">
        <v>297</v>
      </c>
      <c r="AL879" s="1" t="s">
        <v>6172</v>
      </c>
      <c r="AM879" s="1" t="s">
        <v>3599</v>
      </c>
    </row>
    <row r="880" spans="20:39" x14ac:dyDescent="0.2">
      <c r="T880" s="29" t="s">
        <v>345</v>
      </c>
      <c r="U880" s="69" t="s">
        <v>90</v>
      </c>
      <c r="V880" s="72" t="str">
        <f t="shared" si="13"/>
        <v>IA_UNION</v>
      </c>
      <c r="AJ880" s="1" t="s">
        <v>91</v>
      </c>
      <c r="AK880" s="1" t="s">
        <v>670</v>
      </c>
      <c r="AL880" s="1" t="s">
        <v>6173</v>
      </c>
      <c r="AM880" s="1" t="s">
        <v>3599</v>
      </c>
    </row>
    <row r="881" spans="20:39" x14ac:dyDescent="0.2">
      <c r="T881" s="28" t="s">
        <v>346</v>
      </c>
      <c r="U881" s="68" t="s">
        <v>90</v>
      </c>
      <c r="V881" s="72" t="str">
        <f t="shared" si="13"/>
        <v>IA_VAN BUREN</v>
      </c>
      <c r="AJ881" s="1" t="s">
        <v>91</v>
      </c>
      <c r="AK881" s="1" t="s">
        <v>299</v>
      </c>
      <c r="AL881" s="1" t="s">
        <v>6174</v>
      </c>
      <c r="AM881" s="1" t="s">
        <v>3578</v>
      </c>
    </row>
    <row r="882" spans="20:39" x14ac:dyDescent="0.2">
      <c r="T882" s="29" t="s">
        <v>804</v>
      </c>
      <c r="U882" s="69" t="s">
        <v>90</v>
      </c>
      <c r="V882" s="72" t="str">
        <f t="shared" si="13"/>
        <v>IA_WAPELLO</v>
      </c>
      <c r="AJ882" s="1" t="s">
        <v>91</v>
      </c>
      <c r="AK882" s="1" t="s">
        <v>672</v>
      </c>
      <c r="AL882" s="1" t="s">
        <v>6175</v>
      </c>
      <c r="AM882" s="1" t="s">
        <v>3579</v>
      </c>
    </row>
    <row r="883" spans="20:39" x14ac:dyDescent="0.2">
      <c r="T883" s="28" t="s">
        <v>622</v>
      </c>
      <c r="U883" s="68" t="s">
        <v>90</v>
      </c>
      <c r="V883" s="72" t="str">
        <f t="shared" si="13"/>
        <v>IA_WARREN</v>
      </c>
      <c r="AJ883" s="1" t="s">
        <v>91</v>
      </c>
      <c r="AK883" s="1" t="s">
        <v>301</v>
      </c>
      <c r="AL883" s="1" t="s">
        <v>6176</v>
      </c>
      <c r="AM883" s="1" t="s">
        <v>3611</v>
      </c>
    </row>
    <row r="884" spans="20:39" x14ac:dyDescent="0.2">
      <c r="T884" s="29" t="s">
        <v>258</v>
      </c>
      <c r="U884" s="69" t="s">
        <v>90</v>
      </c>
      <c r="V884" s="72" t="str">
        <f t="shared" si="13"/>
        <v>IA_WASHINGTON</v>
      </c>
      <c r="AJ884" s="1" t="s">
        <v>91</v>
      </c>
      <c r="AK884" s="1" t="s">
        <v>207</v>
      </c>
      <c r="AL884" s="1" t="s">
        <v>6177</v>
      </c>
      <c r="AM884" s="1" t="s">
        <v>3634</v>
      </c>
    </row>
    <row r="885" spans="20:39" x14ac:dyDescent="0.2">
      <c r="T885" s="28" t="s">
        <v>623</v>
      </c>
      <c r="U885" s="68" t="s">
        <v>90</v>
      </c>
      <c r="V885" s="72" t="str">
        <f t="shared" si="13"/>
        <v>IA_WAYNE</v>
      </c>
      <c r="AJ885" s="1" t="s">
        <v>91</v>
      </c>
      <c r="AK885" s="1" t="s">
        <v>675</v>
      </c>
      <c r="AL885" s="1" t="s">
        <v>6178</v>
      </c>
      <c r="AM885" s="1" t="s">
        <v>3581</v>
      </c>
    </row>
    <row r="886" spans="20:39" x14ac:dyDescent="0.2">
      <c r="T886" s="29" t="s">
        <v>624</v>
      </c>
      <c r="U886" s="69" t="s">
        <v>90</v>
      </c>
      <c r="V886" s="72" t="str">
        <f t="shared" si="13"/>
        <v>IA_WEBSTER</v>
      </c>
      <c r="AJ886" s="1" t="s">
        <v>91</v>
      </c>
      <c r="AK886" s="1" t="s">
        <v>306</v>
      </c>
      <c r="AL886" s="1" t="s">
        <v>6179</v>
      </c>
      <c r="AM886" s="1" t="s">
        <v>3583</v>
      </c>
    </row>
    <row r="887" spans="20:39" x14ac:dyDescent="0.2">
      <c r="T887" s="28" t="s">
        <v>720</v>
      </c>
      <c r="U887" s="68" t="s">
        <v>90</v>
      </c>
      <c r="V887" s="72" t="str">
        <f t="shared" si="13"/>
        <v>IA_WINNEBAGO</v>
      </c>
      <c r="AJ887" s="1" t="s">
        <v>91</v>
      </c>
      <c r="AK887" s="1" t="s">
        <v>725</v>
      </c>
      <c r="AL887" s="1" t="s">
        <v>6180</v>
      </c>
      <c r="AM887" s="1" t="s">
        <v>3584</v>
      </c>
    </row>
    <row r="888" spans="20:39" x14ac:dyDescent="0.2">
      <c r="T888" s="29" t="s">
        <v>805</v>
      </c>
      <c r="U888" s="69" t="s">
        <v>90</v>
      </c>
      <c r="V888" s="72" t="str">
        <f t="shared" si="13"/>
        <v>IA_WINNESHIEK</v>
      </c>
      <c r="AJ888" s="1" t="s">
        <v>91</v>
      </c>
      <c r="AK888" s="1" t="s">
        <v>553</v>
      </c>
      <c r="AL888" s="1" t="s">
        <v>6181</v>
      </c>
      <c r="AM888" s="1" t="s">
        <v>3586</v>
      </c>
    </row>
    <row r="889" spans="20:39" x14ac:dyDescent="0.2">
      <c r="T889" s="28" t="s">
        <v>806</v>
      </c>
      <c r="U889" s="68" t="s">
        <v>90</v>
      </c>
      <c r="V889" s="72" t="str">
        <f t="shared" si="13"/>
        <v>IA_WOODBURY</v>
      </c>
      <c r="AJ889" s="1" t="s">
        <v>91</v>
      </c>
      <c r="AK889" s="1" t="s">
        <v>726</v>
      </c>
      <c r="AL889" s="1" t="s">
        <v>6182</v>
      </c>
      <c r="AM889" s="1" t="s">
        <v>3580</v>
      </c>
    </row>
    <row r="890" spans="20:39" x14ac:dyDescent="0.2">
      <c r="T890" s="29" t="s">
        <v>629</v>
      </c>
      <c r="U890" s="69" t="s">
        <v>90</v>
      </c>
      <c r="V890" s="72" t="str">
        <f t="shared" si="13"/>
        <v>IA_WORTH</v>
      </c>
      <c r="AJ890" s="1" t="s">
        <v>91</v>
      </c>
      <c r="AK890" s="1" t="s">
        <v>552</v>
      </c>
      <c r="AL890" s="1" t="s">
        <v>6183</v>
      </c>
      <c r="AM890" s="1" t="s">
        <v>3585</v>
      </c>
    </row>
    <row r="891" spans="20:39" x14ac:dyDescent="0.2">
      <c r="T891" s="28" t="s">
        <v>807</v>
      </c>
      <c r="U891" s="68" t="s">
        <v>90</v>
      </c>
      <c r="V891" s="72" t="str">
        <f t="shared" si="13"/>
        <v>IA_WRIGHT</v>
      </c>
      <c r="AJ891" s="1" t="s">
        <v>91</v>
      </c>
      <c r="AK891" s="1" t="s">
        <v>727</v>
      </c>
      <c r="AL891" s="1" t="s">
        <v>6184</v>
      </c>
      <c r="AM891" s="1" t="s">
        <v>3617</v>
      </c>
    </row>
    <row r="892" spans="20:39" x14ac:dyDescent="0.2">
      <c r="T892" s="29" t="s">
        <v>722</v>
      </c>
      <c r="U892" s="69" t="s">
        <v>89</v>
      </c>
      <c r="V892" s="72" t="str">
        <f t="shared" si="13"/>
        <v>KS_ALLEN</v>
      </c>
      <c r="AJ892" s="1" t="s">
        <v>91</v>
      </c>
      <c r="AK892" s="1" t="s">
        <v>728</v>
      </c>
      <c r="AL892" s="1" t="s">
        <v>6185</v>
      </c>
      <c r="AM892" s="1" t="s">
        <v>3587</v>
      </c>
    </row>
    <row r="893" spans="20:39" x14ac:dyDescent="0.2">
      <c r="T893" s="28" t="s">
        <v>808</v>
      </c>
      <c r="U893" s="68" t="s">
        <v>89</v>
      </c>
      <c r="V893" s="72" t="str">
        <f t="shared" si="13"/>
        <v>KS_ANDERSON</v>
      </c>
      <c r="AJ893" s="1" t="s">
        <v>91</v>
      </c>
      <c r="AK893" s="1" t="s">
        <v>729</v>
      </c>
      <c r="AL893" s="1" t="s">
        <v>6186</v>
      </c>
      <c r="AM893" s="1" t="s">
        <v>3588</v>
      </c>
    </row>
    <row r="894" spans="20:39" x14ac:dyDescent="0.2">
      <c r="T894" s="29" t="s">
        <v>809</v>
      </c>
      <c r="U894" s="69" t="s">
        <v>89</v>
      </c>
      <c r="V894" s="72" t="str">
        <f t="shared" si="13"/>
        <v>KS_ATCHISON</v>
      </c>
      <c r="AJ894" s="1" t="s">
        <v>91</v>
      </c>
      <c r="AK894" s="1" t="s">
        <v>222</v>
      </c>
      <c r="AL894" s="1" t="s">
        <v>6187</v>
      </c>
      <c r="AM894" s="1" t="s">
        <v>3589</v>
      </c>
    </row>
    <row r="895" spans="20:39" x14ac:dyDescent="0.2">
      <c r="T895" s="28" t="s">
        <v>810</v>
      </c>
      <c r="U895" s="68" t="s">
        <v>89</v>
      </c>
      <c r="V895" s="72" t="str">
        <f t="shared" si="13"/>
        <v>KS_BARBER</v>
      </c>
      <c r="AJ895" s="1" t="s">
        <v>91</v>
      </c>
      <c r="AK895" s="1" t="s">
        <v>563</v>
      </c>
      <c r="AL895" s="1" t="s">
        <v>6188</v>
      </c>
      <c r="AM895" s="1" t="s">
        <v>3611</v>
      </c>
    </row>
    <row r="896" spans="20:39" x14ac:dyDescent="0.2">
      <c r="T896" s="29" t="s">
        <v>811</v>
      </c>
      <c r="U896" s="69" t="s">
        <v>89</v>
      </c>
      <c r="V896" s="72" t="str">
        <f t="shared" si="13"/>
        <v>KS_BARTON</v>
      </c>
      <c r="AJ896" s="1" t="s">
        <v>91</v>
      </c>
      <c r="AK896" s="1" t="s">
        <v>730</v>
      </c>
      <c r="AL896" s="1" t="s">
        <v>6189</v>
      </c>
      <c r="AM896" s="1" t="s">
        <v>3590</v>
      </c>
    </row>
    <row r="897" spans="20:39" x14ac:dyDescent="0.2">
      <c r="T897" s="28" t="s">
        <v>812</v>
      </c>
      <c r="U897" s="68" t="s">
        <v>89</v>
      </c>
      <c r="V897" s="72" t="str">
        <f t="shared" si="13"/>
        <v>KS_BOURBON</v>
      </c>
      <c r="AJ897" s="1" t="s">
        <v>91</v>
      </c>
      <c r="AK897" s="1" t="s">
        <v>223</v>
      </c>
      <c r="AL897" s="1" t="s">
        <v>6190</v>
      </c>
      <c r="AM897" s="1" t="s">
        <v>3591</v>
      </c>
    </row>
    <row r="898" spans="20:39" x14ac:dyDescent="0.2">
      <c r="T898" s="29" t="s">
        <v>670</v>
      </c>
      <c r="U898" s="69" t="s">
        <v>89</v>
      </c>
      <c r="V898" s="72" t="str">
        <f t="shared" si="13"/>
        <v>KS_BROWN</v>
      </c>
      <c r="AJ898" s="1" t="s">
        <v>91</v>
      </c>
      <c r="AK898" s="1" t="s">
        <v>312</v>
      </c>
      <c r="AL898" s="1" t="s">
        <v>6191</v>
      </c>
      <c r="AM898" s="1" t="s">
        <v>3592</v>
      </c>
    </row>
    <row r="899" spans="20:39" x14ac:dyDescent="0.2">
      <c r="T899" s="28" t="s">
        <v>200</v>
      </c>
      <c r="U899" s="68" t="s">
        <v>89</v>
      </c>
      <c r="V899" s="72" t="str">
        <f t="shared" si="13"/>
        <v>KS_BUTLER</v>
      </c>
      <c r="AJ899" s="1" t="s">
        <v>91</v>
      </c>
      <c r="AK899" s="1" t="s">
        <v>731</v>
      </c>
      <c r="AL899" s="1" t="s">
        <v>6192</v>
      </c>
      <c r="AM899" s="1" t="s">
        <v>3594</v>
      </c>
    </row>
    <row r="900" spans="20:39" x14ac:dyDescent="0.2">
      <c r="T900" s="29" t="s">
        <v>813</v>
      </c>
      <c r="U900" s="69" t="s">
        <v>89</v>
      </c>
      <c r="V900" s="72" t="str">
        <f t="shared" si="13"/>
        <v>KS_CHASE</v>
      </c>
      <c r="AJ900" s="1" t="s">
        <v>91</v>
      </c>
      <c r="AK900" s="1" t="s">
        <v>314</v>
      </c>
      <c r="AL900" s="1" t="s">
        <v>6193</v>
      </c>
      <c r="AM900" s="1" t="s">
        <v>3595</v>
      </c>
    </row>
    <row r="901" spans="20:39" x14ac:dyDescent="0.2">
      <c r="T901" s="28" t="s">
        <v>814</v>
      </c>
      <c r="U901" s="68" t="s">
        <v>89</v>
      </c>
      <c r="V901" s="72" t="str">
        <f t="shared" si="13"/>
        <v>KS_CHAUTAUQUA</v>
      </c>
      <c r="AJ901" s="1" t="s">
        <v>91</v>
      </c>
      <c r="AK901" s="1" t="s">
        <v>225</v>
      </c>
      <c r="AL901" s="1" t="s">
        <v>6194</v>
      </c>
      <c r="AM901" s="1" t="s">
        <v>3596</v>
      </c>
    </row>
    <row r="902" spans="20:39" x14ac:dyDescent="0.2">
      <c r="T902" s="29" t="s">
        <v>203</v>
      </c>
      <c r="U902" s="69" t="s">
        <v>89</v>
      </c>
      <c r="V902" s="72" t="str">
        <f t="shared" si="13"/>
        <v>KS_CHEROKEE</v>
      </c>
      <c r="AJ902" s="1" t="s">
        <v>91</v>
      </c>
      <c r="AK902" s="1" t="s">
        <v>491</v>
      </c>
      <c r="AL902" s="1" t="s">
        <v>6195</v>
      </c>
      <c r="AM902" s="1" t="s">
        <v>3599</v>
      </c>
    </row>
    <row r="903" spans="20:39" x14ac:dyDescent="0.2">
      <c r="T903" s="28" t="s">
        <v>414</v>
      </c>
      <c r="U903" s="68" t="s">
        <v>89</v>
      </c>
      <c r="V903" s="72" t="str">
        <f t="shared" si="13"/>
        <v>KS_CHEYENNE</v>
      </c>
      <c r="AJ903" s="1" t="s">
        <v>91</v>
      </c>
      <c r="AK903" s="1" t="s">
        <v>573</v>
      </c>
      <c r="AL903" s="1" t="s">
        <v>6196</v>
      </c>
      <c r="AM903" s="1" t="s">
        <v>3599</v>
      </c>
    </row>
    <row r="904" spans="20:39" x14ac:dyDescent="0.2">
      <c r="T904" s="29" t="s">
        <v>301</v>
      </c>
      <c r="U904" s="69" t="s">
        <v>89</v>
      </c>
      <c r="V904" s="72" t="str">
        <f t="shared" si="13"/>
        <v>KS_CLARK</v>
      </c>
      <c r="AJ904" s="1" t="s">
        <v>91</v>
      </c>
      <c r="AK904" s="1" t="s">
        <v>732</v>
      </c>
      <c r="AL904" s="1" t="s">
        <v>6197</v>
      </c>
      <c r="AM904" s="1" t="s">
        <v>3611</v>
      </c>
    </row>
    <row r="905" spans="20:39" x14ac:dyDescent="0.2">
      <c r="T905" s="28" t="s">
        <v>207</v>
      </c>
      <c r="U905" s="68" t="s">
        <v>89</v>
      </c>
      <c r="V905" s="72" t="str">
        <f t="shared" si="13"/>
        <v>KS_CLAY</v>
      </c>
      <c r="AJ905" s="1" t="s">
        <v>91</v>
      </c>
      <c r="AK905" s="1" t="s">
        <v>733</v>
      </c>
      <c r="AL905" s="1" t="s">
        <v>6198</v>
      </c>
      <c r="AM905" s="1" t="s">
        <v>3599</v>
      </c>
    </row>
    <row r="906" spans="20:39" x14ac:dyDescent="0.2">
      <c r="T906" s="29" t="s">
        <v>815</v>
      </c>
      <c r="U906" s="69" t="s">
        <v>89</v>
      </c>
      <c r="V906" s="72" t="str">
        <f t="shared" ref="V906:V969" si="14">UPPER(CONCATENATE(TRIM(U906),"_",TRIM(T906)))</f>
        <v>KS_CLOUD</v>
      </c>
      <c r="AJ906" s="1" t="s">
        <v>91</v>
      </c>
      <c r="AK906" s="1" t="s">
        <v>227</v>
      </c>
      <c r="AL906" s="1" t="s">
        <v>6199</v>
      </c>
      <c r="AM906" s="1" t="s">
        <v>3597</v>
      </c>
    </row>
    <row r="907" spans="20:39" x14ac:dyDescent="0.2">
      <c r="T907" s="28" t="s">
        <v>816</v>
      </c>
      <c r="U907" s="68" t="s">
        <v>89</v>
      </c>
      <c r="V907" s="72" t="str">
        <f t="shared" si="14"/>
        <v>KS_COFFEY</v>
      </c>
      <c r="AJ907" s="1" t="s">
        <v>91</v>
      </c>
      <c r="AK907" s="1" t="s">
        <v>317</v>
      </c>
      <c r="AL907" s="1" t="s">
        <v>6200</v>
      </c>
      <c r="AM907" s="1" t="s">
        <v>3606</v>
      </c>
    </row>
    <row r="908" spans="20:39" x14ac:dyDescent="0.2">
      <c r="T908" s="29" t="s">
        <v>817</v>
      </c>
      <c r="U908" s="69" t="s">
        <v>89</v>
      </c>
      <c r="V908" s="72" t="str">
        <f t="shared" si="14"/>
        <v>KS_COMANCHE</v>
      </c>
      <c r="AJ908" s="1" t="s">
        <v>91</v>
      </c>
      <c r="AK908" s="1" t="s">
        <v>734</v>
      </c>
      <c r="AL908" s="1" t="s">
        <v>6201</v>
      </c>
      <c r="AM908" s="1" t="s">
        <v>3598</v>
      </c>
    </row>
    <row r="909" spans="20:39" x14ac:dyDescent="0.2">
      <c r="T909" s="28" t="s">
        <v>818</v>
      </c>
      <c r="U909" s="68" t="s">
        <v>89</v>
      </c>
      <c r="V909" s="72" t="str">
        <f t="shared" si="14"/>
        <v>KS_COWLEY</v>
      </c>
      <c r="AJ909" s="1" t="s">
        <v>91</v>
      </c>
      <c r="AK909" s="1" t="s">
        <v>229</v>
      </c>
      <c r="AL909" s="1" t="s">
        <v>6202</v>
      </c>
      <c r="AM909" s="1" t="s">
        <v>3600</v>
      </c>
    </row>
    <row r="910" spans="20:39" x14ac:dyDescent="0.2">
      <c r="T910" s="29" t="s">
        <v>306</v>
      </c>
      <c r="U910" s="69" t="s">
        <v>89</v>
      </c>
      <c r="V910" s="72" t="str">
        <f t="shared" si="14"/>
        <v>KS_CRAWFORD</v>
      </c>
      <c r="AJ910" s="1" t="s">
        <v>91</v>
      </c>
      <c r="AK910" s="1" t="s">
        <v>579</v>
      </c>
      <c r="AL910" s="1" t="s">
        <v>6203</v>
      </c>
      <c r="AM910" s="1" t="s">
        <v>3601</v>
      </c>
    </row>
    <row r="911" spans="20:39" x14ac:dyDescent="0.2">
      <c r="T911" s="28" t="s">
        <v>552</v>
      </c>
      <c r="U911" s="68" t="s">
        <v>89</v>
      </c>
      <c r="V911" s="72" t="str">
        <f t="shared" si="14"/>
        <v>KS_DECATUR</v>
      </c>
      <c r="AJ911" s="1" t="s">
        <v>91</v>
      </c>
      <c r="AK911" s="1" t="s">
        <v>735</v>
      </c>
      <c r="AL911" s="1" t="s">
        <v>6204</v>
      </c>
      <c r="AM911" s="1" t="s">
        <v>3602</v>
      </c>
    </row>
    <row r="912" spans="20:39" x14ac:dyDescent="0.2">
      <c r="T912" s="29" t="s">
        <v>776</v>
      </c>
      <c r="U912" s="69" t="s">
        <v>89</v>
      </c>
      <c r="V912" s="72" t="str">
        <f t="shared" si="14"/>
        <v>KS_DICKINSON</v>
      </c>
      <c r="AJ912" s="1" t="s">
        <v>91</v>
      </c>
      <c r="AK912" s="1" t="s">
        <v>230</v>
      </c>
      <c r="AL912" s="1" t="s">
        <v>6205</v>
      </c>
      <c r="AM912" s="1" t="s">
        <v>3603</v>
      </c>
    </row>
    <row r="913" spans="20:39" x14ac:dyDescent="0.2">
      <c r="T913" s="28" t="s">
        <v>819</v>
      </c>
      <c r="U913" s="68" t="s">
        <v>89</v>
      </c>
      <c r="V913" s="72" t="str">
        <f t="shared" si="14"/>
        <v>KS_DONIPHAN</v>
      </c>
      <c r="AJ913" s="1" t="s">
        <v>91</v>
      </c>
      <c r="AK913" s="1" t="s">
        <v>736</v>
      </c>
      <c r="AL913" s="1" t="s">
        <v>6206</v>
      </c>
      <c r="AM913" s="1" t="s">
        <v>3604</v>
      </c>
    </row>
    <row r="914" spans="20:39" x14ac:dyDescent="0.2">
      <c r="T914" s="29" t="s">
        <v>423</v>
      </c>
      <c r="U914" s="69" t="s">
        <v>89</v>
      </c>
      <c r="V914" s="72" t="str">
        <f t="shared" si="14"/>
        <v>KS_DOUGLAS</v>
      </c>
      <c r="AJ914" s="1" t="s">
        <v>91</v>
      </c>
      <c r="AK914" s="1" t="s">
        <v>320</v>
      </c>
      <c r="AL914" s="1" t="s">
        <v>6207</v>
      </c>
      <c r="AM914" s="1" t="s">
        <v>3599</v>
      </c>
    </row>
    <row r="915" spans="20:39" x14ac:dyDescent="0.2">
      <c r="T915" s="28" t="s">
        <v>681</v>
      </c>
      <c r="U915" s="68" t="s">
        <v>89</v>
      </c>
      <c r="V915" s="72" t="str">
        <f t="shared" si="14"/>
        <v>KS_EDWARDS</v>
      </c>
      <c r="AJ915" s="1" t="s">
        <v>91</v>
      </c>
      <c r="AK915" s="1" t="s">
        <v>693</v>
      </c>
      <c r="AL915" s="1" t="s">
        <v>6208</v>
      </c>
      <c r="AM915" s="1" t="s">
        <v>3605</v>
      </c>
    </row>
    <row r="916" spans="20:39" x14ac:dyDescent="0.2">
      <c r="T916" s="29" t="s">
        <v>820</v>
      </c>
      <c r="U916" s="69" t="s">
        <v>89</v>
      </c>
      <c r="V916" s="72" t="str">
        <f t="shared" si="14"/>
        <v>KS_ELK</v>
      </c>
      <c r="AJ916" s="1" t="s">
        <v>91</v>
      </c>
      <c r="AK916" s="1" t="s">
        <v>737</v>
      </c>
      <c r="AL916" s="1" t="s">
        <v>6209</v>
      </c>
      <c r="AM916" s="1" t="s">
        <v>3607</v>
      </c>
    </row>
    <row r="917" spans="20:39" x14ac:dyDescent="0.2">
      <c r="T917" s="28" t="s">
        <v>821</v>
      </c>
      <c r="U917" s="68" t="s">
        <v>89</v>
      </c>
      <c r="V917" s="72" t="str">
        <f t="shared" si="14"/>
        <v>KS_ELLIS</v>
      </c>
      <c r="AJ917" s="1" t="s">
        <v>91</v>
      </c>
      <c r="AK917" s="1" t="s">
        <v>739</v>
      </c>
      <c r="AL917" s="1" t="s">
        <v>6210</v>
      </c>
      <c r="AM917" s="1" t="s">
        <v>3615</v>
      </c>
    </row>
    <row r="918" spans="20:39" x14ac:dyDescent="0.2">
      <c r="T918" s="29" t="s">
        <v>822</v>
      </c>
      <c r="U918" s="69" t="s">
        <v>89</v>
      </c>
      <c r="V918" s="72" t="str">
        <f t="shared" si="14"/>
        <v>KS_ELLSWORTH</v>
      </c>
      <c r="AJ918" s="1" t="s">
        <v>91</v>
      </c>
      <c r="AK918" s="1" t="s">
        <v>6211</v>
      </c>
      <c r="AL918" s="1" t="s">
        <v>6212</v>
      </c>
      <c r="AM918" s="1" t="s">
        <v>3609</v>
      </c>
    </row>
    <row r="919" spans="20:39" x14ac:dyDescent="0.2">
      <c r="T919" s="28" t="s">
        <v>823</v>
      </c>
      <c r="U919" s="68" t="s">
        <v>89</v>
      </c>
      <c r="V919" s="72" t="str">
        <f t="shared" si="14"/>
        <v>KS_FINNEY</v>
      </c>
      <c r="AJ919" s="1" t="s">
        <v>91</v>
      </c>
      <c r="AK919" s="1" t="s">
        <v>366</v>
      </c>
      <c r="AL919" s="1" t="s">
        <v>6213</v>
      </c>
      <c r="AM919" s="1" t="s">
        <v>3593</v>
      </c>
    </row>
    <row r="920" spans="20:39" x14ac:dyDescent="0.2">
      <c r="T920" s="29" t="s">
        <v>682</v>
      </c>
      <c r="U920" s="69" t="s">
        <v>89</v>
      </c>
      <c r="V920" s="72" t="str">
        <f t="shared" si="14"/>
        <v>KS_FORD</v>
      </c>
      <c r="AJ920" s="1" t="s">
        <v>91</v>
      </c>
      <c r="AK920" s="1" t="s">
        <v>233</v>
      </c>
      <c r="AL920" s="1" t="s">
        <v>6214</v>
      </c>
      <c r="AM920" s="1" t="s">
        <v>3610</v>
      </c>
    </row>
    <row r="921" spans="20:39" x14ac:dyDescent="0.2">
      <c r="T921" s="28" t="s">
        <v>223</v>
      </c>
      <c r="U921" s="68" t="s">
        <v>89</v>
      </c>
      <c r="V921" s="72" t="str">
        <f t="shared" si="14"/>
        <v>KS_FRANKLIN</v>
      </c>
      <c r="AJ921" s="1" t="s">
        <v>91</v>
      </c>
      <c r="AK921" s="1" t="s">
        <v>238</v>
      </c>
      <c r="AL921" s="1" t="s">
        <v>6215</v>
      </c>
      <c r="AM921" s="1" t="s">
        <v>3575</v>
      </c>
    </row>
    <row r="922" spans="20:39" x14ac:dyDescent="0.2">
      <c r="T922" s="29" t="s">
        <v>824</v>
      </c>
      <c r="U922" s="69" t="s">
        <v>89</v>
      </c>
      <c r="V922" s="72" t="str">
        <f t="shared" si="14"/>
        <v>KS_GEARY</v>
      </c>
      <c r="AJ922" s="1" t="s">
        <v>91</v>
      </c>
      <c r="AK922" s="1" t="s">
        <v>240</v>
      </c>
      <c r="AL922" s="1" t="s">
        <v>6216</v>
      </c>
      <c r="AM922" s="1" t="s">
        <v>3599</v>
      </c>
    </row>
    <row r="923" spans="20:39" x14ac:dyDescent="0.2">
      <c r="T923" s="28" t="s">
        <v>825</v>
      </c>
      <c r="U923" s="68" t="s">
        <v>89</v>
      </c>
      <c r="V923" s="72" t="str">
        <f t="shared" si="14"/>
        <v>KS_GOVE</v>
      </c>
      <c r="AJ923" s="1" t="s">
        <v>91</v>
      </c>
      <c r="AK923" s="1" t="s">
        <v>241</v>
      </c>
      <c r="AL923" s="1" t="s">
        <v>6217</v>
      </c>
      <c r="AM923" s="1" t="s">
        <v>3612</v>
      </c>
    </row>
    <row r="924" spans="20:39" x14ac:dyDescent="0.2">
      <c r="T924" s="29" t="s">
        <v>282</v>
      </c>
      <c r="U924" s="69" t="s">
        <v>89</v>
      </c>
      <c r="V924" s="72" t="str">
        <f t="shared" si="14"/>
        <v>KS_GRAHAM</v>
      </c>
      <c r="AJ924" s="1" t="s">
        <v>91</v>
      </c>
      <c r="AK924" s="1" t="s">
        <v>503</v>
      </c>
      <c r="AL924" s="1" t="s">
        <v>6218</v>
      </c>
      <c r="AM924" s="1" t="s">
        <v>3613</v>
      </c>
    </row>
    <row r="925" spans="20:39" x14ac:dyDescent="0.2">
      <c r="T925" s="28" t="s">
        <v>314</v>
      </c>
      <c r="U925" s="68" t="s">
        <v>89</v>
      </c>
      <c r="V925" s="72" t="str">
        <f t="shared" si="14"/>
        <v>KS_GRANT</v>
      </c>
      <c r="AJ925" s="1" t="s">
        <v>91</v>
      </c>
      <c r="AK925" s="1" t="s">
        <v>740</v>
      </c>
      <c r="AL925" s="1" t="s">
        <v>6219</v>
      </c>
      <c r="AM925" s="1" t="s">
        <v>3614</v>
      </c>
    </row>
    <row r="926" spans="20:39" x14ac:dyDescent="0.2">
      <c r="T926" s="29" t="s">
        <v>826</v>
      </c>
      <c r="U926" s="69" t="s">
        <v>89</v>
      </c>
      <c r="V926" s="72" t="str">
        <f t="shared" si="14"/>
        <v>KS_GRAY</v>
      </c>
      <c r="AJ926" s="1" t="s">
        <v>91</v>
      </c>
      <c r="AK926" s="1" t="s">
        <v>243</v>
      </c>
      <c r="AL926" s="1" t="s">
        <v>6220</v>
      </c>
      <c r="AM926" s="1" t="s">
        <v>3577</v>
      </c>
    </row>
    <row r="927" spans="20:39" x14ac:dyDescent="0.2">
      <c r="T927" s="28" t="s">
        <v>827</v>
      </c>
      <c r="U927" s="68" t="s">
        <v>89</v>
      </c>
      <c r="V927" s="72" t="str">
        <f t="shared" si="14"/>
        <v>KS_GREELEY</v>
      </c>
      <c r="AJ927" s="1" t="s">
        <v>91</v>
      </c>
      <c r="AK927" s="1" t="s">
        <v>244</v>
      </c>
      <c r="AL927" s="1" t="s">
        <v>6221</v>
      </c>
      <c r="AM927" s="1" t="s">
        <v>3616</v>
      </c>
    </row>
    <row r="928" spans="20:39" x14ac:dyDescent="0.2">
      <c r="T928" s="29" t="s">
        <v>828</v>
      </c>
      <c r="U928" s="69" t="s">
        <v>89</v>
      </c>
      <c r="V928" s="72" t="str">
        <f t="shared" si="14"/>
        <v>KS_GREENWOOD</v>
      </c>
      <c r="AJ928" s="1" t="s">
        <v>91</v>
      </c>
      <c r="AK928" s="1" t="s">
        <v>245</v>
      </c>
      <c r="AL928" s="1" t="s">
        <v>6222</v>
      </c>
      <c r="AM928" s="1" t="s">
        <v>3599</v>
      </c>
    </row>
    <row r="929" spans="20:39" x14ac:dyDescent="0.2">
      <c r="T929" s="28" t="s">
        <v>491</v>
      </c>
      <c r="U929" s="68" t="s">
        <v>89</v>
      </c>
      <c r="V929" s="72" t="str">
        <f t="shared" si="14"/>
        <v>KS_HAMILTON</v>
      </c>
      <c r="AJ929" s="1" t="s">
        <v>91</v>
      </c>
      <c r="AK929" s="1" t="s">
        <v>329</v>
      </c>
      <c r="AL929" s="1" t="s">
        <v>6223</v>
      </c>
      <c r="AM929" s="1" t="s">
        <v>3593</v>
      </c>
    </row>
    <row r="930" spans="20:39" x14ac:dyDescent="0.2">
      <c r="T930" s="29" t="s">
        <v>829</v>
      </c>
      <c r="U930" s="69" t="s">
        <v>89</v>
      </c>
      <c r="V930" s="72" t="str">
        <f t="shared" si="14"/>
        <v>KS_HARPER</v>
      </c>
      <c r="AJ930" s="1" t="s">
        <v>91</v>
      </c>
      <c r="AK930" s="1" t="s">
        <v>741</v>
      </c>
      <c r="AL930" s="1" t="s">
        <v>6224</v>
      </c>
      <c r="AM930" s="1" t="s">
        <v>3618</v>
      </c>
    </row>
    <row r="931" spans="20:39" x14ac:dyDescent="0.2">
      <c r="T931" s="28" t="s">
        <v>830</v>
      </c>
      <c r="U931" s="68" t="s">
        <v>89</v>
      </c>
      <c r="V931" s="72" t="str">
        <f t="shared" si="14"/>
        <v>KS_HARVEY</v>
      </c>
      <c r="AJ931" s="1" t="s">
        <v>91</v>
      </c>
      <c r="AK931" s="1" t="s">
        <v>742</v>
      </c>
      <c r="AL931" s="1" t="s">
        <v>6225</v>
      </c>
      <c r="AM931" s="1" t="s">
        <v>3580</v>
      </c>
    </row>
    <row r="932" spans="20:39" x14ac:dyDescent="0.2">
      <c r="T932" s="29" t="s">
        <v>831</v>
      </c>
      <c r="U932" s="69" t="s">
        <v>89</v>
      </c>
      <c r="V932" s="72" t="str">
        <f t="shared" si="14"/>
        <v>KS_HASKELL</v>
      </c>
      <c r="AJ932" s="1" t="s">
        <v>91</v>
      </c>
      <c r="AK932" s="1" t="s">
        <v>378</v>
      </c>
      <c r="AL932" s="1" t="s">
        <v>6226</v>
      </c>
      <c r="AM932" s="1" t="s">
        <v>3619</v>
      </c>
    </row>
    <row r="933" spans="20:39" x14ac:dyDescent="0.2">
      <c r="T933" s="28" t="s">
        <v>832</v>
      </c>
      <c r="U933" s="68" t="s">
        <v>89</v>
      </c>
      <c r="V933" s="72" t="str">
        <f t="shared" si="14"/>
        <v>KS_HODGEMAN</v>
      </c>
      <c r="AJ933" s="1" t="s">
        <v>91</v>
      </c>
      <c r="AK933" s="1" t="s">
        <v>743</v>
      </c>
      <c r="AL933" s="1" t="s">
        <v>6227</v>
      </c>
      <c r="AM933" s="1" t="s">
        <v>3620</v>
      </c>
    </row>
    <row r="934" spans="20:39" x14ac:dyDescent="0.2">
      <c r="T934" s="29" t="s">
        <v>229</v>
      </c>
      <c r="U934" s="69" t="s">
        <v>89</v>
      </c>
      <c r="V934" s="72" t="str">
        <f t="shared" si="14"/>
        <v>KS_JACKSON</v>
      </c>
      <c r="AJ934" s="1" t="s">
        <v>91</v>
      </c>
      <c r="AK934" s="1" t="s">
        <v>744</v>
      </c>
      <c r="AL934" s="1" t="s">
        <v>6228</v>
      </c>
      <c r="AM934" s="1" t="s">
        <v>9168</v>
      </c>
    </row>
    <row r="935" spans="20:39" x14ac:dyDescent="0.2">
      <c r="T935" s="28" t="s">
        <v>230</v>
      </c>
      <c r="U935" s="68" t="s">
        <v>89</v>
      </c>
      <c r="V935" s="72" t="str">
        <f t="shared" si="14"/>
        <v>KS_JEFFERSON</v>
      </c>
      <c r="AJ935" s="1" t="s">
        <v>91</v>
      </c>
      <c r="AK935" s="1" t="s">
        <v>246</v>
      </c>
      <c r="AL935" s="1" t="s">
        <v>6229</v>
      </c>
      <c r="AM935" s="1" t="s">
        <v>3621</v>
      </c>
    </row>
    <row r="936" spans="20:39" x14ac:dyDescent="0.2">
      <c r="T936" s="29" t="s">
        <v>833</v>
      </c>
      <c r="U936" s="69" t="s">
        <v>89</v>
      </c>
      <c r="V936" s="72" t="str">
        <f t="shared" si="14"/>
        <v>KS_JEWELL</v>
      </c>
      <c r="AJ936" s="1" t="s">
        <v>91</v>
      </c>
      <c r="AK936" s="1" t="s">
        <v>248</v>
      </c>
      <c r="AL936" s="1" t="s">
        <v>6230</v>
      </c>
      <c r="AM936" s="1" t="s">
        <v>3622</v>
      </c>
    </row>
    <row r="937" spans="20:39" x14ac:dyDescent="0.2">
      <c r="T937" s="28" t="s">
        <v>320</v>
      </c>
      <c r="U937" s="68" t="s">
        <v>89</v>
      </c>
      <c r="V937" s="72" t="str">
        <f t="shared" si="14"/>
        <v>KS_JOHNSON</v>
      </c>
      <c r="AJ937" s="1" t="s">
        <v>91</v>
      </c>
      <c r="AK937" s="1" t="s">
        <v>745</v>
      </c>
      <c r="AL937" s="1" t="s">
        <v>6231</v>
      </c>
      <c r="AM937" s="1" t="s">
        <v>3593</v>
      </c>
    </row>
    <row r="938" spans="20:39" x14ac:dyDescent="0.2">
      <c r="T938" s="29" t="s">
        <v>834</v>
      </c>
      <c r="U938" s="69" t="s">
        <v>89</v>
      </c>
      <c r="V938" s="72" t="str">
        <f t="shared" si="14"/>
        <v>KS_KEARNY</v>
      </c>
      <c r="AJ938" s="1" t="s">
        <v>91</v>
      </c>
      <c r="AK938" s="1" t="s">
        <v>746</v>
      </c>
      <c r="AL938" s="1" t="s">
        <v>6232</v>
      </c>
      <c r="AM938" s="1" t="s">
        <v>9169</v>
      </c>
    </row>
    <row r="939" spans="20:39" x14ac:dyDescent="0.2">
      <c r="T939" s="28" t="s">
        <v>835</v>
      </c>
      <c r="U939" s="68" t="s">
        <v>89</v>
      </c>
      <c r="V939" s="72" t="str">
        <f t="shared" si="14"/>
        <v>KS_KINGMAN</v>
      </c>
      <c r="AJ939" s="1" t="s">
        <v>91</v>
      </c>
      <c r="AK939" s="1" t="s">
        <v>336</v>
      </c>
      <c r="AL939" s="1" t="s">
        <v>6233</v>
      </c>
      <c r="AM939" s="1" t="s">
        <v>3623</v>
      </c>
    </row>
    <row r="940" spans="20:39" x14ac:dyDescent="0.2">
      <c r="T940" s="29" t="s">
        <v>434</v>
      </c>
      <c r="U940" s="69" t="s">
        <v>89</v>
      </c>
      <c r="V940" s="72" t="str">
        <f t="shared" si="14"/>
        <v>KS_KIOWA</v>
      </c>
      <c r="AJ940" s="1" t="s">
        <v>91</v>
      </c>
      <c r="AK940" s="1" t="s">
        <v>511</v>
      </c>
      <c r="AL940" s="1" t="s">
        <v>6234</v>
      </c>
      <c r="AM940" s="1" t="s">
        <v>9170</v>
      </c>
    </row>
    <row r="941" spans="20:39" x14ac:dyDescent="0.2">
      <c r="T941" s="28" t="s">
        <v>836</v>
      </c>
      <c r="U941" s="68" t="s">
        <v>89</v>
      </c>
      <c r="V941" s="72" t="str">
        <f t="shared" si="14"/>
        <v>KS_LABETTE</v>
      </c>
      <c r="AJ941" s="1" t="s">
        <v>91</v>
      </c>
      <c r="AK941" s="1" t="s">
        <v>249</v>
      </c>
      <c r="AL941" s="1" t="s">
        <v>6235</v>
      </c>
      <c r="AM941" s="1" t="s">
        <v>3624</v>
      </c>
    </row>
    <row r="942" spans="20:39" x14ac:dyDescent="0.2">
      <c r="T942" s="29" t="s">
        <v>837</v>
      </c>
      <c r="U942" s="69" t="s">
        <v>89</v>
      </c>
      <c r="V942" s="72" t="str">
        <f t="shared" si="14"/>
        <v>KS_LANE</v>
      </c>
      <c r="AJ942" s="1" t="s">
        <v>91</v>
      </c>
      <c r="AK942" s="1" t="s">
        <v>747</v>
      </c>
      <c r="AL942" s="1" t="s">
        <v>6236</v>
      </c>
      <c r="AM942" s="1" t="s">
        <v>3625</v>
      </c>
    </row>
    <row r="943" spans="20:39" x14ac:dyDescent="0.2">
      <c r="T943" s="28" t="s">
        <v>838</v>
      </c>
      <c r="U943" s="68" t="s">
        <v>89</v>
      </c>
      <c r="V943" s="72" t="str">
        <f t="shared" si="14"/>
        <v>KS_LEAVENWORTH</v>
      </c>
      <c r="AJ943" s="1" t="s">
        <v>91</v>
      </c>
      <c r="AK943" s="1" t="s">
        <v>748</v>
      </c>
      <c r="AL943" s="1" t="s">
        <v>6237</v>
      </c>
      <c r="AM943" s="1" t="s">
        <v>3626</v>
      </c>
    </row>
    <row r="944" spans="20:39" x14ac:dyDescent="0.2">
      <c r="T944" s="29" t="s">
        <v>322</v>
      </c>
      <c r="U944" s="69" t="s">
        <v>89</v>
      </c>
      <c r="V944" s="72" t="str">
        <f t="shared" si="14"/>
        <v>KS_LINCOLN</v>
      </c>
      <c r="AJ944" s="1" t="s">
        <v>91</v>
      </c>
      <c r="AK944" s="1" t="s">
        <v>339</v>
      </c>
      <c r="AL944" s="1" t="s">
        <v>6238</v>
      </c>
      <c r="AM944" s="1" t="s">
        <v>3627</v>
      </c>
    </row>
    <row r="945" spans="20:39" x14ac:dyDescent="0.2">
      <c r="T945" s="28" t="s">
        <v>784</v>
      </c>
      <c r="U945" s="68" t="s">
        <v>89</v>
      </c>
      <c r="V945" s="72" t="str">
        <f t="shared" si="14"/>
        <v>KS_LINN</v>
      </c>
      <c r="AJ945" s="1" t="s">
        <v>91</v>
      </c>
      <c r="AK945" s="1" t="s">
        <v>252</v>
      </c>
      <c r="AL945" s="1" t="s">
        <v>6239</v>
      </c>
      <c r="AM945" s="1" t="s">
        <v>3599</v>
      </c>
    </row>
    <row r="946" spans="20:39" x14ac:dyDescent="0.2">
      <c r="T946" s="29" t="s">
        <v>324</v>
      </c>
      <c r="U946" s="69" t="s">
        <v>89</v>
      </c>
      <c r="V946" s="72" t="str">
        <f t="shared" si="14"/>
        <v>KS_LOGAN</v>
      </c>
      <c r="AJ946" s="1" t="s">
        <v>91</v>
      </c>
      <c r="AK946" s="1" t="s">
        <v>750</v>
      </c>
      <c r="AL946" s="1" t="s">
        <v>6240</v>
      </c>
      <c r="AM946" s="1" t="s">
        <v>3629</v>
      </c>
    </row>
    <row r="947" spans="20:39" x14ac:dyDescent="0.2">
      <c r="T947" s="28" t="s">
        <v>787</v>
      </c>
      <c r="U947" s="68" t="s">
        <v>89</v>
      </c>
      <c r="V947" s="72" t="str">
        <f t="shared" si="14"/>
        <v>KS_LYON</v>
      </c>
      <c r="AJ947" s="1" t="s">
        <v>91</v>
      </c>
      <c r="AK947" s="1" t="s">
        <v>749</v>
      </c>
      <c r="AL947" s="1" t="s">
        <v>6241</v>
      </c>
      <c r="AM947" s="1" t="s">
        <v>3628</v>
      </c>
    </row>
    <row r="948" spans="20:39" x14ac:dyDescent="0.2">
      <c r="T948" s="29" t="s">
        <v>839</v>
      </c>
      <c r="U948" s="69" t="s">
        <v>89</v>
      </c>
      <c r="V948" s="72" t="str">
        <f t="shared" si="14"/>
        <v>KS_MCPHERSON</v>
      </c>
      <c r="AJ948" s="1" t="s">
        <v>91</v>
      </c>
      <c r="AK948" s="1" t="s">
        <v>751</v>
      </c>
      <c r="AL948" s="1" t="s">
        <v>6242</v>
      </c>
      <c r="AM948" s="1" t="s">
        <v>3630</v>
      </c>
    </row>
    <row r="949" spans="20:39" x14ac:dyDescent="0.2">
      <c r="T949" s="28" t="s">
        <v>240</v>
      </c>
      <c r="U949" s="68" t="s">
        <v>89</v>
      </c>
      <c r="V949" s="72" t="str">
        <f t="shared" si="14"/>
        <v>KS_MARION</v>
      </c>
      <c r="AJ949" s="1" t="s">
        <v>91</v>
      </c>
      <c r="AK949" s="1" t="s">
        <v>752</v>
      </c>
      <c r="AL949" s="1" t="s">
        <v>6243</v>
      </c>
      <c r="AM949" s="1" t="s">
        <v>3631</v>
      </c>
    </row>
    <row r="950" spans="20:39" x14ac:dyDescent="0.2">
      <c r="T950" s="29" t="s">
        <v>241</v>
      </c>
      <c r="U950" s="69" t="s">
        <v>89</v>
      </c>
      <c r="V950" s="72" t="str">
        <f t="shared" si="14"/>
        <v>KS_MARSHALL</v>
      </c>
      <c r="AJ950" s="1" t="s">
        <v>91</v>
      </c>
      <c r="AK950" s="1" t="s">
        <v>753</v>
      </c>
      <c r="AL950" s="1" t="s">
        <v>6244</v>
      </c>
      <c r="AM950" s="1" t="s">
        <v>3632</v>
      </c>
    </row>
    <row r="951" spans="20:39" x14ac:dyDescent="0.2">
      <c r="T951" s="28" t="s">
        <v>840</v>
      </c>
      <c r="U951" s="68" t="s">
        <v>89</v>
      </c>
      <c r="V951" s="72" t="str">
        <f t="shared" si="14"/>
        <v>KS_MEADE</v>
      </c>
      <c r="AJ951" s="1" t="s">
        <v>91</v>
      </c>
      <c r="AK951" s="1" t="s">
        <v>754</v>
      </c>
      <c r="AL951" s="1" t="s">
        <v>6245</v>
      </c>
      <c r="AM951" s="1" t="s">
        <v>3633</v>
      </c>
    </row>
    <row r="952" spans="20:39" x14ac:dyDescent="0.2">
      <c r="T952" s="29" t="s">
        <v>740</v>
      </c>
      <c r="U952" s="69" t="s">
        <v>89</v>
      </c>
      <c r="V952" s="72" t="str">
        <f t="shared" si="14"/>
        <v>KS_MIAMI</v>
      </c>
      <c r="AJ952" s="1" t="s">
        <v>91</v>
      </c>
      <c r="AK952" s="1" t="s">
        <v>755</v>
      </c>
      <c r="AL952" s="1" t="s">
        <v>6246</v>
      </c>
      <c r="AM952" s="1" t="s">
        <v>3608</v>
      </c>
    </row>
    <row r="953" spans="20:39" x14ac:dyDescent="0.2">
      <c r="T953" s="28" t="s">
        <v>590</v>
      </c>
      <c r="U953" s="68" t="s">
        <v>89</v>
      </c>
      <c r="V953" s="72" t="str">
        <f t="shared" si="14"/>
        <v>KS_MITCHELL</v>
      </c>
      <c r="AJ953" s="1" t="s">
        <v>91</v>
      </c>
      <c r="AK953" s="1" t="s">
        <v>756</v>
      </c>
      <c r="AL953" s="1" t="s">
        <v>6247</v>
      </c>
      <c r="AM953" s="1" t="s">
        <v>9171</v>
      </c>
    </row>
    <row r="954" spans="20:39" x14ac:dyDescent="0.2">
      <c r="T954" s="29" t="s">
        <v>244</v>
      </c>
      <c r="U954" s="69" t="s">
        <v>89</v>
      </c>
      <c r="V954" s="72" t="str">
        <f t="shared" si="14"/>
        <v>KS_MONTGOMERY</v>
      </c>
      <c r="AJ954" s="1" t="s">
        <v>91</v>
      </c>
      <c r="AK954" s="1" t="s">
        <v>345</v>
      </c>
      <c r="AL954" s="1" t="s">
        <v>6248</v>
      </c>
      <c r="AM954" s="1" t="s">
        <v>9172</v>
      </c>
    </row>
    <row r="955" spans="20:39" x14ac:dyDescent="0.2">
      <c r="T955" s="28" t="s">
        <v>841</v>
      </c>
      <c r="U955" s="68" t="s">
        <v>89</v>
      </c>
      <c r="V955" s="72" t="str">
        <f t="shared" si="14"/>
        <v>KS_MORRIS</v>
      </c>
      <c r="AJ955" s="1" t="s">
        <v>91</v>
      </c>
      <c r="AK955" s="1" t="s">
        <v>757</v>
      </c>
      <c r="AL955" s="1" t="s">
        <v>6249</v>
      </c>
      <c r="AM955" s="1" t="s">
        <v>9169</v>
      </c>
    </row>
    <row r="956" spans="20:39" x14ac:dyDescent="0.2">
      <c r="T956" s="29" t="s">
        <v>842</v>
      </c>
      <c r="U956" s="69" t="s">
        <v>89</v>
      </c>
      <c r="V956" s="72" t="str">
        <f t="shared" si="14"/>
        <v>KS_MORTON</v>
      </c>
      <c r="AJ956" s="1" t="s">
        <v>91</v>
      </c>
      <c r="AK956" s="1" t="s">
        <v>758</v>
      </c>
      <c r="AL956" s="1" t="s">
        <v>6250</v>
      </c>
      <c r="AM956" s="1" t="s">
        <v>3634</v>
      </c>
    </row>
    <row r="957" spans="20:39" x14ac:dyDescent="0.2">
      <c r="T957" s="28" t="s">
        <v>843</v>
      </c>
      <c r="U957" s="68" t="s">
        <v>89</v>
      </c>
      <c r="V957" s="72" t="str">
        <f t="shared" si="14"/>
        <v>KS_NEMAHA</v>
      </c>
      <c r="AJ957" s="1" t="s">
        <v>91</v>
      </c>
      <c r="AK957" s="1" t="s">
        <v>759</v>
      </c>
      <c r="AL957" s="1" t="s">
        <v>6251</v>
      </c>
      <c r="AM957" s="1" t="s">
        <v>3634</v>
      </c>
    </row>
    <row r="958" spans="20:39" x14ac:dyDescent="0.2">
      <c r="T958" s="29" t="s">
        <v>844</v>
      </c>
      <c r="U958" s="69" t="s">
        <v>89</v>
      </c>
      <c r="V958" s="72" t="str">
        <f t="shared" si="14"/>
        <v>KS_NEOSHO</v>
      </c>
      <c r="AJ958" s="1" t="s">
        <v>91</v>
      </c>
      <c r="AK958" s="1" t="s">
        <v>716</v>
      </c>
      <c r="AL958" s="1" t="s">
        <v>6252</v>
      </c>
      <c r="AM958" s="1" t="s">
        <v>3635</v>
      </c>
    </row>
    <row r="959" spans="20:39" x14ac:dyDescent="0.2">
      <c r="T959" s="28" t="s">
        <v>845</v>
      </c>
      <c r="U959" s="68" t="s">
        <v>89</v>
      </c>
      <c r="V959" s="72" t="str">
        <f t="shared" si="14"/>
        <v>KS_NESS</v>
      </c>
      <c r="AJ959" s="1" t="s">
        <v>91</v>
      </c>
      <c r="AK959" s="1" t="s">
        <v>622</v>
      </c>
      <c r="AL959" s="1" t="s">
        <v>6253</v>
      </c>
      <c r="AM959" s="1" t="s">
        <v>3636</v>
      </c>
    </row>
    <row r="960" spans="20:39" x14ac:dyDescent="0.2">
      <c r="T960" s="29" t="s">
        <v>846</v>
      </c>
      <c r="U960" s="69" t="s">
        <v>89</v>
      </c>
      <c r="V960" s="72" t="str">
        <f t="shared" si="14"/>
        <v>KS_NORTON</v>
      </c>
      <c r="AJ960" s="1" t="s">
        <v>91</v>
      </c>
      <c r="AK960" s="1" t="s">
        <v>760</v>
      </c>
      <c r="AL960" s="1" t="s">
        <v>6254</v>
      </c>
      <c r="AM960" s="1" t="s">
        <v>9169</v>
      </c>
    </row>
    <row r="961" spans="20:39" x14ac:dyDescent="0.2">
      <c r="T961" s="28" t="s">
        <v>847</v>
      </c>
      <c r="U961" s="68" t="s">
        <v>89</v>
      </c>
      <c r="V961" s="72" t="str">
        <f t="shared" si="14"/>
        <v>KS_OSAGE</v>
      </c>
      <c r="AJ961" s="1" t="s">
        <v>91</v>
      </c>
      <c r="AK961" s="1" t="s">
        <v>258</v>
      </c>
      <c r="AL961" s="1" t="s">
        <v>6255</v>
      </c>
      <c r="AM961" s="1" t="s">
        <v>3637</v>
      </c>
    </row>
    <row r="962" spans="20:39" x14ac:dyDescent="0.2">
      <c r="T962" s="29" t="s">
        <v>848</v>
      </c>
      <c r="U962" s="69" t="s">
        <v>89</v>
      </c>
      <c r="V962" s="72" t="str">
        <f t="shared" si="14"/>
        <v>KS_OSBORNE</v>
      </c>
      <c r="AJ962" s="1" t="s">
        <v>91</v>
      </c>
      <c r="AK962" s="1" t="s">
        <v>623</v>
      </c>
      <c r="AL962" s="1" t="s">
        <v>6256</v>
      </c>
      <c r="AM962" s="1" t="s">
        <v>3638</v>
      </c>
    </row>
    <row r="963" spans="20:39" x14ac:dyDescent="0.2">
      <c r="T963" s="28" t="s">
        <v>849</v>
      </c>
      <c r="U963" s="68" t="s">
        <v>89</v>
      </c>
      <c r="V963" s="72" t="str">
        <f t="shared" si="14"/>
        <v>KS_OTTAWA</v>
      </c>
      <c r="AJ963" s="1" t="s">
        <v>91</v>
      </c>
      <c r="AK963" s="1" t="s">
        <v>761</v>
      </c>
      <c r="AL963" s="1" t="s">
        <v>6257</v>
      </c>
      <c r="AM963" s="1" t="s">
        <v>9173</v>
      </c>
    </row>
    <row r="964" spans="20:39" x14ac:dyDescent="0.2">
      <c r="T964" s="29" t="s">
        <v>850</v>
      </c>
      <c r="U964" s="69" t="s">
        <v>89</v>
      </c>
      <c r="V964" s="72" t="str">
        <f t="shared" si="14"/>
        <v>KS_PAWNEE</v>
      </c>
      <c r="AJ964" s="1" t="s">
        <v>91</v>
      </c>
      <c r="AK964" s="1" t="s">
        <v>347</v>
      </c>
      <c r="AL964" s="1" t="s">
        <v>6258</v>
      </c>
      <c r="AM964" s="1" t="s">
        <v>3639</v>
      </c>
    </row>
    <row r="965" spans="20:39" x14ac:dyDescent="0.2">
      <c r="T965" s="28" t="s">
        <v>331</v>
      </c>
      <c r="U965" s="68" t="s">
        <v>89</v>
      </c>
      <c r="V965" s="72" t="str">
        <f t="shared" si="14"/>
        <v>KS_PHILLIPS</v>
      </c>
      <c r="AJ965" s="1" t="s">
        <v>91</v>
      </c>
      <c r="AK965" s="1" t="s">
        <v>762</v>
      </c>
      <c r="AL965" s="1" t="s">
        <v>6259</v>
      </c>
      <c r="AM965" s="1" t="s">
        <v>9167</v>
      </c>
    </row>
    <row r="966" spans="20:39" x14ac:dyDescent="0.2">
      <c r="T966" s="29" t="s">
        <v>851</v>
      </c>
      <c r="U966" s="69" t="s">
        <v>89</v>
      </c>
      <c r="V966" s="72" t="str">
        <f t="shared" si="14"/>
        <v>KS_POTTAWATOMIE</v>
      </c>
      <c r="AJ966" s="1" t="s">
        <v>89</v>
      </c>
      <c r="AK966" s="1" t="s">
        <v>722</v>
      </c>
      <c r="AL966" s="1" t="s">
        <v>6260</v>
      </c>
      <c r="AM966" s="1" t="s">
        <v>3640</v>
      </c>
    </row>
    <row r="967" spans="20:39" x14ac:dyDescent="0.2">
      <c r="T967" s="28" t="s">
        <v>852</v>
      </c>
      <c r="U967" s="68" t="s">
        <v>89</v>
      </c>
      <c r="V967" s="72" t="str">
        <f t="shared" si="14"/>
        <v>KS_PRATT</v>
      </c>
      <c r="AJ967" s="1" t="s">
        <v>89</v>
      </c>
      <c r="AK967" s="1" t="s">
        <v>808</v>
      </c>
      <c r="AL967" s="1" t="s">
        <v>6261</v>
      </c>
      <c r="AM967" s="1" t="s">
        <v>3641</v>
      </c>
    </row>
    <row r="968" spans="20:39" x14ac:dyDescent="0.2">
      <c r="T968" s="29" t="s">
        <v>853</v>
      </c>
      <c r="U968" s="69" t="s">
        <v>89</v>
      </c>
      <c r="V968" s="72" t="str">
        <f t="shared" si="14"/>
        <v>KS_RAWLINS</v>
      </c>
      <c r="AJ968" s="1" t="s">
        <v>89</v>
      </c>
      <c r="AK968" s="1" t="s">
        <v>809</v>
      </c>
      <c r="AL968" s="1" t="s">
        <v>6262</v>
      </c>
      <c r="AM968" s="1" t="s">
        <v>3642</v>
      </c>
    </row>
    <row r="969" spans="20:39" x14ac:dyDescent="0.2">
      <c r="T969" s="28" t="s">
        <v>854</v>
      </c>
      <c r="U969" s="68" t="s">
        <v>89</v>
      </c>
      <c r="V969" s="72" t="str">
        <f t="shared" si="14"/>
        <v>KS_RENO</v>
      </c>
      <c r="AJ969" s="1" t="s">
        <v>89</v>
      </c>
      <c r="AK969" s="1" t="s">
        <v>810</v>
      </c>
      <c r="AL969" s="1" t="s">
        <v>6263</v>
      </c>
      <c r="AM969" s="1" t="s">
        <v>3643</v>
      </c>
    </row>
    <row r="970" spans="20:39" x14ac:dyDescent="0.2">
      <c r="T970" s="29" t="s">
        <v>855</v>
      </c>
      <c r="U970" s="69" t="s">
        <v>89</v>
      </c>
      <c r="V970" s="72" t="str">
        <f t="shared" ref="V970:V1033" si="15">UPPER(CONCATENATE(TRIM(U970),"_",TRIM(T970)))</f>
        <v>KS_REPUBLIC</v>
      </c>
      <c r="AJ970" s="1" t="s">
        <v>89</v>
      </c>
      <c r="AK970" s="1" t="s">
        <v>811</v>
      </c>
      <c r="AL970" s="1" t="s">
        <v>6264</v>
      </c>
      <c r="AM970" s="1" t="s">
        <v>3644</v>
      </c>
    </row>
    <row r="971" spans="20:39" x14ac:dyDescent="0.2">
      <c r="T971" s="28" t="s">
        <v>856</v>
      </c>
      <c r="U971" s="68" t="s">
        <v>89</v>
      </c>
      <c r="V971" s="72" t="str">
        <f t="shared" si="15"/>
        <v>KS_RICE</v>
      </c>
      <c r="AJ971" s="1" t="s">
        <v>89</v>
      </c>
      <c r="AK971" s="1" t="s">
        <v>812</v>
      </c>
      <c r="AL971" s="1" t="s">
        <v>6265</v>
      </c>
      <c r="AM971" s="1" t="s">
        <v>3645</v>
      </c>
    </row>
    <row r="972" spans="20:39" x14ac:dyDescent="0.2">
      <c r="T972" s="29" t="s">
        <v>857</v>
      </c>
      <c r="U972" s="69" t="s">
        <v>89</v>
      </c>
      <c r="V972" s="72" t="str">
        <f t="shared" si="15"/>
        <v>KS_RILEY</v>
      </c>
      <c r="AJ972" s="1" t="s">
        <v>89</v>
      </c>
      <c r="AK972" s="1" t="s">
        <v>670</v>
      </c>
      <c r="AL972" s="1" t="s">
        <v>6266</v>
      </c>
      <c r="AM972" s="1" t="s">
        <v>3646</v>
      </c>
    </row>
    <row r="973" spans="20:39" x14ac:dyDescent="0.2">
      <c r="T973" s="28" t="s">
        <v>858</v>
      </c>
      <c r="U973" s="68" t="s">
        <v>89</v>
      </c>
      <c r="V973" s="72" t="str">
        <f t="shared" si="15"/>
        <v>KS_ROOKS</v>
      </c>
      <c r="AJ973" s="1" t="s">
        <v>89</v>
      </c>
      <c r="AK973" s="1" t="s">
        <v>200</v>
      </c>
      <c r="AL973" s="1" t="s">
        <v>6267</v>
      </c>
      <c r="AM973" s="1" t="s">
        <v>3730</v>
      </c>
    </row>
    <row r="974" spans="20:39" x14ac:dyDescent="0.2">
      <c r="T974" s="29" t="s">
        <v>748</v>
      </c>
      <c r="U974" s="69" t="s">
        <v>89</v>
      </c>
      <c r="V974" s="72" t="str">
        <f t="shared" si="15"/>
        <v>KS_RUSH</v>
      </c>
      <c r="AJ974" s="1" t="s">
        <v>89</v>
      </c>
      <c r="AK974" s="1" t="s">
        <v>813</v>
      </c>
      <c r="AL974" s="1" t="s">
        <v>6268</v>
      </c>
      <c r="AM974" s="1" t="s">
        <v>3647</v>
      </c>
    </row>
    <row r="975" spans="20:39" x14ac:dyDescent="0.2">
      <c r="T975" s="28" t="s">
        <v>250</v>
      </c>
      <c r="U975" s="68" t="s">
        <v>89</v>
      </c>
      <c r="V975" s="72" t="str">
        <f t="shared" si="15"/>
        <v>KS_RUSSELL</v>
      </c>
      <c r="AJ975" s="1" t="s">
        <v>89</v>
      </c>
      <c r="AK975" s="1" t="s">
        <v>814</v>
      </c>
      <c r="AL975" s="1" t="s">
        <v>6269</v>
      </c>
      <c r="AM975" s="1" t="s">
        <v>3648</v>
      </c>
    </row>
    <row r="976" spans="20:39" x14ac:dyDescent="0.2">
      <c r="T976" s="29" t="s">
        <v>338</v>
      </c>
      <c r="U976" s="69" t="s">
        <v>89</v>
      </c>
      <c r="V976" s="72" t="str">
        <f t="shared" si="15"/>
        <v>KS_SALINE</v>
      </c>
      <c r="AJ976" s="1" t="s">
        <v>89</v>
      </c>
      <c r="AK976" s="1" t="s">
        <v>203</v>
      </c>
      <c r="AL976" s="1" t="s">
        <v>6270</v>
      </c>
      <c r="AM976" s="1" t="s">
        <v>9174</v>
      </c>
    </row>
    <row r="977" spans="20:39" x14ac:dyDescent="0.2">
      <c r="T977" s="28" t="s">
        <v>339</v>
      </c>
      <c r="U977" s="68" t="s">
        <v>89</v>
      </c>
      <c r="V977" s="72" t="str">
        <f t="shared" si="15"/>
        <v>KS_SCOTT</v>
      </c>
      <c r="AJ977" s="1" t="s">
        <v>89</v>
      </c>
      <c r="AK977" s="1" t="s">
        <v>414</v>
      </c>
      <c r="AL977" s="1" t="s">
        <v>6271</v>
      </c>
      <c r="AM977" s="1" t="s">
        <v>3649</v>
      </c>
    </row>
    <row r="978" spans="20:39" x14ac:dyDescent="0.2">
      <c r="T978" s="29" t="s">
        <v>456</v>
      </c>
      <c r="U978" s="69" t="s">
        <v>89</v>
      </c>
      <c r="V978" s="72" t="str">
        <f t="shared" si="15"/>
        <v>KS_SEDGWICK</v>
      </c>
      <c r="AJ978" s="1" t="s">
        <v>89</v>
      </c>
      <c r="AK978" s="1" t="s">
        <v>301</v>
      </c>
      <c r="AL978" s="1" t="s">
        <v>6272</v>
      </c>
      <c r="AM978" s="1" t="s">
        <v>3650</v>
      </c>
    </row>
    <row r="979" spans="20:39" x14ac:dyDescent="0.2">
      <c r="T979" s="28" t="s">
        <v>859</v>
      </c>
      <c r="U979" s="68" t="s">
        <v>89</v>
      </c>
      <c r="V979" s="72" t="str">
        <f t="shared" si="15"/>
        <v>KS_SEWARD</v>
      </c>
      <c r="AJ979" s="1" t="s">
        <v>89</v>
      </c>
      <c r="AK979" s="1" t="s">
        <v>207</v>
      </c>
      <c r="AL979" s="1" t="s">
        <v>6273</v>
      </c>
      <c r="AM979" s="1" t="s">
        <v>3651</v>
      </c>
    </row>
    <row r="980" spans="20:39" x14ac:dyDescent="0.2">
      <c r="T980" s="29" t="s">
        <v>860</v>
      </c>
      <c r="U980" s="69" t="s">
        <v>89</v>
      </c>
      <c r="V980" s="72" t="str">
        <f t="shared" si="15"/>
        <v>KS_SHAWNEE</v>
      </c>
      <c r="AJ980" s="1" t="s">
        <v>89</v>
      </c>
      <c r="AK980" s="1" t="s">
        <v>815</v>
      </c>
      <c r="AL980" s="1" t="s">
        <v>6274</v>
      </c>
      <c r="AM980" s="1" t="s">
        <v>3652</v>
      </c>
    </row>
    <row r="981" spans="20:39" x14ac:dyDescent="0.2">
      <c r="T981" s="28" t="s">
        <v>861</v>
      </c>
      <c r="U981" s="68" t="s">
        <v>89</v>
      </c>
      <c r="V981" s="72" t="str">
        <f t="shared" si="15"/>
        <v>KS_SHERIDAN</v>
      </c>
      <c r="AJ981" s="1" t="s">
        <v>89</v>
      </c>
      <c r="AK981" s="1" t="s">
        <v>816</v>
      </c>
      <c r="AL981" s="1" t="s">
        <v>6275</v>
      </c>
      <c r="AM981" s="1" t="s">
        <v>3653</v>
      </c>
    </row>
    <row r="982" spans="20:39" x14ac:dyDescent="0.2">
      <c r="T982" s="29" t="s">
        <v>862</v>
      </c>
      <c r="U982" s="69" t="s">
        <v>89</v>
      </c>
      <c r="V982" s="72" t="str">
        <f t="shared" si="15"/>
        <v>KS_SHERMAN</v>
      </c>
      <c r="AJ982" s="1" t="s">
        <v>89</v>
      </c>
      <c r="AK982" s="1" t="s">
        <v>817</v>
      </c>
      <c r="AL982" s="1" t="s">
        <v>6276</v>
      </c>
      <c r="AM982" s="1" t="s">
        <v>3654</v>
      </c>
    </row>
    <row r="983" spans="20:39" x14ac:dyDescent="0.2">
      <c r="T983" s="28" t="s">
        <v>863</v>
      </c>
      <c r="U983" s="68" t="s">
        <v>89</v>
      </c>
      <c r="V983" s="72" t="str">
        <f t="shared" si="15"/>
        <v>KS_SMITH</v>
      </c>
      <c r="AJ983" s="1" t="s">
        <v>89</v>
      </c>
      <c r="AK983" s="1" t="s">
        <v>818</v>
      </c>
      <c r="AL983" s="1" t="s">
        <v>6277</v>
      </c>
      <c r="AM983" s="1" t="s">
        <v>3655</v>
      </c>
    </row>
    <row r="984" spans="20:39" x14ac:dyDescent="0.2">
      <c r="T984" s="29" t="s">
        <v>864</v>
      </c>
      <c r="U984" s="69" t="s">
        <v>89</v>
      </c>
      <c r="V984" s="72" t="str">
        <f t="shared" si="15"/>
        <v>KS_STAFFORD</v>
      </c>
      <c r="AJ984" s="1" t="s">
        <v>89</v>
      </c>
      <c r="AK984" s="1" t="s">
        <v>306</v>
      </c>
      <c r="AL984" s="1" t="s">
        <v>6278</v>
      </c>
      <c r="AM984" s="1" t="s">
        <v>3656</v>
      </c>
    </row>
    <row r="985" spans="20:39" x14ac:dyDescent="0.2">
      <c r="T985" s="28" t="s">
        <v>865</v>
      </c>
      <c r="U985" s="68" t="s">
        <v>89</v>
      </c>
      <c r="V985" s="72" t="str">
        <f t="shared" si="15"/>
        <v>KS_STANTON</v>
      </c>
      <c r="AJ985" s="1" t="s">
        <v>89</v>
      </c>
      <c r="AK985" s="1" t="s">
        <v>552</v>
      </c>
      <c r="AL985" s="1" t="s">
        <v>6279</v>
      </c>
      <c r="AM985" s="1" t="s">
        <v>3657</v>
      </c>
    </row>
    <row r="986" spans="20:39" x14ac:dyDescent="0.2">
      <c r="T986" s="29" t="s">
        <v>866</v>
      </c>
      <c r="U986" s="69" t="s">
        <v>89</v>
      </c>
      <c r="V986" s="72" t="str">
        <f t="shared" si="15"/>
        <v>KS_STEVENS</v>
      </c>
      <c r="AJ986" s="1" t="s">
        <v>89</v>
      </c>
      <c r="AK986" s="1" t="s">
        <v>776</v>
      </c>
      <c r="AL986" s="1" t="s">
        <v>6280</v>
      </c>
      <c r="AM986" s="1" t="s">
        <v>3658</v>
      </c>
    </row>
    <row r="987" spans="20:39" x14ac:dyDescent="0.2">
      <c r="T987" s="28" t="s">
        <v>867</v>
      </c>
      <c r="U987" s="68" t="s">
        <v>89</v>
      </c>
      <c r="V987" s="72" t="str">
        <f t="shared" si="15"/>
        <v>KS_SUMNER</v>
      </c>
      <c r="AJ987" s="1" t="s">
        <v>89</v>
      </c>
      <c r="AK987" s="1" t="s">
        <v>819</v>
      </c>
      <c r="AL987" s="1" t="s">
        <v>6281</v>
      </c>
      <c r="AM987" s="1" t="s">
        <v>3719</v>
      </c>
    </row>
    <row r="988" spans="20:39" x14ac:dyDescent="0.2">
      <c r="T988" s="29" t="s">
        <v>612</v>
      </c>
      <c r="U988" s="69" t="s">
        <v>89</v>
      </c>
      <c r="V988" s="72" t="str">
        <f t="shared" si="15"/>
        <v>KS_THOMAS</v>
      </c>
      <c r="AJ988" s="1" t="s">
        <v>89</v>
      </c>
      <c r="AK988" s="1" t="s">
        <v>423</v>
      </c>
      <c r="AL988" s="1" t="s">
        <v>6282</v>
      </c>
      <c r="AM988" s="1" t="s">
        <v>3684</v>
      </c>
    </row>
    <row r="989" spans="20:39" x14ac:dyDescent="0.2">
      <c r="T989" s="28" t="s">
        <v>868</v>
      </c>
      <c r="U989" s="68" t="s">
        <v>89</v>
      </c>
      <c r="V989" s="72" t="str">
        <f t="shared" si="15"/>
        <v>KS_TREGO</v>
      </c>
      <c r="AJ989" s="1" t="s">
        <v>89</v>
      </c>
      <c r="AK989" s="1" t="s">
        <v>681</v>
      </c>
      <c r="AL989" s="1" t="s">
        <v>6283</v>
      </c>
      <c r="AM989" s="1" t="s">
        <v>3659</v>
      </c>
    </row>
    <row r="990" spans="20:39" x14ac:dyDescent="0.2">
      <c r="T990" s="29" t="s">
        <v>869</v>
      </c>
      <c r="U990" s="69" t="s">
        <v>89</v>
      </c>
      <c r="V990" s="72" t="str">
        <f t="shared" si="15"/>
        <v>KS_WABAUNSEE</v>
      </c>
      <c r="AJ990" s="1" t="s">
        <v>89</v>
      </c>
      <c r="AK990" s="1" t="s">
        <v>820</v>
      </c>
      <c r="AL990" s="1" t="s">
        <v>6284</v>
      </c>
      <c r="AM990" s="1" t="s">
        <v>3660</v>
      </c>
    </row>
    <row r="991" spans="20:39" x14ac:dyDescent="0.2">
      <c r="T991" s="28" t="s">
        <v>870</v>
      </c>
      <c r="U991" s="68" t="s">
        <v>89</v>
      </c>
      <c r="V991" s="72" t="str">
        <f t="shared" si="15"/>
        <v>KS_WALLACE</v>
      </c>
      <c r="AJ991" s="1" t="s">
        <v>89</v>
      </c>
      <c r="AK991" s="1" t="s">
        <v>821</v>
      </c>
      <c r="AL991" s="1" t="s">
        <v>6285</v>
      </c>
      <c r="AM991" s="1" t="s">
        <v>3661</v>
      </c>
    </row>
    <row r="992" spans="20:39" x14ac:dyDescent="0.2">
      <c r="T992" s="29" t="s">
        <v>258</v>
      </c>
      <c r="U992" s="69" t="s">
        <v>89</v>
      </c>
      <c r="V992" s="72" t="str">
        <f t="shared" si="15"/>
        <v>KS_WASHINGTON</v>
      </c>
      <c r="AJ992" s="1" t="s">
        <v>89</v>
      </c>
      <c r="AK992" s="1" t="s">
        <v>822</v>
      </c>
      <c r="AL992" s="1" t="s">
        <v>6286</v>
      </c>
      <c r="AM992" s="1" t="s">
        <v>3662</v>
      </c>
    </row>
    <row r="993" spans="20:39" x14ac:dyDescent="0.2">
      <c r="T993" s="28" t="s">
        <v>871</v>
      </c>
      <c r="U993" s="68" t="s">
        <v>89</v>
      </c>
      <c r="V993" s="72" t="str">
        <f t="shared" si="15"/>
        <v>KS_WICHITA</v>
      </c>
      <c r="AJ993" s="1" t="s">
        <v>89</v>
      </c>
      <c r="AK993" s="1" t="s">
        <v>823</v>
      </c>
      <c r="AL993" s="1" t="s">
        <v>6287</v>
      </c>
      <c r="AM993" s="1" t="s">
        <v>3663</v>
      </c>
    </row>
    <row r="994" spans="20:39" x14ac:dyDescent="0.2">
      <c r="T994" s="29" t="s">
        <v>872</v>
      </c>
      <c r="U994" s="69" t="s">
        <v>89</v>
      </c>
      <c r="V994" s="72" t="str">
        <f t="shared" si="15"/>
        <v>KS_WILSON</v>
      </c>
      <c r="AJ994" s="1" t="s">
        <v>89</v>
      </c>
      <c r="AK994" s="1" t="s">
        <v>682</v>
      </c>
      <c r="AL994" s="1" t="s">
        <v>6288</v>
      </c>
      <c r="AM994" s="1" t="s">
        <v>3664</v>
      </c>
    </row>
    <row r="995" spans="20:39" x14ac:dyDescent="0.2">
      <c r="T995" s="28" t="s">
        <v>873</v>
      </c>
      <c r="U995" s="68" t="s">
        <v>89</v>
      </c>
      <c r="V995" s="72" t="str">
        <f t="shared" si="15"/>
        <v>KS_WOODSON</v>
      </c>
      <c r="AJ995" s="1" t="s">
        <v>89</v>
      </c>
      <c r="AK995" s="1" t="s">
        <v>223</v>
      </c>
      <c r="AL995" s="1" t="s">
        <v>6289</v>
      </c>
      <c r="AM995" s="1" t="s">
        <v>3665</v>
      </c>
    </row>
    <row r="996" spans="20:39" x14ac:dyDescent="0.2">
      <c r="T996" s="29" t="s">
        <v>874</v>
      </c>
      <c r="U996" s="69" t="s">
        <v>89</v>
      </c>
      <c r="V996" s="72" t="str">
        <f t="shared" si="15"/>
        <v>KS_WYANDOTTE</v>
      </c>
      <c r="AJ996" s="1" t="s">
        <v>89</v>
      </c>
      <c r="AK996" s="1" t="s">
        <v>824</v>
      </c>
      <c r="AL996" s="1" t="s">
        <v>6290</v>
      </c>
      <c r="AM996" s="1" t="s">
        <v>3666</v>
      </c>
    </row>
    <row r="997" spans="20:39" x14ac:dyDescent="0.2">
      <c r="T997" s="28" t="s">
        <v>763</v>
      </c>
      <c r="U997" s="68" t="s">
        <v>88</v>
      </c>
      <c r="V997" s="72" t="str">
        <f t="shared" si="15"/>
        <v>KY_ADAIR</v>
      </c>
      <c r="AJ997" s="1" t="s">
        <v>89</v>
      </c>
      <c r="AK997" s="1" t="s">
        <v>825</v>
      </c>
      <c r="AL997" s="1" t="s">
        <v>6291</v>
      </c>
      <c r="AM997" s="1" t="s">
        <v>3667</v>
      </c>
    </row>
    <row r="998" spans="20:39" x14ac:dyDescent="0.2">
      <c r="T998" s="29" t="s">
        <v>722</v>
      </c>
      <c r="U998" s="69" t="s">
        <v>88</v>
      </c>
      <c r="V998" s="72" t="str">
        <f t="shared" si="15"/>
        <v>KY_ALLEN</v>
      </c>
      <c r="AJ998" s="1" t="s">
        <v>89</v>
      </c>
      <c r="AK998" s="1" t="s">
        <v>282</v>
      </c>
      <c r="AL998" s="1" t="s">
        <v>6292</v>
      </c>
      <c r="AM998" s="1" t="s">
        <v>3668</v>
      </c>
    </row>
    <row r="999" spans="20:39" x14ac:dyDescent="0.2">
      <c r="T999" s="28" t="s">
        <v>808</v>
      </c>
      <c r="U999" s="68" t="s">
        <v>88</v>
      </c>
      <c r="V999" s="72" t="str">
        <f t="shared" si="15"/>
        <v>KY_ANDERSON</v>
      </c>
      <c r="AJ999" s="1" t="s">
        <v>89</v>
      </c>
      <c r="AK999" s="1" t="s">
        <v>314</v>
      </c>
      <c r="AL999" s="1" t="s">
        <v>6293</v>
      </c>
      <c r="AM999" s="1" t="s">
        <v>3669</v>
      </c>
    </row>
    <row r="1000" spans="20:39" x14ac:dyDescent="0.2">
      <c r="T1000" s="29" t="s">
        <v>875</v>
      </c>
      <c r="U1000" s="69" t="s">
        <v>88</v>
      </c>
      <c r="V1000" s="72" t="str">
        <f t="shared" si="15"/>
        <v>KY_BALLARD</v>
      </c>
      <c r="AJ1000" s="1" t="s">
        <v>89</v>
      </c>
      <c r="AK1000" s="1" t="s">
        <v>826</v>
      </c>
      <c r="AL1000" s="1" t="s">
        <v>6294</v>
      </c>
      <c r="AM1000" s="1" t="s">
        <v>3670</v>
      </c>
    </row>
    <row r="1001" spans="20:39" x14ac:dyDescent="0.2">
      <c r="T1001" s="28" t="s">
        <v>876</v>
      </c>
      <c r="U1001" s="68" t="s">
        <v>88</v>
      </c>
      <c r="V1001" s="72" t="str">
        <f t="shared" si="15"/>
        <v>KY_BARREN</v>
      </c>
      <c r="AJ1001" s="1" t="s">
        <v>89</v>
      </c>
      <c r="AK1001" s="1" t="s">
        <v>827</v>
      </c>
      <c r="AL1001" s="1" t="s">
        <v>6295</v>
      </c>
      <c r="AM1001" s="1" t="s">
        <v>3671</v>
      </c>
    </row>
    <row r="1002" spans="20:39" x14ac:dyDescent="0.2">
      <c r="T1002" s="29" t="s">
        <v>877</v>
      </c>
      <c r="U1002" s="69" t="s">
        <v>88</v>
      </c>
      <c r="V1002" s="72" t="str">
        <f t="shared" si="15"/>
        <v>KY_BATH</v>
      </c>
      <c r="AJ1002" s="1" t="s">
        <v>89</v>
      </c>
      <c r="AK1002" s="1" t="s">
        <v>828</v>
      </c>
      <c r="AL1002" s="1" t="s">
        <v>6296</v>
      </c>
      <c r="AM1002" s="1" t="s">
        <v>3672</v>
      </c>
    </row>
    <row r="1003" spans="20:39" x14ac:dyDescent="0.2">
      <c r="T1003" s="28" t="s">
        <v>878</v>
      </c>
      <c r="U1003" s="68" t="s">
        <v>88</v>
      </c>
      <c r="V1003" s="72" t="str">
        <f t="shared" si="15"/>
        <v>KY_BELL</v>
      </c>
      <c r="AJ1003" s="1" t="s">
        <v>89</v>
      </c>
      <c r="AK1003" s="1" t="s">
        <v>491</v>
      </c>
      <c r="AL1003" s="1" t="s">
        <v>6297</v>
      </c>
      <c r="AM1003" s="1" t="s">
        <v>3673</v>
      </c>
    </row>
    <row r="1004" spans="20:39" x14ac:dyDescent="0.2">
      <c r="T1004" s="29" t="s">
        <v>297</v>
      </c>
      <c r="U1004" s="69" t="s">
        <v>88</v>
      </c>
      <c r="V1004" s="72" t="str">
        <f t="shared" si="15"/>
        <v>KY_BOONE</v>
      </c>
      <c r="AJ1004" s="1" t="s">
        <v>89</v>
      </c>
      <c r="AK1004" s="1" t="s">
        <v>829</v>
      </c>
      <c r="AL1004" s="1" t="s">
        <v>6298</v>
      </c>
      <c r="AM1004" s="1" t="s">
        <v>3674</v>
      </c>
    </row>
    <row r="1005" spans="20:39" x14ac:dyDescent="0.2">
      <c r="T1005" s="28" t="s">
        <v>812</v>
      </c>
      <c r="U1005" s="68" t="s">
        <v>88</v>
      </c>
      <c r="V1005" s="72" t="str">
        <f t="shared" si="15"/>
        <v>KY_BOURBON</v>
      </c>
      <c r="AJ1005" s="1" t="s">
        <v>89</v>
      </c>
      <c r="AK1005" s="1" t="s">
        <v>830</v>
      </c>
      <c r="AL1005" s="1" t="s">
        <v>6299</v>
      </c>
      <c r="AM1005" s="1" t="s">
        <v>3730</v>
      </c>
    </row>
    <row r="1006" spans="20:39" x14ac:dyDescent="0.2">
      <c r="T1006" s="29" t="s">
        <v>879</v>
      </c>
      <c r="U1006" s="69" t="s">
        <v>88</v>
      </c>
      <c r="V1006" s="72" t="str">
        <f t="shared" si="15"/>
        <v>KY_BOYD</v>
      </c>
      <c r="AJ1006" s="1" t="s">
        <v>89</v>
      </c>
      <c r="AK1006" s="1" t="s">
        <v>831</v>
      </c>
      <c r="AL1006" s="1" t="s">
        <v>6300</v>
      </c>
      <c r="AM1006" s="1" t="s">
        <v>3675</v>
      </c>
    </row>
    <row r="1007" spans="20:39" x14ac:dyDescent="0.2">
      <c r="T1007" s="28" t="s">
        <v>880</v>
      </c>
      <c r="U1007" s="68" t="s">
        <v>88</v>
      </c>
      <c r="V1007" s="72" t="str">
        <f t="shared" si="15"/>
        <v>KY_BOYLE</v>
      </c>
      <c r="AJ1007" s="1" t="s">
        <v>89</v>
      </c>
      <c r="AK1007" s="1" t="s">
        <v>832</v>
      </c>
      <c r="AL1007" s="1" t="s">
        <v>6301</v>
      </c>
      <c r="AM1007" s="1" t="s">
        <v>3676</v>
      </c>
    </row>
    <row r="1008" spans="20:39" x14ac:dyDescent="0.2">
      <c r="T1008" s="29" t="s">
        <v>881</v>
      </c>
      <c r="U1008" s="69" t="s">
        <v>88</v>
      </c>
      <c r="V1008" s="72" t="str">
        <f t="shared" si="15"/>
        <v>KY_BRACKEN</v>
      </c>
      <c r="AJ1008" s="1" t="s">
        <v>89</v>
      </c>
      <c r="AK1008" s="1" t="s">
        <v>229</v>
      </c>
      <c r="AL1008" s="1" t="s">
        <v>6302</v>
      </c>
      <c r="AM1008" s="1" t="s">
        <v>3725</v>
      </c>
    </row>
    <row r="1009" spans="20:39" x14ac:dyDescent="0.2">
      <c r="T1009" s="28" t="s">
        <v>882</v>
      </c>
      <c r="U1009" s="68" t="s">
        <v>88</v>
      </c>
      <c r="V1009" s="72" t="str">
        <f t="shared" si="15"/>
        <v>KY_BREATHITT</v>
      </c>
      <c r="AJ1009" s="1" t="s">
        <v>89</v>
      </c>
      <c r="AK1009" s="1" t="s">
        <v>230</v>
      </c>
      <c r="AL1009" s="1" t="s">
        <v>6303</v>
      </c>
      <c r="AM1009" s="1" t="s">
        <v>3725</v>
      </c>
    </row>
    <row r="1010" spans="20:39" x14ac:dyDescent="0.2">
      <c r="T1010" s="29" t="s">
        <v>883</v>
      </c>
      <c r="U1010" s="69" t="s">
        <v>88</v>
      </c>
      <c r="V1010" s="72" t="str">
        <f t="shared" si="15"/>
        <v>KY_BRECKINRIDGE</v>
      </c>
      <c r="AJ1010" s="1" t="s">
        <v>89</v>
      </c>
      <c r="AK1010" s="1" t="s">
        <v>833</v>
      </c>
      <c r="AL1010" s="1" t="s">
        <v>6304</v>
      </c>
      <c r="AM1010" s="1" t="s">
        <v>3677</v>
      </c>
    </row>
    <row r="1011" spans="20:39" x14ac:dyDescent="0.2">
      <c r="T1011" s="28" t="s">
        <v>884</v>
      </c>
      <c r="U1011" s="68" t="s">
        <v>88</v>
      </c>
      <c r="V1011" s="72" t="str">
        <f t="shared" si="15"/>
        <v>KY_BULLITT</v>
      </c>
      <c r="AJ1011" s="1" t="s">
        <v>89</v>
      </c>
      <c r="AK1011" s="1" t="s">
        <v>320</v>
      </c>
      <c r="AL1011" s="1" t="s">
        <v>6305</v>
      </c>
      <c r="AM1011" s="1" t="s">
        <v>3678</v>
      </c>
    </row>
    <row r="1012" spans="20:39" x14ac:dyDescent="0.2">
      <c r="T1012" s="29" t="s">
        <v>200</v>
      </c>
      <c r="U1012" s="69" t="s">
        <v>88</v>
      </c>
      <c r="V1012" s="72" t="str">
        <f t="shared" si="15"/>
        <v>KY_BUTLER</v>
      </c>
      <c r="AJ1012" s="1" t="s">
        <v>89</v>
      </c>
      <c r="AK1012" s="1" t="s">
        <v>834</v>
      </c>
      <c r="AL1012" s="1" t="s">
        <v>6306</v>
      </c>
      <c r="AM1012" s="1" t="s">
        <v>3679</v>
      </c>
    </row>
    <row r="1013" spans="20:39" x14ac:dyDescent="0.2">
      <c r="T1013" s="28" t="s">
        <v>885</v>
      </c>
      <c r="U1013" s="68" t="s">
        <v>88</v>
      </c>
      <c r="V1013" s="72" t="str">
        <f t="shared" si="15"/>
        <v>KY_CALDWELL</v>
      </c>
      <c r="AJ1013" s="1" t="s">
        <v>89</v>
      </c>
      <c r="AK1013" s="1" t="s">
        <v>835</v>
      </c>
      <c r="AL1013" s="1" t="s">
        <v>6307</v>
      </c>
      <c r="AM1013" s="1" t="s">
        <v>3680</v>
      </c>
    </row>
    <row r="1014" spans="20:39" x14ac:dyDescent="0.2">
      <c r="T1014" s="29" t="s">
        <v>886</v>
      </c>
      <c r="U1014" s="69" t="s">
        <v>88</v>
      </c>
      <c r="V1014" s="72" t="str">
        <f t="shared" si="15"/>
        <v>KY_CALLOWAY</v>
      </c>
      <c r="AJ1014" s="1" t="s">
        <v>89</v>
      </c>
      <c r="AK1014" s="1" t="s">
        <v>434</v>
      </c>
      <c r="AL1014" s="1" t="s">
        <v>6308</v>
      </c>
      <c r="AM1014" s="1" t="s">
        <v>3681</v>
      </c>
    </row>
    <row r="1015" spans="20:39" x14ac:dyDescent="0.2">
      <c r="T1015" s="28" t="s">
        <v>887</v>
      </c>
      <c r="U1015" s="68" t="s">
        <v>88</v>
      </c>
      <c r="V1015" s="72" t="str">
        <f t="shared" si="15"/>
        <v>KY_CAMPBELL</v>
      </c>
      <c r="AJ1015" s="1" t="s">
        <v>89</v>
      </c>
      <c r="AK1015" s="1" t="s">
        <v>836</v>
      </c>
      <c r="AL1015" s="1" t="s">
        <v>6309</v>
      </c>
      <c r="AM1015" s="1" t="s">
        <v>3682</v>
      </c>
    </row>
    <row r="1016" spans="20:39" x14ac:dyDescent="0.2">
      <c r="T1016" s="29" t="s">
        <v>888</v>
      </c>
      <c r="U1016" s="69" t="s">
        <v>88</v>
      </c>
      <c r="V1016" s="72" t="str">
        <f t="shared" si="15"/>
        <v>KY_CARLISLE</v>
      </c>
      <c r="AJ1016" s="1" t="s">
        <v>89</v>
      </c>
      <c r="AK1016" s="1" t="s">
        <v>837</v>
      </c>
      <c r="AL1016" s="1" t="s">
        <v>6310</v>
      </c>
      <c r="AM1016" s="1" t="s">
        <v>3683</v>
      </c>
    </row>
    <row r="1017" spans="20:39" x14ac:dyDescent="0.2">
      <c r="T1017" s="28" t="s">
        <v>299</v>
      </c>
      <c r="U1017" s="68" t="s">
        <v>88</v>
      </c>
      <c r="V1017" s="72" t="str">
        <f t="shared" si="15"/>
        <v>KY_CARROLL</v>
      </c>
      <c r="AJ1017" s="1" t="s">
        <v>89</v>
      </c>
      <c r="AK1017" s="1" t="s">
        <v>838</v>
      </c>
      <c r="AL1017" s="1" t="s">
        <v>6311</v>
      </c>
      <c r="AM1017" s="1" t="s">
        <v>3678</v>
      </c>
    </row>
    <row r="1018" spans="20:39" x14ac:dyDescent="0.2">
      <c r="T1018" s="29" t="s">
        <v>889</v>
      </c>
      <c r="U1018" s="69" t="s">
        <v>88</v>
      </c>
      <c r="V1018" s="72" t="str">
        <f t="shared" si="15"/>
        <v>KY_CARTER</v>
      </c>
      <c r="AJ1018" s="1" t="s">
        <v>89</v>
      </c>
      <c r="AK1018" s="1" t="s">
        <v>322</v>
      </c>
      <c r="AL1018" s="1" t="s">
        <v>6312</v>
      </c>
      <c r="AM1018" s="1" t="s">
        <v>3685</v>
      </c>
    </row>
    <row r="1019" spans="20:39" x14ac:dyDescent="0.2">
      <c r="T1019" s="28" t="s">
        <v>890</v>
      </c>
      <c r="U1019" s="68" t="s">
        <v>88</v>
      </c>
      <c r="V1019" s="72" t="str">
        <f t="shared" si="15"/>
        <v>KY_CASEY</v>
      </c>
      <c r="AJ1019" s="1" t="s">
        <v>89</v>
      </c>
      <c r="AK1019" s="1" t="s">
        <v>784</v>
      </c>
      <c r="AL1019" s="1" t="s">
        <v>6313</v>
      </c>
      <c r="AM1019" s="1" t="s">
        <v>3678</v>
      </c>
    </row>
    <row r="1020" spans="20:39" x14ac:dyDescent="0.2">
      <c r="T1020" s="29" t="s">
        <v>674</v>
      </c>
      <c r="U1020" s="69" t="s">
        <v>88</v>
      </c>
      <c r="V1020" s="72" t="str">
        <f t="shared" si="15"/>
        <v>KY_CHRISTIAN</v>
      </c>
      <c r="AJ1020" s="1" t="s">
        <v>89</v>
      </c>
      <c r="AK1020" s="1" t="s">
        <v>324</v>
      </c>
      <c r="AL1020" s="1" t="s">
        <v>6314</v>
      </c>
      <c r="AM1020" s="1" t="s">
        <v>3686</v>
      </c>
    </row>
    <row r="1021" spans="20:39" x14ac:dyDescent="0.2">
      <c r="T1021" s="28" t="s">
        <v>301</v>
      </c>
      <c r="U1021" s="68" t="s">
        <v>88</v>
      </c>
      <c r="V1021" s="72" t="str">
        <f t="shared" si="15"/>
        <v>KY_CLARK</v>
      </c>
      <c r="AJ1021" s="1" t="s">
        <v>89</v>
      </c>
      <c r="AK1021" s="1" t="s">
        <v>787</v>
      </c>
      <c r="AL1021" s="1" t="s">
        <v>6315</v>
      </c>
      <c r="AM1021" s="1" t="s">
        <v>3687</v>
      </c>
    </row>
    <row r="1022" spans="20:39" x14ac:dyDescent="0.2">
      <c r="T1022" s="29" t="s">
        <v>207</v>
      </c>
      <c r="U1022" s="69" t="s">
        <v>88</v>
      </c>
      <c r="V1022" s="72" t="str">
        <f t="shared" si="15"/>
        <v>KY_CLAY</v>
      </c>
      <c r="AJ1022" s="1" t="s">
        <v>89</v>
      </c>
      <c r="AK1022" s="1" t="s">
        <v>240</v>
      </c>
      <c r="AL1022" s="1" t="s">
        <v>6316</v>
      </c>
      <c r="AM1022" s="1" t="s">
        <v>3689</v>
      </c>
    </row>
    <row r="1023" spans="20:39" x14ac:dyDescent="0.2">
      <c r="T1023" s="28" t="s">
        <v>675</v>
      </c>
      <c r="U1023" s="68" t="s">
        <v>88</v>
      </c>
      <c r="V1023" s="72" t="str">
        <f t="shared" si="15"/>
        <v>KY_CLINTON</v>
      </c>
      <c r="AJ1023" s="1" t="s">
        <v>89</v>
      </c>
      <c r="AK1023" s="1" t="s">
        <v>241</v>
      </c>
      <c r="AL1023" s="1" t="s">
        <v>6317</v>
      </c>
      <c r="AM1023" s="1" t="s">
        <v>3690</v>
      </c>
    </row>
    <row r="1024" spans="20:39" x14ac:dyDescent="0.2">
      <c r="T1024" s="29" t="s">
        <v>307</v>
      </c>
      <c r="U1024" s="69" t="s">
        <v>88</v>
      </c>
      <c r="V1024" s="72" t="str">
        <f t="shared" si="15"/>
        <v>KY_CRITTENDEN</v>
      </c>
      <c r="AJ1024" s="1" t="s">
        <v>89</v>
      </c>
      <c r="AK1024" s="1" t="s">
        <v>839</v>
      </c>
      <c r="AL1024" s="1" t="s">
        <v>6318</v>
      </c>
      <c r="AM1024" s="1" t="s">
        <v>3691</v>
      </c>
    </row>
    <row r="1025" spans="20:39" x14ac:dyDescent="0.2">
      <c r="T1025" s="28" t="s">
        <v>677</v>
      </c>
      <c r="U1025" s="68" t="s">
        <v>88</v>
      </c>
      <c r="V1025" s="72" t="str">
        <f t="shared" si="15"/>
        <v>KY_CUMBERLAND</v>
      </c>
      <c r="AJ1025" s="1" t="s">
        <v>89</v>
      </c>
      <c r="AK1025" s="1" t="s">
        <v>840</v>
      </c>
      <c r="AL1025" s="1" t="s">
        <v>6319</v>
      </c>
      <c r="AM1025" s="1" t="s">
        <v>3692</v>
      </c>
    </row>
    <row r="1026" spans="20:39" x14ac:dyDescent="0.2">
      <c r="T1026" s="29" t="s">
        <v>725</v>
      </c>
      <c r="U1026" s="69" t="s">
        <v>88</v>
      </c>
      <c r="V1026" s="72" t="str">
        <f t="shared" si="15"/>
        <v>KY_DAVIESS</v>
      </c>
      <c r="AJ1026" s="1" t="s">
        <v>89</v>
      </c>
      <c r="AK1026" s="1" t="s">
        <v>740</v>
      </c>
      <c r="AL1026" s="1" t="s">
        <v>6320</v>
      </c>
      <c r="AM1026" s="1" t="s">
        <v>3678</v>
      </c>
    </row>
    <row r="1027" spans="20:39" x14ac:dyDescent="0.2">
      <c r="T1027" s="28" t="s">
        <v>891</v>
      </c>
      <c r="U1027" s="68" t="s">
        <v>88</v>
      </c>
      <c r="V1027" s="72" t="str">
        <f t="shared" si="15"/>
        <v>KY_EDMONSON</v>
      </c>
      <c r="AJ1027" s="1" t="s">
        <v>89</v>
      </c>
      <c r="AK1027" s="1" t="s">
        <v>590</v>
      </c>
      <c r="AL1027" s="1" t="s">
        <v>6321</v>
      </c>
      <c r="AM1027" s="1" t="s">
        <v>3693</v>
      </c>
    </row>
    <row r="1028" spans="20:39" x14ac:dyDescent="0.2">
      <c r="T1028" s="29" t="s">
        <v>892</v>
      </c>
      <c r="U1028" s="69" t="s">
        <v>88</v>
      </c>
      <c r="V1028" s="72" t="str">
        <f t="shared" si="15"/>
        <v>KY_ELLIOTT</v>
      </c>
      <c r="AJ1028" s="1" t="s">
        <v>89</v>
      </c>
      <c r="AK1028" s="1" t="s">
        <v>244</v>
      </c>
      <c r="AL1028" s="1" t="s">
        <v>6322</v>
      </c>
      <c r="AM1028" s="1" t="s">
        <v>3694</v>
      </c>
    </row>
    <row r="1029" spans="20:39" x14ac:dyDescent="0.2">
      <c r="T1029" s="28" t="s">
        <v>893</v>
      </c>
      <c r="U1029" s="68" t="s">
        <v>88</v>
      </c>
      <c r="V1029" s="72" t="str">
        <f t="shared" si="15"/>
        <v>KY_ESTILL</v>
      </c>
      <c r="AJ1029" s="1" t="s">
        <v>89</v>
      </c>
      <c r="AK1029" s="1" t="s">
        <v>841</v>
      </c>
      <c r="AL1029" s="1" t="s">
        <v>6323</v>
      </c>
      <c r="AM1029" s="1" t="s">
        <v>3695</v>
      </c>
    </row>
    <row r="1030" spans="20:39" x14ac:dyDescent="0.2">
      <c r="T1030" s="29" t="s">
        <v>222</v>
      </c>
      <c r="U1030" s="69" t="s">
        <v>88</v>
      </c>
      <c r="V1030" s="72" t="str">
        <f t="shared" si="15"/>
        <v>KY_FAYETTE</v>
      </c>
      <c r="AJ1030" s="1" t="s">
        <v>89</v>
      </c>
      <c r="AK1030" s="1" t="s">
        <v>842</v>
      </c>
      <c r="AL1030" s="1" t="s">
        <v>6324</v>
      </c>
      <c r="AM1030" s="1" t="s">
        <v>3696</v>
      </c>
    </row>
    <row r="1031" spans="20:39" x14ac:dyDescent="0.2">
      <c r="T1031" s="28" t="s">
        <v>894</v>
      </c>
      <c r="U1031" s="68" t="s">
        <v>88</v>
      </c>
      <c r="V1031" s="72" t="str">
        <f t="shared" si="15"/>
        <v>KY_FLEMING</v>
      </c>
      <c r="AJ1031" s="1" t="s">
        <v>89</v>
      </c>
      <c r="AK1031" s="1" t="s">
        <v>843</v>
      </c>
      <c r="AL1031" s="1" t="s">
        <v>6325</v>
      </c>
      <c r="AM1031" s="1" t="s">
        <v>3697</v>
      </c>
    </row>
    <row r="1032" spans="20:39" x14ac:dyDescent="0.2">
      <c r="T1032" s="29" t="s">
        <v>563</v>
      </c>
      <c r="U1032" s="69" t="s">
        <v>88</v>
      </c>
      <c r="V1032" s="72" t="str">
        <f t="shared" si="15"/>
        <v>KY_FLOYD</v>
      </c>
      <c r="AJ1032" s="1" t="s">
        <v>89</v>
      </c>
      <c r="AK1032" s="1" t="s">
        <v>844</v>
      </c>
      <c r="AL1032" s="1" t="s">
        <v>6326</v>
      </c>
      <c r="AM1032" s="1" t="s">
        <v>3698</v>
      </c>
    </row>
    <row r="1033" spans="20:39" x14ac:dyDescent="0.2">
      <c r="T1033" s="28" t="s">
        <v>223</v>
      </c>
      <c r="U1033" s="68" t="s">
        <v>88</v>
      </c>
      <c r="V1033" s="72" t="str">
        <f t="shared" si="15"/>
        <v>KY_FRANKLIN</v>
      </c>
      <c r="AJ1033" s="1" t="s">
        <v>89</v>
      </c>
      <c r="AK1033" s="1" t="s">
        <v>845</v>
      </c>
      <c r="AL1033" s="1" t="s">
        <v>6327</v>
      </c>
      <c r="AM1033" s="1" t="s">
        <v>3699</v>
      </c>
    </row>
    <row r="1034" spans="20:39" x14ac:dyDescent="0.2">
      <c r="T1034" s="29" t="s">
        <v>312</v>
      </c>
      <c r="U1034" s="69" t="s">
        <v>88</v>
      </c>
      <c r="V1034" s="72" t="str">
        <f t="shared" ref="V1034:V1097" si="16">UPPER(CONCATENATE(TRIM(U1034),"_",TRIM(T1034)))</f>
        <v>KY_FULTON</v>
      </c>
      <c r="AJ1034" s="1" t="s">
        <v>89</v>
      </c>
      <c r="AK1034" s="1" t="s">
        <v>846</v>
      </c>
      <c r="AL1034" s="1" t="s">
        <v>6328</v>
      </c>
      <c r="AM1034" s="1" t="s">
        <v>3700</v>
      </c>
    </row>
    <row r="1035" spans="20:39" x14ac:dyDescent="0.2">
      <c r="T1035" s="28" t="s">
        <v>683</v>
      </c>
      <c r="U1035" s="68" t="s">
        <v>88</v>
      </c>
      <c r="V1035" s="72" t="str">
        <f t="shared" si="16"/>
        <v>KY_GALLATIN</v>
      </c>
      <c r="AJ1035" s="1" t="s">
        <v>89</v>
      </c>
      <c r="AK1035" s="1" t="s">
        <v>847</v>
      </c>
      <c r="AL1035" s="1" t="s">
        <v>6329</v>
      </c>
      <c r="AM1035" s="1" t="s">
        <v>3725</v>
      </c>
    </row>
    <row r="1036" spans="20:39" x14ac:dyDescent="0.2">
      <c r="T1036" s="29" t="s">
        <v>895</v>
      </c>
      <c r="U1036" s="69" t="s">
        <v>88</v>
      </c>
      <c r="V1036" s="72" t="str">
        <f t="shared" si="16"/>
        <v>KY_GARRARD</v>
      </c>
      <c r="AJ1036" s="1" t="s">
        <v>89</v>
      </c>
      <c r="AK1036" s="1" t="s">
        <v>848</v>
      </c>
      <c r="AL1036" s="1" t="s">
        <v>6330</v>
      </c>
      <c r="AM1036" s="1" t="s">
        <v>3701</v>
      </c>
    </row>
    <row r="1037" spans="20:39" x14ac:dyDescent="0.2">
      <c r="T1037" s="28" t="s">
        <v>314</v>
      </c>
      <c r="U1037" s="68" t="s">
        <v>88</v>
      </c>
      <c r="V1037" s="72" t="str">
        <f t="shared" si="16"/>
        <v>KY_GRANT</v>
      </c>
      <c r="AJ1037" s="1" t="s">
        <v>89</v>
      </c>
      <c r="AK1037" s="1" t="s">
        <v>849</v>
      </c>
      <c r="AL1037" s="1" t="s">
        <v>6331</v>
      </c>
      <c r="AM1037" s="1" t="s">
        <v>3702</v>
      </c>
    </row>
    <row r="1038" spans="20:39" x14ac:dyDescent="0.2">
      <c r="T1038" s="29" t="s">
        <v>896</v>
      </c>
      <c r="U1038" s="69" t="s">
        <v>88</v>
      </c>
      <c r="V1038" s="72" t="str">
        <f t="shared" si="16"/>
        <v>KY_GRAVES</v>
      </c>
      <c r="AJ1038" s="1" t="s">
        <v>89</v>
      </c>
      <c r="AK1038" s="1" t="s">
        <v>850</v>
      </c>
      <c r="AL1038" s="1" t="s">
        <v>6332</v>
      </c>
      <c r="AM1038" s="1" t="s">
        <v>3703</v>
      </c>
    </row>
    <row r="1039" spans="20:39" x14ac:dyDescent="0.2">
      <c r="T1039" s="28" t="s">
        <v>897</v>
      </c>
      <c r="U1039" s="68" t="s">
        <v>88</v>
      </c>
      <c r="V1039" s="72" t="str">
        <f t="shared" si="16"/>
        <v>KY_GRAYSON</v>
      </c>
      <c r="AJ1039" s="1" t="s">
        <v>89</v>
      </c>
      <c r="AK1039" s="1" t="s">
        <v>331</v>
      </c>
      <c r="AL1039" s="1" t="s">
        <v>6333</v>
      </c>
      <c r="AM1039" s="1" t="s">
        <v>3704</v>
      </c>
    </row>
    <row r="1040" spans="20:39" x14ac:dyDescent="0.2">
      <c r="T1040" s="29" t="s">
        <v>898</v>
      </c>
      <c r="U1040" s="69" t="s">
        <v>88</v>
      </c>
      <c r="V1040" s="72" t="str">
        <f t="shared" si="16"/>
        <v>KY_GREEN</v>
      </c>
      <c r="AJ1040" s="1" t="s">
        <v>89</v>
      </c>
      <c r="AK1040" s="1" t="s">
        <v>851</v>
      </c>
      <c r="AL1040" s="1" t="s">
        <v>6334</v>
      </c>
      <c r="AM1040" s="1" t="s">
        <v>3688</v>
      </c>
    </row>
    <row r="1041" spans="20:39" x14ac:dyDescent="0.2">
      <c r="T1041" s="28" t="s">
        <v>899</v>
      </c>
      <c r="U1041" s="68" t="s">
        <v>88</v>
      </c>
      <c r="V1041" s="72" t="str">
        <f t="shared" si="16"/>
        <v>KY_GREENUP</v>
      </c>
      <c r="AJ1041" s="1" t="s">
        <v>89</v>
      </c>
      <c r="AK1041" s="1" t="s">
        <v>852</v>
      </c>
      <c r="AL1041" s="1" t="s">
        <v>6335</v>
      </c>
      <c r="AM1041" s="1" t="s">
        <v>3705</v>
      </c>
    </row>
    <row r="1042" spans="20:39" x14ac:dyDescent="0.2">
      <c r="T1042" s="29" t="s">
        <v>573</v>
      </c>
      <c r="U1042" s="69" t="s">
        <v>88</v>
      </c>
      <c r="V1042" s="72" t="str">
        <f t="shared" si="16"/>
        <v>KY_HANCOCK</v>
      </c>
      <c r="AJ1042" s="1" t="s">
        <v>89</v>
      </c>
      <c r="AK1042" s="1" t="s">
        <v>853</v>
      </c>
      <c r="AL1042" s="1" t="s">
        <v>6336</v>
      </c>
      <c r="AM1042" s="1" t="s">
        <v>3706</v>
      </c>
    </row>
    <row r="1043" spans="20:39" x14ac:dyDescent="0.2">
      <c r="T1043" s="28" t="s">
        <v>685</v>
      </c>
      <c r="U1043" s="68" t="s">
        <v>88</v>
      </c>
      <c r="V1043" s="72" t="str">
        <f t="shared" si="16"/>
        <v>KY_HARDIN</v>
      </c>
      <c r="AJ1043" s="1" t="s">
        <v>89</v>
      </c>
      <c r="AK1043" s="1" t="s">
        <v>854</v>
      </c>
      <c r="AL1043" s="1" t="s">
        <v>6337</v>
      </c>
      <c r="AM1043" s="1" t="s">
        <v>3707</v>
      </c>
    </row>
    <row r="1044" spans="20:39" x14ac:dyDescent="0.2">
      <c r="T1044" s="29" t="s">
        <v>900</v>
      </c>
      <c r="U1044" s="69" t="s">
        <v>88</v>
      </c>
      <c r="V1044" s="72" t="str">
        <f t="shared" si="16"/>
        <v>KY_HARLAN</v>
      </c>
      <c r="AJ1044" s="1" t="s">
        <v>89</v>
      </c>
      <c r="AK1044" s="1" t="s">
        <v>855</v>
      </c>
      <c r="AL1044" s="1" t="s">
        <v>6338</v>
      </c>
      <c r="AM1044" s="1" t="s">
        <v>3708</v>
      </c>
    </row>
    <row r="1045" spans="20:39" x14ac:dyDescent="0.2">
      <c r="T1045" s="28" t="s">
        <v>732</v>
      </c>
      <c r="U1045" s="68" t="s">
        <v>88</v>
      </c>
      <c r="V1045" s="72" t="str">
        <f t="shared" si="16"/>
        <v>KY_HARRISON</v>
      </c>
      <c r="AJ1045" s="1" t="s">
        <v>89</v>
      </c>
      <c r="AK1045" s="1" t="s">
        <v>856</v>
      </c>
      <c r="AL1045" s="1" t="s">
        <v>6339</v>
      </c>
      <c r="AM1045" s="1" t="s">
        <v>3709</v>
      </c>
    </row>
    <row r="1046" spans="20:39" x14ac:dyDescent="0.2">
      <c r="T1046" s="29" t="s">
        <v>576</v>
      </c>
      <c r="U1046" s="69" t="s">
        <v>88</v>
      </c>
      <c r="V1046" s="72" t="str">
        <f t="shared" si="16"/>
        <v>KY_HART</v>
      </c>
      <c r="AJ1046" s="1" t="s">
        <v>89</v>
      </c>
      <c r="AK1046" s="1" t="s">
        <v>857</v>
      </c>
      <c r="AL1046" s="1" t="s">
        <v>6340</v>
      </c>
      <c r="AM1046" s="1" t="s">
        <v>3688</v>
      </c>
    </row>
    <row r="1047" spans="20:39" x14ac:dyDescent="0.2">
      <c r="T1047" s="28" t="s">
        <v>686</v>
      </c>
      <c r="U1047" s="68" t="s">
        <v>88</v>
      </c>
      <c r="V1047" s="72" t="str">
        <f t="shared" si="16"/>
        <v>KY_HENDERSON</v>
      </c>
      <c r="AJ1047" s="1" t="s">
        <v>89</v>
      </c>
      <c r="AK1047" s="1" t="s">
        <v>858</v>
      </c>
      <c r="AL1047" s="1" t="s">
        <v>6341</v>
      </c>
      <c r="AM1047" s="1" t="s">
        <v>3710</v>
      </c>
    </row>
    <row r="1048" spans="20:39" x14ac:dyDescent="0.2">
      <c r="T1048" s="29" t="s">
        <v>227</v>
      </c>
      <c r="U1048" s="69" t="s">
        <v>88</v>
      </c>
      <c r="V1048" s="72" t="str">
        <f t="shared" si="16"/>
        <v>KY_HENRY</v>
      </c>
      <c r="AJ1048" s="1" t="s">
        <v>89</v>
      </c>
      <c r="AK1048" s="1" t="s">
        <v>748</v>
      </c>
      <c r="AL1048" s="1" t="s">
        <v>6342</v>
      </c>
      <c r="AM1048" s="1" t="s">
        <v>3711</v>
      </c>
    </row>
    <row r="1049" spans="20:39" x14ac:dyDescent="0.2">
      <c r="T1049" s="28" t="s">
        <v>901</v>
      </c>
      <c r="U1049" s="68" t="s">
        <v>88</v>
      </c>
      <c r="V1049" s="72" t="str">
        <f t="shared" si="16"/>
        <v>KY_HICKMAN</v>
      </c>
      <c r="AJ1049" s="1" t="s">
        <v>89</v>
      </c>
      <c r="AK1049" s="1" t="s">
        <v>250</v>
      </c>
      <c r="AL1049" s="1" t="s">
        <v>6343</v>
      </c>
      <c r="AM1049" s="1" t="s">
        <v>3712</v>
      </c>
    </row>
    <row r="1050" spans="20:39" x14ac:dyDescent="0.2">
      <c r="T1050" s="29" t="s">
        <v>902</v>
      </c>
      <c r="U1050" s="69" t="s">
        <v>88</v>
      </c>
      <c r="V1050" s="72" t="str">
        <f t="shared" si="16"/>
        <v>KY_HOPKINS</v>
      </c>
      <c r="AJ1050" s="1" t="s">
        <v>89</v>
      </c>
      <c r="AK1050" s="1" t="s">
        <v>338</v>
      </c>
      <c r="AL1050" s="1" t="s">
        <v>6344</v>
      </c>
      <c r="AM1050" s="1" t="s">
        <v>3713</v>
      </c>
    </row>
    <row r="1051" spans="20:39" x14ac:dyDescent="0.2">
      <c r="T1051" s="28" t="s">
        <v>229</v>
      </c>
      <c r="U1051" s="68" t="s">
        <v>88</v>
      </c>
      <c r="V1051" s="72" t="str">
        <f t="shared" si="16"/>
        <v>KY_JACKSON</v>
      </c>
      <c r="AJ1051" s="1" t="s">
        <v>89</v>
      </c>
      <c r="AK1051" s="1" t="s">
        <v>339</v>
      </c>
      <c r="AL1051" s="1" t="s">
        <v>6345</v>
      </c>
      <c r="AM1051" s="1" t="s">
        <v>3714</v>
      </c>
    </row>
    <row r="1052" spans="20:39" x14ac:dyDescent="0.2">
      <c r="T1052" s="29" t="s">
        <v>230</v>
      </c>
      <c r="U1052" s="69" t="s">
        <v>88</v>
      </c>
      <c r="V1052" s="72" t="str">
        <f t="shared" si="16"/>
        <v>KY_JEFFERSON</v>
      </c>
      <c r="AJ1052" s="1" t="s">
        <v>89</v>
      </c>
      <c r="AK1052" s="1" t="s">
        <v>456</v>
      </c>
      <c r="AL1052" s="1" t="s">
        <v>6346</v>
      </c>
      <c r="AM1052" s="1" t="s">
        <v>3730</v>
      </c>
    </row>
    <row r="1053" spans="20:39" x14ac:dyDescent="0.2">
      <c r="T1053" s="28" t="s">
        <v>903</v>
      </c>
      <c r="U1053" s="68" t="s">
        <v>88</v>
      </c>
      <c r="V1053" s="72" t="str">
        <f t="shared" si="16"/>
        <v>KY_JESSAMINE</v>
      </c>
      <c r="AJ1053" s="1" t="s">
        <v>89</v>
      </c>
      <c r="AK1053" s="1" t="s">
        <v>859</v>
      </c>
      <c r="AL1053" s="1" t="s">
        <v>6347</v>
      </c>
      <c r="AM1053" s="1" t="s">
        <v>3715</v>
      </c>
    </row>
    <row r="1054" spans="20:39" x14ac:dyDescent="0.2">
      <c r="T1054" s="29" t="s">
        <v>320</v>
      </c>
      <c r="U1054" s="69" t="s">
        <v>88</v>
      </c>
      <c r="V1054" s="72" t="str">
        <f t="shared" si="16"/>
        <v>KY_JOHNSON</v>
      </c>
      <c r="AJ1054" s="1" t="s">
        <v>89</v>
      </c>
      <c r="AK1054" s="1" t="s">
        <v>860</v>
      </c>
      <c r="AL1054" s="1" t="s">
        <v>6348</v>
      </c>
      <c r="AM1054" s="1" t="s">
        <v>3725</v>
      </c>
    </row>
    <row r="1055" spans="20:39" x14ac:dyDescent="0.2">
      <c r="T1055" s="28" t="s">
        <v>904</v>
      </c>
      <c r="U1055" s="68" t="s">
        <v>88</v>
      </c>
      <c r="V1055" s="72" t="str">
        <f t="shared" si="16"/>
        <v>KY_KENTON</v>
      </c>
      <c r="AJ1055" s="1" t="s">
        <v>89</v>
      </c>
      <c r="AK1055" s="1" t="s">
        <v>861</v>
      </c>
      <c r="AL1055" s="1" t="s">
        <v>6349</v>
      </c>
      <c r="AM1055" s="1" t="s">
        <v>3716</v>
      </c>
    </row>
    <row r="1056" spans="20:39" x14ac:dyDescent="0.2">
      <c r="T1056" s="29" t="s">
        <v>905</v>
      </c>
      <c r="U1056" s="69" t="s">
        <v>88</v>
      </c>
      <c r="V1056" s="72" t="str">
        <f t="shared" si="16"/>
        <v>KY_KNOTT</v>
      </c>
      <c r="AJ1056" s="1" t="s">
        <v>89</v>
      </c>
      <c r="AK1056" s="1" t="s">
        <v>862</v>
      </c>
      <c r="AL1056" s="1" t="s">
        <v>6350</v>
      </c>
      <c r="AM1056" s="1" t="s">
        <v>3717</v>
      </c>
    </row>
    <row r="1057" spans="20:39" x14ac:dyDescent="0.2">
      <c r="T1057" s="28" t="s">
        <v>693</v>
      </c>
      <c r="U1057" s="68" t="s">
        <v>88</v>
      </c>
      <c r="V1057" s="72" t="str">
        <f t="shared" si="16"/>
        <v>KY_KNOX</v>
      </c>
      <c r="AJ1057" s="1" t="s">
        <v>89</v>
      </c>
      <c r="AK1057" s="1" t="s">
        <v>863</v>
      </c>
      <c r="AL1057" s="1" t="s">
        <v>6351</v>
      </c>
      <c r="AM1057" s="1" t="s">
        <v>3718</v>
      </c>
    </row>
    <row r="1058" spans="20:39" x14ac:dyDescent="0.2">
      <c r="T1058" s="29" t="s">
        <v>906</v>
      </c>
      <c r="U1058" s="69" t="s">
        <v>88</v>
      </c>
      <c r="V1058" s="72" t="str">
        <f t="shared" si="16"/>
        <v>KY_LARUE</v>
      </c>
      <c r="AJ1058" s="1" t="s">
        <v>89</v>
      </c>
      <c r="AK1058" s="1" t="s">
        <v>864</v>
      </c>
      <c r="AL1058" s="1" t="s">
        <v>6352</v>
      </c>
      <c r="AM1058" s="1" t="s">
        <v>3720</v>
      </c>
    </row>
    <row r="1059" spans="20:39" x14ac:dyDescent="0.2">
      <c r="T1059" s="28" t="s">
        <v>907</v>
      </c>
      <c r="U1059" s="68" t="s">
        <v>88</v>
      </c>
      <c r="V1059" s="72" t="str">
        <f t="shared" si="16"/>
        <v>KY_LAUREL</v>
      </c>
      <c r="AJ1059" s="1" t="s">
        <v>89</v>
      </c>
      <c r="AK1059" s="1" t="s">
        <v>865</v>
      </c>
      <c r="AL1059" s="1" t="s">
        <v>6353</v>
      </c>
      <c r="AM1059" s="1" t="s">
        <v>3721</v>
      </c>
    </row>
    <row r="1060" spans="20:39" x14ac:dyDescent="0.2">
      <c r="T1060" s="29" t="s">
        <v>233</v>
      </c>
      <c r="U1060" s="69" t="s">
        <v>88</v>
      </c>
      <c r="V1060" s="72" t="str">
        <f t="shared" si="16"/>
        <v>KY_LAWRENCE</v>
      </c>
      <c r="AJ1060" s="1" t="s">
        <v>89</v>
      </c>
      <c r="AK1060" s="1" t="s">
        <v>866</v>
      </c>
      <c r="AL1060" s="1" t="s">
        <v>6354</v>
      </c>
      <c r="AM1060" s="1" t="s">
        <v>3722</v>
      </c>
    </row>
    <row r="1061" spans="20:39" x14ac:dyDescent="0.2">
      <c r="T1061" s="28" t="s">
        <v>234</v>
      </c>
      <c r="U1061" s="68" t="s">
        <v>88</v>
      </c>
      <c r="V1061" s="72" t="str">
        <f t="shared" si="16"/>
        <v>KY_LEE</v>
      </c>
      <c r="AJ1061" s="1" t="s">
        <v>89</v>
      </c>
      <c r="AK1061" s="1" t="s">
        <v>867</v>
      </c>
      <c r="AL1061" s="1" t="s">
        <v>6355</v>
      </c>
      <c r="AM1061" s="1" t="s">
        <v>3723</v>
      </c>
    </row>
    <row r="1062" spans="20:39" x14ac:dyDescent="0.2">
      <c r="T1062" s="29" t="s">
        <v>908</v>
      </c>
      <c r="U1062" s="69" t="s">
        <v>88</v>
      </c>
      <c r="V1062" s="72" t="str">
        <f t="shared" si="16"/>
        <v>KY_LESLIE</v>
      </c>
      <c r="AJ1062" s="1" t="s">
        <v>89</v>
      </c>
      <c r="AK1062" s="1" t="s">
        <v>612</v>
      </c>
      <c r="AL1062" s="1" t="s">
        <v>6356</v>
      </c>
      <c r="AM1062" s="1" t="s">
        <v>3724</v>
      </c>
    </row>
    <row r="1063" spans="20:39" x14ac:dyDescent="0.2">
      <c r="T1063" s="28" t="s">
        <v>909</v>
      </c>
      <c r="U1063" s="68" t="s">
        <v>88</v>
      </c>
      <c r="V1063" s="72" t="str">
        <f t="shared" si="16"/>
        <v>KY_LETCHER</v>
      </c>
      <c r="AJ1063" s="1" t="s">
        <v>89</v>
      </c>
      <c r="AK1063" s="1" t="s">
        <v>868</v>
      </c>
      <c r="AL1063" s="1" t="s">
        <v>6357</v>
      </c>
      <c r="AM1063" s="1" t="s">
        <v>3726</v>
      </c>
    </row>
    <row r="1064" spans="20:39" x14ac:dyDescent="0.2">
      <c r="T1064" s="29" t="s">
        <v>657</v>
      </c>
      <c r="U1064" s="69" t="s">
        <v>88</v>
      </c>
      <c r="V1064" s="72" t="str">
        <f t="shared" si="16"/>
        <v>KY_LEWIS</v>
      </c>
      <c r="AJ1064" s="1" t="s">
        <v>89</v>
      </c>
      <c r="AK1064" s="1" t="s">
        <v>869</v>
      </c>
      <c r="AL1064" s="1" t="s">
        <v>6358</v>
      </c>
      <c r="AM1064" s="1" t="s">
        <v>3725</v>
      </c>
    </row>
    <row r="1065" spans="20:39" x14ac:dyDescent="0.2">
      <c r="T1065" s="28" t="s">
        <v>322</v>
      </c>
      <c r="U1065" s="68" t="s">
        <v>88</v>
      </c>
      <c r="V1065" s="72" t="str">
        <f t="shared" si="16"/>
        <v>KY_LINCOLN</v>
      </c>
      <c r="AJ1065" s="1" t="s">
        <v>89</v>
      </c>
      <c r="AK1065" s="1" t="s">
        <v>870</v>
      </c>
      <c r="AL1065" s="1" t="s">
        <v>6359</v>
      </c>
      <c r="AM1065" s="1" t="s">
        <v>3727</v>
      </c>
    </row>
    <row r="1066" spans="20:39" x14ac:dyDescent="0.2">
      <c r="T1066" s="29" t="s">
        <v>695</v>
      </c>
      <c r="U1066" s="69" t="s">
        <v>88</v>
      </c>
      <c r="V1066" s="72" t="str">
        <f t="shared" si="16"/>
        <v>KY_LIVINGSTON</v>
      </c>
      <c r="AJ1066" s="1" t="s">
        <v>89</v>
      </c>
      <c r="AK1066" s="1" t="s">
        <v>258</v>
      </c>
      <c r="AL1066" s="1" t="s">
        <v>6360</v>
      </c>
      <c r="AM1066" s="1" t="s">
        <v>3728</v>
      </c>
    </row>
    <row r="1067" spans="20:39" x14ac:dyDescent="0.2">
      <c r="T1067" s="28" t="s">
        <v>324</v>
      </c>
      <c r="U1067" s="68" t="s">
        <v>88</v>
      </c>
      <c r="V1067" s="72" t="str">
        <f t="shared" si="16"/>
        <v>KY_LOGAN</v>
      </c>
      <c r="AJ1067" s="1" t="s">
        <v>89</v>
      </c>
      <c r="AK1067" s="1" t="s">
        <v>871</v>
      </c>
      <c r="AL1067" s="1" t="s">
        <v>6361</v>
      </c>
      <c r="AM1067" s="1" t="s">
        <v>3729</v>
      </c>
    </row>
    <row r="1068" spans="20:39" x14ac:dyDescent="0.2">
      <c r="T1068" s="29" t="s">
        <v>787</v>
      </c>
      <c r="U1068" s="69" t="s">
        <v>88</v>
      </c>
      <c r="V1068" s="72" t="str">
        <f t="shared" si="16"/>
        <v>KY_LYON</v>
      </c>
      <c r="AJ1068" s="1" t="s">
        <v>89</v>
      </c>
      <c r="AK1068" s="1" t="s">
        <v>872</v>
      </c>
      <c r="AL1068" s="1" t="s">
        <v>6362</v>
      </c>
      <c r="AM1068" s="1" t="s">
        <v>3731</v>
      </c>
    </row>
    <row r="1069" spans="20:39" x14ac:dyDescent="0.2">
      <c r="T1069" s="28" t="s">
        <v>910</v>
      </c>
      <c r="U1069" s="68" t="s">
        <v>88</v>
      </c>
      <c r="V1069" s="72" t="str">
        <f t="shared" si="16"/>
        <v>KY_MCCRACKEN</v>
      </c>
      <c r="AJ1069" s="1" t="s">
        <v>89</v>
      </c>
      <c r="AK1069" s="1" t="s">
        <v>873</v>
      </c>
      <c r="AL1069" s="1" t="s">
        <v>6363</v>
      </c>
      <c r="AM1069" s="1" t="s">
        <v>3732</v>
      </c>
    </row>
    <row r="1070" spans="20:39" x14ac:dyDescent="0.2">
      <c r="T1070" s="29" t="s">
        <v>911</v>
      </c>
      <c r="U1070" s="69" t="s">
        <v>88</v>
      </c>
      <c r="V1070" s="72" t="str">
        <f t="shared" si="16"/>
        <v>KY_MCCREARY</v>
      </c>
      <c r="AJ1070" s="1" t="s">
        <v>89</v>
      </c>
      <c r="AK1070" s="1" t="s">
        <v>874</v>
      </c>
      <c r="AL1070" s="1" t="s">
        <v>6364</v>
      </c>
      <c r="AM1070" s="1" t="s">
        <v>3678</v>
      </c>
    </row>
    <row r="1071" spans="20:39" x14ac:dyDescent="0.2">
      <c r="T1071" s="28" t="s">
        <v>698</v>
      </c>
      <c r="U1071" s="68" t="s">
        <v>88</v>
      </c>
      <c r="V1071" s="72" t="str">
        <f t="shared" si="16"/>
        <v>KY_MCLEAN</v>
      </c>
      <c r="AJ1071" s="1" t="s">
        <v>88</v>
      </c>
      <c r="AK1071" s="1" t="s">
        <v>763</v>
      </c>
      <c r="AL1071" s="1" t="s">
        <v>6365</v>
      </c>
      <c r="AM1071" s="1" t="s">
        <v>3733</v>
      </c>
    </row>
    <row r="1072" spans="20:39" x14ac:dyDescent="0.2">
      <c r="T1072" s="29" t="s">
        <v>238</v>
      </c>
      <c r="U1072" s="69" t="s">
        <v>88</v>
      </c>
      <c r="V1072" s="72" t="str">
        <f t="shared" si="16"/>
        <v>KY_MADISON</v>
      </c>
      <c r="AJ1072" s="1" t="s">
        <v>88</v>
      </c>
      <c r="AK1072" s="1" t="s">
        <v>722</v>
      </c>
      <c r="AL1072" s="1" t="s">
        <v>6366</v>
      </c>
      <c r="AM1072" s="1" t="s">
        <v>3734</v>
      </c>
    </row>
    <row r="1073" spans="20:39" x14ac:dyDescent="0.2">
      <c r="T1073" s="28" t="s">
        <v>912</v>
      </c>
      <c r="U1073" s="68" t="s">
        <v>88</v>
      </c>
      <c r="V1073" s="72" t="str">
        <f t="shared" si="16"/>
        <v>KY_MAGOFFIN</v>
      </c>
      <c r="AJ1073" s="1" t="s">
        <v>88</v>
      </c>
      <c r="AK1073" s="1" t="s">
        <v>808</v>
      </c>
      <c r="AL1073" s="1" t="s">
        <v>6367</v>
      </c>
      <c r="AM1073" s="1" t="s">
        <v>3735</v>
      </c>
    </row>
    <row r="1074" spans="20:39" x14ac:dyDescent="0.2">
      <c r="T1074" s="29" t="s">
        <v>240</v>
      </c>
      <c r="U1074" s="69" t="s">
        <v>88</v>
      </c>
      <c r="V1074" s="72" t="str">
        <f t="shared" si="16"/>
        <v>KY_MARION</v>
      </c>
      <c r="AJ1074" s="1" t="s">
        <v>88</v>
      </c>
      <c r="AK1074" s="1" t="s">
        <v>875</v>
      </c>
      <c r="AL1074" s="1" t="s">
        <v>6368</v>
      </c>
      <c r="AM1074" s="1" t="s">
        <v>9175</v>
      </c>
    </row>
    <row r="1075" spans="20:39" x14ac:dyDescent="0.2">
      <c r="T1075" s="28" t="s">
        <v>241</v>
      </c>
      <c r="U1075" s="68" t="s">
        <v>88</v>
      </c>
      <c r="V1075" s="72" t="str">
        <f t="shared" si="16"/>
        <v>KY_MARSHALL</v>
      </c>
      <c r="AJ1075" s="1" t="s">
        <v>88</v>
      </c>
      <c r="AK1075" s="1" t="s">
        <v>876</v>
      </c>
      <c r="AL1075" s="1" t="s">
        <v>6369</v>
      </c>
      <c r="AM1075" s="1" t="s">
        <v>3736</v>
      </c>
    </row>
    <row r="1076" spans="20:39" x14ac:dyDescent="0.2">
      <c r="T1076" s="29" t="s">
        <v>503</v>
      </c>
      <c r="U1076" s="69" t="s">
        <v>88</v>
      </c>
      <c r="V1076" s="72" t="str">
        <f t="shared" si="16"/>
        <v>KY_MARTIN</v>
      </c>
      <c r="AJ1076" s="1" t="s">
        <v>88</v>
      </c>
      <c r="AK1076" s="1" t="s">
        <v>877</v>
      </c>
      <c r="AL1076" s="1" t="s">
        <v>6370</v>
      </c>
      <c r="AM1076" s="1" t="s">
        <v>3737</v>
      </c>
    </row>
    <row r="1077" spans="20:39" x14ac:dyDescent="0.2">
      <c r="T1077" s="28" t="s">
        <v>700</v>
      </c>
      <c r="U1077" s="68" t="s">
        <v>88</v>
      </c>
      <c r="V1077" s="72" t="str">
        <f t="shared" si="16"/>
        <v>KY_MASON</v>
      </c>
      <c r="AJ1077" s="1" t="s">
        <v>88</v>
      </c>
      <c r="AK1077" s="1" t="s">
        <v>878</v>
      </c>
      <c r="AL1077" s="1" t="s">
        <v>6371</v>
      </c>
      <c r="AM1077" s="1" t="s">
        <v>3738</v>
      </c>
    </row>
    <row r="1078" spans="20:39" x14ac:dyDescent="0.2">
      <c r="T1078" s="29" t="s">
        <v>840</v>
      </c>
      <c r="U1078" s="69" t="s">
        <v>88</v>
      </c>
      <c r="V1078" s="72" t="str">
        <f t="shared" si="16"/>
        <v>KY_MEADE</v>
      </c>
      <c r="AJ1078" s="1" t="s">
        <v>88</v>
      </c>
      <c r="AK1078" s="1" t="s">
        <v>297</v>
      </c>
      <c r="AL1078" s="1" t="s">
        <v>6372</v>
      </c>
      <c r="AM1078" s="1" t="s">
        <v>3580</v>
      </c>
    </row>
    <row r="1079" spans="20:39" x14ac:dyDescent="0.2">
      <c r="T1079" s="28" t="s">
        <v>913</v>
      </c>
      <c r="U1079" s="68" t="s">
        <v>88</v>
      </c>
      <c r="V1079" s="72" t="str">
        <f t="shared" si="16"/>
        <v>KY_MENIFEE</v>
      </c>
      <c r="AJ1079" s="1" t="s">
        <v>88</v>
      </c>
      <c r="AK1079" s="1" t="s">
        <v>812</v>
      </c>
      <c r="AL1079" s="1" t="s">
        <v>6373</v>
      </c>
      <c r="AM1079" s="1" t="s">
        <v>3781</v>
      </c>
    </row>
    <row r="1080" spans="20:39" x14ac:dyDescent="0.2">
      <c r="T1080" s="29" t="s">
        <v>703</v>
      </c>
      <c r="U1080" s="69" t="s">
        <v>88</v>
      </c>
      <c r="V1080" s="72" t="str">
        <f t="shared" si="16"/>
        <v>KY_MERCER</v>
      </c>
      <c r="AJ1080" s="1" t="s">
        <v>88</v>
      </c>
      <c r="AK1080" s="1" t="s">
        <v>879</v>
      </c>
      <c r="AL1080" s="1" t="s">
        <v>6374</v>
      </c>
      <c r="AM1080" s="1" t="s">
        <v>3771</v>
      </c>
    </row>
    <row r="1081" spans="20:39" x14ac:dyDescent="0.2">
      <c r="T1081" s="28" t="s">
        <v>914</v>
      </c>
      <c r="U1081" s="68" t="s">
        <v>88</v>
      </c>
      <c r="V1081" s="72" t="str">
        <f t="shared" si="16"/>
        <v>KY_METCALFE</v>
      </c>
      <c r="AJ1081" s="1" t="s">
        <v>88</v>
      </c>
      <c r="AK1081" s="1" t="s">
        <v>880</v>
      </c>
      <c r="AL1081" s="1" t="s">
        <v>6375</v>
      </c>
      <c r="AM1081" s="1" t="s">
        <v>3740</v>
      </c>
    </row>
    <row r="1082" spans="20:39" x14ac:dyDescent="0.2">
      <c r="T1082" s="29" t="s">
        <v>243</v>
      </c>
      <c r="U1082" s="69" t="s">
        <v>88</v>
      </c>
      <c r="V1082" s="72" t="str">
        <f t="shared" si="16"/>
        <v>KY_MONROE</v>
      </c>
      <c r="AJ1082" s="1" t="s">
        <v>88</v>
      </c>
      <c r="AK1082" s="1" t="s">
        <v>881</v>
      </c>
      <c r="AL1082" s="1" t="s">
        <v>6376</v>
      </c>
      <c r="AM1082" s="1" t="s">
        <v>3580</v>
      </c>
    </row>
    <row r="1083" spans="20:39" x14ac:dyDescent="0.2">
      <c r="T1083" s="28" t="s">
        <v>244</v>
      </c>
      <c r="U1083" s="68" t="s">
        <v>88</v>
      </c>
      <c r="V1083" s="72" t="str">
        <f t="shared" si="16"/>
        <v>KY_MONTGOMERY</v>
      </c>
      <c r="AJ1083" s="1" t="s">
        <v>88</v>
      </c>
      <c r="AK1083" s="1" t="s">
        <v>882</v>
      </c>
      <c r="AL1083" s="1" t="s">
        <v>6377</v>
      </c>
      <c r="AM1083" s="1" t="s">
        <v>3741</v>
      </c>
    </row>
    <row r="1084" spans="20:39" x14ac:dyDescent="0.2">
      <c r="T1084" s="29" t="s">
        <v>245</v>
      </c>
      <c r="U1084" s="69" t="s">
        <v>88</v>
      </c>
      <c r="V1084" s="72" t="str">
        <f t="shared" si="16"/>
        <v>KY_MORGAN</v>
      </c>
      <c r="AJ1084" s="1" t="s">
        <v>88</v>
      </c>
      <c r="AK1084" s="1" t="s">
        <v>883</v>
      </c>
      <c r="AL1084" s="1" t="s">
        <v>6378</v>
      </c>
      <c r="AM1084" s="1" t="s">
        <v>3742</v>
      </c>
    </row>
    <row r="1085" spans="20:39" x14ac:dyDescent="0.2">
      <c r="T1085" s="28" t="s">
        <v>915</v>
      </c>
      <c r="U1085" s="68" t="s">
        <v>88</v>
      </c>
      <c r="V1085" s="72" t="str">
        <f t="shared" si="16"/>
        <v>KY_MUHLENBERG</v>
      </c>
      <c r="AJ1085" s="1" t="s">
        <v>88</v>
      </c>
      <c r="AK1085" s="1" t="s">
        <v>884</v>
      </c>
      <c r="AL1085" s="1" t="s">
        <v>6379</v>
      </c>
      <c r="AM1085" s="1" t="s">
        <v>3611</v>
      </c>
    </row>
    <row r="1086" spans="20:39" x14ac:dyDescent="0.2">
      <c r="T1086" s="29" t="s">
        <v>916</v>
      </c>
      <c r="U1086" s="69" t="s">
        <v>88</v>
      </c>
      <c r="V1086" s="72" t="str">
        <f t="shared" si="16"/>
        <v>KY_NELSON</v>
      </c>
      <c r="AJ1086" s="1" t="s">
        <v>88</v>
      </c>
      <c r="AK1086" s="1" t="s">
        <v>200</v>
      </c>
      <c r="AL1086" s="1" t="s">
        <v>6380</v>
      </c>
      <c r="AM1086" s="1" t="s">
        <v>3743</v>
      </c>
    </row>
    <row r="1087" spans="20:39" x14ac:dyDescent="0.2">
      <c r="T1087" s="28" t="s">
        <v>917</v>
      </c>
      <c r="U1087" s="68" t="s">
        <v>88</v>
      </c>
      <c r="V1087" s="72" t="str">
        <f t="shared" si="16"/>
        <v>KY_NICHOLAS</v>
      </c>
      <c r="AJ1087" s="1" t="s">
        <v>88</v>
      </c>
      <c r="AK1087" s="1" t="s">
        <v>885</v>
      </c>
      <c r="AL1087" s="1" t="s">
        <v>6381</v>
      </c>
      <c r="AM1087" s="1" t="s">
        <v>3744</v>
      </c>
    </row>
    <row r="1088" spans="20:39" x14ac:dyDescent="0.2">
      <c r="T1088" s="29" t="s">
        <v>742</v>
      </c>
      <c r="U1088" s="69" t="s">
        <v>88</v>
      </c>
      <c r="V1088" s="72" t="str">
        <f t="shared" si="16"/>
        <v>KY_OHIO</v>
      </c>
      <c r="AJ1088" s="1" t="s">
        <v>88</v>
      </c>
      <c r="AK1088" s="1" t="s">
        <v>886</v>
      </c>
      <c r="AL1088" s="1" t="s">
        <v>6382</v>
      </c>
      <c r="AM1088" s="1" t="s">
        <v>3745</v>
      </c>
    </row>
    <row r="1089" spans="20:39" x14ac:dyDescent="0.2">
      <c r="T1089" s="28" t="s">
        <v>918</v>
      </c>
      <c r="U1089" s="68" t="s">
        <v>88</v>
      </c>
      <c r="V1089" s="72" t="str">
        <f t="shared" si="16"/>
        <v>KY_OLDHAM</v>
      </c>
      <c r="AJ1089" s="1" t="s">
        <v>88</v>
      </c>
      <c r="AK1089" s="1" t="s">
        <v>887</v>
      </c>
      <c r="AL1089" s="1" t="s">
        <v>6383</v>
      </c>
      <c r="AM1089" s="1" t="s">
        <v>3580</v>
      </c>
    </row>
    <row r="1090" spans="20:39" x14ac:dyDescent="0.2">
      <c r="T1090" s="29" t="s">
        <v>743</v>
      </c>
      <c r="U1090" s="69" t="s">
        <v>88</v>
      </c>
      <c r="V1090" s="72" t="str">
        <f t="shared" si="16"/>
        <v>KY_OWEN</v>
      </c>
      <c r="AJ1090" s="1" t="s">
        <v>88</v>
      </c>
      <c r="AK1090" s="1" t="s">
        <v>888</v>
      </c>
      <c r="AL1090" s="1" t="s">
        <v>6384</v>
      </c>
      <c r="AM1090" s="1" t="s">
        <v>9176</v>
      </c>
    </row>
    <row r="1091" spans="20:39" x14ac:dyDescent="0.2">
      <c r="T1091" s="28" t="s">
        <v>919</v>
      </c>
      <c r="U1091" s="68" t="s">
        <v>88</v>
      </c>
      <c r="V1091" s="72" t="str">
        <f t="shared" si="16"/>
        <v>KY_OWSLEY</v>
      </c>
      <c r="AJ1091" s="1" t="s">
        <v>88</v>
      </c>
      <c r="AK1091" s="1" t="s">
        <v>299</v>
      </c>
      <c r="AL1091" s="1" t="s">
        <v>6385</v>
      </c>
      <c r="AM1091" s="1" t="s">
        <v>3746</v>
      </c>
    </row>
    <row r="1092" spans="20:39" x14ac:dyDescent="0.2">
      <c r="T1092" s="29" t="s">
        <v>920</v>
      </c>
      <c r="U1092" s="69" t="s">
        <v>88</v>
      </c>
      <c r="V1092" s="72" t="str">
        <f t="shared" si="16"/>
        <v>KY_PENDLETON</v>
      </c>
      <c r="AJ1092" s="1" t="s">
        <v>88</v>
      </c>
      <c r="AK1092" s="1" t="s">
        <v>889</v>
      </c>
      <c r="AL1092" s="1" t="s">
        <v>6386</v>
      </c>
      <c r="AM1092" s="1" t="s">
        <v>3747</v>
      </c>
    </row>
    <row r="1093" spans="20:39" x14ac:dyDescent="0.2">
      <c r="T1093" s="28" t="s">
        <v>246</v>
      </c>
      <c r="U1093" s="68" t="s">
        <v>88</v>
      </c>
      <c r="V1093" s="72" t="str">
        <f t="shared" si="16"/>
        <v>KY_PERRY</v>
      </c>
      <c r="AJ1093" s="1" t="s">
        <v>88</v>
      </c>
      <c r="AK1093" s="1" t="s">
        <v>890</v>
      </c>
      <c r="AL1093" s="1" t="s">
        <v>6387</v>
      </c>
      <c r="AM1093" s="1" t="s">
        <v>3748</v>
      </c>
    </row>
    <row r="1094" spans="20:39" x14ac:dyDescent="0.2">
      <c r="T1094" s="29" t="s">
        <v>248</v>
      </c>
      <c r="U1094" s="69" t="s">
        <v>88</v>
      </c>
      <c r="V1094" s="72" t="str">
        <f t="shared" si="16"/>
        <v>KY_PIKE</v>
      </c>
      <c r="AJ1094" s="1" t="s">
        <v>88</v>
      </c>
      <c r="AK1094" s="1" t="s">
        <v>674</v>
      </c>
      <c r="AL1094" s="1" t="s">
        <v>6388</v>
      </c>
      <c r="AM1094" s="1" t="s">
        <v>3749</v>
      </c>
    </row>
    <row r="1095" spans="20:39" x14ac:dyDescent="0.2">
      <c r="T1095" s="28" t="s">
        <v>921</v>
      </c>
      <c r="U1095" s="68" t="s">
        <v>88</v>
      </c>
      <c r="V1095" s="72" t="str">
        <f t="shared" si="16"/>
        <v>KY_POWELL</v>
      </c>
      <c r="AJ1095" s="1" t="s">
        <v>88</v>
      </c>
      <c r="AK1095" s="1" t="s">
        <v>301</v>
      </c>
      <c r="AL1095" s="1" t="s">
        <v>6389</v>
      </c>
      <c r="AM1095" s="1" t="s">
        <v>3781</v>
      </c>
    </row>
    <row r="1096" spans="20:39" x14ac:dyDescent="0.2">
      <c r="T1096" s="29" t="s">
        <v>336</v>
      </c>
      <c r="U1096" s="69" t="s">
        <v>88</v>
      </c>
      <c r="V1096" s="72" t="str">
        <f t="shared" si="16"/>
        <v>KY_PULASKI</v>
      </c>
      <c r="AJ1096" s="1" t="s">
        <v>88</v>
      </c>
      <c r="AK1096" s="1" t="s">
        <v>207</v>
      </c>
      <c r="AL1096" s="1" t="s">
        <v>6390</v>
      </c>
      <c r="AM1096" s="1" t="s">
        <v>3750</v>
      </c>
    </row>
    <row r="1097" spans="20:39" x14ac:dyDescent="0.2">
      <c r="T1097" s="28" t="s">
        <v>922</v>
      </c>
      <c r="U1097" s="68" t="s">
        <v>88</v>
      </c>
      <c r="V1097" s="72" t="str">
        <f t="shared" si="16"/>
        <v>KY_ROBERTSON</v>
      </c>
      <c r="AJ1097" s="1" t="s">
        <v>88</v>
      </c>
      <c r="AK1097" s="1" t="s">
        <v>675</v>
      </c>
      <c r="AL1097" s="1" t="s">
        <v>6391</v>
      </c>
      <c r="AM1097" s="1" t="s">
        <v>3751</v>
      </c>
    </row>
    <row r="1098" spans="20:39" x14ac:dyDescent="0.2">
      <c r="T1098" s="29" t="s">
        <v>923</v>
      </c>
      <c r="U1098" s="69" t="s">
        <v>88</v>
      </c>
      <c r="V1098" s="72" t="str">
        <f t="shared" ref="V1098:V1161" si="17">UPPER(CONCATENATE(TRIM(U1098),"_",TRIM(T1098)))</f>
        <v>KY_ROCKCASTLE</v>
      </c>
      <c r="AJ1098" s="1" t="s">
        <v>88</v>
      </c>
      <c r="AK1098" s="1" t="s">
        <v>307</v>
      </c>
      <c r="AL1098" s="1" t="s">
        <v>6392</v>
      </c>
      <c r="AM1098" s="1" t="s">
        <v>3752</v>
      </c>
    </row>
    <row r="1099" spans="20:39" x14ac:dyDescent="0.2">
      <c r="T1099" s="28" t="s">
        <v>924</v>
      </c>
      <c r="U1099" s="68" t="s">
        <v>88</v>
      </c>
      <c r="V1099" s="72" t="str">
        <f t="shared" si="17"/>
        <v>KY_ROWAN</v>
      </c>
      <c r="AJ1099" s="1" t="s">
        <v>88</v>
      </c>
      <c r="AK1099" s="1" t="s">
        <v>677</v>
      </c>
      <c r="AL1099" s="1" t="s">
        <v>6393</v>
      </c>
      <c r="AM1099" s="1" t="s">
        <v>3753</v>
      </c>
    </row>
    <row r="1100" spans="20:39" x14ac:dyDescent="0.2">
      <c r="T1100" s="29" t="s">
        <v>250</v>
      </c>
      <c r="U1100" s="69" t="s">
        <v>88</v>
      </c>
      <c r="V1100" s="72" t="str">
        <f t="shared" si="17"/>
        <v>KY_RUSSELL</v>
      </c>
      <c r="AJ1100" s="1" t="s">
        <v>88</v>
      </c>
      <c r="AK1100" s="1" t="s">
        <v>725</v>
      </c>
      <c r="AL1100" s="1" t="s">
        <v>6394</v>
      </c>
      <c r="AM1100" s="1" t="s">
        <v>3803</v>
      </c>
    </row>
    <row r="1101" spans="20:39" x14ac:dyDescent="0.2">
      <c r="T1101" s="28" t="s">
        <v>339</v>
      </c>
      <c r="U1101" s="68" t="s">
        <v>88</v>
      </c>
      <c r="V1101" s="72" t="str">
        <f t="shared" si="17"/>
        <v>KY_SCOTT</v>
      </c>
      <c r="AJ1101" s="1" t="s">
        <v>88</v>
      </c>
      <c r="AK1101" s="1" t="s">
        <v>891</v>
      </c>
      <c r="AL1101" s="1" t="s">
        <v>6395</v>
      </c>
      <c r="AM1101" s="1" t="s">
        <v>3739</v>
      </c>
    </row>
    <row r="1102" spans="20:39" x14ac:dyDescent="0.2">
      <c r="T1102" s="29" t="s">
        <v>252</v>
      </c>
      <c r="U1102" s="69" t="s">
        <v>88</v>
      </c>
      <c r="V1102" s="72" t="str">
        <f t="shared" si="17"/>
        <v>KY_SHELBY</v>
      </c>
      <c r="AJ1102" s="1" t="s">
        <v>88</v>
      </c>
      <c r="AK1102" s="1" t="s">
        <v>892</v>
      </c>
      <c r="AL1102" s="1" t="s">
        <v>6396</v>
      </c>
      <c r="AM1102" s="1" t="s">
        <v>3755</v>
      </c>
    </row>
    <row r="1103" spans="20:39" x14ac:dyDescent="0.2">
      <c r="T1103" s="28" t="s">
        <v>925</v>
      </c>
      <c r="U1103" s="68" t="s">
        <v>88</v>
      </c>
      <c r="V1103" s="72" t="str">
        <f t="shared" si="17"/>
        <v>KY_SIMPSON</v>
      </c>
      <c r="AJ1103" s="1" t="s">
        <v>88</v>
      </c>
      <c r="AK1103" s="1" t="s">
        <v>893</v>
      </c>
      <c r="AL1103" s="1" t="s">
        <v>6397</v>
      </c>
      <c r="AM1103" s="1" t="s">
        <v>3756</v>
      </c>
    </row>
    <row r="1104" spans="20:39" x14ac:dyDescent="0.2">
      <c r="T1104" s="29" t="s">
        <v>750</v>
      </c>
      <c r="U1104" s="69" t="s">
        <v>88</v>
      </c>
      <c r="V1104" s="72" t="str">
        <f t="shared" si="17"/>
        <v>KY_SPENCER</v>
      </c>
      <c r="AJ1104" s="1" t="s">
        <v>88</v>
      </c>
      <c r="AK1104" s="1" t="s">
        <v>222</v>
      </c>
      <c r="AL1104" s="1" t="s">
        <v>6398</v>
      </c>
      <c r="AM1104" s="1" t="s">
        <v>3781</v>
      </c>
    </row>
    <row r="1105" spans="20:39" x14ac:dyDescent="0.2">
      <c r="T1105" s="28" t="s">
        <v>518</v>
      </c>
      <c r="U1105" s="68" t="s">
        <v>88</v>
      </c>
      <c r="V1105" s="72" t="str">
        <f t="shared" si="17"/>
        <v>KY_TAYLOR</v>
      </c>
      <c r="AJ1105" s="1" t="s">
        <v>88</v>
      </c>
      <c r="AK1105" s="1" t="s">
        <v>894</v>
      </c>
      <c r="AL1105" s="1" t="s">
        <v>6399</v>
      </c>
      <c r="AM1105" s="1" t="s">
        <v>3757</v>
      </c>
    </row>
    <row r="1106" spans="20:39" x14ac:dyDescent="0.2">
      <c r="T1106" s="29" t="s">
        <v>926</v>
      </c>
      <c r="U1106" s="69" t="s">
        <v>88</v>
      </c>
      <c r="V1106" s="72" t="str">
        <f t="shared" si="17"/>
        <v>KY_TODD</v>
      </c>
      <c r="AJ1106" s="1" t="s">
        <v>88</v>
      </c>
      <c r="AK1106" s="1" t="s">
        <v>563</v>
      </c>
      <c r="AL1106" s="1" t="s">
        <v>6400</v>
      </c>
      <c r="AM1106" s="1" t="s">
        <v>3758</v>
      </c>
    </row>
    <row r="1107" spans="20:39" x14ac:dyDescent="0.2">
      <c r="T1107" s="28" t="s">
        <v>927</v>
      </c>
      <c r="U1107" s="68" t="s">
        <v>88</v>
      </c>
      <c r="V1107" s="72" t="str">
        <f t="shared" si="17"/>
        <v>KY_TRIGG</v>
      </c>
      <c r="AJ1107" s="1" t="s">
        <v>88</v>
      </c>
      <c r="AK1107" s="1" t="s">
        <v>223</v>
      </c>
      <c r="AL1107" s="1" t="s">
        <v>6401</v>
      </c>
      <c r="AM1107" s="1" t="s">
        <v>3759</v>
      </c>
    </row>
    <row r="1108" spans="20:39" x14ac:dyDescent="0.2">
      <c r="T1108" s="29" t="s">
        <v>928</v>
      </c>
      <c r="U1108" s="69" t="s">
        <v>88</v>
      </c>
      <c r="V1108" s="72" t="str">
        <f t="shared" si="17"/>
        <v>KY_TRIMBLE</v>
      </c>
      <c r="AJ1108" s="1" t="s">
        <v>88</v>
      </c>
      <c r="AK1108" s="1" t="s">
        <v>312</v>
      </c>
      <c r="AL1108" s="1" t="s">
        <v>6402</v>
      </c>
      <c r="AM1108" s="1" t="s">
        <v>3760</v>
      </c>
    </row>
    <row r="1109" spans="20:39" x14ac:dyDescent="0.2">
      <c r="T1109" s="28" t="s">
        <v>345</v>
      </c>
      <c r="U1109" s="68" t="s">
        <v>88</v>
      </c>
      <c r="V1109" s="72" t="str">
        <f t="shared" si="17"/>
        <v>KY_UNION</v>
      </c>
      <c r="AJ1109" s="1" t="s">
        <v>88</v>
      </c>
      <c r="AK1109" s="1" t="s">
        <v>683</v>
      </c>
      <c r="AL1109" s="1" t="s">
        <v>6403</v>
      </c>
      <c r="AM1109" s="1" t="s">
        <v>3580</v>
      </c>
    </row>
    <row r="1110" spans="20:39" x14ac:dyDescent="0.2">
      <c r="T1110" s="29" t="s">
        <v>622</v>
      </c>
      <c r="U1110" s="69" t="s">
        <v>88</v>
      </c>
      <c r="V1110" s="72" t="str">
        <f t="shared" si="17"/>
        <v>KY_WARREN</v>
      </c>
      <c r="AJ1110" s="1" t="s">
        <v>88</v>
      </c>
      <c r="AK1110" s="1" t="s">
        <v>895</v>
      </c>
      <c r="AL1110" s="1" t="s">
        <v>6404</v>
      </c>
      <c r="AM1110" s="1" t="s">
        <v>3761</v>
      </c>
    </row>
    <row r="1111" spans="20:39" x14ac:dyDescent="0.2">
      <c r="T1111" s="28" t="s">
        <v>258</v>
      </c>
      <c r="U1111" s="68" t="s">
        <v>88</v>
      </c>
      <c r="V1111" s="72" t="str">
        <f t="shared" si="17"/>
        <v>KY_WASHINGTON</v>
      </c>
      <c r="AJ1111" s="1" t="s">
        <v>88</v>
      </c>
      <c r="AK1111" s="1" t="s">
        <v>314</v>
      </c>
      <c r="AL1111" s="1" t="s">
        <v>6405</v>
      </c>
      <c r="AM1111" s="1" t="s">
        <v>3762</v>
      </c>
    </row>
    <row r="1112" spans="20:39" x14ac:dyDescent="0.2">
      <c r="T1112" s="29" t="s">
        <v>623</v>
      </c>
      <c r="U1112" s="69" t="s">
        <v>88</v>
      </c>
      <c r="V1112" s="72" t="str">
        <f t="shared" si="17"/>
        <v>KY_WAYNE</v>
      </c>
      <c r="AJ1112" s="1" t="s">
        <v>88</v>
      </c>
      <c r="AK1112" s="1" t="s">
        <v>896</v>
      </c>
      <c r="AL1112" s="1" t="s">
        <v>6406</v>
      </c>
      <c r="AM1112" s="1" t="s">
        <v>3763</v>
      </c>
    </row>
    <row r="1113" spans="20:39" x14ac:dyDescent="0.2">
      <c r="T1113" s="28" t="s">
        <v>624</v>
      </c>
      <c r="U1113" s="68" t="s">
        <v>88</v>
      </c>
      <c r="V1113" s="72" t="str">
        <f t="shared" si="17"/>
        <v>KY_WEBSTER</v>
      </c>
      <c r="AJ1113" s="1" t="s">
        <v>88</v>
      </c>
      <c r="AK1113" s="1" t="s">
        <v>897</v>
      </c>
      <c r="AL1113" s="1" t="s">
        <v>6407</v>
      </c>
      <c r="AM1113" s="1" t="s">
        <v>3764</v>
      </c>
    </row>
    <row r="1114" spans="20:39" x14ac:dyDescent="0.2">
      <c r="T1114" s="29" t="s">
        <v>762</v>
      </c>
      <c r="U1114" s="69" t="s">
        <v>88</v>
      </c>
      <c r="V1114" s="72" t="str">
        <f t="shared" si="17"/>
        <v>KY_WHITLEY</v>
      </c>
      <c r="AJ1114" s="1" t="s">
        <v>88</v>
      </c>
      <c r="AK1114" s="1" t="s">
        <v>898</v>
      </c>
      <c r="AL1114" s="1" t="s">
        <v>6408</v>
      </c>
      <c r="AM1114" s="1" t="s">
        <v>3765</v>
      </c>
    </row>
    <row r="1115" spans="20:39" x14ac:dyDescent="0.2">
      <c r="T1115" s="28" t="s">
        <v>929</v>
      </c>
      <c r="U1115" s="68" t="s">
        <v>88</v>
      </c>
      <c r="V1115" s="72" t="str">
        <f t="shared" si="17"/>
        <v>KY_WOLFE</v>
      </c>
      <c r="AJ1115" s="1" t="s">
        <v>88</v>
      </c>
      <c r="AK1115" s="1" t="s">
        <v>899</v>
      </c>
      <c r="AL1115" s="1" t="s">
        <v>6409</v>
      </c>
      <c r="AM1115" s="1" t="s">
        <v>3771</v>
      </c>
    </row>
    <row r="1116" spans="20:39" x14ac:dyDescent="0.2">
      <c r="T1116" s="29" t="s">
        <v>721</v>
      </c>
      <c r="U1116" s="69" t="s">
        <v>88</v>
      </c>
      <c r="V1116" s="72" t="str">
        <f t="shared" si="17"/>
        <v>KY_WOODFORD</v>
      </c>
      <c r="AJ1116" s="1" t="s">
        <v>88</v>
      </c>
      <c r="AK1116" s="1" t="s">
        <v>573</v>
      </c>
      <c r="AL1116" s="1" t="s">
        <v>6410</v>
      </c>
      <c r="AM1116" s="1" t="s">
        <v>9177</v>
      </c>
    </row>
    <row r="1117" spans="20:39" x14ac:dyDescent="0.2">
      <c r="T1117" s="28" t="s">
        <v>930</v>
      </c>
      <c r="U1117" s="68" t="s">
        <v>87</v>
      </c>
      <c r="V1117" s="72" t="str">
        <f t="shared" si="17"/>
        <v>LA_ACADIA PARISH</v>
      </c>
      <c r="AJ1117" s="1" t="s">
        <v>88</v>
      </c>
      <c r="AK1117" s="1" t="s">
        <v>685</v>
      </c>
      <c r="AL1117" s="1" t="s">
        <v>6411</v>
      </c>
      <c r="AM1117" s="1" t="s">
        <v>3754</v>
      </c>
    </row>
    <row r="1118" spans="20:39" x14ac:dyDescent="0.2">
      <c r="T1118" s="29" t="s">
        <v>931</v>
      </c>
      <c r="U1118" s="69" t="s">
        <v>87</v>
      </c>
      <c r="V1118" s="72" t="str">
        <f t="shared" si="17"/>
        <v>LA_ALLEN PARISH</v>
      </c>
      <c r="AJ1118" s="1" t="s">
        <v>88</v>
      </c>
      <c r="AK1118" s="1" t="s">
        <v>900</v>
      </c>
      <c r="AL1118" s="1" t="s">
        <v>6412</v>
      </c>
      <c r="AM1118" s="1" t="s">
        <v>3766</v>
      </c>
    </row>
    <row r="1119" spans="20:39" x14ac:dyDescent="0.2">
      <c r="T1119" s="28" t="s">
        <v>932</v>
      </c>
      <c r="U1119" s="68" t="s">
        <v>87</v>
      </c>
      <c r="V1119" s="72" t="str">
        <f t="shared" si="17"/>
        <v>LA_ASCENSION PARISH</v>
      </c>
      <c r="AJ1119" s="1" t="s">
        <v>88</v>
      </c>
      <c r="AK1119" s="1" t="s">
        <v>732</v>
      </c>
      <c r="AL1119" s="1" t="s">
        <v>6413</v>
      </c>
      <c r="AM1119" s="1" t="s">
        <v>3767</v>
      </c>
    </row>
    <row r="1120" spans="20:39" x14ac:dyDescent="0.2">
      <c r="T1120" s="29" t="s">
        <v>933</v>
      </c>
      <c r="U1120" s="69" t="s">
        <v>87</v>
      </c>
      <c r="V1120" s="72" t="str">
        <f t="shared" si="17"/>
        <v>LA_ASSUMPTION PARISH</v>
      </c>
      <c r="AJ1120" s="1" t="s">
        <v>88</v>
      </c>
      <c r="AK1120" s="1" t="s">
        <v>576</v>
      </c>
      <c r="AL1120" s="1" t="s">
        <v>6414</v>
      </c>
      <c r="AM1120" s="1" t="s">
        <v>3768</v>
      </c>
    </row>
    <row r="1121" spans="20:39" x14ac:dyDescent="0.2">
      <c r="T1121" s="28" t="s">
        <v>934</v>
      </c>
      <c r="U1121" s="68" t="s">
        <v>87</v>
      </c>
      <c r="V1121" s="72" t="str">
        <f t="shared" si="17"/>
        <v>LA_AVOYELLES PARISH</v>
      </c>
      <c r="AJ1121" s="1" t="s">
        <v>88</v>
      </c>
      <c r="AK1121" s="1" t="s">
        <v>686</v>
      </c>
      <c r="AL1121" s="1" t="s">
        <v>6415</v>
      </c>
      <c r="AM1121" s="1" t="s">
        <v>9178</v>
      </c>
    </row>
    <row r="1122" spans="20:39" x14ac:dyDescent="0.2">
      <c r="T1122" s="29" t="s">
        <v>935</v>
      </c>
      <c r="U1122" s="69" t="s">
        <v>87</v>
      </c>
      <c r="V1122" s="72" t="str">
        <f t="shared" si="17"/>
        <v>LA_BEAUREGARD PARISH</v>
      </c>
      <c r="AJ1122" s="1" t="s">
        <v>88</v>
      </c>
      <c r="AK1122" s="1" t="s">
        <v>227</v>
      </c>
      <c r="AL1122" s="1" t="s">
        <v>6416</v>
      </c>
      <c r="AM1122" s="1" t="s">
        <v>3611</v>
      </c>
    </row>
    <row r="1123" spans="20:39" x14ac:dyDescent="0.2">
      <c r="T1123" s="28" t="s">
        <v>936</v>
      </c>
      <c r="U1123" s="68" t="s">
        <v>87</v>
      </c>
      <c r="V1123" s="72" t="str">
        <f t="shared" si="17"/>
        <v>LA_BIENVILLE PARISH</v>
      </c>
      <c r="AJ1123" s="1" t="s">
        <v>88</v>
      </c>
      <c r="AK1123" s="1" t="s">
        <v>901</v>
      </c>
      <c r="AL1123" s="1" t="s">
        <v>6417</v>
      </c>
      <c r="AM1123" s="1" t="s">
        <v>3769</v>
      </c>
    </row>
    <row r="1124" spans="20:39" x14ac:dyDescent="0.2">
      <c r="T1124" s="29" t="s">
        <v>937</v>
      </c>
      <c r="U1124" s="69" t="s">
        <v>87</v>
      </c>
      <c r="V1124" s="72" t="str">
        <f t="shared" si="17"/>
        <v>LA_BOSSIER PARISH</v>
      </c>
      <c r="AJ1124" s="1" t="s">
        <v>88</v>
      </c>
      <c r="AK1124" s="1" t="s">
        <v>902</v>
      </c>
      <c r="AL1124" s="1" t="s">
        <v>6418</v>
      </c>
      <c r="AM1124" s="1" t="s">
        <v>3770</v>
      </c>
    </row>
    <row r="1125" spans="20:39" x14ac:dyDescent="0.2">
      <c r="T1125" s="28" t="s">
        <v>938</v>
      </c>
      <c r="U1125" s="68" t="s">
        <v>87</v>
      </c>
      <c r="V1125" s="72" t="str">
        <f t="shared" si="17"/>
        <v>LA_CADDO PARISH</v>
      </c>
      <c r="AJ1125" s="1" t="s">
        <v>88</v>
      </c>
      <c r="AK1125" s="1" t="s">
        <v>229</v>
      </c>
      <c r="AL1125" s="1" t="s">
        <v>6419</v>
      </c>
      <c r="AM1125" s="1" t="s">
        <v>3772</v>
      </c>
    </row>
    <row r="1126" spans="20:39" x14ac:dyDescent="0.2">
      <c r="T1126" s="29" t="s">
        <v>939</v>
      </c>
      <c r="U1126" s="69" t="s">
        <v>87</v>
      </c>
      <c r="V1126" s="72" t="str">
        <f t="shared" si="17"/>
        <v>LA_CALCASIEU PARISH</v>
      </c>
      <c r="AJ1126" s="1" t="s">
        <v>88</v>
      </c>
      <c r="AK1126" s="1" t="s">
        <v>230</v>
      </c>
      <c r="AL1126" s="1" t="s">
        <v>6420</v>
      </c>
      <c r="AM1126" s="1" t="s">
        <v>3611</v>
      </c>
    </row>
    <row r="1127" spans="20:39" x14ac:dyDescent="0.2">
      <c r="T1127" s="28" t="s">
        <v>940</v>
      </c>
      <c r="U1127" s="68" t="s">
        <v>87</v>
      </c>
      <c r="V1127" s="72" t="str">
        <f t="shared" si="17"/>
        <v>LA_CALDWELL PARISH</v>
      </c>
      <c r="AJ1127" s="1" t="s">
        <v>88</v>
      </c>
      <c r="AK1127" s="1" t="s">
        <v>903</v>
      </c>
      <c r="AL1127" s="1" t="s">
        <v>6421</v>
      </c>
      <c r="AM1127" s="1" t="s">
        <v>3781</v>
      </c>
    </row>
    <row r="1128" spans="20:39" x14ac:dyDescent="0.2">
      <c r="T1128" s="29" t="s">
        <v>941</v>
      </c>
      <c r="U1128" s="69" t="s">
        <v>87</v>
      </c>
      <c r="V1128" s="72" t="str">
        <f t="shared" si="17"/>
        <v>LA_CAMERON PARISH</v>
      </c>
      <c r="AJ1128" s="1" t="s">
        <v>88</v>
      </c>
      <c r="AK1128" s="1" t="s">
        <v>320</v>
      </c>
      <c r="AL1128" s="1" t="s">
        <v>6422</v>
      </c>
      <c r="AM1128" s="1" t="s">
        <v>3773</v>
      </c>
    </row>
    <row r="1129" spans="20:39" x14ac:dyDescent="0.2">
      <c r="T1129" s="28" t="s">
        <v>942</v>
      </c>
      <c r="U1129" s="68" t="s">
        <v>87</v>
      </c>
      <c r="V1129" s="72" t="str">
        <f t="shared" si="17"/>
        <v>LA_CATAHOULA PARISH</v>
      </c>
      <c r="AJ1129" s="1" t="s">
        <v>88</v>
      </c>
      <c r="AK1129" s="1" t="s">
        <v>904</v>
      </c>
      <c r="AL1129" s="1" t="s">
        <v>6423</v>
      </c>
      <c r="AM1129" s="1" t="s">
        <v>3580</v>
      </c>
    </row>
    <row r="1130" spans="20:39" x14ac:dyDescent="0.2">
      <c r="T1130" s="29" t="s">
        <v>943</v>
      </c>
      <c r="U1130" s="69" t="s">
        <v>87</v>
      </c>
      <c r="V1130" s="72" t="str">
        <f t="shared" si="17"/>
        <v>LA_CLAIBORNE PARISH</v>
      </c>
      <c r="AJ1130" s="1" t="s">
        <v>88</v>
      </c>
      <c r="AK1130" s="1" t="s">
        <v>905</v>
      </c>
      <c r="AL1130" s="1" t="s">
        <v>6424</v>
      </c>
      <c r="AM1130" s="1" t="s">
        <v>3774</v>
      </c>
    </row>
    <row r="1131" spans="20:39" x14ac:dyDescent="0.2">
      <c r="T1131" s="28" t="s">
        <v>944</v>
      </c>
      <c r="U1131" s="68" t="s">
        <v>87</v>
      </c>
      <c r="V1131" s="72" t="str">
        <f t="shared" si="17"/>
        <v>LA_CONCORDIA PARISH</v>
      </c>
      <c r="AJ1131" s="1" t="s">
        <v>88</v>
      </c>
      <c r="AK1131" s="1" t="s">
        <v>693</v>
      </c>
      <c r="AL1131" s="1" t="s">
        <v>6425</v>
      </c>
      <c r="AM1131" s="1" t="s">
        <v>3775</v>
      </c>
    </row>
    <row r="1132" spans="20:39" x14ac:dyDescent="0.2">
      <c r="T1132" s="29" t="s">
        <v>945</v>
      </c>
      <c r="U1132" s="69" t="s">
        <v>87</v>
      </c>
      <c r="V1132" s="72" t="str">
        <f t="shared" si="17"/>
        <v>LA_DE SOTO PARISH</v>
      </c>
      <c r="AJ1132" s="1" t="s">
        <v>88</v>
      </c>
      <c r="AK1132" s="1" t="s">
        <v>906</v>
      </c>
      <c r="AL1132" s="1" t="s">
        <v>6426</v>
      </c>
      <c r="AM1132" s="1" t="s">
        <v>3754</v>
      </c>
    </row>
    <row r="1133" spans="20:39" x14ac:dyDescent="0.2">
      <c r="T1133" s="28" t="s">
        <v>946</v>
      </c>
      <c r="U1133" s="68" t="s">
        <v>87</v>
      </c>
      <c r="V1133" s="72" t="str">
        <f t="shared" si="17"/>
        <v>LA_EAST BATON ROUGE PARISH</v>
      </c>
      <c r="AJ1133" s="1" t="s">
        <v>88</v>
      </c>
      <c r="AK1133" s="1" t="s">
        <v>907</v>
      </c>
      <c r="AL1133" s="1" t="s">
        <v>6427</v>
      </c>
      <c r="AM1133" s="1" t="s">
        <v>3776</v>
      </c>
    </row>
    <row r="1134" spans="20:39" x14ac:dyDescent="0.2">
      <c r="T1134" s="29" t="s">
        <v>947</v>
      </c>
      <c r="U1134" s="69" t="s">
        <v>87</v>
      </c>
      <c r="V1134" s="72" t="str">
        <f t="shared" si="17"/>
        <v>LA_EAST CARROLL PARISH</v>
      </c>
      <c r="AJ1134" s="1" t="s">
        <v>88</v>
      </c>
      <c r="AK1134" s="1" t="s">
        <v>233</v>
      </c>
      <c r="AL1134" s="1" t="s">
        <v>6428</v>
      </c>
      <c r="AM1134" s="1" t="s">
        <v>9179</v>
      </c>
    </row>
    <row r="1135" spans="20:39" x14ac:dyDescent="0.2">
      <c r="T1135" s="28" t="s">
        <v>948</v>
      </c>
      <c r="U1135" s="68" t="s">
        <v>87</v>
      </c>
      <c r="V1135" s="72" t="str">
        <f t="shared" si="17"/>
        <v>LA_EAST FELICIANA PARISH</v>
      </c>
      <c r="AJ1135" s="1" t="s">
        <v>88</v>
      </c>
      <c r="AK1135" s="1" t="s">
        <v>234</v>
      </c>
      <c r="AL1135" s="1" t="s">
        <v>6429</v>
      </c>
      <c r="AM1135" s="1" t="s">
        <v>3777</v>
      </c>
    </row>
    <row r="1136" spans="20:39" x14ac:dyDescent="0.2">
      <c r="T1136" s="29" t="s">
        <v>949</v>
      </c>
      <c r="U1136" s="69" t="s">
        <v>87</v>
      </c>
      <c r="V1136" s="72" t="str">
        <f t="shared" si="17"/>
        <v>LA_EVANGELINE PARISH</v>
      </c>
      <c r="AJ1136" s="1" t="s">
        <v>88</v>
      </c>
      <c r="AK1136" s="1" t="s">
        <v>908</v>
      </c>
      <c r="AL1136" s="1" t="s">
        <v>6430</v>
      </c>
      <c r="AM1136" s="1" t="s">
        <v>3778</v>
      </c>
    </row>
    <row r="1137" spans="20:39" x14ac:dyDescent="0.2">
      <c r="T1137" s="28" t="s">
        <v>950</v>
      </c>
      <c r="U1137" s="68" t="s">
        <v>87</v>
      </c>
      <c r="V1137" s="72" t="str">
        <f t="shared" si="17"/>
        <v>LA_FRANKLIN PARISH</v>
      </c>
      <c r="AJ1137" s="1" t="s">
        <v>88</v>
      </c>
      <c r="AK1137" s="1" t="s">
        <v>909</v>
      </c>
      <c r="AL1137" s="1" t="s">
        <v>6431</v>
      </c>
      <c r="AM1137" s="1" t="s">
        <v>3779</v>
      </c>
    </row>
    <row r="1138" spans="20:39" x14ac:dyDescent="0.2">
      <c r="T1138" s="29" t="s">
        <v>951</v>
      </c>
      <c r="U1138" s="69" t="s">
        <v>87</v>
      </c>
      <c r="V1138" s="72" t="str">
        <f t="shared" si="17"/>
        <v>LA_GRANT PARISH</v>
      </c>
      <c r="AJ1138" s="1" t="s">
        <v>88</v>
      </c>
      <c r="AK1138" s="1" t="s">
        <v>657</v>
      </c>
      <c r="AL1138" s="1" t="s">
        <v>6432</v>
      </c>
      <c r="AM1138" s="1" t="s">
        <v>3780</v>
      </c>
    </row>
    <row r="1139" spans="20:39" x14ac:dyDescent="0.2">
      <c r="T1139" s="28" t="s">
        <v>952</v>
      </c>
      <c r="U1139" s="68" t="s">
        <v>87</v>
      </c>
      <c r="V1139" s="72" t="str">
        <f t="shared" si="17"/>
        <v>LA_IBERIA PARISH</v>
      </c>
      <c r="AJ1139" s="1" t="s">
        <v>88</v>
      </c>
      <c r="AK1139" s="1" t="s">
        <v>322</v>
      </c>
      <c r="AL1139" s="1" t="s">
        <v>6433</v>
      </c>
      <c r="AM1139" s="1" t="s">
        <v>3782</v>
      </c>
    </row>
    <row r="1140" spans="20:39" x14ac:dyDescent="0.2">
      <c r="T1140" s="29" t="s">
        <v>953</v>
      </c>
      <c r="U1140" s="69" t="s">
        <v>87</v>
      </c>
      <c r="V1140" s="72" t="str">
        <f t="shared" si="17"/>
        <v>LA_IBERVILLE PARISH</v>
      </c>
      <c r="AJ1140" s="1" t="s">
        <v>88</v>
      </c>
      <c r="AK1140" s="1" t="s">
        <v>695</v>
      </c>
      <c r="AL1140" s="1" t="s">
        <v>6434</v>
      </c>
      <c r="AM1140" s="1" t="s">
        <v>9180</v>
      </c>
    </row>
    <row r="1141" spans="20:39" x14ac:dyDescent="0.2">
      <c r="T1141" s="28" t="s">
        <v>954</v>
      </c>
      <c r="U1141" s="68" t="s">
        <v>87</v>
      </c>
      <c r="V1141" s="72" t="str">
        <f t="shared" si="17"/>
        <v>LA_JACKSON PARISH</v>
      </c>
      <c r="AJ1141" s="1" t="s">
        <v>88</v>
      </c>
      <c r="AK1141" s="1" t="s">
        <v>324</v>
      </c>
      <c r="AL1141" s="1" t="s">
        <v>6435</v>
      </c>
      <c r="AM1141" s="1" t="s">
        <v>3783</v>
      </c>
    </row>
    <row r="1142" spans="20:39" x14ac:dyDescent="0.2">
      <c r="T1142" s="29" t="s">
        <v>955</v>
      </c>
      <c r="U1142" s="69" t="s">
        <v>87</v>
      </c>
      <c r="V1142" s="72" t="str">
        <f t="shared" si="17"/>
        <v>LA_JEFFERSON PARISH</v>
      </c>
      <c r="AJ1142" s="1" t="s">
        <v>88</v>
      </c>
      <c r="AK1142" s="1" t="s">
        <v>787</v>
      </c>
      <c r="AL1142" s="1" t="s">
        <v>6436</v>
      </c>
      <c r="AM1142" s="1" t="s">
        <v>3784</v>
      </c>
    </row>
    <row r="1143" spans="20:39" x14ac:dyDescent="0.2">
      <c r="T1143" s="28" t="s">
        <v>956</v>
      </c>
      <c r="U1143" s="68" t="s">
        <v>87</v>
      </c>
      <c r="V1143" s="72" t="str">
        <f t="shared" si="17"/>
        <v>LA_JEFFERSON DAVIS PARISH</v>
      </c>
      <c r="AJ1143" s="1" t="s">
        <v>88</v>
      </c>
      <c r="AK1143" s="1" t="s">
        <v>238</v>
      </c>
      <c r="AL1143" s="1" t="s">
        <v>6437</v>
      </c>
      <c r="AM1143" s="1" t="s">
        <v>3785</v>
      </c>
    </row>
    <row r="1144" spans="20:39" x14ac:dyDescent="0.2">
      <c r="T1144" s="29" t="s">
        <v>957</v>
      </c>
      <c r="U1144" s="69" t="s">
        <v>87</v>
      </c>
      <c r="V1144" s="72" t="str">
        <f t="shared" si="17"/>
        <v>LA_LAFAYETTE PARISH</v>
      </c>
      <c r="AJ1144" s="1" t="s">
        <v>88</v>
      </c>
      <c r="AK1144" s="1" t="s">
        <v>912</v>
      </c>
      <c r="AL1144" s="1" t="s">
        <v>6438</v>
      </c>
      <c r="AM1144" s="1" t="s">
        <v>3786</v>
      </c>
    </row>
    <row r="1145" spans="20:39" x14ac:dyDescent="0.2">
      <c r="T1145" s="28" t="s">
        <v>958</v>
      </c>
      <c r="U1145" s="68" t="s">
        <v>87</v>
      </c>
      <c r="V1145" s="72" t="str">
        <f t="shared" si="17"/>
        <v>LA_LAFOURCHE PARISH</v>
      </c>
      <c r="AJ1145" s="1" t="s">
        <v>88</v>
      </c>
      <c r="AK1145" s="1" t="s">
        <v>240</v>
      </c>
      <c r="AL1145" s="1" t="s">
        <v>6439</v>
      </c>
      <c r="AM1145" s="1" t="s">
        <v>3787</v>
      </c>
    </row>
    <row r="1146" spans="20:39" x14ac:dyDescent="0.2">
      <c r="T1146" s="29" t="s">
        <v>959</v>
      </c>
      <c r="U1146" s="69" t="s">
        <v>87</v>
      </c>
      <c r="V1146" s="72" t="str">
        <f t="shared" si="17"/>
        <v>LA_LA SALLE PARISH</v>
      </c>
      <c r="AJ1146" s="1" t="s">
        <v>88</v>
      </c>
      <c r="AK1146" s="1" t="s">
        <v>241</v>
      </c>
      <c r="AL1146" s="1" t="s">
        <v>6440</v>
      </c>
      <c r="AM1146" s="1" t="s">
        <v>3788</v>
      </c>
    </row>
    <row r="1147" spans="20:39" x14ac:dyDescent="0.2">
      <c r="T1147" s="28" t="s">
        <v>960</v>
      </c>
      <c r="U1147" s="68" t="s">
        <v>87</v>
      </c>
      <c r="V1147" s="72" t="str">
        <f t="shared" si="17"/>
        <v>LA_LINCOLN PARISH</v>
      </c>
      <c r="AJ1147" s="1" t="s">
        <v>88</v>
      </c>
      <c r="AK1147" s="1" t="s">
        <v>503</v>
      </c>
      <c r="AL1147" s="1" t="s">
        <v>6441</v>
      </c>
      <c r="AM1147" s="1" t="s">
        <v>3789</v>
      </c>
    </row>
    <row r="1148" spans="20:39" x14ac:dyDescent="0.2">
      <c r="T1148" s="29" t="s">
        <v>961</v>
      </c>
      <c r="U1148" s="69" t="s">
        <v>87</v>
      </c>
      <c r="V1148" s="72" t="str">
        <f t="shared" si="17"/>
        <v>LA_LIVINGSTON PARISH</v>
      </c>
      <c r="AJ1148" s="1" t="s">
        <v>88</v>
      </c>
      <c r="AK1148" s="1" t="s">
        <v>700</v>
      </c>
      <c r="AL1148" s="1" t="s">
        <v>6442</v>
      </c>
      <c r="AM1148" s="1" t="s">
        <v>3790</v>
      </c>
    </row>
    <row r="1149" spans="20:39" x14ac:dyDescent="0.2">
      <c r="T1149" s="28" t="s">
        <v>962</v>
      </c>
      <c r="U1149" s="68" t="s">
        <v>87</v>
      </c>
      <c r="V1149" s="72" t="str">
        <f t="shared" si="17"/>
        <v>LA_MADISON PARISH</v>
      </c>
      <c r="AJ1149" s="1" t="s">
        <v>88</v>
      </c>
      <c r="AK1149" s="1" t="s">
        <v>910</v>
      </c>
      <c r="AL1149" s="1" t="s">
        <v>6443</v>
      </c>
      <c r="AM1149" s="1" t="s">
        <v>9181</v>
      </c>
    </row>
    <row r="1150" spans="20:39" x14ac:dyDescent="0.2">
      <c r="T1150" s="29" t="s">
        <v>963</v>
      </c>
      <c r="U1150" s="69" t="s">
        <v>87</v>
      </c>
      <c r="V1150" s="72" t="str">
        <f t="shared" si="17"/>
        <v>LA_MOREHOUSE PARISH</v>
      </c>
      <c r="AJ1150" s="1" t="s">
        <v>88</v>
      </c>
      <c r="AK1150" s="1" t="s">
        <v>911</v>
      </c>
      <c r="AL1150" s="1" t="s">
        <v>6444</v>
      </c>
      <c r="AM1150" s="1" t="s">
        <v>3791</v>
      </c>
    </row>
    <row r="1151" spans="20:39" x14ac:dyDescent="0.2">
      <c r="T1151" s="28" t="s">
        <v>964</v>
      </c>
      <c r="U1151" s="68" t="s">
        <v>87</v>
      </c>
      <c r="V1151" s="72" t="str">
        <f t="shared" si="17"/>
        <v>LA_NATCHITOCHES PARISH</v>
      </c>
      <c r="AJ1151" s="1" t="s">
        <v>88</v>
      </c>
      <c r="AK1151" s="1" t="s">
        <v>698</v>
      </c>
      <c r="AL1151" s="1" t="s">
        <v>6445</v>
      </c>
      <c r="AM1151" s="1" t="s">
        <v>3803</v>
      </c>
    </row>
    <row r="1152" spans="20:39" x14ac:dyDescent="0.2">
      <c r="T1152" s="29" t="s">
        <v>965</v>
      </c>
      <c r="U1152" s="69" t="s">
        <v>87</v>
      </c>
      <c r="V1152" s="72" t="str">
        <f t="shared" si="17"/>
        <v>LA_ORLEANS PARISH</v>
      </c>
      <c r="AJ1152" s="1" t="s">
        <v>88</v>
      </c>
      <c r="AK1152" s="1" t="s">
        <v>840</v>
      </c>
      <c r="AL1152" s="1" t="s">
        <v>6446</v>
      </c>
      <c r="AM1152" s="1" t="s">
        <v>3792</v>
      </c>
    </row>
    <row r="1153" spans="20:39" x14ac:dyDescent="0.2">
      <c r="T1153" s="28" t="s">
        <v>966</v>
      </c>
      <c r="U1153" s="68" t="s">
        <v>87</v>
      </c>
      <c r="V1153" s="72" t="str">
        <f t="shared" si="17"/>
        <v>LA_OUACHITA PARISH</v>
      </c>
      <c r="AJ1153" s="1" t="s">
        <v>88</v>
      </c>
      <c r="AK1153" s="1" t="s">
        <v>913</v>
      </c>
      <c r="AL1153" s="1" t="s">
        <v>6447</v>
      </c>
      <c r="AM1153" s="1" t="s">
        <v>3793</v>
      </c>
    </row>
    <row r="1154" spans="20:39" x14ac:dyDescent="0.2">
      <c r="T1154" s="29" t="s">
        <v>967</v>
      </c>
      <c r="U1154" s="69" t="s">
        <v>87</v>
      </c>
      <c r="V1154" s="72" t="str">
        <f t="shared" si="17"/>
        <v>LA_PLAQUEMINES PARISH</v>
      </c>
      <c r="AJ1154" s="1" t="s">
        <v>88</v>
      </c>
      <c r="AK1154" s="1" t="s">
        <v>703</v>
      </c>
      <c r="AL1154" s="1" t="s">
        <v>6448</v>
      </c>
      <c r="AM1154" s="1" t="s">
        <v>3794</v>
      </c>
    </row>
    <row r="1155" spans="20:39" x14ac:dyDescent="0.2">
      <c r="T1155" s="28" t="s">
        <v>968</v>
      </c>
      <c r="U1155" s="68" t="s">
        <v>87</v>
      </c>
      <c r="V1155" s="72" t="str">
        <f t="shared" si="17"/>
        <v>LA_POINTE COUPEE PARISH</v>
      </c>
      <c r="AJ1155" s="1" t="s">
        <v>88</v>
      </c>
      <c r="AK1155" s="1" t="s">
        <v>914</v>
      </c>
      <c r="AL1155" s="1" t="s">
        <v>6449</v>
      </c>
      <c r="AM1155" s="1" t="s">
        <v>3795</v>
      </c>
    </row>
    <row r="1156" spans="20:39" x14ac:dyDescent="0.2">
      <c r="T1156" s="29" t="s">
        <v>969</v>
      </c>
      <c r="U1156" s="69" t="s">
        <v>87</v>
      </c>
      <c r="V1156" s="72" t="str">
        <f t="shared" si="17"/>
        <v>LA_RAPIDES PARISH</v>
      </c>
      <c r="AJ1156" s="1" t="s">
        <v>88</v>
      </c>
      <c r="AK1156" s="1" t="s">
        <v>243</v>
      </c>
      <c r="AL1156" s="1" t="s">
        <v>6450</v>
      </c>
      <c r="AM1156" s="1" t="s">
        <v>3796</v>
      </c>
    </row>
    <row r="1157" spans="20:39" x14ac:dyDescent="0.2">
      <c r="T1157" s="28" t="s">
        <v>970</v>
      </c>
      <c r="U1157" s="68" t="s">
        <v>87</v>
      </c>
      <c r="V1157" s="72" t="str">
        <f t="shared" si="17"/>
        <v>LA_RED RIVER PARISH</v>
      </c>
      <c r="AJ1157" s="1" t="s">
        <v>88</v>
      </c>
      <c r="AK1157" s="1" t="s">
        <v>244</v>
      </c>
      <c r="AL1157" s="1" t="s">
        <v>6451</v>
      </c>
      <c r="AM1157" s="1" t="s">
        <v>3797</v>
      </c>
    </row>
    <row r="1158" spans="20:39" x14ac:dyDescent="0.2">
      <c r="T1158" s="29" t="s">
        <v>971</v>
      </c>
      <c r="U1158" s="69" t="s">
        <v>87</v>
      </c>
      <c r="V1158" s="72" t="str">
        <f t="shared" si="17"/>
        <v>LA_RICHLAND PARISH</v>
      </c>
      <c r="AJ1158" s="1" t="s">
        <v>88</v>
      </c>
      <c r="AK1158" s="1" t="s">
        <v>245</v>
      </c>
      <c r="AL1158" s="1" t="s">
        <v>6452</v>
      </c>
      <c r="AM1158" s="1" t="s">
        <v>3798</v>
      </c>
    </row>
    <row r="1159" spans="20:39" x14ac:dyDescent="0.2">
      <c r="T1159" s="28" t="s">
        <v>972</v>
      </c>
      <c r="U1159" s="68" t="s">
        <v>87</v>
      </c>
      <c r="V1159" s="72" t="str">
        <f t="shared" si="17"/>
        <v>LA_SABINE PARISH</v>
      </c>
      <c r="AJ1159" s="1" t="s">
        <v>88</v>
      </c>
      <c r="AK1159" s="1" t="s">
        <v>915</v>
      </c>
      <c r="AL1159" s="1" t="s">
        <v>6453</v>
      </c>
      <c r="AM1159" s="1" t="s">
        <v>3799</v>
      </c>
    </row>
    <row r="1160" spans="20:39" x14ac:dyDescent="0.2">
      <c r="T1160" s="29" t="s">
        <v>973</v>
      </c>
      <c r="U1160" s="69" t="s">
        <v>87</v>
      </c>
      <c r="V1160" s="72" t="str">
        <f t="shared" si="17"/>
        <v>LA_ST. BERNARD PARISH</v>
      </c>
      <c r="AJ1160" s="1" t="s">
        <v>88</v>
      </c>
      <c r="AK1160" s="1" t="s">
        <v>916</v>
      </c>
      <c r="AL1160" s="1" t="s">
        <v>6454</v>
      </c>
      <c r="AM1160" s="1" t="s">
        <v>9182</v>
      </c>
    </row>
    <row r="1161" spans="20:39" x14ac:dyDescent="0.2">
      <c r="T1161" s="28" t="s">
        <v>974</v>
      </c>
      <c r="U1161" s="68" t="s">
        <v>87</v>
      </c>
      <c r="V1161" s="72" t="str">
        <f t="shared" si="17"/>
        <v>LA_ST. CHARLES PARISH</v>
      </c>
      <c r="AJ1161" s="1" t="s">
        <v>88</v>
      </c>
      <c r="AK1161" s="1" t="s">
        <v>917</v>
      </c>
      <c r="AL1161" s="1" t="s">
        <v>6455</v>
      </c>
      <c r="AM1161" s="1" t="s">
        <v>3800</v>
      </c>
    </row>
    <row r="1162" spans="20:39" x14ac:dyDescent="0.2">
      <c r="T1162" s="29" t="s">
        <v>975</v>
      </c>
      <c r="U1162" s="69" t="s">
        <v>87</v>
      </c>
      <c r="V1162" s="72" t="str">
        <f t="shared" ref="V1162:V1225" si="18">UPPER(CONCATENATE(TRIM(U1162),"_",TRIM(T1162)))</f>
        <v>LA_ST. HELENA PARISH</v>
      </c>
      <c r="AJ1162" s="1" t="s">
        <v>88</v>
      </c>
      <c r="AK1162" s="1" t="s">
        <v>742</v>
      </c>
      <c r="AL1162" s="1" t="s">
        <v>6456</v>
      </c>
      <c r="AM1162" s="1" t="s">
        <v>3801</v>
      </c>
    </row>
    <row r="1163" spans="20:39" x14ac:dyDescent="0.2">
      <c r="T1163" s="28" t="s">
        <v>976</v>
      </c>
      <c r="U1163" s="68" t="s">
        <v>87</v>
      </c>
      <c r="V1163" s="72" t="str">
        <f t="shared" si="18"/>
        <v>LA_ST. JAMES PARISH</v>
      </c>
      <c r="AJ1163" s="1" t="s">
        <v>88</v>
      </c>
      <c r="AK1163" s="1" t="s">
        <v>918</v>
      </c>
      <c r="AL1163" s="1" t="s">
        <v>6457</v>
      </c>
      <c r="AM1163" s="1" t="s">
        <v>3611</v>
      </c>
    </row>
    <row r="1164" spans="20:39" x14ac:dyDescent="0.2">
      <c r="T1164" s="29" t="s">
        <v>977</v>
      </c>
      <c r="U1164" s="69" t="s">
        <v>87</v>
      </c>
      <c r="V1164" s="72" t="str">
        <f t="shared" si="18"/>
        <v>LA_ST. JOHN THE BAPTIST PARISH</v>
      </c>
      <c r="AJ1164" s="1" t="s">
        <v>88</v>
      </c>
      <c r="AK1164" s="1" t="s">
        <v>743</v>
      </c>
      <c r="AL1164" s="1" t="s">
        <v>6458</v>
      </c>
      <c r="AM1164" s="1" t="s">
        <v>3802</v>
      </c>
    </row>
    <row r="1165" spans="20:39" x14ac:dyDescent="0.2">
      <c r="T1165" s="28" t="s">
        <v>978</v>
      </c>
      <c r="U1165" s="68" t="s">
        <v>87</v>
      </c>
      <c r="V1165" s="72" t="str">
        <f t="shared" si="18"/>
        <v>LA_ST. LANDRY PARISH</v>
      </c>
      <c r="AJ1165" s="1" t="s">
        <v>88</v>
      </c>
      <c r="AK1165" s="1" t="s">
        <v>919</v>
      </c>
      <c r="AL1165" s="1" t="s">
        <v>6459</v>
      </c>
      <c r="AM1165" s="1" t="s">
        <v>3804</v>
      </c>
    </row>
    <row r="1166" spans="20:39" x14ac:dyDescent="0.2">
      <c r="T1166" s="29" t="s">
        <v>979</v>
      </c>
      <c r="U1166" s="69" t="s">
        <v>87</v>
      </c>
      <c r="V1166" s="72" t="str">
        <f t="shared" si="18"/>
        <v>LA_ST. MARTIN PARISH</v>
      </c>
      <c r="AJ1166" s="1" t="s">
        <v>88</v>
      </c>
      <c r="AK1166" s="1" t="s">
        <v>920</v>
      </c>
      <c r="AL1166" s="1" t="s">
        <v>6460</v>
      </c>
      <c r="AM1166" s="1" t="s">
        <v>3580</v>
      </c>
    </row>
    <row r="1167" spans="20:39" x14ac:dyDescent="0.2">
      <c r="T1167" s="28" t="s">
        <v>980</v>
      </c>
      <c r="U1167" s="68" t="s">
        <v>87</v>
      </c>
      <c r="V1167" s="72" t="str">
        <f t="shared" si="18"/>
        <v>LA_ST. MARY PARISH</v>
      </c>
      <c r="AJ1167" s="1" t="s">
        <v>88</v>
      </c>
      <c r="AK1167" s="1" t="s">
        <v>246</v>
      </c>
      <c r="AL1167" s="1" t="s">
        <v>6461</v>
      </c>
      <c r="AM1167" s="1" t="s">
        <v>3805</v>
      </c>
    </row>
    <row r="1168" spans="20:39" x14ac:dyDescent="0.2">
      <c r="T1168" s="29" t="s">
        <v>981</v>
      </c>
      <c r="U1168" s="69" t="s">
        <v>87</v>
      </c>
      <c r="V1168" s="72" t="str">
        <f t="shared" si="18"/>
        <v>LA_ST. TAMMANY PARISH</v>
      </c>
      <c r="AJ1168" s="1" t="s">
        <v>88</v>
      </c>
      <c r="AK1168" s="1" t="s">
        <v>248</v>
      </c>
      <c r="AL1168" s="1" t="s">
        <v>6462</v>
      </c>
      <c r="AM1168" s="1" t="s">
        <v>3806</v>
      </c>
    </row>
    <row r="1169" spans="20:39" x14ac:dyDescent="0.2">
      <c r="T1169" s="28" t="s">
        <v>982</v>
      </c>
      <c r="U1169" s="68" t="s">
        <v>87</v>
      </c>
      <c r="V1169" s="72" t="str">
        <f t="shared" si="18"/>
        <v>LA_TANGIPAHOA PARISH</v>
      </c>
      <c r="AJ1169" s="1" t="s">
        <v>88</v>
      </c>
      <c r="AK1169" s="1" t="s">
        <v>921</v>
      </c>
      <c r="AL1169" s="1" t="s">
        <v>6463</v>
      </c>
      <c r="AM1169" s="1" t="s">
        <v>3807</v>
      </c>
    </row>
    <row r="1170" spans="20:39" x14ac:dyDescent="0.2">
      <c r="T1170" s="29" t="s">
        <v>983</v>
      </c>
      <c r="U1170" s="69" t="s">
        <v>87</v>
      </c>
      <c r="V1170" s="72" t="str">
        <f t="shared" si="18"/>
        <v>LA_TENSAS PARISH</v>
      </c>
      <c r="AJ1170" s="1" t="s">
        <v>88</v>
      </c>
      <c r="AK1170" s="1" t="s">
        <v>336</v>
      </c>
      <c r="AL1170" s="1" t="s">
        <v>6464</v>
      </c>
      <c r="AM1170" s="1" t="s">
        <v>3808</v>
      </c>
    </row>
    <row r="1171" spans="20:39" x14ac:dyDescent="0.2">
      <c r="T1171" s="28" t="s">
        <v>984</v>
      </c>
      <c r="U1171" s="68" t="s">
        <v>87</v>
      </c>
      <c r="V1171" s="72" t="str">
        <f t="shared" si="18"/>
        <v>LA_TERREBONNE PARISH</v>
      </c>
      <c r="AJ1171" s="1" t="s">
        <v>88</v>
      </c>
      <c r="AK1171" s="1" t="s">
        <v>922</v>
      </c>
      <c r="AL1171" s="1" t="s">
        <v>6465</v>
      </c>
      <c r="AM1171" s="1" t="s">
        <v>3809</v>
      </c>
    </row>
    <row r="1172" spans="20:39" x14ac:dyDescent="0.2">
      <c r="T1172" s="29" t="s">
        <v>985</v>
      </c>
      <c r="U1172" s="69" t="s">
        <v>87</v>
      </c>
      <c r="V1172" s="72" t="str">
        <f t="shared" si="18"/>
        <v>LA_UNION PARISH</v>
      </c>
      <c r="AJ1172" s="1" t="s">
        <v>88</v>
      </c>
      <c r="AK1172" s="1" t="s">
        <v>923</v>
      </c>
      <c r="AL1172" s="1" t="s">
        <v>6466</v>
      </c>
      <c r="AM1172" s="1" t="s">
        <v>3810</v>
      </c>
    </row>
    <row r="1173" spans="20:39" x14ac:dyDescent="0.2">
      <c r="T1173" s="28" t="s">
        <v>986</v>
      </c>
      <c r="U1173" s="68" t="s">
        <v>87</v>
      </c>
      <c r="V1173" s="72" t="str">
        <f t="shared" si="18"/>
        <v>LA_VERMILION PARISH</v>
      </c>
      <c r="AJ1173" s="1" t="s">
        <v>88</v>
      </c>
      <c r="AK1173" s="1" t="s">
        <v>924</v>
      </c>
      <c r="AL1173" s="1" t="s">
        <v>6467</v>
      </c>
      <c r="AM1173" s="1" t="s">
        <v>3811</v>
      </c>
    </row>
    <row r="1174" spans="20:39" x14ac:dyDescent="0.2">
      <c r="T1174" s="29" t="s">
        <v>987</v>
      </c>
      <c r="U1174" s="69" t="s">
        <v>87</v>
      </c>
      <c r="V1174" s="72" t="str">
        <f t="shared" si="18"/>
        <v>LA_VERNON PARISH</v>
      </c>
      <c r="AJ1174" s="1" t="s">
        <v>88</v>
      </c>
      <c r="AK1174" s="1" t="s">
        <v>250</v>
      </c>
      <c r="AL1174" s="1" t="s">
        <v>6468</v>
      </c>
      <c r="AM1174" s="1" t="s">
        <v>3812</v>
      </c>
    </row>
    <row r="1175" spans="20:39" x14ac:dyDescent="0.2">
      <c r="T1175" s="28" t="s">
        <v>988</v>
      </c>
      <c r="U1175" s="68" t="s">
        <v>87</v>
      </c>
      <c r="V1175" s="72" t="str">
        <f t="shared" si="18"/>
        <v>LA_WASHINGTON PARISH</v>
      </c>
      <c r="AJ1175" s="1" t="s">
        <v>88</v>
      </c>
      <c r="AK1175" s="1" t="s">
        <v>339</v>
      </c>
      <c r="AL1175" s="1" t="s">
        <v>6469</v>
      </c>
      <c r="AM1175" s="1" t="s">
        <v>3781</v>
      </c>
    </row>
    <row r="1176" spans="20:39" x14ac:dyDescent="0.2">
      <c r="T1176" s="29" t="s">
        <v>989</v>
      </c>
      <c r="U1176" s="69" t="s">
        <v>87</v>
      </c>
      <c r="V1176" s="72" t="str">
        <f t="shared" si="18"/>
        <v>LA_WEBSTER PARISH</v>
      </c>
      <c r="AJ1176" s="1" t="s">
        <v>88</v>
      </c>
      <c r="AK1176" s="1" t="s">
        <v>252</v>
      </c>
      <c r="AL1176" s="1" t="s">
        <v>6470</v>
      </c>
      <c r="AM1176" s="1" t="s">
        <v>3813</v>
      </c>
    </row>
    <row r="1177" spans="20:39" x14ac:dyDescent="0.2">
      <c r="T1177" s="28" t="s">
        <v>990</v>
      </c>
      <c r="U1177" s="68" t="s">
        <v>87</v>
      </c>
      <c r="V1177" s="72" t="str">
        <f t="shared" si="18"/>
        <v>LA_WEST BATON ROUGE PARISH</v>
      </c>
      <c r="AJ1177" s="1" t="s">
        <v>88</v>
      </c>
      <c r="AK1177" s="1" t="s">
        <v>925</v>
      </c>
      <c r="AL1177" s="1" t="s">
        <v>6471</v>
      </c>
      <c r="AM1177" s="1" t="s">
        <v>3814</v>
      </c>
    </row>
    <row r="1178" spans="20:39" x14ac:dyDescent="0.2">
      <c r="T1178" s="29" t="s">
        <v>991</v>
      </c>
      <c r="U1178" s="69" t="s">
        <v>87</v>
      </c>
      <c r="V1178" s="72" t="str">
        <f t="shared" si="18"/>
        <v>LA_WEST CARROLL PARISH</v>
      </c>
      <c r="AJ1178" s="1" t="s">
        <v>88</v>
      </c>
      <c r="AK1178" s="1" t="s">
        <v>750</v>
      </c>
      <c r="AL1178" s="1" t="s">
        <v>6472</v>
      </c>
      <c r="AM1178" s="1" t="s">
        <v>3611</v>
      </c>
    </row>
    <row r="1179" spans="20:39" x14ac:dyDescent="0.2">
      <c r="T1179" s="28" t="s">
        <v>992</v>
      </c>
      <c r="U1179" s="68" t="s">
        <v>87</v>
      </c>
      <c r="V1179" s="72" t="str">
        <f t="shared" si="18"/>
        <v>LA_WEST FELICIANA PARISH</v>
      </c>
      <c r="AJ1179" s="1" t="s">
        <v>88</v>
      </c>
      <c r="AK1179" s="1" t="s">
        <v>518</v>
      </c>
      <c r="AL1179" s="1" t="s">
        <v>6473</v>
      </c>
      <c r="AM1179" s="1" t="s">
        <v>3815</v>
      </c>
    </row>
    <row r="1180" spans="20:39" x14ac:dyDescent="0.2">
      <c r="T1180" s="29" t="s">
        <v>993</v>
      </c>
      <c r="U1180" s="69" t="s">
        <v>87</v>
      </c>
      <c r="V1180" s="72" t="str">
        <f t="shared" si="18"/>
        <v>LA_WINN PARISH</v>
      </c>
      <c r="AJ1180" s="1" t="s">
        <v>88</v>
      </c>
      <c r="AK1180" s="1" t="s">
        <v>926</v>
      </c>
      <c r="AL1180" s="1" t="s">
        <v>6474</v>
      </c>
      <c r="AM1180" s="1" t="s">
        <v>3816</v>
      </c>
    </row>
    <row r="1181" spans="20:39" x14ac:dyDescent="0.2">
      <c r="T1181" s="28" t="s">
        <v>994</v>
      </c>
      <c r="U1181" s="68" t="s">
        <v>86</v>
      </c>
      <c r="V1181" s="72" t="str">
        <f t="shared" si="18"/>
        <v>ME_ANDROSCOGGIN</v>
      </c>
      <c r="AJ1181" s="1" t="s">
        <v>88</v>
      </c>
      <c r="AK1181" s="1" t="s">
        <v>927</v>
      </c>
      <c r="AL1181" s="1" t="s">
        <v>6475</v>
      </c>
      <c r="AM1181" s="1" t="s">
        <v>3749</v>
      </c>
    </row>
    <row r="1182" spans="20:39" x14ac:dyDescent="0.2">
      <c r="T1182" s="29" t="s">
        <v>995</v>
      </c>
      <c r="U1182" s="69" t="s">
        <v>86</v>
      </c>
      <c r="V1182" s="72" t="str">
        <f t="shared" si="18"/>
        <v>ME_AROOSTOOK</v>
      </c>
      <c r="AJ1182" s="1" t="s">
        <v>88</v>
      </c>
      <c r="AK1182" s="1" t="s">
        <v>928</v>
      </c>
      <c r="AL1182" s="1" t="s">
        <v>6476</v>
      </c>
      <c r="AM1182" s="1" t="s">
        <v>3817</v>
      </c>
    </row>
    <row r="1183" spans="20:39" x14ac:dyDescent="0.2">
      <c r="T1183" s="28" t="s">
        <v>677</v>
      </c>
      <c r="U1183" s="68" t="s">
        <v>86</v>
      </c>
      <c r="V1183" s="72" t="str">
        <f t="shared" si="18"/>
        <v>ME_CUMBERLAND</v>
      </c>
      <c r="AJ1183" s="1" t="s">
        <v>88</v>
      </c>
      <c r="AK1183" s="1" t="s">
        <v>345</v>
      </c>
      <c r="AL1183" s="1" t="s">
        <v>6477</v>
      </c>
      <c r="AM1183" s="1" t="s">
        <v>3818</v>
      </c>
    </row>
    <row r="1184" spans="20:39" x14ac:dyDescent="0.2">
      <c r="T1184" s="29" t="s">
        <v>223</v>
      </c>
      <c r="U1184" s="69" t="s">
        <v>86</v>
      </c>
      <c r="V1184" s="72" t="str">
        <f t="shared" si="18"/>
        <v>ME_FRANKLIN</v>
      </c>
      <c r="AJ1184" s="1" t="s">
        <v>88</v>
      </c>
      <c r="AK1184" s="1" t="s">
        <v>622</v>
      </c>
      <c r="AL1184" s="1" t="s">
        <v>6478</v>
      </c>
      <c r="AM1184" s="1" t="s">
        <v>3739</v>
      </c>
    </row>
    <row r="1185" spans="20:39" x14ac:dyDescent="0.2">
      <c r="T1185" s="28" t="s">
        <v>573</v>
      </c>
      <c r="U1185" s="68" t="s">
        <v>86</v>
      </c>
      <c r="V1185" s="72" t="str">
        <f t="shared" si="18"/>
        <v>ME_HANCOCK</v>
      </c>
      <c r="AJ1185" s="1" t="s">
        <v>88</v>
      </c>
      <c r="AK1185" s="1" t="s">
        <v>258</v>
      </c>
      <c r="AL1185" s="1" t="s">
        <v>6479</v>
      </c>
      <c r="AM1185" s="1" t="s">
        <v>3819</v>
      </c>
    </row>
    <row r="1186" spans="20:39" x14ac:dyDescent="0.2">
      <c r="T1186" s="29" t="s">
        <v>996</v>
      </c>
      <c r="U1186" s="69" t="s">
        <v>86</v>
      </c>
      <c r="V1186" s="72" t="str">
        <f t="shared" si="18"/>
        <v>ME_KENNEBEC</v>
      </c>
      <c r="AJ1186" s="1" t="s">
        <v>88</v>
      </c>
      <c r="AK1186" s="1" t="s">
        <v>623</v>
      </c>
      <c r="AL1186" s="1" t="s">
        <v>6480</v>
      </c>
      <c r="AM1186" s="1" t="s">
        <v>3820</v>
      </c>
    </row>
    <row r="1187" spans="20:39" x14ac:dyDescent="0.2">
      <c r="T1187" s="28" t="s">
        <v>693</v>
      </c>
      <c r="U1187" s="68" t="s">
        <v>86</v>
      </c>
      <c r="V1187" s="72" t="str">
        <f t="shared" si="18"/>
        <v>ME_KNOX</v>
      </c>
      <c r="AJ1187" s="1" t="s">
        <v>88</v>
      </c>
      <c r="AK1187" s="1" t="s">
        <v>624</v>
      </c>
      <c r="AL1187" s="1" t="s">
        <v>6481</v>
      </c>
      <c r="AM1187" s="1" t="s">
        <v>3821</v>
      </c>
    </row>
    <row r="1188" spans="20:39" x14ac:dyDescent="0.2">
      <c r="T1188" s="29" t="s">
        <v>322</v>
      </c>
      <c r="U1188" s="69" t="s">
        <v>86</v>
      </c>
      <c r="V1188" s="72" t="str">
        <f t="shared" si="18"/>
        <v>ME_LINCOLN</v>
      </c>
      <c r="AJ1188" s="1" t="s">
        <v>88</v>
      </c>
      <c r="AK1188" s="1" t="s">
        <v>762</v>
      </c>
      <c r="AL1188" s="1" t="s">
        <v>6482</v>
      </c>
      <c r="AM1188" s="1" t="s">
        <v>3822</v>
      </c>
    </row>
    <row r="1189" spans="20:39" x14ac:dyDescent="0.2">
      <c r="T1189" s="28" t="s">
        <v>997</v>
      </c>
      <c r="U1189" s="68" t="s">
        <v>86</v>
      </c>
      <c r="V1189" s="72" t="str">
        <f t="shared" si="18"/>
        <v>ME_OXFORD</v>
      </c>
      <c r="AJ1189" s="1" t="s">
        <v>88</v>
      </c>
      <c r="AK1189" s="1" t="s">
        <v>929</v>
      </c>
      <c r="AL1189" s="1" t="s">
        <v>6483</v>
      </c>
      <c r="AM1189" s="1" t="s">
        <v>3823</v>
      </c>
    </row>
    <row r="1190" spans="20:39" x14ac:dyDescent="0.2">
      <c r="T1190" s="29" t="s">
        <v>998</v>
      </c>
      <c r="U1190" s="69" t="s">
        <v>86</v>
      </c>
      <c r="V1190" s="72" t="str">
        <f t="shared" si="18"/>
        <v>ME_PENOBSCOT</v>
      </c>
      <c r="AJ1190" s="1" t="s">
        <v>88</v>
      </c>
      <c r="AK1190" s="1" t="s">
        <v>721</v>
      </c>
      <c r="AL1190" s="1" t="s">
        <v>6484</v>
      </c>
      <c r="AM1190" s="1" t="s">
        <v>3781</v>
      </c>
    </row>
    <row r="1191" spans="20:39" x14ac:dyDescent="0.2">
      <c r="T1191" s="28" t="s">
        <v>999</v>
      </c>
      <c r="U1191" s="68" t="s">
        <v>86</v>
      </c>
      <c r="V1191" s="72" t="str">
        <f t="shared" si="18"/>
        <v>ME_PISCATAQUIS</v>
      </c>
      <c r="AJ1191" s="1" t="s">
        <v>87</v>
      </c>
      <c r="AK1191" s="1" t="s">
        <v>930</v>
      </c>
      <c r="AL1191" s="1" t="s">
        <v>6485</v>
      </c>
      <c r="AM1191" s="1" t="s">
        <v>3824</v>
      </c>
    </row>
    <row r="1192" spans="20:39" x14ac:dyDescent="0.2">
      <c r="T1192" s="29" t="s">
        <v>1000</v>
      </c>
      <c r="U1192" s="69" t="s">
        <v>86</v>
      </c>
      <c r="V1192" s="72" t="str">
        <f t="shared" si="18"/>
        <v>ME_SAGADAHOC</v>
      </c>
      <c r="AJ1192" s="1" t="s">
        <v>87</v>
      </c>
      <c r="AK1192" s="1" t="s">
        <v>931</v>
      </c>
      <c r="AL1192" s="1" t="s">
        <v>6486</v>
      </c>
      <c r="AM1192" s="1" t="s">
        <v>3826</v>
      </c>
    </row>
    <row r="1193" spans="20:39" x14ac:dyDescent="0.2">
      <c r="T1193" s="28" t="s">
        <v>1001</v>
      </c>
      <c r="U1193" s="68" t="s">
        <v>86</v>
      </c>
      <c r="V1193" s="72" t="str">
        <f t="shared" si="18"/>
        <v>ME_SOMERSET</v>
      </c>
      <c r="AJ1193" s="1" t="s">
        <v>87</v>
      </c>
      <c r="AK1193" s="1" t="s">
        <v>932</v>
      </c>
      <c r="AL1193" s="1" t="s">
        <v>6487</v>
      </c>
      <c r="AM1193" s="1" t="s">
        <v>3829</v>
      </c>
    </row>
    <row r="1194" spans="20:39" x14ac:dyDescent="0.2">
      <c r="T1194" s="29" t="s">
        <v>1002</v>
      </c>
      <c r="U1194" s="69" t="s">
        <v>86</v>
      </c>
      <c r="V1194" s="72" t="str">
        <f t="shared" si="18"/>
        <v>ME_WALDO</v>
      </c>
      <c r="AJ1194" s="1" t="s">
        <v>87</v>
      </c>
      <c r="AK1194" s="1" t="s">
        <v>933</v>
      </c>
      <c r="AL1194" s="1" t="s">
        <v>6488</v>
      </c>
      <c r="AM1194" s="1" t="s">
        <v>3827</v>
      </c>
    </row>
    <row r="1195" spans="20:39" x14ac:dyDescent="0.2">
      <c r="T1195" s="28" t="s">
        <v>258</v>
      </c>
      <c r="U1195" s="68" t="s">
        <v>86</v>
      </c>
      <c r="V1195" s="72" t="str">
        <f t="shared" si="18"/>
        <v>ME_WASHINGTON</v>
      </c>
      <c r="AJ1195" s="1" t="s">
        <v>87</v>
      </c>
      <c r="AK1195" s="1" t="s">
        <v>934</v>
      </c>
      <c r="AL1195" s="1" t="s">
        <v>6489</v>
      </c>
      <c r="AM1195" s="1" t="s">
        <v>3828</v>
      </c>
    </row>
    <row r="1196" spans="20:39" x14ac:dyDescent="0.2">
      <c r="T1196" s="29" t="s">
        <v>1003</v>
      </c>
      <c r="U1196" s="69" t="s">
        <v>86</v>
      </c>
      <c r="V1196" s="72" t="str">
        <f t="shared" si="18"/>
        <v>ME_YORK</v>
      </c>
      <c r="AJ1196" s="1" t="s">
        <v>87</v>
      </c>
      <c r="AK1196" s="1" t="s">
        <v>935</v>
      </c>
      <c r="AL1196" s="1" t="s">
        <v>6490</v>
      </c>
      <c r="AM1196" s="1" t="s">
        <v>3830</v>
      </c>
    </row>
    <row r="1197" spans="20:39" x14ac:dyDescent="0.2">
      <c r="T1197" s="28" t="s">
        <v>1004</v>
      </c>
      <c r="U1197" s="68" t="s">
        <v>85</v>
      </c>
      <c r="V1197" s="72" t="str">
        <f t="shared" si="18"/>
        <v>MD_ALLEGANY</v>
      </c>
      <c r="AJ1197" s="1" t="s">
        <v>87</v>
      </c>
      <c r="AK1197" s="1" t="s">
        <v>936</v>
      </c>
      <c r="AL1197" s="1" t="s">
        <v>6491</v>
      </c>
      <c r="AM1197" s="1" t="s">
        <v>3831</v>
      </c>
    </row>
    <row r="1198" spans="20:39" x14ac:dyDescent="0.2">
      <c r="T1198" s="29" t="s">
        <v>1005</v>
      </c>
      <c r="U1198" s="69" t="s">
        <v>85</v>
      </c>
      <c r="V1198" s="72" t="str">
        <f t="shared" si="18"/>
        <v>MD_ANNE ARUNDEL</v>
      </c>
      <c r="AJ1198" s="1" t="s">
        <v>87</v>
      </c>
      <c r="AK1198" s="1" t="s">
        <v>937</v>
      </c>
      <c r="AL1198" s="1" t="s">
        <v>6492</v>
      </c>
      <c r="AM1198" s="1" t="s">
        <v>3852</v>
      </c>
    </row>
    <row r="1199" spans="20:39" x14ac:dyDescent="0.2">
      <c r="T1199" s="28" t="s">
        <v>1006</v>
      </c>
      <c r="U1199" s="68" t="s">
        <v>85</v>
      </c>
      <c r="V1199" s="72" t="str">
        <f t="shared" si="18"/>
        <v>MD_BALTIMORE</v>
      </c>
      <c r="AJ1199" s="1" t="s">
        <v>87</v>
      </c>
      <c r="AK1199" s="1" t="s">
        <v>938</v>
      </c>
      <c r="AL1199" s="1" t="s">
        <v>6493</v>
      </c>
      <c r="AM1199" s="1" t="s">
        <v>3852</v>
      </c>
    </row>
    <row r="1200" spans="20:39" x14ac:dyDescent="0.2">
      <c r="T1200" s="29" t="s">
        <v>1007</v>
      </c>
      <c r="U1200" s="69" t="s">
        <v>85</v>
      </c>
      <c r="V1200" s="72" t="str">
        <f t="shared" si="18"/>
        <v>MD_CALVERT</v>
      </c>
      <c r="AJ1200" s="1" t="s">
        <v>87</v>
      </c>
      <c r="AK1200" s="1" t="s">
        <v>939</v>
      </c>
      <c r="AL1200" s="1" t="s">
        <v>6494</v>
      </c>
      <c r="AM1200" s="1" t="s">
        <v>9183</v>
      </c>
    </row>
    <row r="1201" spans="20:39" x14ac:dyDescent="0.2">
      <c r="T1201" s="28" t="s">
        <v>1008</v>
      </c>
      <c r="U1201" s="68" t="s">
        <v>85</v>
      </c>
      <c r="V1201" s="72" t="str">
        <f t="shared" si="18"/>
        <v>MD_CAROLINE</v>
      </c>
      <c r="AJ1201" s="1" t="s">
        <v>87</v>
      </c>
      <c r="AK1201" s="1" t="s">
        <v>940</v>
      </c>
      <c r="AL1201" s="1" t="s">
        <v>6495</v>
      </c>
      <c r="AM1201" s="1" t="s">
        <v>3832</v>
      </c>
    </row>
    <row r="1202" spans="20:39" x14ac:dyDescent="0.2">
      <c r="T1202" s="29" t="s">
        <v>299</v>
      </c>
      <c r="U1202" s="69" t="s">
        <v>85</v>
      </c>
      <c r="V1202" s="72" t="str">
        <f t="shared" si="18"/>
        <v>MD_CARROLL</v>
      </c>
      <c r="AJ1202" s="1" t="s">
        <v>87</v>
      </c>
      <c r="AK1202" s="1" t="s">
        <v>941</v>
      </c>
      <c r="AL1202" s="1" t="s">
        <v>6496</v>
      </c>
      <c r="AM1202" s="1" t="s">
        <v>9183</v>
      </c>
    </row>
    <row r="1203" spans="20:39" x14ac:dyDescent="0.2">
      <c r="T1203" s="28" t="s">
        <v>1009</v>
      </c>
      <c r="U1203" s="68" t="s">
        <v>85</v>
      </c>
      <c r="V1203" s="72" t="str">
        <f t="shared" si="18"/>
        <v>MD_CECIL</v>
      </c>
      <c r="AJ1203" s="1" t="s">
        <v>87</v>
      </c>
      <c r="AK1203" s="1" t="s">
        <v>942</v>
      </c>
      <c r="AL1203" s="1" t="s">
        <v>6497</v>
      </c>
      <c r="AM1203" s="1" t="s">
        <v>3833</v>
      </c>
    </row>
    <row r="1204" spans="20:39" x14ac:dyDescent="0.2">
      <c r="T1204" s="29" t="s">
        <v>1010</v>
      </c>
      <c r="U1204" s="69" t="s">
        <v>85</v>
      </c>
      <c r="V1204" s="72" t="str">
        <f t="shared" si="18"/>
        <v>MD_CHARLES</v>
      </c>
      <c r="AJ1204" s="1" t="s">
        <v>87</v>
      </c>
      <c r="AK1204" s="1" t="s">
        <v>943</v>
      </c>
      <c r="AL1204" s="1" t="s">
        <v>6498</v>
      </c>
      <c r="AM1204" s="1" t="s">
        <v>3834</v>
      </c>
    </row>
    <row r="1205" spans="20:39" x14ac:dyDescent="0.2">
      <c r="T1205" s="28" t="s">
        <v>1011</v>
      </c>
      <c r="U1205" s="68" t="s">
        <v>85</v>
      </c>
      <c r="V1205" s="72" t="str">
        <f t="shared" si="18"/>
        <v>MD_DORCHESTER</v>
      </c>
      <c r="AJ1205" s="1" t="s">
        <v>87</v>
      </c>
      <c r="AK1205" s="1" t="s">
        <v>944</v>
      </c>
      <c r="AL1205" s="1" t="s">
        <v>6499</v>
      </c>
      <c r="AM1205" s="1" t="s">
        <v>3835</v>
      </c>
    </row>
    <row r="1206" spans="20:39" x14ac:dyDescent="0.2">
      <c r="T1206" s="29" t="s">
        <v>1012</v>
      </c>
      <c r="U1206" s="69" t="s">
        <v>85</v>
      </c>
      <c r="V1206" s="72" t="str">
        <f t="shared" si="18"/>
        <v>MD_FREDERICK</v>
      </c>
      <c r="AJ1206" s="1" t="s">
        <v>87</v>
      </c>
      <c r="AK1206" s="1" t="s">
        <v>945</v>
      </c>
      <c r="AL1206" s="1" t="s">
        <v>6500</v>
      </c>
      <c r="AM1206" s="1" t="s">
        <v>3852</v>
      </c>
    </row>
    <row r="1207" spans="20:39" x14ac:dyDescent="0.2">
      <c r="T1207" s="28" t="s">
        <v>1013</v>
      </c>
      <c r="U1207" s="68" t="s">
        <v>85</v>
      </c>
      <c r="V1207" s="72" t="str">
        <f t="shared" si="18"/>
        <v>MD_GARRETT</v>
      </c>
      <c r="AJ1207" s="1" t="s">
        <v>87</v>
      </c>
      <c r="AK1207" s="1" t="s">
        <v>946</v>
      </c>
      <c r="AL1207" s="1" t="s">
        <v>6501</v>
      </c>
      <c r="AM1207" s="1" t="s">
        <v>3829</v>
      </c>
    </row>
    <row r="1208" spans="20:39" x14ac:dyDescent="0.2">
      <c r="T1208" s="29" t="s">
        <v>1014</v>
      </c>
      <c r="U1208" s="69" t="s">
        <v>85</v>
      </c>
      <c r="V1208" s="72" t="str">
        <f t="shared" si="18"/>
        <v>MD_HARFORD</v>
      </c>
      <c r="AJ1208" s="1" t="s">
        <v>87</v>
      </c>
      <c r="AK1208" s="1" t="s">
        <v>947</v>
      </c>
      <c r="AL1208" s="1" t="s">
        <v>6502</v>
      </c>
      <c r="AM1208" s="1" t="s">
        <v>3836</v>
      </c>
    </row>
    <row r="1209" spans="20:39" x14ac:dyDescent="0.2">
      <c r="T1209" s="28" t="s">
        <v>317</v>
      </c>
      <c r="U1209" s="68" t="s">
        <v>85</v>
      </c>
      <c r="V1209" s="72" t="str">
        <f t="shared" si="18"/>
        <v>MD_HOWARD</v>
      </c>
      <c r="AJ1209" s="1" t="s">
        <v>87</v>
      </c>
      <c r="AK1209" s="1" t="s">
        <v>948</v>
      </c>
      <c r="AL1209" s="1" t="s">
        <v>6503</v>
      </c>
      <c r="AM1209" s="1" t="s">
        <v>3829</v>
      </c>
    </row>
    <row r="1210" spans="20:39" x14ac:dyDescent="0.2">
      <c r="T1210" s="29" t="s">
        <v>468</v>
      </c>
      <c r="U1210" s="69" t="s">
        <v>85</v>
      </c>
      <c r="V1210" s="72" t="str">
        <f t="shared" si="18"/>
        <v>MD_KENT</v>
      </c>
      <c r="AJ1210" s="1" t="s">
        <v>87</v>
      </c>
      <c r="AK1210" s="1" t="s">
        <v>949</v>
      </c>
      <c r="AL1210" s="1" t="s">
        <v>6504</v>
      </c>
      <c r="AM1210" s="1" t="s">
        <v>3837</v>
      </c>
    </row>
    <row r="1211" spans="20:39" x14ac:dyDescent="0.2">
      <c r="T1211" s="28" t="s">
        <v>244</v>
      </c>
      <c r="U1211" s="68" t="s">
        <v>85</v>
      </c>
      <c r="V1211" s="72" t="str">
        <f t="shared" si="18"/>
        <v>MD_MONTGOMERY</v>
      </c>
      <c r="AJ1211" s="1" t="s">
        <v>87</v>
      </c>
      <c r="AK1211" s="1" t="s">
        <v>950</v>
      </c>
      <c r="AL1211" s="1" t="s">
        <v>6505</v>
      </c>
      <c r="AM1211" s="1" t="s">
        <v>3838</v>
      </c>
    </row>
    <row r="1212" spans="20:39" x14ac:dyDescent="0.2">
      <c r="T1212" s="29" t="s">
        <v>1015</v>
      </c>
      <c r="U1212" s="69" t="s">
        <v>85</v>
      </c>
      <c r="V1212" s="72" t="str">
        <f t="shared" si="18"/>
        <v>MD_PRINCE GEORGE'S</v>
      </c>
      <c r="AJ1212" s="1" t="s">
        <v>87</v>
      </c>
      <c r="AK1212" s="1" t="s">
        <v>951</v>
      </c>
      <c r="AL1212" s="1" t="s">
        <v>6506</v>
      </c>
      <c r="AM1212" s="1" t="s">
        <v>3825</v>
      </c>
    </row>
    <row r="1213" spans="20:39" x14ac:dyDescent="0.2">
      <c r="T1213" s="28" t="s">
        <v>1016</v>
      </c>
      <c r="U1213" s="68" t="s">
        <v>85</v>
      </c>
      <c r="V1213" s="72" t="str">
        <f t="shared" si="18"/>
        <v>MD_QUEEN ANNE'S</v>
      </c>
      <c r="AJ1213" s="1" t="s">
        <v>87</v>
      </c>
      <c r="AK1213" s="1" t="s">
        <v>952</v>
      </c>
      <c r="AL1213" s="1" t="s">
        <v>6507</v>
      </c>
      <c r="AM1213" s="1" t="s">
        <v>9184</v>
      </c>
    </row>
    <row r="1214" spans="20:39" x14ac:dyDescent="0.2">
      <c r="T1214" s="29" t="s">
        <v>1017</v>
      </c>
      <c r="U1214" s="69" t="s">
        <v>85</v>
      </c>
      <c r="V1214" s="72" t="str">
        <f t="shared" si="18"/>
        <v>MD_ST. MARY'S</v>
      </c>
      <c r="AJ1214" s="1" t="s">
        <v>87</v>
      </c>
      <c r="AK1214" s="1" t="s">
        <v>953</v>
      </c>
      <c r="AL1214" s="1" t="s">
        <v>6508</v>
      </c>
      <c r="AM1214" s="1" t="s">
        <v>3840</v>
      </c>
    </row>
    <row r="1215" spans="20:39" x14ac:dyDescent="0.2">
      <c r="T1215" s="28" t="s">
        <v>1001</v>
      </c>
      <c r="U1215" s="68" t="s">
        <v>85</v>
      </c>
      <c r="V1215" s="72" t="str">
        <f t="shared" si="18"/>
        <v>MD_SOMERSET</v>
      </c>
      <c r="AJ1215" s="1" t="s">
        <v>87</v>
      </c>
      <c r="AK1215" s="1" t="s">
        <v>954</v>
      </c>
      <c r="AL1215" s="1" t="s">
        <v>6509</v>
      </c>
      <c r="AM1215" s="1" t="s">
        <v>3841</v>
      </c>
    </row>
    <row r="1216" spans="20:39" x14ac:dyDescent="0.2">
      <c r="T1216" s="29" t="s">
        <v>607</v>
      </c>
      <c r="U1216" s="69" t="s">
        <v>85</v>
      </c>
      <c r="V1216" s="72" t="str">
        <f t="shared" si="18"/>
        <v>MD_TALBOT</v>
      </c>
      <c r="AJ1216" s="1" t="s">
        <v>87</v>
      </c>
      <c r="AK1216" s="1" t="s">
        <v>956</v>
      </c>
      <c r="AL1216" s="1" t="s">
        <v>6510</v>
      </c>
      <c r="AM1216" s="1" t="s">
        <v>9185</v>
      </c>
    </row>
    <row r="1217" spans="20:39" x14ac:dyDescent="0.2">
      <c r="T1217" s="28" t="s">
        <v>258</v>
      </c>
      <c r="U1217" s="68" t="s">
        <v>85</v>
      </c>
      <c r="V1217" s="72" t="str">
        <f t="shared" si="18"/>
        <v>MD_WASHINGTON</v>
      </c>
      <c r="AJ1217" s="1" t="s">
        <v>87</v>
      </c>
      <c r="AK1217" s="1" t="s">
        <v>955</v>
      </c>
      <c r="AL1217" s="1" t="s">
        <v>6511</v>
      </c>
      <c r="AM1217" s="1" t="s">
        <v>3849</v>
      </c>
    </row>
    <row r="1218" spans="20:39" x14ac:dyDescent="0.2">
      <c r="T1218" s="29" t="s">
        <v>1018</v>
      </c>
      <c r="U1218" s="69" t="s">
        <v>85</v>
      </c>
      <c r="V1218" s="72" t="str">
        <f t="shared" si="18"/>
        <v>MD_WICOMICO</v>
      </c>
      <c r="AJ1218" s="1" t="s">
        <v>87</v>
      </c>
      <c r="AK1218" s="1" t="s">
        <v>959</v>
      </c>
      <c r="AL1218" s="1" t="s">
        <v>6512</v>
      </c>
      <c r="AM1218" s="1" t="s">
        <v>3842</v>
      </c>
    </row>
    <row r="1219" spans="20:39" x14ac:dyDescent="0.2">
      <c r="T1219" s="28" t="s">
        <v>1019</v>
      </c>
      <c r="U1219" s="68" t="s">
        <v>85</v>
      </c>
      <c r="V1219" s="72" t="str">
        <f t="shared" si="18"/>
        <v>MD_WORCESTER</v>
      </c>
      <c r="AJ1219" s="1" t="s">
        <v>87</v>
      </c>
      <c r="AK1219" s="1" t="s">
        <v>957</v>
      </c>
      <c r="AL1219" s="1" t="s">
        <v>6513</v>
      </c>
      <c r="AM1219" s="1" t="s">
        <v>3843</v>
      </c>
    </row>
    <row r="1220" spans="20:39" x14ac:dyDescent="0.2">
      <c r="T1220" s="29" t="s">
        <v>1020</v>
      </c>
      <c r="U1220" s="69" t="s">
        <v>85</v>
      </c>
      <c r="V1220" s="72" t="str">
        <f t="shared" si="18"/>
        <v>MD_BALTIMORE CITY</v>
      </c>
      <c r="AJ1220" s="1" t="s">
        <v>87</v>
      </c>
      <c r="AK1220" s="1" t="s">
        <v>958</v>
      </c>
      <c r="AL1220" s="1" t="s">
        <v>6514</v>
      </c>
      <c r="AM1220" s="1" t="s">
        <v>9186</v>
      </c>
    </row>
    <row r="1221" spans="20:39" x14ac:dyDescent="0.2">
      <c r="T1221" s="28" t="s">
        <v>1021</v>
      </c>
      <c r="U1221" s="68" t="s">
        <v>84</v>
      </c>
      <c r="V1221" s="72" t="str">
        <f t="shared" si="18"/>
        <v>MA_BARNSTABLE</v>
      </c>
      <c r="AJ1221" s="1" t="s">
        <v>87</v>
      </c>
      <c r="AK1221" s="1" t="s">
        <v>960</v>
      </c>
      <c r="AL1221" s="1" t="s">
        <v>6515</v>
      </c>
      <c r="AM1221" s="1" t="s">
        <v>3844</v>
      </c>
    </row>
    <row r="1222" spans="20:39" x14ac:dyDescent="0.2">
      <c r="T1222" s="29" t="s">
        <v>1022</v>
      </c>
      <c r="U1222" s="69" t="s">
        <v>84</v>
      </c>
      <c r="V1222" s="72" t="str">
        <f t="shared" si="18"/>
        <v>MA_BERKSHIRE</v>
      </c>
      <c r="AJ1222" s="1" t="s">
        <v>87</v>
      </c>
      <c r="AK1222" s="1" t="s">
        <v>961</v>
      </c>
      <c r="AL1222" s="1" t="s">
        <v>6516</v>
      </c>
      <c r="AM1222" s="1" t="s">
        <v>3829</v>
      </c>
    </row>
    <row r="1223" spans="20:39" x14ac:dyDescent="0.2">
      <c r="T1223" s="28" t="s">
        <v>1023</v>
      </c>
      <c r="U1223" s="68" t="s">
        <v>84</v>
      </c>
      <c r="V1223" s="72" t="str">
        <f t="shared" si="18"/>
        <v>MA_BRISTOL</v>
      </c>
      <c r="AJ1223" s="1" t="s">
        <v>87</v>
      </c>
      <c r="AK1223" s="1" t="s">
        <v>962</v>
      </c>
      <c r="AL1223" s="1" t="s">
        <v>6517</v>
      </c>
      <c r="AM1223" s="1" t="s">
        <v>3845</v>
      </c>
    </row>
    <row r="1224" spans="20:39" x14ac:dyDescent="0.2">
      <c r="T1224" s="29" t="s">
        <v>1024</v>
      </c>
      <c r="U1224" s="69" t="s">
        <v>84</v>
      </c>
      <c r="V1224" s="72" t="str">
        <f t="shared" si="18"/>
        <v>MA_DUKES</v>
      </c>
      <c r="AJ1224" s="1" t="s">
        <v>87</v>
      </c>
      <c r="AK1224" s="1" t="s">
        <v>963</v>
      </c>
      <c r="AL1224" s="1" t="s">
        <v>6518</v>
      </c>
      <c r="AM1224" s="1" t="s">
        <v>3847</v>
      </c>
    </row>
    <row r="1225" spans="20:39" x14ac:dyDescent="0.2">
      <c r="T1225" s="28" t="s">
        <v>1025</v>
      </c>
      <c r="U1225" s="68" t="s">
        <v>84</v>
      </c>
      <c r="V1225" s="72" t="str">
        <f t="shared" si="18"/>
        <v>MA_ESSEX</v>
      </c>
      <c r="AJ1225" s="1" t="s">
        <v>87</v>
      </c>
      <c r="AK1225" s="1" t="s">
        <v>964</v>
      </c>
      <c r="AL1225" s="1" t="s">
        <v>6519</v>
      </c>
      <c r="AM1225" s="1" t="s">
        <v>3848</v>
      </c>
    </row>
    <row r="1226" spans="20:39" x14ac:dyDescent="0.2">
      <c r="T1226" s="29" t="s">
        <v>223</v>
      </c>
      <c r="U1226" s="69" t="s">
        <v>84</v>
      </c>
      <c r="V1226" s="72" t="str">
        <f t="shared" ref="V1226:V1289" si="19">UPPER(CONCATENATE(TRIM(U1226),"_",TRIM(T1226)))</f>
        <v>MA_FRANKLIN</v>
      </c>
      <c r="AJ1226" s="1" t="s">
        <v>87</v>
      </c>
      <c r="AK1226" s="1" t="s">
        <v>965</v>
      </c>
      <c r="AL1226" s="1" t="s">
        <v>6520</v>
      </c>
      <c r="AM1226" s="1" t="s">
        <v>3849</v>
      </c>
    </row>
    <row r="1227" spans="20:39" x14ac:dyDescent="0.2">
      <c r="T1227" s="28" t="s">
        <v>1026</v>
      </c>
      <c r="U1227" s="68" t="s">
        <v>84</v>
      </c>
      <c r="V1227" s="72" t="str">
        <f t="shared" si="19"/>
        <v>MA_HAMPDEN</v>
      </c>
      <c r="AJ1227" s="1" t="s">
        <v>87</v>
      </c>
      <c r="AK1227" s="1" t="s">
        <v>966</v>
      </c>
      <c r="AL1227" s="1" t="s">
        <v>6521</v>
      </c>
      <c r="AM1227" s="1" t="s">
        <v>3846</v>
      </c>
    </row>
    <row r="1228" spans="20:39" x14ac:dyDescent="0.2">
      <c r="T1228" s="29" t="s">
        <v>1027</v>
      </c>
      <c r="U1228" s="69" t="s">
        <v>84</v>
      </c>
      <c r="V1228" s="72" t="str">
        <f t="shared" si="19"/>
        <v>MA_HAMPSHIRE</v>
      </c>
      <c r="AJ1228" s="1" t="s">
        <v>87</v>
      </c>
      <c r="AK1228" s="1" t="s">
        <v>967</v>
      </c>
      <c r="AL1228" s="1" t="s">
        <v>6522</v>
      </c>
      <c r="AM1228" s="1" t="s">
        <v>3849</v>
      </c>
    </row>
    <row r="1229" spans="20:39" x14ac:dyDescent="0.2">
      <c r="T1229" s="28" t="s">
        <v>463</v>
      </c>
      <c r="U1229" s="68" t="s">
        <v>84</v>
      </c>
      <c r="V1229" s="72" t="str">
        <f t="shared" si="19"/>
        <v>MA_MIDDLESEX</v>
      </c>
      <c r="AJ1229" s="1" t="s">
        <v>87</v>
      </c>
      <c r="AK1229" s="1" t="s">
        <v>968</v>
      </c>
      <c r="AL1229" s="1" t="s">
        <v>6523</v>
      </c>
      <c r="AM1229" s="1" t="s">
        <v>3829</v>
      </c>
    </row>
    <row r="1230" spans="20:39" x14ac:dyDescent="0.2">
      <c r="T1230" s="29" t="s">
        <v>1028</v>
      </c>
      <c r="U1230" s="69" t="s">
        <v>84</v>
      </c>
      <c r="V1230" s="72" t="str">
        <f t="shared" si="19"/>
        <v>MA_NANTUCKET</v>
      </c>
      <c r="AJ1230" s="1" t="s">
        <v>87</v>
      </c>
      <c r="AK1230" s="1" t="s">
        <v>969</v>
      </c>
      <c r="AL1230" s="1" t="s">
        <v>6524</v>
      </c>
      <c r="AM1230" s="1" t="s">
        <v>3825</v>
      </c>
    </row>
    <row r="1231" spans="20:39" x14ac:dyDescent="0.2">
      <c r="T1231" s="28" t="s">
        <v>1029</v>
      </c>
      <c r="U1231" s="68" t="s">
        <v>84</v>
      </c>
      <c r="V1231" s="72" t="str">
        <f t="shared" si="19"/>
        <v>MA_NORFOLK</v>
      </c>
      <c r="AJ1231" s="1" t="s">
        <v>87</v>
      </c>
      <c r="AK1231" s="1" t="s">
        <v>970</v>
      </c>
      <c r="AL1231" s="1" t="s">
        <v>6525</v>
      </c>
      <c r="AM1231" s="1" t="s">
        <v>3850</v>
      </c>
    </row>
    <row r="1232" spans="20:39" x14ac:dyDescent="0.2">
      <c r="T1232" s="29" t="s">
        <v>795</v>
      </c>
      <c r="U1232" s="69" t="s">
        <v>84</v>
      </c>
      <c r="V1232" s="72" t="str">
        <f t="shared" si="19"/>
        <v>MA_PLYMOUTH</v>
      </c>
      <c r="AJ1232" s="1" t="s">
        <v>87</v>
      </c>
      <c r="AK1232" s="1" t="s">
        <v>971</v>
      </c>
      <c r="AL1232" s="1" t="s">
        <v>6526</v>
      </c>
      <c r="AM1232" s="1" t="s">
        <v>9187</v>
      </c>
    </row>
    <row r="1233" spans="20:39" x14ac:dyDescent="0.2">
      <c r="T1233" s="28" t="s">
        <v>1030</v>
      </c>
      <c r="U1233" s="68" t="s">
        <v>84</v>
      </c>
      <c r="V1233" s="72" t="str">
        <f t="shared" si="19"/>
        <v>MA_SUFFOLK</v>
      </c>
      <c r="AJ1233" s="1" t="s">
        <v>87</v>
      </c>
      <c r="AK1233" s="1" t="s">
        <v>972</v>
      </c>
      <c r="AL1233" s="1" t="s">
        <v>6527</v>
      </c>
      <c r="AM1233" s="1" t="s">
        <v>3851</v>
      </c>
    </row>
    <row r="1234" spans="20:39" x14ac:dyDescent="0.2">
      <c r="T1234" s="29" t="s">
        <v>1019</v>
      </c>
      <c r="U1234" s="69" t="s">
        <v>84</v>
      </c>
      <c r="V1234" s="72" t="str">
        <f t="shared" si="19"/>
        <v>MA_WORCESTER</v>
      </c>
      <c r="AJ1234" s="1" t="s">
        <v>87</v>
      </c>
      <c r="AK1234" s="1" t="s">
        <v>973</v>
      </c>
      <c r="AL1234" s="1" t="s">
        <v>6528</v>
      </c>
      <c r="AM1234" s="1" t="s">
        <v>3849</v>
      </c>
    </row>
    <row r="1235" spans="20:39" x14ac:dyDescent="0.2">
      <c r="T1235" s="28" t="s">
        <v>1031</v>
      </c>
      <c r="U1235" s="68" t="s">
        <v>83</v>
      </c>
      <c r="V1235" s="72" t="str">
        <f t="shared" si="19"/>
        <v>MI_ALCONA</v>
      </c>
      <c r="AJ1235" s="1" t="s">
        <v>87</v>
      </c>
      <c r="AK1235" s="1" t="s">
        <v>974</v>
      </c>
      <c r="AL1235" s="1" t="s">
        <v>6529</v>
      </c>
      <c r="AM1235" s="1" t="s">
        <v>3849</v>
      </c>
    </row>
    <row r="1236" spans="20:39" x14ac:dyDescent="0.2">
      <c r="T1236" s="29" t="s">
        <v>1032</v>
      </c>
      <c r="U1236" s="69" t="s">
        <v>83</v>
      </c>
      <c r="V1236" s="72" t="str">
        <f t="shared" si="19"/>
        <v>MI_ALGER</v>
      </c>
      <c r="AJ1236" s="1" t="s">
        <v>87</v>
      </c>
      <c r="AK1236" s="1" t="s">
        <v>975</v>
      </c>
      <c r="AL1236" s="1" t="s">
        <v>6530</v>
      </c>
      <c r="AM1236" s="1" t="s">
        <v>3829</v>
      </c>
    </row>
    <row r="1237" spans="20:39" x14ac:dyDescent="0.2">
      <c r="T1237" s="28" t="s">
        <v>1033</v>
      </c>
      <c r="U1237" s="68" t="s">
        <v>83</v>
      </c>
      <c r="V1237" s="72" t="str">
        <f t="shared" si="19"/>
        <v>MI_ALLEGAN</v>
      </c>
      <c r="AJ1237" s="1" t="s">
        <v>87</v>
      </c>
      <c r="AK1237" s="1" t="s">
        <v>976</v>
      </c>
      <c r="AL1237" s="1" t="s">
        <v>6531</v>
      </c>
      <c r="AM1237" s="1" t="s">
        <v>3853</v>
      </c>
    </row>
    <row r="1238" spans="20:39" x14ac:dyDescent="0.2">
      <c r="T1238" s="29" t="s">
        <v>1034</v>
      </c>
      <c r="U1238" s="69" t="s">
        <v>83</v>
      </c>
      <c r="V1238" s="72" t="str">
        <f t="shared" si="19"/>
        <v>MI_ALPENA</v>
      </c>
      <c r="AJ1238" s="1" t="s">
        <v>87</v>
      </c>
      <c r="AK1238" s="1" t="s">
        <v>977</v>
      </c>
      <c r="AL1238" s="1" t="s">
        <v>6532</v>
      </c>
      <c r="AM1238" s="1" t="s">
        <v>3849</v>
      </c>
    </row>
    <row r="1239" spans="20:39" x14ac:dyDescent="0.2">
      <c r="T1239" s="28" t="s">
        <v>1035</v>
      </c>
      <c r="U1239" s="68" t="s">
        <v>83</v>
      </c>
      <c r="V1239" s="72" t="str">
        <f t="shared" si="19"/>
        <v>MI_ANTRIM</v>
      </c>
      <c r="AJ1239" s="1" t="s">
        <v>87</v>
      </c>
      <c r="AK1239" s="1" t="s">
        <v>978</v>
      </c>
      <c r="AL1239" s="1" t="s">
        <v>6533</v>
      </c>
      <c r="AM1239" s="1" t="s">
        <v>3854</v>
      </c>
    </row>
    <row r="1240" spans="20:39" x14ac:dyDescent="0.2">
      <c r="T1240" s="29" t="s">
        <v>1036</v>
      </c>
      <c r="U1240" s="69" t="s">
        <v>83</v>
      </c>
      <c r="V1240" s="72" t="str">
        <f t="shared" si="19"/>
        <v>MI_ARENAC</v>
      </c>
      <c r="AJ1240" s="1" t="s">
        <v>87</v>
      </c>
      <c r="AK1240" s="1" t="s">
        <v>979</v>
      </c>
      <c r="AL1240" s="1" t="s">
        <v>6534</v>
      </c>
      <c r="AM1240" s="1" t="s">
        <v>3843</v>
      </c>
    </row>
    <row r="1241" spans="20:39" x14ac:dyDescent="0.2">
      <c r="T1241" s="28" t="s">
        <v>1037</v>
      </c>
      <c r="U1241" s="68" t="s">
        <v>83</v>
      </c>
      <c r="V1241" s="72" t="str">
        <f t="shared" si="19"/>
        <v>MI_BARAGA</v>
      </c>
      <c r="AJ1241" s="1" t="s">
        <v>87</v>
      </c>
      <c r="AK1241" s="1" t="s">
        <v>980</v>
      </c>
      <c r="AL1241" s="1" t="s">
        <v>6535</v>
      </c>
      <c r="AM1241" s="1" t="s">
        <v>3855</v>
      </c>
    </row>
    <row r="1242" spans="20:39" x14ac:dyDescent="0.2">
      <c r="T1242" s="29" t="s">
        <v>1038</v>
      </c>
      <c r="U1242" s="69" t="s">
        <v>83</v>
      </c>
      <c r="V1242" s="72" t="str">
        <f t="shared" si="19"/>
        <v>MI_BARRY</v>
      </c>
      <c r="AJ1242" s="1" t="s">
        <v>87</v>
      </c>
      <c r="AK1242" s="1" t="s">
        <v>981</v>
      </c>
      <c r="AL1242" s="1" t="s">
        <v>6536</v>
      </c>
      <c r="AM1242" s="1" t="s">
        <v>9188</v>
      </c>
    </row>
    <row r="1243" spans="20:39" x14ac:dyDescent="0.2">
      <c r="T1243" s="28" t="s">
        <v>475</v>
      </c>
      <c r="U1243" s="68" t="s">
        <v>83</v>
      </c>
      <c r="V1243" s="72" t="str">
        <f t="shared" si="19"/>
        <v>MI_BAY</v>
      </c>
      <c r="AJ1243" s="1" t="s">
        <v>87</v>
      </c>
      <c r="AK1243" s="1" t="s">
        <v>982</v>
      </c>
      <c r="AL1243" s="1" t="s">
        <v>6537</v>
      </c>
      <c r="AM1243" s="1" t="s">
        <v>3839</v>
      </c>
    </row>
    <row r="1244" spans="20:39" x14ac:dyDescent="0.2">
      <c r="T1244" s="29" t="s">
        <v>1039</v>
      </c>
      <c r="U1244" s="69" t="s">
        <v>83</v>
      </c>
      <c r="V1244" s="72" t="str">
        <f t="shared" si="19"/>
        <v>MI_BENZIE</v>
      </c>
      <c r="AJ1244" s="1" t="s">
        <v>87</v>
      </c>
      <c r="AK1244" s="1" t="s">
        <v>983</v>
      </c>
      <c r="AL1244" s="1" t="s">
        <v>6538</v>
      </c>
      <c r="AM1244" s="1" t="s">
        <v>3856</v>
      </c>
    </row>
    <row r="1245" spans="20:39" x14ac:dyDescent="0.2">
      <c r="T1245" s="28" t="s">
        <v>529</v>
      </c>
      <c r="U1245" s="68" t="s">
        <v>83</v>
      </c>
      <c r="V1245" s="72" t="str">
        <f t="shared" si="19"/>
        <v>MI_BERRIEN</v>
      </c>
      <c r="AJ1245" s="1" t="s">
        <v>87</v>
      </c>
      <c r="AK1245" s="1" t="s">
        <v>984</v>
      </c>
      <c r="AL1245" s="1" t="s">
        <v>6539</v>
      </c>
      <c r="AM1245" s="1" t="s">
        <v>9186</v>
      </c>
    </row>
    <row r="1246" spans="20:39" x14ac:dyDescent="0.2">
      <c r="T1246" s="29" t="s">
        <v>1040</v>
      </c>
      <c r="U1246" s="69" t="s">
        <v>83</v>
      </c>
      <c r="V1246" s="72" t="str">
        <f t="shared" si="19"/>
        <v>MI_BRANCH</v>
      </c>
      <c r="AJ1246" s="1" t="s">
        <v>87</v>
      </c>
      <c r="AK1246" s="1" t="s">
        <v>985</v>
      </c>
      <c r="AL1246" s="1" t="s">
        <v>6540</v>
      </c>
      <c r="AM1246" s="1" t="s">
        <v>3846</v>
      </c>
    </row>
    <row r="1247" spans="20:39" x14ac:dyDescent="0.2">
      <c r="T1247" s="28" t="s">
        <v>201</v>
      </c>
      <c r="U1247" s="68" t="s">
        <v>83</v>
      </c>
      <c r="V1247" s="72" t="str">
        <f t="shared" si="19"/>
        <v>MI_CALHOUN</v>
      </c>
      <c r="AJ1247" s="1" t="s">
        <v>87</v>
      </c>
      <c r="AK1247" s="1" t="s">
        <v>986</v>
      </c>
      <c r="AL1247" s="1" t="s">
        <v>6541</v>
      </c>
      <c r="AM1247" s="1" t="s">
        <v>3857</v>
      </c>
    </row>
    <row r="1248" spans="20:39" x14ac:dyDescent="0.2">
      <c r="T1248" s="29" t="s">
        <v>672</v>
      </c>
      <c r="U1248" s="69" t="s">
        <v>83</v>
      </c>
      <c r="V1248" s="72" t="str">
        <f t="shared" si="19"/>
        <v>MI_CASS</v>
      </c>
      <c r="AJ1248" s="1" t="s">
        <v>87</v>
      </c>
      <c r="AK1248" s="1" t="s">
        <v>987</v>
      </c>
      <c r="AL1248" s="1" t="s">
        <v>6542</v>
      </c>
      <c r="AM1248" s="1" t="s">
        <v>3858</v>
      </c>
    </row>
    <row r="1249" spans="20:39" x14ac:dyDescent="0.2">
      <c r="T1249" s="28" t="s">
        <v>1041</v>
      </c>
      <c r="U1249" s="68" t="s">
        <v>83</v>
      </c>
      <c r="V1249" s="72" t="str">
        <f t="shared" si="19"/>
        <v>MI_CHARLEVOIX</v>
      </c>
      <c r="AJ1249" s="1" t="s">
        <v>87</v>
      </c>
      <c r="AK1249" s="1" t="s">
        <v>988</v>
      </c>
      <c r="AL1249" s="1" t="s">
        <v>6543</v>
      </c>
      <c r="AM1249" s="1" t="s">
        <v>3859</v>
      </c>
    </row>
    <row r="1250" spans="20:39" x14ac:dyDescent="0.2">
      <c r="T1250" s="29" t="s">
        <v>1042</v>
      </c>
      <c r="U1250" s="69" t="s">
        <v>83</v>
      </c>
      <c r="V1250" s="72" t="str">
        <f t="shared" si="19"/>
        <v>MI_CHEBOYGAN</v>
      </c>
      <c r="AJ1250" s="1" t="s">
        <v>87</v>
      </c>
      <c r="AK1250" s="1" t="s">
        <v>989</v>
      </c>
      <c r="AL1250" s="1" t="s">
        <v>6544</v>
      </c>
      <c r="AM1250" s="1" t="s">
        <v>3860</v>
      </c>
    </row>
    <row r="1251" spans="20:39" x14ac:dyDescent="0.2">
      <c r="T1251" s="28" t="s">
        <v>1043</v>
      </c>
      <c r="U1251" s="68" t="s">
        <v>83</v>
      </c>
      <c r="V1251" s="72" t="str">
        <f t="shared" si="19"/>
        <v>MI_CHIPPEWA</v>
      </c>
      <c r="AJ1251" s="1" t="s">
        <v>87</v>
      </c>
      <c r="AK1251" s="1" t="s">
        <v>990</v>
      </c>
      <c r="AL1251" s="1" t="s">
        <v>6545</v>
      </c>
      <c r="AM1251" s="1" t="s">
        <v>3829</v>
      </c>
    </row>
    <row r="1252" spans="20:39" x14ac:dyDescent="0.2">
      <c r="T1252" s="29" t="s">
        <v>1044</v>
      </c>
      <c r="U1252" s="69" t="s">
        <v>83</v>
      </c>
      <c r="V1252" s="72" t="str">
        <f t="shared" si="19"/>
        <v>MI_CLARE</v>
      </c>
      <c r="AJ1252" s="1" t="s">
        <v>87</v>
      </c>
      <c r="AK1252" s="1" t="s">
        <v>991</v>
      </c>
      <c r="AL1252" s="1" t="s">
        <v>6546</v>
      </c>
      <c r="AM1252" s="1" t="s">
        <v>3861</v>
      </c>
    </row>
    <row r="1253" spans="20:39" x14ac:dyDescent="0.2">
      <c r="T1253" s="28" t="s">
        <v>675</v>
      </c>
      <c r="U1253" s="68" t="s">
        <v>83</v>
      </c>
      <c r="V1253" s="72" t="str">
        <f t="shared" si="19"/>
        <v>MI_CLINTON</v>
      </c>
      <c r="AJ1253" s="1" t="s">
        <v>87</v>
      </c>
      <c r="AK1253" s="1" t="s">
        <v>992</v>
      </c>
      <c r="AL1253" s="1" t="s">
        <v>6547</v>
      </c>
      <c r="AM1253" s="1" t="s">
        <v>3829</v>
      </c>
    </row>
    <row r="1254" spans="20:39" x14ac:dyDescent="0.2">
      <c r="T1254" s="29" t="s">
        <v>306</v>
      </c>
      <c r="U1254" s="69" t="s">
        <v>83</v>
      </c>
      <c r="V1254" s="72" t="str">
        <f t="shared" si="19"/>
        <v>MI_CRAWFORD</v>
      </c>
      <c r="AJ1254" s="1" t="s">
        <v>87</v>
      </c>
      <c r="AK1254" s="1" t="s">
        <v>993</v>
      </c>
      <c r="AL1254" s="1" t="s">
        <v>6548</v>
      </c>
      <c r="AM1254" s="1" t="s">
        <v>3862</v>
      </c>
    </row>
    <row r="1255" spans="20:39" x14ac:dyDescent="0.2">
      <c r="T1255" s="28" t="s">
        <v>420</v>
      </c>
      <c r="U1255" s="68" t="s">
        <v>83</v>
      </c>
      <c r="V1255" s="72" t="str">
        <f t="shared" si="19"/>
        <v>MI_DELTA</v>
      </c>
      <c r="AJ1255" s="1" t="s">
        <v>84</v>
      </c>
      <c r="AK1255" s="1" t="s">
        <v>1021</v>
      </c>
      <c r="AL1255" s="1" t="s">
        <v>6549</v>
      </c>
      <c r="AM1255" s="1" t="s">
        <v>3863</v>
      </c>
    </row>
    <row r="1256" spans="20:39" x14ac:dyDescent="0.2">
      <c r="T1256" s="29" t="s">
        <v>776</v>
      </c>
      <c r="U1256" s="69" t="s">
        <v>83</v>
      </c>
      <c r="V1256" s="72" t="str">
        <f t="shared" si="19"/>
        <v>MI_DICKINSON</v>
      </c>
      <c r="AJ1256" s="1" t="s">
        <v>84</v>
      </c>
      <c r="AK1256" s="1" t="s">
        <v>1022</v>
      </c>
      <c r="AL1256" s="1" t="s">
        <v>6550</v>
      </c>
      <c r="AM1256" s="1" t="s">
        <v>3864</v>
      </c>
    </row>
    <row r="1257" spans="20:39" x14ac:dyDescent="0.2">
      <c r="T1257" s="28" t="s">
        <v>1045</v>
      </c>
      <c r="U1257" s="68" t="s">
        <v>83</v>
      </c>
      <c r="V1257" s="72" t="str">
        <f t="shared" si="19"/>
        <v>MI_EATON</v>
      </c>
      <c r="AJ1257" s="1" t="s">
        <v>84</v>
      </c>
      <c r="AK1257" s="1" t="s">
        <v>1022</v>
      </c>
      <c r="AL1257" s="1" t="s">
        <v>6550</v>
      </c>
      <c r="AM1257" s="1" t="s">
        <v>3875</v>
      </c>
    </row>
    <row r="1258" spans="20:39" x14ac:dyDescent="0.2">
      <c r="T1258" s="29" t="s">
        <v>778</v>
      </c>
      <c r="U1258" s="69" t="s">
        <v>83</v>
      </c>
      <c r="V1258" s="72" t="str">
        <f t="shared" si="19"/>
        <v>MI_EMMET</v>
      </c>
      <c r="AJ1258" s="1" t="s">
        <v>84</v>
      </c>
      <c r="AK1258" s="1" t="s">
        <v>1023</v>
      </c>
      <c r="AL1258" s="1" t="s">
        <v>6551</v>
      </c>
      <c r="AM1258" s="1" t="s">
        <v>3869</v>
      </c>
    </row>
    <row r="1259" spans="20:39" x14ac:dyDescent="0.2">
      <c r="T1259" s="28" t="s">
        <v>1046</v>
      </c>
      <c r="U1259" s="68" t="s">
        <v>83</v>
      </c>
      <c r="V1259" s="72" t="str">
        <f t="shared" si="19"/>
        <v>MI_GENESEE</v>
      </c>
      <c r="AJ1259" s="1" t="s">
        <v>84</v>
      </c>
      <c r="AK1259" s="1" t="s">
        <v>1023</v>
      </c>
      <c r="AL1259" s="1" t="s">
        <v>6551</v>
      </c>
      <c r="AM1259" s="1" t="s">
        <v>3874</v>
      </c>
    </row>
    <row r="1260" spans="20:39" x14ac:dyDescent="0.2">
      <c r="T1260" s="29" t="s">
        <v>1047</v>
      </c>
      <c r="U1260" s="69" t="s">
        <v>83</v>
      </c>
      <c r="V1260" s="72" t="str">
        <f t="shared" si="19"/>
        <v>MI_GLADWIN</v>
      </c>
      <c r="AJ1260" s="1" t="s">
        <v>84</v>
      </c>
      <c r="AK1260" s="1" t="s">
        <v>1023</v>
      </c>
      <c r="AL1260" s="1" t="s">
        <v>6551</v>
      </c>
      <c r="AM1260" s="1" t="s">
        <v>3876</v>
      </c>
    </row>
    <row r="1261" spans="20:39" x14ac:dyDescent="0.2">
      <c r="T1261" s="28" t="s">
        <v>1048</v>
      </c>
      <c r="U1261" s="68" t="s">
        <v>83</v>
      </c>
      <c r="V1261" s="72" t="str">
        <f t="shared" si="19"/>
        <v>MI_GOGEBIC</v>
      </c>
      <c r="AJ1261" s="1" t="s">
        <v>84</v>
      </c>
      <c r="AK1261" s="1" t="s">
        <v>1023</v>
      </c>
      <c r="AL1261" s="1" t="s">
        <v>6551</v>
      </c>
      <c r="AM1261" s="1" t="s">
        <v>3877</v>
      </c>
    </row>
    <row r="1262" spans="20:39" x14ac:dyDescent="0.2">
      <c r="T1262" s="29" t="s">
        <v>1049</v>
      </c>
      <c r="U1262" s="69" t="s">
        <v>83</v>
      </c>
      <c r="V1262" s="72" t="str">
        <f t="shared" si="19"/>
        <v>MI_GRAND TRAVERSE</v>
      </c>
      <c r="AJ1262" s="1" t="s">
        <v>84</v>
      </c>
      <c r="AK1262" s="1" t="s">
        <v>1024</v>
      </c>
      <c r="AL1262" s="1" t="s">
        <v>6552</v>
      </c>
      <c r="AM1262" s="1" t="s">
        <v>3867</v>
      </c>
    </row>
    <row r="1263" spans="20:39" x14ac:dyDescent="0.2">
      <c r="T1263" s="28" t="s">
        <v>1050</v>
      </c>
      <c r="U1263" s="68" t="s">
        <v>83</v>
      </c>
      <c r="V1263" s="72" t="str">
        <f t="shared" si="19"/>
        <v>MI_GRATIOT</v>
      </c>
      <c r="AJ1263" s="1" t="s">
        <v>84</v>
      </c>
      <c r="AK1263" s="1" t="s">
        <v>1025</v>
      </c>
      <c r="AL1263" s="1" t="s">
        <v>6553</v>
      </c>
      <c r="AM1263" s="1" t="s">
        <v>3865</v>
      </c>
    </row>
    <row r="1264" spans="20:39" x14ac:dyDescent="0.2">
      <c r="T1264" s="29" t="s">
        <v>1051</v>
      </c>
      <c r="U1264" s="69" t="s">
        <v>83</v>
      </c>
      <c r="V1264" s="72" t="str">
        <f t="shared" si="19"/>
        <v>MI_HILLSDALE</v>
      </c>
      <c r="AJ1264" s="1" t="s">
        <v>84</v>
      </c>
      <c r="AK1264" s="1" t="s">
        <v>1025</v>
      </c>
      <c r="AL1264" s="1" t="s">
        <v>6553</v>
      </c>
      <c r="AM1264" s="1" t="s">
        <v>3871</v>
      </c>
    </row>
    <row r="1265" spans="20:39" x14ac:dyDescent="0.2">
      <c r="T1265" s="28" t="s">
        <v>1052</v>
      </c>
      <c r="U1265" s="68" t="s">
        <v>83</v>
      </c>
      <c r="V1265" s="72" t="str">
        <f t="shared" si="19"/>
        <v>MI_HOUGHTON</v>
      </c>
      <c r="AJ1265" s="1" t="s">
        <v>84</v>
      </c>
      <c r="AK1265" s="1" t="s">
        <v>223</v>
      </c>
      <c r="AL1265" s="1" t="s">
        <v>6554</v>
      </c>
      <c r="AM1265" s="1" t="s">
        <v>9189</v>
      </c>
    </row>
    <row r="1266" spans="20:39" x14ac:dyDescent="0.2">
      <c r="T1266" s="29" t="s">
        <v>1053</v>
      </c>
      <c r="U1266" s="69" t="s">
        <v>83</v>
      </c>
      <c r="V1266" s="72" t="str">
        <f t="shared" si="19"/>
        <v>MI_HURON</v>
      </c>
      <c r="AJ1266" s="1" t="s">
        <v>84</v>
      </c>
      <c r="AK1266" s="1" t="s">
        <v>1026</v>
      </c>
      <c r="AL1266" s="1" t="s">
        <v>6555</v>
      </c>
      <c r="AM1266" s="1" t="s">
        <v>9190</v>
      </c>
    </row>
    <row r="1267" spans="20:39" x14ac:dyDescent="0.2">
      <c r="T1267" s="28" t="s">
        <v>1054</v>
      </c>
      <c r="U1267" s="68" t="s">
        <v>83</v>
      </c>
      <c r="V1267" s="72" t="str">
        <f t="shared" si="19"/>
        <v>MI_INGHAM</v>
      </c>
      <c r="AJ1267" s="1" t="s">
        <v>84</v>
      </c>
      <c r="AK1267" s="1" t="s">
        <v>1027</v>
      </c>
      <c r="AL1267" s="1" t="s">
        <v>6556</v>
      </c>
      <c r="AM1267" s="1" t="s">
        <v>9191</v>
      </c>
    </row>
    <row r="1268" spans="20:39" x14ac:dyDescent="0.2">
      <c r="T1268" s="29" t="s">
        <v>1055</v>
      </c>
      <c r="U1268" s="69" t="s">
        <v>83</v>
      </c>
      <c r="V1268" s="72" t="str">
        <f t="shared" si="19"/>
        <v>MI_IONIA</v>
      </c>
      <c r="AJ1268" s="1" t="s">
        <v>84</v>
      </c>
      <c r="AK1268" s="1" t="s">
        <v>463</v>
      </c>
      <c r="AL1268" s="1" t="s">
        <v>6557</v>
      </c>
      <c r="AM1268" s="1" t="s">
        <v>3865</v>
      </c>
    </row>
    <row r="1269" spans="20:39" x14ac:dyDescent="0.2">
      <c r="T1269" s="28" t="s">
        <v>1056</v>
      </c>
      <c r="U1269" s="68" t="s">
        <v>83</v>
      </c>
      <c r="V1269" s="72" t="str">
        <f t="shared" si="19"/>
        <v>MI_IOSCO</v>
      </c>
      <c r="AJ1269" s="1" t="s">
        <v>84</v>
      </c>
      <c r="AK1269" s="1" t="s">
        <v>463</v>
      </c>
      <c r="AL1269" s="1" t="s">
        <v>6557</v>
      </c>
      <c r="AM1269" s="1" t="s">
        <v>3872</v>
      </c>
    </row>
    <row r="1270" spans="20:39" x14ac:dyDescent="0.2">
      <c r="T1270" s="29" t="s">
        <v>1057</v>
      </c>
      <c r="U1270" s="69" t="s">
        <v>83</v>
      </c>
      <c r="V1270" s="72" t="str">
        <f t="shared" si="19"/>
        <v>MI_IRON</v>
      </c>
      <c r="AJ1270" s="1" t="s">
        <v>84</v>
      </c>
      <c r="AK1270" s="1" t="s">
        <v>1028</v>
      </c>
      <c r="AL1270" s="1" t="s">
        <v>6558</v>
      </c>
      <c r="AM1270" s="1" t="s">
        <v>3873</v>
      </c>
    </row>
    <row r="1271" spans="20:39" x14ac:dyDescent="0.2">
      <c r="T1271" s="28" t="s">
        <v>1058</v>
      </c>
      <c r="U1271" s="68" t="s">
        <v>83</v>
      </c>
      <c r="V1271" s="72" t="str">
        <f t="shared" si="19"/>
        <v>MI_ISABELLA</v>
      </c>
      <c r="AJ1271" s="1" t="s">
        <v>84</v>
      </c>
      <c r="AK1271" s="1" t="s">
        <v>1029</v>
      </c>
      <c r="AL1271" s="1" t="s">
        <v>6559</v>
      </c>
      <c r="AM1271" s="1" t="s">
        <v>3865</v>
      </c>
    </row>
    <row r="1272" spans="20:39" x14ac:dyDescent="0.2">
      <c r="T1272" s="29" t="s">
        <v>229</v>
      </c>
      <c r="U1272" s="69" t="s">
        <v>83</v>
      </c>
      <c r="V1272" s="72" t="str">
        <f t="shared" si="19"/>
        <v>MI_JACKSON</v>
      </c>
      <c r="AJ1272" s="1" t="s">
        <v>84</v>
      </c>
      <c r="AK1272" s="1" t="s">
        <v>1029</v>
      </c>
      <c r="AL1272" s="1" t="s">
        <v>6559</v>
      </c>
      <c r="AM1272" s="1" t="s">
        <v>3866</v>
      </c>
    </row>
    <row r="1273" spans="20:39" x14ac:dyDescent="0.2">
      <c r="T1273" s="28" t="s">
        <v>1059</v>
      </c>
      <c r="U1273" s="68" t="s">
        <v>83</v>
      </c>
      <c r="V1273" s="72" t="str">
        <f t="shared" si="19"/>
        <v>MI_KALAMAZOO</v>
      </c>
      <c r="AJ1273" s="1" t="s">
        <v>84</v>
      </c>
      <c r="AK1273" s="1" t="s">
        <v>795</v>
      </c>
      <c r="AL1273" s="1" t="s">
        <v>6560</v>
      </c>
      <c r="AM1273" s="1" t="s">
        <v>3865</v>
      </c>
    </row>
    <row r="1274" spans="20:39" x14ac:dyDescent="0.2">
      <c r="T1274" s="29" t="s">
        <v>1060</v>
      </c>
      <c r="U1274" s="69" t="s">
        <v>83</v>
      </c>
      <c r="V1274" s="72" t="str">
        <f t="shared" si="19"/>
        <v>MI_KALKASKA</v>
      </c>
      <c r="AJ1274" s="1" t="s">
        <v>84</v>
      </c>
      <c r="AK1274" s="1" t="s">
        <v>795</v>
      </c>
      <c r="AL1274" s="1" t="s">
        <v>6560</v>
      </c>
      <c r="AM1274" s="1" t="s">
        <v>3866</v>
      </c>
    </row>
    <row r="1275" spans="20:39" x14ac:dyDescent="0.2">
      <c r="T1275" s="28" t="s">
        <v>468</v>
      </c>
      <c r="U1275" s="68" t="s">
        <v>83</v>
      </c>
      <c r="V1275" s="72" t="str">
        <f t="shared" si="19"/>
        <v>MI_KENT</v>
      </c>
      <c r="AJ1275" s="1" t="s">
        <v>84</v>
      </c>
      <c r="AK1275" s="1" t="s">
        <v>1030</v>
      </c>
      <c r="AL1275" s="1" t="s">
        <v>6561</v>
      </c>
      <c r="AM1275" s="1" t="s">
        <v>3865</v>
      </c>
    </row>
    <row r="1276" spans="20:39" x14ac:dyDescent="0.2">
      <c r="T1276" s="29" t="s">
        <v>1061</v>
      </c>
      <c r="U1276" s="69" t="s">
        <v>83</v>
      </c>
      <c r="V1276" s="72" t="str">
        <f t="shared" si="19"/>
        <v>MI_KEWEENAW</v>
      </c>
      <c r="AJ1276" s="1" t="s">
        <v>84</v>
      </c>
      <c r="AK1276" s="1" t="s">
        <v>1019</v>
      </c>
      <c r="AL1276" s="1" t="s">
        <v>6562</v>
      </c>
      <c r="AM1276" s="1" t="s">
        <v>3868</v>
      </c>
    </row>
    <row r="1277" spans="20:39" x14ac:dyDescent="0.2">
      <c r="T1277" s="28" t="s">
        <v>366</v>
      </c>
      <c r="U1277" s="68" t="s">
        <v>83</v>
      </c>
      <c r="V1277" s="72" t="str">
        <f t="shared" si="19"/>
        <v>MI_LAKE</v>
      </c>
      <c r="AJ1277" s="1" t="s">
        <v>84</v>
      </c>
      <c r="AK1277" s="1" t="s">
        <v>1019</v>
      </c>
      <c r="AL1277" s="1" t="s">
        <v>6562</v>
      </c>
      <c r="AM1277" s="1" t="s">
        <v>3870</v>
      </c>
    </row>
    <row r="1278" spans="20:39" x14ac:dyDescent="0.2">
      <c r="T1278" s="29" t="s">
        <v>1062</v>
      </c>
      <c r="U1278" s="69" t="s">
        <v>83</v>
      </c>
      <c r="V1278" s="72" t="str">
        <f t="shared" si="19"/>
        <v>MI_LAPEER</v>
      </c>
      <c r="AJ1278" s="1" t="s">
        <v>84</v>
      </c>
      <c r="AK1278" s="1" t="s">
        <v>1019</v>
      </c>
      <c r="AL1278" s="1" t="s">
        <v>6562</v>
      </c>
      <c r="AM1278" s="1" t="s">
        <v>3878</v>
      </c>
    </row>
    <row r="1279" spans="20:39" x14ac:dyDescent="0.2">
      <c r="T1279" s="28" t="s">
        <v>1063</v>
      </c>
      <c r="U1279" s="68" t="s">
        <v>83</v>
      </c>
      <c r="V1279" s="72" t="str">
        <f t="shared" si="19"/>
        <v>MI_LEELANAU</v>
      </c>
      <c r="AJ1279" s="1" t="s">
        <v>84</v>
      </c>
      <c r="AK1279" s="1" t="s">
        <v>1019</v>
      </c>
      <c r="AL1279" s="1" t="s">
        <v>6562</v>
      </c>
      <c r="AM1279" s="1" t="s">
        <v>3879</v>
      </c>
    </row>
    <row r="1280" spans="20:39" x14ac:dyDescent="0.2">
      <c r="T1280" s="29" t="s">
        <v>1064</v>
      </c>
      <c r="U1280" s="69" t="s">
        <v>83</v>
      </c>
      <c r="V1280" s="72" t="str">
        <f t="shared" si="19"/>
        <v>MI_LENAWEE</v>
      </c>
      <c r="AJ1280" s="1" t="s">
        <v>85</v>
      </c>
      <c r="AK1280" s="1" t="s">
        <v>1004</v>
      </c>
      <c r="AL1280" s="1" t="s">
        <v>6563</v>
      </c>
      <c r="AM1280" s="1" t="s">
        <v>9192</v>
      </c>
    </row>
    <row r="1281" spans="20:39" x14ac:dyDescent="0.2">
      <c r="T1281" s="28" t="s">
        <v>695</v>
      </c>
      <c r="U1281" s="68" t="s">
        <v>83</v>
      </c>
      <c r="V1281" s="72" t="str">
        <f t="shared" si="19"/>
        <v>MI_LIVINGSTON</v>
      </c>
      <c r="AJ1281" s="1" t="s">
        <v>85</v>
      </c>
      <c r="AK1281" s="1" t="s">
        <v>1005</v>
      </c>
      <c r="AL1281" s="1" t="s">
        <v>6564</v>
      </c>
      <c r="AM1281" s="1" t="s">
        <v>3880</v>
      </c>
    </row>
    <row r="1282" spans="20:39" x14ac:dyDescent="0.2">
      <c r="T1282" s="29" t="s">
        <v>1065</v>
      </c>
      <c r="U1282" s="69" t="s">
        <v>83</v>
      </c>
      <c r="V1282" s="72" t="str">
        <f t="shared" si="19"/>
        <v>MI_LUCE</v>
      </c>
      <c r="AJ1282" s="1" t="s">
        <v>85</v>
      </c>
      <c r="AK1282" s="1" t="s">
        <v>1006</v>
      </c>
      <c r="AL1282" s="1" t="s">
        <v>6565</v>
      </c>
      <c r="AM1282" s="1" t="s">
        <v>3880</v>
      </c>
    </row>
    <row r="1283" spans="20:39" x14ac:dyDescent="0.2">
      <c r="T1283" s="28" t="s">
        <v>1066</v>
      </c>
      <c r="U1283" s="68" t="s">
        <v>83</v>
      </c>
      <c r="V1283" s="72" t="str">
        <f t="shared" si="19"/>
        <v>MI_MACKINAC</v>
      </c>
      <c r="AJ1283" s="1" t="s">
        <v>85</v>
      </c>
      <c r="AK1283" s="1" t="s">
        <v>1020</v>
      </c>
      <c r="AL1283" s="1" t="s">
        <v>6566</v>
      </c>
      <c r="AM1283" s="1" t="s">
        <v>3880</v>
      </c>
    </row>
    <row r="1284" spans="20:39" x14ac:dyDescent="0.2">
      <c r="T1284" s="29" t="s">
        <v>1067</v>
      </c>
      <c r="U1284" s="69" t="s">
        <v>83</v>
      </c>
      <c r="V1284" s="72" t="str">
        <f t="shared" si="19"/>
        <v>MI_MACOMB</v>
      </c>
      <c r="AJ1284" s="1" t="s">
        <v>85</v>
      </c>
      <c r="AK1284" s="1" t="s">
        <v>1007</v>
      </c>
      <c r="AL1284" s="1" t="s">
        <v>6567</v>
      </c>
      <c r="AM1284" s="1" t="s">
        <v>9193</v>
      </c>
    </row>
    <row r="1285" spans="20:39" x14ac:dyDescent="0.2">
      <c r="T1285" s="28" t="s">
        <v>1068</v>
      </c>
      <c r="U1285" s="68" t="s">
        <v>83</v>
      </c>
      <c r="V1285" s="72" t="str">
        <f t="shared" si="19"/>
        <v>MI_MANISTEE</v>
      </c>
      <c r="AJ1285" s="1" t="s">
        <v>85</v>
      </c>
      <c r="AK1285" s="1" t="s">
        <v>1008</v>
      </c>
      <c r="AL1285" s="1" t="s">
        <v>6568</v>
      </c>
      <c r="AM1285" s="1" t="s">
        <v>3881</v>
      </c>
    </row>
    <row r="1286" spans="20:39" x14ac:dyDescent="0.2">
      <c r="T1286" s="29" t="s">
        <v>1069</v>
      </c>
      <c r="U1286" s="69" t="s">
        <v>83</v>
      </c>
      <c r="V1286" s="72" t="str">
        <f t="shared" si="19"/>
        <v>MI_MARQUETTE</v>
      </c>
      <c r="AJ1286" s="1" t="s">
        <v>85</v>
      </c>
      <c r="AK1286" s="1" t="s">
        <v>299</v>
      </c>
      <c r="AL1286" s="1" t="s">
        <v>6569</v>
      </c>
      <c r="AM1286" s="1" t="s">
        <v>3880</v>
      </c>
    </row>
    <row r="1287" spans="20:39" x14ac:dyDescent="0.2">
      <c r="T1287" s="28" t="s">
        <v>700</v>
      </c>
      <c r="U1287" s="68" t="s">
        <v>83</v>
      </c>
      <c r="V1287" s="72" t="str">
        <f t="shared" si="19"/>
        <v>MI_MASON</v>
      </c>
      <c r="AJ1287" s="1" t="s">
        <v>85</v>
      </c>
      <c r="AK1287" s="1" t="s">
        <v>1009</v>
      </c>
      <c r="AL1287" s="1" t="s">
        <v>6570</v>
      </c>
      <c r="AM1287" s="1" t="s">
        <v>3212</v>
      </c>
    </row>
    <row r="1288" spans="20:39" x14ac:dyDescent="0.2">
      <c r="T1288" s="29" t="s">
        <v>1070</v>
      </c>
      <c r="U1288" s="69" t="s">
        <v>83</v>
      </c>
      <c r="V1288" s="72" t="str">
        <f t="shared" si="19"/>
        <v>MI_MECOSTA</v>
      </c>
      <c r="AJ1288" s="1" t="s">
        <v>85</v>
      </c>
      <c r="AK1288" s="1" t="s">
        <v>1010</v>
      </c>
      <c r="AL1288" s="1" t="s">
        <v>6571</v>
      </c>
      <c r="AM1288" s="1" t="s">
        <v>3210</v>
      </c>
    </row>
    <row r="1289" spans="20:39" x14ac:dyDescent="0.2">
      <c r="T1289" s="28" t="s">
        <v>1071</v>
      </c>
      <c r="U1289" s="68" t="s">
        <v>83</v>
      </c>
      <c r="V1289" s="72" t="str">
        <f t="shared" si="19"/>
        <v>MI_MENOMINEE</v>
      </c>
      <c r="AJ1289" s="1" t="s">
        <v>85</v>
      </c>
      <c r="AK1289" s="1" t="s">
        <v>1011</v>
      </c>
      <c r="AL1289" s="1" t="s">
        <v>6572</v>
      </c>
      <c r="AM1289" s="1" t="s">
        <v>3882</v>
      </c>
    </row>
    <row r="1290" spans="20:39" x14ac:dyDescent="0.2">
      <c r="T1290" s="29" t="s">
        <v>1072</v>
      </c>
      <c r="U1290" s="69" t="s">
        <v>83</v>
      </c>
      <c r="V1290" s="72" t="str">
        <f t="shared" ref="V1290:V1353" si="20">UPPER(CONCATENATE(TRIM(U1290),"_",TRIM(T1290)))</f>
        <v>MI_MIDLAND</v>
      </c>
      <c r="AJ1290" s="1" t="s">
        <v>85</v>
      </c>
      <c r="AK1290" s="1" t="s">
        <v>1012</v>
      </c>
      <c r="AL1290" s="1" t="s">
        <v>6573</v>
      </c>
      <c r="AM1290" s="1" t="s">
        <v>3210</v>
      </c>
    </row>
    <row r="1291" spans="20:39" x14ac:dyDescent="0.2">
      <c r="T1291" s="28" t="s">
        <v>1073</v>
      </c>
      <c r="U1291" s="68" t="s">
        <v>83</v>
      </c>
      <c r="V1291" s="72" t="str">
        <f t="shared" si="20"/>
        <v>MI_MISSAUKEE</v>
      </c>
      <c r="AJ1291" s="1" t="s">
        <v>85</v>
      </c>
      <c r="AK1291" s="1" t="s">
        <v>1013</v>
      </c>
      <c r="AL1291" s="1" t="s">
        <v>6574</v>
      </c>
      <c r="AM1291" s="1" t="s">
        <v>3883</v>
      </c>
    </row>
    <row r="1292" spans="20:39" x14ac:dyDescent="0.2">
      <c r="T1292" s="29" t="s">
        <v>243</v>
      </c>
      <c r="U1292" s="69" t="s">
        <v>83</v>
      </c>
      <c r="V1292" s="72" t="str">
        <f t="shared" si="20"/>
        <v>MI_MONROE</v>
      </c>
      <c r="AJ1292" s="1" t="s">
        <v>85</v>
      </c>
      <c r="AK1292" s="1" t="s">
        <v>1014</v>
      </c>
      <c r="AL1292" s="1" t="s">
        <v>6575</v>
      </c>
      <c r="AM1292" s="1" t="s">
        <v>3880</v>
      </c>
    </row>
    <row r="1293" spans="20:39" x14ac:dyDescent="0.2">
      <c r="T1293" s="28" t="s">
        <v>1074</v>
      </c>
      <c r="U1293" s="68" t="s">
        <v>83</v>
      </c>
      <c r="V1293" s="72" t="str">
        <f t="shared" si="20"/>
        <v>MI_MONTCALM</v>
      </c>
      <c r="AJ1293" s="1" t="s">
        <v>85</v>
      </c>
      <c r="AK1293" s="1" t="s">
        <v>317</v>
      </c>
      <c r="AL1293" s="1" t="s">
        <v>6576</v>
      </c>
      <c r="AM1293" s="1" t="s">
        <v>3880</v>
      </c>
    </row>
    <row r="1294" spans="20:39" x14ac:dyDescent="0.2">
      <c r="T1294" s="29" t="s">
        <v>1075</v>
      </c>
      <c r="U1294" s="69" t="s">
        <v>83</v>
      </c>
      <c r="V1294" s="72" t="str">
        <f t="shared" si="20"/>
        <v>MI_MONTMORENCY</v>
      </c>
      <c r="AJ1294" s="1" t="s">
        <v>85</v>
      </c>
      <c r="AK1294" s="1" t="s">
        <v>468</v>
      </c>
      <c r="AL1294" s="1" t="s">
        <v>6577</v>
      </c>
      <c r="AM1294" s="1" t="s">
        <v>3885</v>
      </c>
    </row>
    <row r="1295" spans="20:39" x14ac:dyDescent="0.2">
      <c r="T1295" s="28" t="s">
        <v>1076</v>
      </c>
      <c r="U1295" s="68" t="s">
        <v>83</v>
      </c>
      <c r="V1295" s="72" t="str">
        <f t="shared" si="20"/>
        <v>MI_MUSKEGON</v>
      </c>
      <c r="AJ1295" s="1" t="s">
        <v>85</v>
      </c>
      <c r="AK1295" s="1" t="s">
        <v>244</v>
      </c>
      <c r="AL1295" s="1" t="s">
        <v>6578</v>
      </c>
      <c r="AM1295" s="1" t="s">
        <v>3210</v>
      </c>
    </row>
    <row r="1296" spans="20:39" x14ac:dyDescent="0.2">
      <c r="T1296" s="29" t="s">
        <v>1077</v>
      </c>
      <c r="U1296" s="69" t="s">
        <v>83</v>
      </c>
      <c r="V1296" s="72" t="str">
        <f t="shared" si="20"/>
        <v>MI_NEWAYGO</v>
      </c>
      <c r="AJ1296" s="1" t="s">
        <v>85</v>
      </c>
      <c r="AK1296" s="1" t="s">
        <v>1015</v>
      </c>
      <c r="AL1296" s="1" t="s">
        <v>6579</v>
      </c>
      <c r="AM1296" s="1" t="s">
        <v>3210</v>
      </c>
    </row>
    <row r="1297" spans="20:39" x14ac:dyDescent="0.2">
      <c r="T1297" s="28" t="s">
        <v>1078</v>
      </c>
      <c r="U1297" s="68" t="s">
        <v>83</v>
      </c>
      <c r="V1297" s="72" t="str">
        <f t="shared" si="20"/>
        <v>MI_OAKLAND</v>
      </c>
      <c r="AJ1297" s="1" t="s">
        <v>85</v>
      </c>
      <c r="AK1297" s="1" t="s">
        <v>1016</v>
      </c>
      <c r="AL1297" s="1" t="s">
        <v>6580</v>
      </c>
      <c r="AM1297" s="1" t="s">
        <v>3880</v>
      </c>
    </row>
    <row r="1298" spans="20:39" x14ac:dyDescent="0.2">
      <c r="T1298" s="29" t="s">
        <v>1079</v>
      </c>
      <c r="U1298" s="69" t="s">
        <v>83</v>
      </c>
      <c r="V1298" s="72" t="str">
        <f t="shared" si="20"/>
        <v>MI_OCEANA</v>
      </c>
      <c r="AJ1298" s="1" t="s">
        <v>85</v>
      </c>
      <c r="AK1298" s="1" t="s">
        <v>1001</v>
      </c>
      <c r="AL1298" s="1" t="s">
        <v>6581</v>
      </c>
      <c r="AM1298" s="1" t="s">
        <v>3887</v>
      </c>
    </row>
    <row r="1299" spans="20:39" x14ac:dyDescent="0.2">
      <c r="T1299" s="28" t="s">
        <v>1080</v>
      </c>
      <c r="U1299" s="68" t="s">
        <v>83</v>
      </c>
      <c r="V1299" s="72" t="str">
        <f t="shared" si="20"/>
        <v>MI_OGEMAW</v>
      </c>
      <c r="AJ1299" s="1" t="s">
        <v>85</v>
      </c>
      <c r="AK1299" s="1" t="s">
        <v>1017</v>
      </c>
      <c r="AL1299" s="1" t="s">
        <v>6582</v>
      </c>
      <c r="AM1299" s="1" t="s">
        <v>9194</v>
      </c>
    </row>
    <row r="1300" spans="20:39" x14ac:dyDescent="0.2">
      <c r="T1300" s="29" t="s">
        <v>1081</v>
      </c>
      <c r="U1300" s="69" t="s">
        <v>83</v>
      </c>
      <c r="V1300" s="72" t="str">
        <f t="shared" si="20"/>
        <v>MI_ONTONAGON</v>
      </c>
      <c r="AJ1300" s="1" t="s">
        <v>85</v>
      </c>
      <c r="AK1300" s="1" t="s">
        <v>607</v>
      </c>
      <c r="AL1300" s="1" t="s">
        <v>6583</v>
      </c>
      <c r="AM1300" s="1" t="s">
        <v>3888</v>
      </c>
    </row>
    <row r="1301" spans="20:39" x14ac:dyDescent="0.2">
      <c r="T1301" s="28" t="s">
        <v>507</v>
      </c>
      <c r="U1301" s="68" t="s">
        <v>83</v>
      </c>
      <c r="V1301" s="72" t="str">
        <f t="shared" si="20"/>
        <v>MI_OSCEOLA</v>
      </c>
      <c r="AJ1301" s="1" t="s">
        <v>85</v>
      </c>
      <c r="AK1301" s="1" t="s">
        <v>258</v>
      </c>
      <c r="AL1301" s="1" t="s">
        <v>6584</v>
      </c>
      <c r="AM1301" s="1" t="s">
        <v>3884</v>
      </c>
    </row>
    <row r="1302" spans="20:39" x14ac:dyDescent="0.2">
      <c r="T1302" s="29" t="s">
        <v>1082</v>
      </c>
      <c r="U1302" s="69" t="s">
        <v>83</v>
      </c>
      <c r="V1302" s="72" t="str">
        <f t="shared" si="20"/>
        <v>MI_OSCODA</v>
      </c>
      <c r="AJ1302" s="1" t="s">
        <v>85</v>
      </c>
      <c r="AK1302" s="1" t="s">
        <v>1018</v>
      </c>
      <c r="AL1302" s="1" t="s">
        <v>6585</v>
      </c>
      <c r="AM1302" s="1" t="s">
        <v>3886</v>
      </c>
    </row>
    <row r="1303" spans="20:39" x14ac:dyDescent="0.2">
      <c r="T1303" s="28" t="s">
        <v>1083</v>
      </c>
      <c r="U1303" s="68" t="s">
        <v>83</v>
      </c>
      <c r="V1303" s="72" t="str">
        <f t="shared" si="20"/>
        <v>MI_OTSEGO</v>
      </c>
      <c r="AJ1303" s="1" t="s">
        <v>85</v>
      </c>
      <c r="AK1303" s="1" t="s">
        <v>1019</v>
      </c>
      <c r="AL1303" s="1" t="s">
        <v>6586</v>
      </c>
      <c r="AM1303" s="1" t="s">
        <v>9195</v>
      </c>
    </row>
    <row r="1304" spans="20:39" x14ac:dyDescent="0.2">
      <c r="T1304" s="29" t="s">
        <v>849</v>
      </c>
      <c r="U1304" s="69" t="s">
        <v>83</v>
      </c>
      <c r="V1304" s="72" t="str">
        <f t="shared" si="20"/>
        <v>MI_OTTAWA</v>
      </c>
      <c r="AJ1304" s="1" t="s">
        <v>86</v>
      </c>
      <c r="AK1304" s="1" t="s">
        <v>994</v>
      </c>
      <c r="AL1304" s="1" t="s">
        <v>6587</v>
      </c>
      <c r="AM1304" s="1" t="s">
        <v>3896</v>
      </c>
    </row>
    <row r="1305" spans="20:39" x14ac:dyDescent="0.2">
      <c r="T1305" s="28" t="s">
        <v>1084</v>
      </c>
      <c r="U1305" s="68" t="s">
        <v>83</v>
      </c>
      <c r="V1305" s="72" t="str">
        <f t="shared" si="20"/>
        <v>MI_PRESQUE ISLE</v>
      </c>
      <c r="AJ1305" s="1" t="s">
        <v>86</v>
      </c>
      <c r="AK1305" s="1" t="s">
        <v>995</v>
      </c>
      <c r="AL1305" s="1" t="s">
        <v>6588</v>
      </c>
      <c r="AM1305" s="1" t="s">
        <v>3889</v>
      </c>
    </row>
    <row r="1306" spans="20:39" x14ac:dyDescent="0.2">
      <c r="T1306" s="29" t="s">
        <v>1085</v>
      </c>
      <c r="U1306" s="69" t="s">
        <v>83</v>
      </c>
      <c r="V1306" s="72" t="str">
        <f t="shared" si="20"/>
        <v>MI_ROSCOMMON</v>
      </c>
      <c r="AJ1306" s="1" t="s">
        <v>86</v>
      </c>
      <c r="AK1306" s="1" t="s">
        <v>677</v>
      </c>
      <c r="AL1306" s="1" t="s">
        <v>6589</v>
      </c>
      <c r="AM1306" s="1" t="s">
        <v>3891</v>
      </c>
    </row>
    <row r="1307" spans="20:39" x14ac:dyDescent="0.2">
      <c r="T1307" s="28" t="s">
        <v>1086</v>
      </c>
      <c r="U1307" s="68" t="s">
        <v>83</v>
      </c>
      <c r="V1307" s="72" t="str">
        <f t="shared" si="20"/>
        <v>MI_SAGINAW</v>
      </c>
      <c r="AJ1307" s="1" t="s">
        <v>86</v>
      </c>
      <c r="AK1307" s="1" t="s">
        <v>677</v>
      </c>
      <c r="AL1307" s="1" t="s">
        <v>6589</v>
      </c>
      <c r="AM1307" s="1" t="s">
        <v>3901</v>
      </c>
    </row>
    <row r="1308" spans="20:39" x14ac:dyDescent="0.2">
      <c r="T1308" s="29" t="s">
        <v>251</v>
      </c>
      <c r="U1308" s="69" t="s">
        <v>83</v>
      </c>
      <c r="V1308" s="72" t="str">
        <f t="shared" si="20"/>
        <v>MI_ST. CLAIR</v>
      </c>
      <c r="AJ1308" s="1" t="s">
        <v>86</v>
      </c>
      <c r="AK1308" s="1" t="s">
        <v>223</v>
      </c>
      <c r="AL1308" s="1" t="s">
        <v>6590</v>
      </c>
      <c r="AM1308" s="1" t="s">
        <v>3892</v>
      </c>
    </row>
    <row r="1309" spans="20:39" x14ac:dyDescent="0.2">
      <c r="T1309" s="28" t="s">
        <v>749</v>
      </c>
      <c r="U1309" s="68" t="s">
        <v>83</v>
      </c>
      <c r="V1309" s="72" t="str">
        <f t="shared" si="20"/>
        <v>MI_ST. JOSEPH</v>
      </c>
      <c r="AJ1309" s="1" t="s">
        <v>86</v>
      </c>
      <c r="AK1309" s="1" t="s">
        <v>573</v>
      </c>
      <c r="AL1309" s="1" t="s">
        <v>6591</v>
      </c>
      <c r="AM1309" s="1" t="s">
        <v>3893</v>
      </c>
    </row>
    <row r="1310" spans="20:39" x14ac:dyDescent="0.2">
      <c r="T1310" s="29" t="s">
        <v>1087</v>
      </c>
      <c r="U1310" s="69" t="s">
        <v>83</v>
      </c>
      <c r="V1310" s="72" t="str">
        <f t="shared" si="20"/>
        <v>MI_SANILAC</v>
      </c>
      <c r="AJ1310" s="1" t="s">
        <v>86</v>
      </c>
      <c r="AK1310" s="1" t="s">
        <v>996</v>
      </c>
      <c r="AL1310" s="1" t="s">
        <v>6592</v>
      </c>
      <c r="AM1310" s="1" t="s">
        <v>3894</v>
      </c>
    </row>
    <row r="1311" spans="20:39" x14ac:dyDescent="0.2">
      <c r="T1311" s="28" t="s">
        <v>1088</v>
      </c>
      <c r="U1311" s="68" t="s">
        <v>83</v>
      </c>
      <c r="V1311" s="72" t="str">
        <f t="shared" si="20"/>
        <v>MI_SCHOOLCRAFT</v>
      </c>
      <c r="AJ1311" s="1" t="s">
        <v>86</v>
      </c>
      <c r="AK1311" s="1" t="s">
        <v>693</v>
      </c>
      <c r="AL1311" s="1" t="s">
        <v>6593</v>
      </c>
      <c r="AM1311" s="1" t="s">
        <v>3895</v>
      </c>
    </row>
    <row r="1312" spans="20:39" x14ac:dyDescent="0.2">
      <c r="T1312" s="29" t="s">
        <v>1089</v>
      </c>
      <c r="U1312" s="69" t="s">
        <v>83</v>
      </c>
      <c r="V1312" s="72" t="str">
        <f t="shared" si="20"/>
        <v>MI_SHIAWASSEE</v>
      </c>
      <c r="AJ1312" s="1" t="s">
        <v>86</v>
      </c>
      <c r="AK1312" s="1" t="s">
        <v>322</v>
      </c>
      <c r="AL1312" s="1" t="s">
        <v>6594</v>
      </c>
      <c r="AM1312" s="1" t="s">
        <v>3897</v>
      </c>
    </row>
    <row r="1313" spans="20:39" x14ac:dyDescent="0.2">
      <c r="T1313" s="28" t="s">
        <v>1090</v>
      </c>
      <c r="U1313" s="68" t="s">
        <v>83</v>
      </c>
      <c r="V1313" s="72" t="str">
        <f t="shared" si="20"/>
        <v>MI_TUSCOLA</v>
      </c>
      <c r="AJ1313" s="1" t="s">
        <v>86</v>
      </c>
      <c r="AK1313" s="1" t="s">
        <v>997</v>
      </c>
      <c r="AL1313" s="1" t="s">
        <v>6595</v>
      </c>
      <c r="AM1313" s="1" t="s">
        <v>3898</v>
      </c>
    </row>
    <row r="1314" spans="20:39" x14ac:dyDescent="0.2">
      <c r="T1314" s="29" t="s">
        <v>346</v>
      </c>
      <c r="U1314" s="69" t="s">
        <v>83</v>
      </c>
      <c r="V1314" s="72" t="str">
        <f t="shared" si="20"/>
        <v>MI_VAN BUREN</v>
      </c>
      <c r="AJ1314" s="1" t="s">
        <v>86</v>
      </c>
      <c r="AK1314" s="1" t="s">
        <v>998</v>
      </c>
      <c r="AL1314" s="1" t="s">
        <v>6596</v>
      </c>
      <c r="AM1314" s="1" t="s">
        <v>3890</v>
      </c>
    </row>
    <row r="1315" spans="20:39" x14ac:dyDescent="0.2">
      <c r="T1315" s="28" t="s">
        <v>1091</v>
      </c>
      <c r="U1315" s="68" t="s">
        <v>83</v>
      </c>
      <c r="V1315" s="72" t="str">
        <f t="shared" si="20"/>
        <v>MI_WASHTENAW</v>
      </c>
      <c r="AJ1315" s="1" t="s">
        <v>86</v>
      </c>
      <c r="AK1315" s="1" t="s">
        <v>998</v>
      </c>
      <c r="AL1315" s="1" t="s">
        <v>6596</v>
      </c>
      <c r="AM1315" s="1" t="s">
        <v>3899</v>
      </c>
    </row>
    <row r="1316" spans="20:39" x14ac:dyDescent="0.2">
      <c r="T1316" s="29" t="s">
        <v>623</v>
      </c>
      <c r="U1316" s="69" t="s">
        <v>83</v>
      </c>
      <c r="V1316" s="72" t="str">
        <f t="shared" si="20"/>
        <v>MI_WAYNE</v>
      </c>
      <c r="AJ1316" s="1" t="s">
        <v>86</v>
      </c>
      <c r="AK1316" s="1" t="s">
        <v>999</v>
      </c>
      <c r="AL1316" s="1" t="s">
        <v>6597</v>
      </c>
      <c r="AM1316" s="1" t="s">
        <v>3900</v>
      </c>
    </row>
    <row r="1317" spans="20:39" x14ac:dyDescent="0.2">
      <c r="T1317" s="28" t="s">
        <v>1092</v>
      </c>
      <c r="U1317" s="68" t="s">
        <v>83</v>
      </c>
      <c r="V1317" s="72" t="str">
        <f t="shared" si="20"/>
        <v>MI_WEXFORD</v>
      </c>
      <c r="AJ1317" s="1" t="s">
        <v>86</v>
      </c>
      <c r="AK1317" s="1" t="s">
        <v>1000</v>
      </c>
      <c r="AL1317" s="1" t="s">
        <v>6598</v>
      </c>
      <c r="AM1317" s="1" t="s">
        <v>3902</v>
      </c>
    </row>
    <row r="1318" spans="20:39" x14ac:dyDescent="0.2">
      <c r="T1318" s="29" t="s">
        <v>1093</v>
      </c>
      <c r="U1318" s="69" t="s">
        <v>82</v>
      </c>
      <c r="V1318" s="72" t="str">
        <f t="shared" si="20"/>
        <v>MN_AITKIN</v>
      </c>
      <c r="AJ1318" s="1" t="s">
        <v>86</v>
      </c>
      <c r="AK1318" s="1" t="s">
        <v>1001</v>
      </c>
      <c r="AL1318" s="1" t="s">
        <v>6599</v>
      </c>
      <c r="AM1318" s="1" t="s">
        <v>3903</v>
      </c>
    </row>
    <row r="1319" spans="20:39" x14ac:dyDescent="0.2">
      <c r="T1319" s="28" t="s">
        <v>1094</v>
      </c>
      <c r="U1319" s="68" t="s">
        <v>82</v>
      </c>
      <c r="V1319" s="72" t="str">
        <f t="shared" si="20"/>
        <v>MN_ANOKA</v>
      </c>
      <c r="AJ1319" s="1" t="s">
        <v>86</v>
      </c>
      <c r="AK1319" s="1" t="s">
        <v>1002</v>
      </c>
      <c r="AL1319" s="1" t="s">
        <v>6600</v>
      </c>
      <c r="AM1319" s="1" t="s">
        <v>3904</v>
      </c>
    </row>
    <row r="1320" spans="20:39" x14ac:dyDescent="0.2">
      <c r="T1320" s="29" t="s">
        <v>1095</v>
      </c>
      <c r="U1320" s="69" t="s">
        <v>82</v>
      </c>
      <c r="V1320" s="72" t="str">
        <f t="shared" si="20"/>
        <v>MN_BECKER</v>
      </c>
      <c r="AJ1320" s="1" t="s">
        <v>86</v>
      </c>
      <c r="AK1320" s="1" t="s">
        <v>258</v>
      </c>
      <c r="AL1320" s="1" t="s">
        <v>6601</v>
      </c>
      <c r="AM1320" s="1" t="s">
        <v>3905</v>
      </c>
    </row>
    <row r="1321" spans="20:39" x14ac:dyDescent="0.2">
      <c r="T1321" s="28" t="s">
        <v>1096</v>
      </c>
      <c r="U1321" s="68" t="s">
        <v>82</v>
      </c>
      <c r="V1321" s="72" t="str">
        <f t="shared" si="20"/>
        <v>MN_BELTRAMI</v>
      </c>
      <c r="AJ1321" s="1" t="s">
        <v>86</v>
      </c>
      <c r="AK1321" s="1" t="s">
        <v>1003</v>
      </c>
      <c r="AL1321" s="1" t="s">
        <v>6602</v>
      </c>
      <c r="AM1321" s="1" t="s">
        <v>3901</v>
      </c>
    </row>
    <row r="1322" spans="20:39" x14ac:dyDescent="0.2">
      <c r="T1322" s="29" t="s">
        <v>296</v>
      </c>
      <c r="U1322" s="69" t="s">
        <v>82</v>
      </c>
      <c r="V1322" s="72" t="str">
        <f t="shared" si="20"/>
        <v>MN_BENTON</v>
      </c>
      <c r="AJ1322" s="1" t="s">
        <v>86</v>
      </c>
      <c r="AK1322" s="1" t="s">
        <v>1003</v>
      </c>
      <c r="AL1322" s="1" t="s">
        <v>6602</v>
      </c>
      <c r="AM1322" s="1" t="s">
        <v>3906</v>
      </c>
    </row>
    <row r="1323" spans="20:39" x14ac:dyDescent="0.2">
      <c r="T1323" s="28" t="s">
        <v>1097</v>
      </c>
      <c r="U1323" s="68" t="s">
        <v>82</v>
      </c>
      <c r="V1323" s="72" t="str">
        <f t="shared" si="20"/>
        <v>MN_BIG STONE</v>
      </c>
      <c r="AJ1323" s="1" t="s">
        <v>86</v>
      </c>
      <c r="AK1323" s="1" t="s">
        <v>1003</v>
      </c>
      <c r="AL1323" s="1" t="s">
        <v>6602</v>
      </c>
      <c r="AM1323" s="1" t="s">
        <v>3907</v>
      </c>
    </row>
    <row r="1324" spans="20:39" x14ac:dyDescent="0.2">
      <c r="T1324" s="29" t="s">
        <v>1098</v>
      </c>
      <c r="U1324" s="69" t="s">
        <v>82</v>
      </c>
      <c r="V1324" s="72" t="str">
        <f t="shared" si="20"/>
        <v>MN_BLUE EARTH</v>
      </c>
      <c r="AJ1324" s="1" t="s">
        <v>83</v>
      </c>
      <c r="AK1324" s="1" t="s">
        <v>1031</v>
      </c>
      <c r="AL1324" s="1" t="s">
        <v>6603</v>
      </c>
      <c r="AM1324" s="1" t="s">
        <v>3908</v>
      </c>
    </row>
    <row r="1325" spans="20:39" x14ac:dyDescent="0.2">
      <c r="T1325" s="28" t="s">
        <v>670</v>
      </c>
      <c r="U1325" s="68" t="s">
        <v>82</v>
      </c>
      <c r="V1325" s="72" t="str">
        <f t="shared" si="20"/>
        <v>MN_BROWN</v>
      </c>
      <c r="AJ1325" s="1" t="s">
        <v>83</v>
      </c>
      <c r="AK1325" s="1" t="s">
        <v>1032</v>
      </c>
      <c r="AL1325" s="1" t="s">
        <v>6604</v>
      </c>
      <c r="AM1325" s="1" t="s">
        <v>3909</v>
      </c>
    </row>
    <row r="1326" spans="20:39" x14ac:dyDescent="0.2">
      <c r="T1326" s="29" t="s">
        <v>1099</v>
      </c>
      <c r="U1326" s="69" t="s">
        <v>82</v>
      </c>
      <c r="V1326" s="72" t="str">
        <f t="shared" si="20"/>
        <v>MN_CARLTON</v>
      </c>
      <c r="AJ1326" s="1" t="s">
        <v>83</v>
      </c>
      <c r="AK1326" s="1" t="s">
        <v>1033</v>
      </c>
      <c r="AL1326" s="1" t="s">
        <v>6605</v>
      </c>
      <c r="AM1326" s="1" t="s">
        <v>3910</v>
      </c>
    </row>
    <row r="1327" spans="20:39" x14ac:dyDescent="0.2">
      <c r="T1327" s="28" t="s">
        <v>1100</v>
      </c>
      <c r="U1327" s="68" t="s">
        <v>82</v>
      </c>
      <c r="V1327" s="72" t="str">
        <f t="shared" si="20"/>
        <v>MN_CARVER</v>
      </c>
      <c r="AJ1327" s="1" t="s">
        <v>83</v>
      </c>
      <c r="AK1327" s="1" t="s">
        <v>1034</v>
      </c>
      <c r="AL1327" s="1" t="s">
        <v>6606</v>
      </c>
      <c r="AM1327" s="1" t="s">
        <v>3911</v>
      </c>
    </row>
    <row r="1328" spans="20:39" x14ac:dyDescent="0.2">
      <c r="T1328" s="29" t="s">
        <v>672</v>
      </c>
      <c r="U1328" s="69" t="s">
        <v>82</v>
      </c>
      <c r="V1328" s="72" t="str">
        <f t="shared" si="20"/>
        <v>MN_CASS</v>
      </c>
      <c r="AJ1328" s="1" t="s">
        <v>83</v>
      </c>
      <c r="AK1328" s="1" t="s">
        <v>1035</v>
      </c>
      <c r="AL1328" s="1" t="s">
        <v>6607</v>
      </c>
      <c r="AM1328" s="1" t="s">
        <v>3913</v>
      </c>
    </row>
    <row r="1329" spans="20:39" x14ac:dyDescent="0.2">
      <c r="T1329" s="28" t="s">
        <v>1043</v>
      </c>
      <c r="U1329" s="68" t="s">
        <v>82</v>
      </c>
      <c r="V1329" s="72" t="str">
        <f t="shared" si="20"/>
        <v>MN_CHIPPEWA</v>
      </c>
      <c r="AJ1329" s="1" t="s">
        <v>83</v>
      </c>
      <c r="AK1329" s="1" t="s">
        <v>1036</v>
      </c>
      <c r="AL1329" s="1" t="s">
        <v>6608</v>
      </c>
      <c r="AM1329" s="1" t="s">
        <v>3914</v>
      </c>
    </row>
    <row r="1330" spans="20:39" x14ac:dyDescent="0.2">
      <c r="T1330" s="29" t="s">
        <v>1101</v>
      </c>
      <c r="U1330" s="69" t="s">
        <v>82</v>
      </c>
      <c r="V1330" s="72" t="str">
        <f t="shared" si="20"/>
        <v>MN_CHISAGO</v>
      </c>
      <c r="AJ1330" s="1" t="s">
        <v>83</v>
      </c>
      <c r="AK1330" s="1" t="s">
        <v>1037</v>
      </c>
      <c r="AL1330" s="1" t="s">
        <v>6609</v>
      </c>
      <c r="AM1330" s="1" t="s">
        <v>3915</v>
      </c>
    </row>
    <row r="1331" spans="20:39" x14ac:dyDescent="0.2">
      <c r="T1331" s="28" t="s">
        <v>207</v>
      </c>
      <c r="U1331" s="68" t="s">
        <v>82</v>
      </c>
      <c r="V1331" s="72" t="str">
        <f t="shared" si="20"/>
        <v>MN_CLAY</v>
      </c>
      <c r="AJ1331" s="1" t="s">
        <v>83</v>
      </c>
      <c r="AK1331" s="1" t="s">
        <v>1038</v>
      </c>
      <c r="AL1331" s="1" t="s">
        <v>6610</v>
      </c>
      <c r="AM1331" s="1" t="s">
        <v>9196</v>
      </c>
    </row>
    <row r="1332" spans="20:39" x14ac:dyDescent="0.2">
      <c r="T1332" s="29" t="s">
        <v>649</v>
      </c>
      <c r="U1332" s="69" t="s">
        <v>82</v>
      </c>
      <c r="V1332" s="72" t="str">
        <f t="shared" si="20"/>
        <v>MN_CLEARWATER</v>
      </c>
      <c r="AJ1332" s="1" t="s">
        <v>83</v>
      </c>
      <c r="AK1332" s="1" t="s">
        <v>475</v>
      </c>
      <c r="AL1332" s="1" t="s">
        <v>6611</v>
      </c>
      <c r="AM1332" s="1" t="s">
        <v>3917</v>
      </c>
    </row>
    <row r="1333" spans="20:39" x14ac:dyDescent="0.2">
      <c r="T1333" s="28" t="s">
        <v>548</v>
      </c>
      <c r="U1333" s="68" t="s">
        <v>82</v>
      </c>
      <c r="V1333" s="72" t="str">
        <f t="shared" si="20"/>
        <v>MN_COOK</v>
      </c>
      <c r="AJ1333" s="1" t="s">
        <v>83</v>
      </c>
      <c r="AK1333" s="1" t="s">
        <v>1039</v>
      </c>
      <c r="AL1333" s="1" t="s">
        <v>6612</v>
      </c>
      <c r="AM1333" s="1" t="s">
        <v>9197</v>
      </c>
    </row>
    <row r="1334" spans="20:39" x14ac:dyDescent="0.2">
      <c r="T1334" s="29" t="s">
        <v>1102</v>
      </c>
      <c r="U1334" s="69" t="s">
        <v>82</v>
      </c>
      <c r="V1334" s="72" t="str">
        <f t="shared" si="20"/>
        <v>MN_COTTONWOOD</v>
      </c>
      <c r="AJ1334" s="1" t="s">
        <v>83</v>
      </c>
      <c r="AK1334" s="1" t="s">
        <v>529</v>
      </c>
      <c r="AL1334" s="1" t="s">
        <v>6613</v>
      </c>
      <c r="AM1334" s="1" t="s">
        <v>9198</v>
      </c>
    </row>
    <row r="1335" spans="20:39" x14ac:dyDescent="0.2">
      <c r="T1335" s="28" t="s">
        <v>1103</v>
      </c>
      <c r="U1335" s="68" t="s">
        <v>82</v>
      </c>
      <c r="V1335" s="72" t="str">
        <f t="shared" si="20"/>
        <v>MN_CROW WING</v>
      </c>
      <c r="AJ1335" s="1" t="s">
        <v>83</v>
      </c>
      <c r="AK1335" s="1" t="s">
        <v>1040</v>
      </c>
      <c r="AL1335" s="1" t="s">
        <v>6614</v>
      </c>
      <c r="AM1335" s="1" t="s">
        <v>3918</v>
      </c>
    </row>
    <row r="1336" spans="20:39" x14ac:dyDescent="0.2">
      <c r="T1336" s="29" t="s">
        <v>1104</v>
      </c>
      <c r="U1336" s="69" t="s">
        <v>82</v>
      </c>
      <c r="V1336" s="72" t="str">
        <f t="shared" si="20"/>
        <v>MN_DAKOTA</v>
      </c>
      <c r="AJ1336" s="1" t="s">
        <v>83</v>
      </c>
      <c r="AK1336" s="1" t="s">
        <v>201</v>
      </c>
      <c r="AL1336" s="1" t="s">
        <v>6615</v>
      </c>
      <c r="AM1336" s="1" t="s">
        <v>3916</v>
      </c>
    </row>
    <row r="1337" spans="20:39" x14ac:dyDescent="0.2">
      <c r="T1337" s="28" t="s">
        <v>554</v>
      </c>
      <c r="U1337" s="68" t="s">
        <v>82</v>
      </c>
      <c r="V1337" s="72" t="str">
        <f t="shared" si="20"/>
        <v>MN_DODGE</v>
      </c>
      <c r="AJ1337" s="1" t="s">
        <v>83</v>
      </c>
      <c r="AK1337" s="1" t="s">
        <v>672</v>
      </c>
      <c r="AL1337" s="1" t="s">
        <v>6616</v>
      </c>
      <c r="AM1337" s="1" t="s">
        <v>3919</v>
      </c>
    </row>
    <row r="1338" spans="20:39" x14ac:dyDescent="0.2">
      <c r="T1338" s="29" t="s">
        <v>423</v>
      </c>
      <c r="U1338" s="69" t="s">
        <v>82</v>
      </c>
      <c r="V1338" s="72" t="str">
        <f t="shared" si="20"/>
        <v>MN_DOUGLAS</v>
      </c>
      <c r="AJ1338" s="1" t="s">
        <v>83</v>
      </c>
      <c r="AK1338" s="1" t="s">
        <v>1041</v>
      </c>
      <c r="AL1338" s="1" t="s">
        <v>6617</v>
      </c>
      <c r="AM1338" s="1" t="s">
        <v>3920</v>
      </c>
    </row>
    <row r="1339" spans="20:39" x14ac:dyDescent="0.2">
      <c r="T1339" s="28" t="s">
        <v>1105</v>
      </c>
      <c r="U1339" s="68" t="s">
        <v>82</v>
      </c>
      <c r="V1339" s="72" t="str">
        <f t="shared" si="20"/>
        <v>MN_FARIBAULT</v>
      </c>
      <c r="AJ1339" s="1" t="s">
        <v>83</v>
      </c>
      <c r="AK1339" s="1" t="s">
        <v>1042</v>
      </c>
      <c r="AL1339" s="1" t="s">
        <v>6618</v>
      </c>
      <c r="AM1339" s="1" t="s">
        <v>3921</v>
      </c>
    </row>
    <row r="1340" spans="20:39" x14ac:dyDescent="0.2">
      <c r="T1340" s="29" t="s">
        <v>1106</v>
      </c>
      <c r="U1340" s="69" t="s">
        <v>82</v>
      </c>
      <c r="V1340" s="72" t="str">
        <f t="shared" si="20"/>
        <v>MN_FILLMORE</v>
      </c>
      <c r="AJ1340" s="1" t="s">
        <v>83</v>
      </c>
      <c r="AK1340" s="1" t="s">
        <v>1043</v>
      </c>
      <c r="AL1340" s="1" t="s">
        <v>6619</v>
      </c>
      <c r="AM1340" s="1" t="s">
        <v>3922</v>
      </c>
    </row>
    <row r="1341" spans="20:39" x14ac:dyDescent="0.2">
      <c r="T1341" s="28" t="s">
        <v>1107</v>
      </c>
      <c r="U1341" s="68" t="s">
        <v>82</v>
      </c>
      <c r="V1341" s="72" t="str">
        <f t="shared" si="20"/>
        <v>MN_FREEBORN</v>
      </c>
      <c r="AJ1341" s="1" t="s">
        <v>83</v>
      </c>
      <c r="AK1341" s="1" t="s">
        <v>1044</v>
      </c>
      <c r="AL1341" s="1" t="s">
        <v>6620</v>
      </c>
      <c r="AM1341" s="1" t="s">
        <v>3923</v>
      </c>
    </row>
    <row r="1342" spans="20:39" x14ac:dyDescent="0.2">
      <c r="T1342" s="29" t="s">
        <v>1108</v>
      </c>
      <c r="U1342" s="69" t="s">
        <v>82</v>
      </c>
      <c r="V1342" s="72" t="str">
        <f t="shared" si="20"/>
        <v>MN_GOODHUE</v>
      </c>
      <c r="AJ1342" s="1" t="s">
        <v>83</v>
      </c>
      <c r="AK1342" s="1" t="s">
        <v>675</v>
      </c>
      <c r="AL1342" s="1" t="s">
        <v>6621</v>
      </c>
      <c r="AM1342" s="1" t="s">
        <v>9199</v>
      </c>
    </row>
    <row r="1343" spans="20:39" x14ac:dyDescent="0.2">
      <c r="T1343" s="28" t="s">
        <v>314</v>
      </c>
      <c r="U1343" s="68" t="s">
        <v>82</v>
      </c>
      <c r="V1343" s="72" t="str">
        <f t="shared" si="20"/>
        <v>MN_GRANT</v>
      </c>
      <c r="AJ1343" s="1" t="s">
        <v>83</v>
      </c>
      <c r="AK1343" s="1" t="s">
        <v>306</v>
      </c>
      <c r="AL1343" s="1" t="s">
        <v>6622</v>
      </c>
      <c r="AM1343" s="1" t="s">
        <v>3924</v>
      </c>
    </row>
    <row r="1344" spans="20:39" x14ac:dyDescent="0.2">
      <c r="T1344" s="29" t="s">
        <v>1109</v>
      </c>
      <c r="U1344" s="69" t="s">
        <v>82</v>
      </c>
      <c r="V1344" s="72" t="str">
        <f t="shared" si="20"/>
        <v>MN_HENNEPIN</v>
      </c>
      <c r="AJ1344" s="1" t="s">
        <v>83</v>
      </c>
      <c r="AK1344" s="1" t="s">
        <v>420</v>
      </c>
      <c r="AL1344" s="1" t="s">
        <v>6623</v>
      </c>
      <c r="AM1344" s="1" t="s">
        <v>3925</v>
      </c>
    </row>
    <row r="1345" spans="20:39" x14ac:dyDescent="0.2">
      <c r="T1345" s="28" t="s">
        <v>228</v>
      </c>
      <c r="U1345" s="68" t="s">
        <v>82</v>
      </c>
      <c r="V1345" s="72" t="str">
        <f t="shared" si="20"/>
        <v>MN_HOUSTON</v>
      </c>
      <c r="AJ1345" s="1" t="s">
        <v>83</v>
      </c>
      <c r="AK1345" s="1" t="s">
        <v>776</v>
      </c>
      <c r="AL1345" s="1" t="s">
        <v>6624</v>
      </c>
      <c r="AM1345" s="1" t="s">
        <v>3927</v>
      </c>
    </row>
    <row r="1346" spans="20:39" x14ac:dyDescent="0.2">
      <c r="T1346" s="29" t="s">
        <v>1110</v>
      </c>
      <c r="U1346" s="69" t="s">
        <v>82</v>
      </c>
      <c r="V1346" s="72" t="str">
        <f t="shared" si="20"/>
        <v>MN_HUBBARD</v>
      </c>
      <c r="AJ1346" s="1" t="s">
        <v>83</v>
      </c>
      <c r="AK1346" s="1" t="s">
        <v>1045</v>
      </c>
      <c r="AL1346" s="1" t="s">
        <v>6625</v>
      </c>
      <c r="AM1346" s="1" t="s">
        <v>9199</v>
      </c>
    </row>
    <row r="1347" spans="20:39" x14ac:dyDescent="0.2">
      <c r="T1347" s="28" t="s">
        <v>1111</v>
      </c>
      <c r="U1347" s="68" t="s">
        <v>82</v>
      </c>
      <c r="V1347" s="72" t="str">
        <f t="shared" si="20"/>
        <v>MN_ISANTI</v>
      </c>
      <c r="AJ1347" s="1" t="s">
        <v>83</v>
      </c>
      <c r="AK1347" s="1" t="s">
        <v>778</v>
      </c>
      <c r="AL1347" s="1" t="s">
        <v>6626</v>
      </c>
      <c r="AM1347" s="1" t="s">
        <v>3928</v>
      </c>
    </row>
    <row r="1348" spans="20:39" x14ac:dyDescent="0.2">
      <c r="T1348" s="29" t="s">
        <v>1112</v>
      </c>
      <c r="U1348" s="69" t="s">
        <v>82</v>
      </c>
      <c r="V1348" s="72" t="str">
        <f t="shared" si="20"/>
        <v>MN_ITASCA</v>
      </c>
      <c r="AJ1348" s="1" t="s">
        <v>83</v>
      </c>
      <c r="AK1348" s="1" t="s">
        <v>1046</v>
      </c>
      <c r="AL1348" s="1" t="s">
        <v>6627</v>
      </c>
      <c r="AM1348" s="1" t="s">
        <v>3929</v>
      </c>
    </row>
    <row r="1349" spans="20:39" x14ac:dyDescent="0.2">
      <c r="T1349" s="28" t="s">
        <v>229</v>
      </c>
      <c r="U1349" s="68" t="s">
        <v>82</v>
      </c>
      <c r="V1349" s="72" t="str">
        <f t="shared" si="20"/>
        <v>MN_JACKSON</v>
      </c>
      <c r="AJ1349" s="1" t="s">
        <v>83</v>
      </c>
      <c r="AK1349" s="1" t="s">
        <v>1047</v>
      </c>
      <c r="AL1349" s="1" t="s">
        <v>6628</v>
      </c>
      <c r="AM1349" s="1" t="s">
        <v>3930</v>
      </c>
    </row>
    <row r="1350" spans="20:39" x14ac:dyDescent="0.2">
      <c r="T1350" s="29" t="s">
        <v>1113</v>
      </c>
      <c r="U1350" s="69" t="s">
        <v>82</v>
      </c>
      <c r="V1350" s="72" t="str">
        <f t="shared" si="20"/>
        <v>MN_KANABEC</v>
      </c>
      <c r="AJ1350" s="1" t="s">
        <v>83</v>
      </c>
      <c r="AK1350" s="1" t="s">
        <v>1048</v>
      </c>
      <c r="AL1350" s="1" t="s">
        <v>6629</v>
      </c>
      <c r="AM1350" s="1" t="s">
        <v>3931</v>
      </c>
    </row>
    <row r="1351" spans="20:39" x14ac:dyDescent="0.2">
      <c r="T1351" s="28" t="s">
        <v>1114</v>
      </c>
      <c r="U1351" s="68" t="s">
        <v>82</v>
      </c>
      <c r="V1351" s="72" t="str">
        <f t="shared" si="20"/>
        <v>MN_KANDIYOHI</v>
      </c>
      <c r="AJ1351" s="1" t="s">
        <v>83</v>
      </c>
      <c r="AK1351" s="1" t="s">
        <v>1049</v>
      </c>
      <c r="AL1351" s="1" t="s">
        <v>6630</v>
      </c>
      <c r="AM1351" s="1" t="s">
        <v>9200</v>
      </c>
    </row>
    <row r="1352" spans="20:39" x14ac:dyDescent="0.2">
      <c r="T1352" s="29" t="s">
        <v>1115</v>
      </c>
      <c r="U1352" s="69" t="s">
        <v>82</v>
      </c>
      <c r="V1352" s="72" t="str">
        <f t="shared" si="20"/>
        <v>MN_KITTSON</v>
      </c>
      <c r="AJ1352" s="1" t="s">
        <v>83</v>
      </c>
      <c r="AK1352" s="1" t="s">
        <v>1050</v>
      </c>
      <c r="AL1352" s="1" t="s">
        <v>6631</v>
      </c>
      <c r="AM1352" s="1" t="s">
        <v>3933</v>
      </c>
    </row>
    <row r="1353" spans="20:39" x14ac:dyDescent="0.2">
      <c r="T1353" s="28" t="s">
        <v>1116</v>
      </c>
      <c r="U1353" s="68" t="s">
        <v>82</v>
      </c>
      <c r="V1353" s="72" t="str">
        <f t="shared" si="20"/>
        <v>MN_KOOCHICHING</v>
      </c>
      <c r="AJ1353" s="1" t="s">
        <v>83</v>
      </c>
      <c r="AK1353" s="1" t="s">
        <v>1051</v>
      </c>
      <c r="AL1353" s="1" t="s">
        <v>6632</v>
      </c>
      <c r="AM1353" s="1" t="s">
        <v>3934</v>
      </c>
    </row>
    <row r="1354" spans="20:39" x14ac:dyDescent="0.2">
      <c r="T1354" s="29" t="s">
        <v>1117</v>
      </c>
      <c r="U1354" s="69" t="s">
        <v>82</v>
      </c>
      <c r="V1354" s="72" t="str">
        <f t="shared" ref="V1354:V1417" si="21">UPPER(CONCATENATE(TRIM(U1354),"_",TRIM(T1354)))</f>
        <v>MN_LAC QUI PARLE</v>
      </c>
      <c r="AJ1354" s="1" t="s">
        <v>83</v>
      </c>
      <c r="AK1354" s="1" t="s">
        <v>1052</v>
      </c>
      <c r="AL1354" s="1" t="s">
        <v>6633</v>
      </c>
      <c r="AM1354" s="1" t="s">
        <v>3936</v>
      </c>
    </row>
    <row r="1355" spans="20:39" x14ac:dyDescent="0.2">
      <c r="T1355" s="28" t="s">
        <v>366</v>
      </c>
      <c r="U1355" s="68" t="s">
        <v>82</v>
      </c>
      <c r="V1355" s="72" t="str">
        <f t="shared" si="21"/>
        <v>MN_LAKE</v>
      </c>
      <c r="AJ1355" s="1" t="s">
        <v>83</v>
      </c>
      <c r="AK1355" s="1" t="s">
        <v>1053</v>
      </c>
      <c r="AL1355" s="1" t="s">
        <v>6634</v>
      </c>
      <c r="AM1355" s="1" t="s">
        <v>3937</v>
      </c>
    </row>
    <row r="1356" spans="20:39" x14ac:dyDescent="0.2">
      <c r="T1356" s="29" t="s">
        <v>1118</v>
      </c>
      <c r="U1356" s="69" t="s">
        <v>82</v>
      </c>
      <c r="V1356" s="72" t="str">
        <f t="shared" si="21"/>
        <v>MN_LAKE OF THE WOODS</v>
      </c>
      <c r="AJ1356" s="1" t="s">
        <v>83</v>
      </c>
      <c r="AK1356" s="1" t="s">
        <v>1054</v>
      </c>
      <c r="AL1356" s="1" t="s">
        <v>6635</v>
      </c>
      <c r="AM1356" s="1" t="s">
        <v>9199</v>
      </c>
    </row>
    <row r="1357" spans="20:39" x14ac:dyDescent="0.2">
      <c r="T1357" s="28" t="s">
        <v>1119</v>
      </c>
      <c r="U1357" s="68" t="s">
        <v>82</v>
      </c>
      <c r="V1357" s="72" t="str">
        <f t="shared" si="21"/>
        <v>MN_LE SUEUR</v>
      </c>
      <c r="AJ1357" s="1" t="s">
        <v>83</v>
      </c>
      <c r="AK1357" s="1" t="s">
        <v>1055</v>
      </c>
      <c r="AL1357" s="1" t="s">
        <v>6636</v>
      </c>
      <c r="AM1357" s="1" t="s">
        <v>3938</v>
      </c>
    </row>
    <row r="1358" spans="20:39" x14ac:dyDescent="0.2">
      <c r="T1358" s="29" t="s">
        <v>322</v>
      </c>
      <c r="U1358" s="69" t="s">
        <v>82</v>
      </c>
      <c r="V1358" s="72" t="str">
        <f t="shared" si="21"/>
        <v>MN_LINCOLN</v>
      </c>
      <c r="AJ1358" s="1" t="s">
        <v>83</v>
      </c>
      <c r="AK1358" s="1" t="s">
        <v>1056</v>
      </c>
      <c r="AL1358" s="1" t="s">
        <v>6637</v>
      </c>
      <c r="AM1358" s="1" t="s">
        <v>3939</v>
      </c>
    </row>
    <row r="1359" spans="20:39" x14ac:dyDescent="0.2">
      <c r="T1359" s="28" t="s">
        <v>787</v>
      </c>
      <c r="U1359" s="68" t="s">
        <v>82</v>
      </c>
      <c r="V1359" s="72" t="str">
        <f t="shared" si="21"/>
        <v>MN_LYON</v>
      </c>
      <c r="AJ1359" s="1" t="s">
        <v>83</v>
      </c>
      <c r="AK1359" s="1" t="s">
        <v>1057</v>
      </c>
      <c r="AL1359" s="1" t="s">
        <v>6638</v>
      </c>
      <c r="AM1359" s="1" t="s">
        <v>3940</v>
      </c>
    </row>
    <row r="1360" spans="20:39" x14ac:dyDescent="0.2">
      <c r="T1360" s="29" t="s">
        <v>1120</v>
      </c>
      <c r="U1360" s="69" t="s">
        <v>82</v>
      </c>
      <c r="V1360" s="72" t="str">
        <f t="shared" si="21"/>
        <v>MN_MCLEOD</v>
      </c>
      <c r="AJ1360" s="1" t="s">
        <v>83</v>
      </c>
      <c r="AK1360" s="1" t="s">
        <v>1058</v>
      </c>
      <c r="AL1360" s="1" t="s">
        <v>6639</v>
      </c>
      <c r="AM1360" s="1" t="s">
        <v>3941</v>
      </c>
    </row>
    <row r="1361" spans="20:39" x14ac:dyDescent="0.2">
      <c r="T1361" s="28" t="s">
        <v>1121</v>
      </c>
      <c r="U1361" s="68" t="s">
        <v>82</v>
      </c>
      <c r="V1361" s="72" t="str">
        <f t="shared" si="21"/>
        <v>MN_MAHNOMEN</v>
      </c>
      <c r="AJ1361" s="1" t="s">
        <v>83</v>
      </c>
      <c r="AK1361" s="1" t="s">
        <v>229</v>
      </c>
      <c r="AL1361" s="1" t="s">
        <v>6640</v>
      </c>
      <c r="AM1361" s="1" t="s">
        <v>3942</v>
      </c>
    </row>
    <row r="1362" spans="20:39" x14ac:dyDescent="0.2">
      <c r="T1362" s="29" t="s">
        <v>241</v>
      </c>
      <c r="U1362" s="69" t="s">
        <v>82</v>
      </c>
      <c r="V1362" s="72" t="str">
        <f t="shared" si="21"/>
        <v>MN_MARSHALL</v>
      </c>
      <c r="AJ1362" s="1" t="s">
        <v>83</v>
      </c>
      <c r="AK1362" s="1" t="s">
        <v>1059</v>
      </c>
      <c r="AL1362" s="1" t="s">
        <v>6641</v>
      </c>
      <c r="AM1362" s="1" t="s">
        <v>3943</v>
      </c>
    </row>
    <row r="1363" spans="20:39" x14ac:dyDescent="0.2">
      <c r="T1363" s="28" t="s">
        <v>503</v>
      </c>
      <c r="U1363" s="68" t="s">
        <v>82</v>
      </c>
      <c r="V1363" s="72" t="str">
        <f t="shared" si="21"/>
        <v>MN_MARTIN</v>
      </c>
      <c r="AJ1363" s="1" t="s">
        <v>83</v>
      </c>
      <c r="AK1363" s="1" t="s">
        <v>1060</v>
      </c>
      <c r="AL1363" s="1" t="s">
        <v>6642</v>
      </c>
      <c r="AM1363" s="1" t="s">
        <v>9201</v>
      </c>
    </row>
    <row r="1364" spans="20:39" x14ac:dyDescent="0.2">
      <c r="T1364" s="29" t="s">
        <v>1122</v>
      </c>
      <c r="U1364" s="69" t="s">
        <v>82</v>
      </c>
      <c r="V1364" s="72" t="str">
        <f t="shared" si="21"/>
        <v>MN_MEEKER</v>
      </c>
      <c r="AJ1364" s="1" t="s">
        <v>83</v>
      </c>
      <c r="AK1364" s="1" t="s">
        <v>468</v>
      </c>
      <c r="AL1364" s="1" t="s">
        <v>6643</v>
      </c>
      <c r="AM1364" s="1" t="s">
        <v>3932</v>
      </c>
    </row>
    <row r="1365" spans="20:39" x14ac:dyDescent="0.2">
      <c r="T1365" s="28" t="s">
        <v>1123</v>
      </c>
      <c r="U1365" s="68" t="s">
        <v>82</v>
      </c>
      <c r="V1365" s="72" t="str">
        <f t="shared" si="21"/>
        <v>MN_MILLE LACS</v>
      </c>
      <c r="AJ1365" s="1" t="s">
        <v>83</v>
      </c>
      <c r="AK1365" s="1" t="s">
        <v>1061</v>
      </c>
      <c r="AL1365" s="1" t="s">
        <v>6644</v>
      </c>
      <c r="AM1365" s="1" t="s">
        <v>3944</v>
      </c>
    </row>
    <row r="1366" spans="20:39" x14ac:dyDescent="0.2">
      <c r="T1366" s="29" t="s">
        <v>1124</v>
      </c>
      <c r="U1366" s="69" t="s">
        <v>82</v>
      </c>
      <c r="V1366" s="72" t="str">
        <f t="shared" si="21"/>
        <v>MN_MORRISON</v>
      </c>
      <c r="AJ1366" s="1" t="s">
        <v>83</v>
      </c>
      <c r="AK1366" s="1" t="s">
        <v>366</v>
      </c>
      <c r="AL1366" s="1" t="s">
        <v>6645</v>
      </c>
      <c r="AM1366" s="1" t="s">
        <v>3945</v>
      </c>
    </row>
    <row r="1367" spans="20:39" x14ac:dyDescent="0.2">
      <c r="T1367" s="28" t="s">
        <v>1125</v>
      </c>
      <c r="U1367" s="68" t="s">
        <v>82</v>
      </c>
      <c r="V1367" s="72" t="str">
        <f t="shared" si="21"/>
        <v>MN_MOWER</v>
      </c>
      <c r="AJ1367" s="1" t="s">
        <v>83</v>
      </c>
      <c r="AK1367" s="1" t="s">
        <v>1062</v>
      </c>
      <c r="AL1367" s="1" t="s">
        <v>6646</v>
      </c>
      <c r="AM1367" s="1" t="s">
        <v>3926</v>
      </c>
    </row>
    <row r="1368" spans="20:39" x14ac:dyDescent="0.2">
      <c r="T1368" s="29" t="s">
        <v>591</v>
      </c>
      <c r="U1368" s="69" t="s">
        <v>82</v>
      </c>
      <c r="V1368" s="72" t="str">
        <f t="shared" si="21"/>
        <v>MN_MURRAY</v>
      </c>
      <c r="AJ1368" s="1" t="s">
        <v>83</v>
      </c>
      <c r="AK1368" s="1" t="s">
        <v>1063</v>
      </c>
      <c r="AL1368" s="1" t="s">
        <v>6647</v>
      </c>
      <c r="AM1368" s="1" t="s">
        <v>9202</v>
      </c>
    </row>
    <row r="1369" spans="20:39" x14ac:dyDescent="0.2">
      <c r="T1369" s="28" t="s">
        <v>1126</v>
      </c>
      <c r="U1369" s="68" t="s">
        <v>82</v>
      </c>
      <c r="V1369" s="72" t="str">
        <f t="shared" si="21"/>
        <v>MN_NICOLLET</v>
      </c>
      <c r="AJ1369" s="1" t="s">
        <v>83</v>
      </c>
      <c r="AK1369" s="1" t="s">
        <v>1064</v>
      </c>
      <c r="AL1369" s="1" t="s">
        <v>6648</v>
      </c>
      <c r="AM1369" s="1" t="s">
        <v>3946</v>
      </c>
    </row>
    <row r="1370" spans="20:39" x14ac:dyDescent="0.2">
      <c r="T1370" s="29" t="s">
        <v>1127</v>
      </c>
      <c r="U1370" s="69" t="s">
        <v>82</v>
      </c>
      <c r="V1370" s="72" t="str">
        <f t="shared" si="21"/>
        <v>MN_NOBLES</v>
      </c>
      <c r="AJ1370" s="1" t="s">
        <v>83</v>
      </c>
      <c r="AK1370" s="1" t="s">
        <v>695</v>
      </c>
      <c r="AL1370" s="1" t="s">
        <v>6649</v>
      </c>
      <c r="AM1370" s="1" t="s">
        <v>3947</v>
      </c>
    </row>
    <row r="1371" spans="20:39" x14ac:dyDescent="0.2">
      <c r="T1371" s="28" t="s">
        <v>1128</v>
      </c>
      <c r="U1371" s="68" t="s">
        <v>82</v>
      </c>
      <c r="V1371" s="72" t="str">
        <f t="shared" si="21"/>
        <v>MN_NORMAN</v>
      </c>
      <c r="AJ1371" s="1" t="s">
        <v>83</v>
      </c>
      <c r="AK1371" s="1" t="s">
        <v>1065</v>
      </c>
      <c r="AL1371" s="1" t="s">
        <v>6650</v>
      </c>
      <c r="AM1371" s="1" t="s">
        <v>3948</v>
      </c>
    </row>
    <row r="1372" spans="20:39" x14ac:dyDescent="0.2">
      <c r="T1372" s="29" t="s">
        <v>1129</v>
      </c>
      <c r="U1372" s="69" t="s">
        <v>82</v>
      </c>
      <c r="V1372" s="72" t="str">
        <f t="shared" si="21"/>
        <v>MN_OLMSTED</v>
      </c>
      <c r="AJ1372" s="1" t="s">
        <v>83</v>
      </c>
      <c r="AK1372" s="1" t="s">
        <v>1066</v>
      </c>
      <c r="AL1372" s="1" t="s">
        <v>6651</v>
      </c>
      <c r="AM1372" s="1" t="s">
        <v>3949</v>
      </c>
    </row>
    <row r="1373" spans="20:39" x14ac:dyDescent="0.2">
      <c r="T1373" s="28" t="s">
        <v>1130</v>
      </c>
      <c r="U1373" s="68" t="s">
        <v>82</v>
      </c>
      <c r="V1373" s="72" t="str">
        <f t="shared" si="21"/>
        <v>MN_OTTER TAIL</v>
      </c>
      <c r="AJ1373" s="1" t="s">
        <v>83</v>
      </c>
      <c r="AK1373" s="1" t="s">
        <v>1067</v>
      </c>
      <c r="AL1373" s="1" t="s">
        <v>6652</v>
      </c>
      <c r="AM1373" s="1" t="s">
        <v>3926</v>
      </c>
    </row>
    <row r="1374" spans="20:39" x14ac:dyDescent="0.2">
      <c r="T1374" s="29" t="s">
        <v>1131</v>
      </c>
      <c r="U1374" s="69" t="s">
        <v>82</v>
      </c>
      <c r="V1374" s="72" t="str">
        <f t="shared" si="21"/>
        <v>MN_PENNINGTON</v>
      </c>
      <c r="AJ1374" s="1" t="s">
        <v>83</v>
      </c>
      <c r="AK1374" s="1" t="s">
        <v>1068</v>
      </c>
      <c r="AL1374" s="1" t="s">
        <v>6653</v>
      </c>
      <c r="AM1374" s="1" t="s">
        <v>3950</v>
      </c>
    </row>
    <row r="1375" spans="20:39" x14ac:dyDescent="0.2">
      <c r="T1375" s="28" t="s">
        <v>1132</v>
      </c>
      <c r="U1375" s="68" t="s">
        <v>82</v>
      </c>
      <c r="V1375" s="72" t="str">
        <f t="shared" si="21"/>
        <v>MN_PINE</v>
      </c>
      <c r="AJ1375" s="1" t="s">
        <v>83</v>
      </c>
      <c r="AK1375" s="1" t="s">
        <v>1069</v>
      </c>
      <c r="AL1375" s="1" t="s">
        <v>6654</v>
      </c>
      <c r="AM1375" s="1" t="s">
        <v>3951</v>
      </c>
    </row>
    <row r="1376" spans="20:39" x14ac:dyDescent="0.2">
      <c r="T1376" s="29" t="s">
        <v>1133</v>
      </c>
      <c r="U1376" s="69" t="s">
        <v>82</v>
      </c>
      <c r="V1376" s="72" t="str">
        <f t="shared" si="21"/>
        <v>MN_PIPESTONE</v>
      </c>
      <c r="AJ1376" s="1" t="s">
        <v>83</v>
      </c>
      <c r="AK1376" s="1" t="s">
        <v>700</v>
      </c>
      <c r="AL1376" s="1" t="s">
        <v>6655</v>
      </c>
      <c r="AM1376" s="1" t="s">
        <v>3952</v>
      </c>
    </row>
    <row r="1377" spans="20:39" x14ac:dyDescent="0.2">
      <c r="T1377" s="28" t="s">
        <v>333</v>
      </c>
      <c r="U1377" s="68" t="s">
        <v>82</v>
      </c>
      <c r="V1377" s="72" t="str">
        <f t="shared" si="21"/>
        <v>MN_POLK</v>
      </c>
      <c r="AJ1377" s="1" t="s">
        <v>83</v>
      </c>
      <c r="AK1377" s="1" t="s">
        <v>1070</v>
      </c>
      <c r="AL1377" s="1" t="s">
        <v>6656</v>
      </c>
      <c r="AM1377" s="1" t="s">
        <v>3953</v>
      </c>
    </row>
    <row r="1378" spans="20:39" x14ac:dyDescent="0.2">
      <c r="T1378" s="29" t="s">
        <v>334</v>
      </c>
      <c r="U1378" s="69" t="s">
        <v>82</v>
      </c>
      <c r="V1378" s="72" t="str">
        <f t="shared" si="21"/>
        <v>MN_POPE</v>
      </c>
      <c r="AJ1378" s="1" t="s">
        <v>83</v>
      </c>
      <c r="AK1378" s="1" t="s">
        <v>1071</v>
      </c>
      <c r="AL1378" s="1" t="s">
        <v>6657</v>
      </c>
      <c r="AM1378" s="1" t="s">
        <v>3954</v>
      </c>
    </row>
    <row r="1379" spans="20:39" x14ac:dyDescent="0.2">
      <c r="T1379" s="28" t="s">
        <v>1134</v>
      </c>
      <c r="U1379" s="68" t="s">
        <v>82</v>
      </c>
      <c r="V1379" s="72" t="str">
        <f t="shared" si="21"/>
        <v>MN_RAMSEY</v>
      </c>
      <c r="AJ1379" s="1" t="s">
        <v>83</v>
      </c>
      <c r="AK1379" s="1" t="s">
        <v>1072</v>
      </c>
      <c r="AL1379" s="1" t="s">
        <v>6658</v>
      </c>
      <c r="AM1379" s="1" t="s">
        <v>3955</v>
      </c>
    </row>
    <row r="1380" spans="20:39" x14ac:dyDescent="0.2">
      <c r="T1380" s="29" t="s">
        <v>1135</v>
      </c>
      <c r="U1380" s="69" t="s">
        <v>82</v>
      </c>
      <c r="V1380" s="72" t="str">
        <f t="shared" si="21"/>
        <v>MN_RED LAKE</v>
      </c>
      <c r="AJ1380" s="1" t="s">
        <v>83</v>
      </c>
      <c r="AK1380" s="1" t="s">
        <v>1073</v>
      </c>
      <c r="AL1380" s="1" t="s">
        <v>6659</v>
      </c>
      <c r="AM1380" s="1" t="s">
        <v>3956</v>
      </c>
    </row>
    <row r="1381" spans="20:39" x14ac:dyDescent="0.2">
      <c r="T1381" s="28" t="s">
        <v>1136</v>
      </c>
      <c r="U1381" s="68" t="s">
        <v>82</v>
      </c>
      <c r="V1381" s="72" t="str">
        <f t="shared" si="21"/>
        <v>MN_REDWOOD</v>
      </c>
      <c r="AJ1381" s="1" t="s">
        <v>83</v>
      </c>
      <c r="AK1381" s="1" t="s">
        <v>243</v>
      </c>
      <c r="AL1381" s="1" t="s">
        <v>6660</v>
      </c>
      <c r="AM1381" s="1" t="s">
        <v>3957</v>
      </c>
    </row>
    <row r="1382" spans="20:39" x14ac:dyDescent="0.2">
      <c r="T1382" s="29" t="s">
        <v>1137</v>
      </c>
      <c r="U1382" s="69" t="s">
        <v>82</v>
      </c>
      <c r="V1382" s="72" t="str">
        <f t="shared" si="21"/>
        <v>MN_RENVILLE</v>
      </c>
      <c r="AJ1382" s="1" t="s">
        <v>83</v>
      </c>
      <c r="AK1382" s="1" t="s">
        <v>1074</v>
      </c>
      <c r="AL1382" s="1" t="s">
        <v>6661</v>
      </c>
      <c r="AM1382" s="1" t="s">
        <v>3958</v>
      </c>
    </row>
    <row r="1383" spans="20:39" x14ac:dyDescent="0.2">
      <c r="T1383" s="28" t="s">
        <v>856</v>
      </c>
      <c r="U1383" s="68" t="s">
        <v>82</v>
      </c>
      <c r="V1383" s="72" t="str">
        <f t="shared" si="21"/>
        <v>MN_RICE</v>
      </c>
      <c r="AJ1383" s="1" t="s">
        <v>83</v>
      </c>
      <c r="AK1383" s="1" t="s">
        <v>1075</v>
      </c>
      <c r="AL1383" s="1" t="s">
        <v>6662</v>
      </c>
      <c r="AM1383" s="1" t="s">
        <v>3959</v>
      </c>
    </row>
    <row r="1384" spans="20:39" x14ac:dyDescent="0.2">
      <c r="T1384" s="29" t="s">
        <v>1138</v>
      </c>
      <c r="U1384" s="69" t="s">
        <v>82</v>
      </c>
      <c r="V1384" s="72" t="str">
        <f t="shared" si="21"/>
        <v>MN_ROCK</v>
      </c>
      <c r="AJ1384" s="1" t="s">
        <v>83</v>
      </c>
      <c r="AK1384" s="1" t="s">
        <v>1076</v>
      </c>
      <c r="AL1384" s="1" t="s">
        <v>6663</v>
      </c>
      <c r="AM1384" s="1" t="s">
        <v>9203</v>
      </c>
    </row>
    <row r="1385" spans="20:39" x14ac:dyDescent="0.2">
      <c r="T1385" s="28" t="s">
        <v>1139</v>
      </c>
      <c r="U1385" s="68" t="s">
        <v>82</v>
      </c>
      <c r="V1385" s="72" t="str">
        <f t="shared" si="21"/>
        <v>MN_ROSEAU</v>
      </c>
      <c r="AJ1385" s="1" t="s">
        <v>83</v>
      </c>
      <c r="AK1385" s="1" t="s">
        <v>1077</v>
      </c>
      <c r="AL1385" s="1" t="s">
        <v>6664</v>
      </c>
      <c r="AM1385" s="1" t="s">
        <v>3960</v>
      </c>
    </row>
    <row r="1386" spans="20:39" x14ac:dyDescent="0.2">
      <c r="T1386" s="29" t="s">
        <v>1140</v>
      </c>
      <c r="U1386" s="69" t="s">
        <v>82</v>
      </c>
      <c r="V1386" s="72" t="str">
        <f t="shared" si="21"/>
        <v>MN_ST. LOUIS</v>
      </c>
      <c r="AJ1386" s="1" t="s">
        <v>83</v>
      </c>
      <c r="AK1386" s="1" t="s">
        <v>1078</v>
      </c>
      <c r="AL1386" s="1" t="s">
        <v>6665</v>
      </c>
      <c r="AM1386" s="1" t="s">
        <v>3926</v>
      </c>
    </row>
    <row r="1387" spans="20:39" x14ac:dyDescent="0.2">
      <c r="T1387" s="28" t="s">
        <v>339</v>
      </c>
      <c r="U1387" s="68" t="s">
        <v>82</v>
      </c>
      <c r="V1387" s="72" t="str">
        <f t="shared" si="21"/>
        <v>MN_SCOTT</v>
      </c>
      <c r="AJ1387" s="1" t="s">
        <v>83</v>
      </c>
      <c r="AK1387" s="1" t="s">
        <v>1079</v>
      </c>
      <c r="AL1387" s="1" t="s">
        <v>6666</v>
      </c>
      <c r="AM1387" s="1" t="s">
        <v>3961</v>
      </c>
    </row>
    <row r="1388" spans="20:39" x14ac:dyDescent="0.2">
      <c r="T1388" s="29" t="s">
        <v>1141</v>
      </c>
      <c r="U1388" s="69" t="s">
        <v>82</v>
      </c>
      <c r="V1388" s="72" t="str">
        <f t="shared" si="21"/>
        <v>MN_SHERBURNE</v>
      </c>
      <c r="AJ1388" s="1" t="s">
        <v>83</v>
      </c>
      <c r="AK1388" s="1" t="s">
        <v>1080</v>
      </c>
      <c r="AL1388" s="1" t="s">
        <v>6667</v>
      </c>
      <c r="AM1388" s="1" t="s">
        <v>3962</v>
      </c>
    </row>
    <row r="1389" spans="20:39" x14ac:dyDescent="0.2">
      <c r="T1389" s="28" t="s">
        <v>1142</v>
      </c>
      <c r="U1389" s="68" t="s">
        <v>82</v>
      </c>
      <c r="V1389" s="72" t="str">
        <f t="shared" si="21"/>
        <v>MN_SIBLEY</v>
      </c>
      <c r="AJ1389" s="1" t="s">
        <v>83</v>
      </c>
      <c r="AK1389" s="1" t="s">
        <v>1081</v>
      </c>
      <c r="AL1389" s="1" t="s">
        <v>6668</v>
      </c>
      <c r="AM1389" s="1" t="s">
        <v>3963</v>
      </c>
    </row>
    <row r="1390" spans="20:39" x14ac:dyDescent="0.2">
      <c r="T1390" s="29" t="s">
        <v>1143</v>
      </c>
      <c r="U1390" s="69" t="s">
        <v>82</v>
      </c>
      <c r="V1390" s="72" t="str">
        <f t="shared" si="21"/>
        <v>MN_STEARNS</v>
      </c>
      <c r="AJ1390" s="1" t="s">
        <v>83</v>
      </c>
      <c r="AK1390" s="1" t="s">
        <v>507</v>
      </c>
      <c r="AL1390" s="1" t="s">
        <v>6669</v>
      </c>
      <c r="AM1390" s="1" t="s">
        <v>3964</v>
      </c>
    </row>
    <row r="1391" spans="20:39" x14ac:dyDescent="0.2">
      <c r="T1391" s="28" t="s">
        <v>1144</v>
      </c>
      <c r="U1391" s="68" t="s">
        <v>82</v>
      </c>
      <c r="V1391" s="72" t="str">
        <f t="shared" si="21"/>
        <v>MN_STEELE</v>
      </c>
      <c r="AJ1391" s="1" t="s">
        <v>83</v>
      </c>
      <c r="AK1391" s="1" t="s">
        <v>1082</v>
      </c>
      <c r="AL1391" s="1" t="s">
        <v>6670</v>
      </c>
      <c r="AM1391" s="1" t="s">
        <v>3965</v>
      </c>
    </row>
    <row r="1392" spans="20:39" x14ac:dyDescent="0.2">
      <c r="T1392" s="29" t="s">
        <v>866</v>
      </c>
      <c r="U1392" s="69" t="s">
        <v>82</v>
      </c>
      <c r="V1392" s="72" t="str">
        <f t="shared" si="21"/>
        <v>MN_STEVENS</v>
      </c>
      <c r="AJ1392" s="1" t="s">
        <v>83</v>
      </c>
      <c r="AK1392" s="1" t="s">
        <v>1083</v>
      </c>
      <c r="AL1392" s="1" t="s">
        <v>6671</v>
      </c>
      <c r="AM1392" s="1" t="s">
        <v>3966</v>
      </c>
    </row>
    <row r="1393" spans="20:39" x14ac:dyDescent="0.2">
      <c r="T1393" s="28" t="s">
        <v>1145</v>
      </c>
      <c r="U1393" s="68" t="s">
        <v>82</v>
      </c>
      <c r="V1393" s="72" t="str">
        <f t="shared" si="21"/>
        <v>MN_SWIFT</v>
      </c>
      <c r="AJ1393" s="1" t="s">
        <v>83</v>
      </c>
      <c r="AK1393" s="1" t="s">
        <v>849</v>
      </c>
      <c r="AL1393" s="1" t="s">
        <v>6672</v>
      </c>
      <c r="AM1393" s="1" t="s">
        <v>3935</v>
      </c>
    </row>
    <row r="1394" spans="20:39" x14ac:dyDescent="0.2">
      <c r="T1394" s="29" t="s">
        <v>926</v>
      </c>
      <c r="U1394" s="69" t="s">
        <v>82</v>
      </c>
      <c r="V1394" s="72" t="str">
        <f t="shared" si="21"/>
        <v>MN_TODD</v>
      </c>
      <c r="AJ1394" s="1" t="s">
        <v>83</v>
      </c>
      <c r="AK1394" s="1" t="s">
        <v>1084</v>
      </c>
      <c r="AL1394" s="1" t="s">
        <v>6673</v>
      </c>
      <c r="AM1394" s="1" t="s">
        <v>3967</v>
      </c>
    </row>
    <row r="1395" spans="20:39" x14ac:dyDescent="0.2">
      <c r="T1395" s="28" t="s">
        <v>1146</v>
      </c>
      <c r="U1395" s="68" t="s">
        <v>82</v>
      </c>
      <c r="V1395" s="72" t="str">
        <f t="shared" si="21"/>
        <v>MN_TRAVERSE</v>
      </c>
      <c r="AJ1395" s="1" t="s">
        <v>83</v>
      </c>
      <c r="AK1395" s="1" t="s">
        <v>1085</v>
      </c>
      <c r="AL1395" s="1" t="s">
        <v>6674</v>
      </c>
      <c r="AM1395" s="1" t="s">
        <v>3968</v>
      </c>
    </row>
    <row r="1396" spans="20:39" x14ac:dyDescent="0.2">
      <c r="T1396" s="29" t="s">
        <v>1147</v>
      </c>
      <c r="U1396" s="69" t="s">
        <v>82</v>
      </c>
      <c r="V1396" s="72" t="str">
        <f t="shared" si="21"/>
        <v>MN_WABASHA</v>
      </c>
      <c r="AJ1396" s="1" t="s">
        <v>83</v>
      </c>
      <c r="AK1396" s="1" t="s">
        <v>1086</v>
      </c>
      <c r="AL1396" s="1" t="s">
        <v>6675</v>
      </c>
      <c r="AM1396" s="1" t="s">
        <v>3969</v>
      </c>
    </row>
    <row r="1397" spans="20:39" x14ac:dyDescent="0.2">
      <c r="T1397" s="28" t="s">
        <v>1148</v>
      </c>
      <c r="U1397" s="68" t="s">
        <v>82</v>
      </c>
      <c r="V1397" s="72" t="str">
        <f t="shared" si="21"/>
        <v>MN_WADENA</v>
      </c>
      <c r="AJ1397" s="1" t="s">
        <v>83</v>
      </c>
      <c r="AK1397" s="1" t="s">
        <v>1087</v>
      </c>
      <c r="AL1397" s="1" t="s">
        <v>6676</v>
      </c>
      <c r="AM1397" s="1" t="s">
        <v>3970</v>
      </c>
    </row>
    <row r="1398" spans="20:39" x14ac:dyDescent="0.2">
      <c r="T1398" s="29" t="s">
        <v>1149</v>
      </c>
      <c r="U1398" s="69" t="s">
        <v>82</v>
      </c>
      <c r="V1398" s="72" t="str">
        <f t="shared" si="21"/>
        <v>MN_WASECA</v>
      </c>
      <c r="AJ1398" s="1" t="s">
        <v>83</v>
      </c>
      <c r="AK1398" s="1" t="s">
        <v>1088</v>
      </c>
      <c r="AL1398" s="1" t="s">
        <v>6677</v>
      </c>
      <c r="AM1398" s="1" t="s">
        <v>3971</v>
      </c>
    </row>
    <row r="1399" spans="20:39" x14ac:dyDescent="0.2">
      <c r="T1399" s="28" t="s">
        <v>258</v>
      </c>
      <c r="U1399" s="68" t="s">
        <v>82</v>
      </c>
      <c r="V1399" s="72" t="str">
        <f t="shared" si="21"/>
        <v>MN_WASHINGTON</v>
      </c>
      <c r="AJ1399" s="1" t="s">
        <v>83</v>
      </c>
      <c r="AK1399" s="1" t="s">
        <v>1089</v>
      </c>
      <c r="AL1399" s="1" t="s">
        <v>6678</v>
      </c>
      <c r="AM1399" s="1" t="s">
        <v>9204</v>
      </c>
    </row>
    <row r="1400" spans="20:39" x14ac:dyDescent="0.2">
      <c r="T1400" s="29" t="s">
        <v>1150</v>
      </c>
      <c r="U1400" s="69" t="s">
        <v>82</v>
      </c>
      <c r="V1400" s="72" t="str">
        <f t="shared" si="21"/>
        <v>MN_WATONWAN</v>
      </c>
      <c r="AJ1400" s="1" t="s">
        <v>83</v>
      </c>
      <c r="AK1400" s="1" t="s">
        <v>251</v>
      </c>
      <c r="AL1400" s="1" t="s">
        <v>6679</v>
      </c>
      <c r="AM1400" s="1" t="s">
        <v>3926</v>
      </c>
    </row>
    <row r="1401" spans="20:39" x14ac:dyDescent="0.2">
      <c r="T1401" s="28" t="s">
        <v>1151</v>
      </c>
      <c r="U1401" s="68" t="s">
        <v>82</v>
      </c>
      <c r="V1401" s="72" t="str">
        <f t="shared" si="21"/>
        <v>MN_WILKIN</v>
      </c>
      <c r="AJ1401" s="1" t="s">
        <v>83</v>
      </c>
      <c r="AK1401" s="1" t="s">
        <v>749</v>
      </c>
      <c r="AL1401" s="1" t="s">
        <v>6680</v>
      </c>
      <c r="AM1401" s="1" t="s">
        <v>3972</v>
      </c>
    </row>
    <row r="1402" spans="20:39" x14ac:dyDescent="0.2">
      <c r="T1402" s="29" t="s">
        <v>1152</v>
      </c>
      <c r="U1402" s="69" t="s">
        <v>82</v>
      </c>
      <c r="V1402" s="72" t="str">
        <f t="shared" si="21"/>
        <v>MN_WINONA</v>
      </c>
      <c r="AJ1402" s="1" t="s">
        <v>83</v>
      </c>
      <c r="AK1402" s="1" t="s">
        <v>1090</v>
      </c>
      <c r="AL1402" s="1" t="s">
        <v>6681</v>
      </c>
      <c r="AM1402" s="1" t="s">
        <v>3973</v>
      </c>
    </row>
    <row r="1403" spans="20:39" x14ac:dyDescent="0.2">
      <c r="T1403" s="28" t="s">
        <v>807</v>
      </c>
      <c r="U1403" s="68" t="s">
        <v>82</v>
      </c>
      <c r="V1403" s="72" t="str">
        <f t="shared" si="21"/>
        <v>MN_WRIGHT</v>
      </c>
      <c r="AJ1403" s="1" t="s">
        <v>83</v>
      </c>
      <c r="AK1403" s="1" t="s">
        <v>346</v>
      </c>
      <c r="AL1403" s="1" t="s">
        <v>6682</v>
      </c>
      <c r="AM1403" s="1" t="s">
        <v>3974</v>
      </c>
    </row>
    <row r="1404" spans="20:39" x14ac:dyDescent="0.2">
      <c r="T1404" s="29" t="s">
        <v>1153</v>
      </c>
      <c r="U1404" s="69" t="s">
        <v>82</v>
      </c>
      <c r="V1404" s="72" t="str">
        <f t="shared" si="21"/>
        <v>MN_YELLOW MEDICINE</v>
      </c>
      <c r="AJ1404" s="1" t="s">
        <v>83</v>
      </c>
      <c r="AK1404" s="1" t="s">
        <v>1091</v>
      </c>
      <c r="AL1404" s="1" t="s">
        <v>6683</v>
      </c>
      <c r="AM1404" s="1" t="s">
        <v>3912</v>
      </c>
    </row>
    <row r="1405" spans="20:39" x14ac:dyDescent="0.2">
      <c r="T1405" s="28" t="s">
        <v>406</v>
      </c>
      <c r="U1405" s="68" t="s">
        <v>81</v>
      </c>
      <c r="V1405" s="72" t="str">
        <f t="shared" si="21"/>
        <v>MS_ADAMS</v>
      </c>
      <c r="AJ1405" s="1" t="s">
        <v>83</v>
      </c>
      <c r="AK1405" s="1" t="s">
        <v>623</v>
      </c>
      <c r="AL1405" s="1" t="s">
        <v>6684</v>
      </c>
      <c r="AM1405" s="1" t="s">
        <v>3926</v>
      </c>
    </row>
    <row r="1406" spans="20:39" x14ac:dyDescent="0.2">
      <c r="T1406" s="29" t="s">
        <v>1154</v>
      </c>
      <c r="U1406" s="69" t="s">
        <v>81</v>
      </c>
      <c r="V1406" s="72" t="str">
        <f t="shared" si="21"/>
        <v>MS_ALCORN</v>
      </c>
      <c r="AJ1406" s="1" t="s">
        <v>83</v>
      </c>
      <c r="AK1406" s="1" t="s">
        <v>1092</v>
      </c>
      <c r="AL1406" s="1" t="s">
        <v>6685</v>
      </c>
      <c r="AM1406" s="1" t="s">
        <v>3975</v>
      </c>
    </row>
    <row r="1407" spans="20:39" x14ac:dyDescent="0.2">
      <c r="T1407" s="28" t="s">
        <v>1155</v>
      </c>
      <c r="U1407" s="68" t="s">
        <v>81</v>
      </c>
      <c r="V1407" s="72" t="str">
        <f t="shared" si="21"/>
        <v>MS_AMITE</v>
      </c>
      <c r="AJ1407" s="1" t="s">
        <v>82</v>
      </c>
      <c r="AK1407" s="1" t="s">
        <v>1093</v>
      </c>
      <c r="AL1407" s="1" t="s">
        <v>6686</v>
      </c>
      <c r="AM1407" s="1" t="s">
        <v>3976</v>
      </c>
    </row>
    <row r="1408" spans="20:39" x14ac:dyDescent="0.2">
      <c r="T1408" s="29" t="s">
        <v>1156</v>
      </c>
      <c r="U1408" s="69" t="s">
        <v>81</v>
      </c>
      <c r="V1408" s="72" t="str">
        <f t="shared" si="21"/>
        <v>MS_ATTALA</v>
      </c>
      <c r="AJ1408" s="1" t="s">
        <v>82</v>
      </c>
      <c r="AK1408" s="1" t="s">
        <v>1094</v>
      </c>
      <c r="AL1408" s="1" t="s">
        <v>6687</v>
      </c>
      <c r="AM1408" s="1" t="s">
        <v>4013</v>
      </c>
    </row>
    <row r="1409" spans="20:39" x14ac:dyDescent="0.2">
      <c r="T1409" s="28" t="s">
        <v>296</v>
      </c>
      <c r="U1409" s="68" t="s">
        <v>81</v>
      </c>
      <c r="V1409" s="72" t="str">
        <f t="shared" si="21"/>
        <v>MS_BENTON</v>
      </c>
      <c r="AJ1409" s="1" t="s">
        <v>82</v>
      </c>
      <c r="AK1409" s="1" t="s">
        <v>1095</v>
      </c>
      <c r="AL1409" s="1" t="s">
        <v>6688</v>
      </c>
      <c r="AM1409" s="1" t="s">
        <v>3977</v>
      </c>
    </row>
    <row r="1410" spans="20:39" x14ac:dyDescent="0.2">
      <c r="T1410" s="29" t="s">
        <v>1157</v>
      </c>
      <c r="U1410" s="69" t="s">
        <v>81</v>
      </c>
      <c r="V1410" s="72" t="str">
        <f t="shared" si="21"/>
        <v>MS_BOLIVAR</v>
      </c>
      <c r="AJ1410" s="1" t="s">
        <v>82</v>
      </c>
      <c r="AK1410" s="1" t="s">
        <v>1096</v>
      </c>
      <c r="AL1410" s="1" t="s">
        <v>6689</v>
      </c>
      <c r="AM1410" s="1" t="s">
        <v>3978</v>
      </c>
    </row>
    <row r="1411" spans="20:39" x14ac:dyDescent="0.2">
      <c r="T1411" s="28" t="s">
        <v>201</v>
      </c>
      <c r="U1411" s="68" t="s">
        <v>81</v>
      </c>
      <c r="V1411" s="72" t="str">
        <f t="shared" si="21"/>
        <v>MS_CALHOUN</v>
      </c>
      <c r="AJ1411" s="1" t="s">
        <v>82</v>
      </c>
      <c r="AK1411" s="1" t="s">
        <v>296</v>
      </c>
      <c r="AL1411" s="1" t="s">
        <v>6690</v>
      </c>
      <c r="AM1411" s="1" t="s">
        <v>4031</v>
      </c>
    </row>
    <row r="1412" spans="20:39" x14ac:dyDescent="0.2">
      <c r="T1412" s="29" t="s">
        <v>299</v>
      </c>
      <c r="U1412" s="69" t="s">
        <v>81</v>
      </c>
      <c r="V1412" s="72" t="str">
        <f t="shared" si="21"/>
        <v>MS_CARROLL</v>
      </c>
      <c r="AJ1412" s="1" t="s">
        <v>82</v>
      </c>
      <c r="AK1412" s="1" t="s">
        <v>1097</v>
      </c>
      <c r="AL1412" s="1" t="s">
        <v>6691</v>
      </c>
      <c r="AM1412" s="1" t="s">
        <v>3979</v>
      </c>
    </row>
    <row r="1413" spans="20:39" x14ac:dyDescent="0.2">
      <c r="T1413" s="28" t="s">
        <v>773</v>
      </c>
      <c r="U1413" s="68" t="s">
        <v>81</v>
      </c>
      <c r="V1413" s="72" t="str">
        <f t="shared" si="21"/>
        <v>MS_CHICKASAW</v>
      </c>
      <c r="AJ1413" s="1" t="s">
        <v>82</v>
      </c>
      <c r="AK1413" s="1" t="s">
        <v>1098</v>
      </c>
      <c r="AL1413" s="1" t="s">
        <v>6692</v>
      </c>
      <c r="AM1413" s="1" t="s">
        <v>9205</v>
      </c>
    </row>
    <row r="1414" spans="20:39" x14ac:dyDescent="0.2">
      <c r="T1414" s="29" t="s">
        <v>205</v>
      </c>
      <c r="U1414" s="69" t="s">
        <v>81</v>
      </c>
      <c r="V1414" s="72" t="str">
        <f t="shared" si="21"/>
        <v>MS_CHOCTAW</v>
      </c>
      <c r="AJ1414" s="1" t="s">
        <v>82</v>
      </c>
      <c r="AK1414" s="1" t="s">
        <v>670</v>
      </c>
      <c r="AL1414" s="1" t="s">
        <v>6693</v>
      </c>
      <c r="AM1414" s="1" t="s">
        <v>3980</v>
      </c>
    </row>
    <row r="1415" spans="20:39" x14ac:dyDescent="0.2">
      <c r="T1415" s="28" t="s">
        <v>1158</v>
      </c>
      <c r="U1415" s="68" t="s">
        <v>81</v>
      </c>
      <c r="V1415" s="72" t="str">
        <f t="shared" si="21"/>
        <v>MS_CLAIBORNE</v>
      </c>
      <c r="AJ1415" s="1" t="s">
        <v>82</v>
      </c>
      <c r="AK1415" s="1" t="s">
        <v>1099</v>
      </c>
      <c r="AL1415" s="1" t="s">
        <v>6694</v>
      </c>
      <c r="AM1415" s="1" t="s">
        <v>9206</v>
      </c>
    </row>
    <row r="1416" spans="20:39" x14ac:dyDescent="0.2">
      <c r="T1416" s="29" t="s">
        <v>206</v>
      </c>
      <c r="U1416" s="69" t="s">
        <v>81</v>
      </c>
      <c r="V1416" s="72" t="str">
        <f t="shared" si="21"/>
        <v>MS_CLARKE</v>
      </c>
      <c r="AJ1416" s="1" t="s">
        <v>82</v>
      </c>
      <c r="AK1416" s="1" t="s">
        <v>1100</v>
      </c>
      <c r="AL1416" s="1" t="s">
        <v>6695</v>
      </c>
      <c r="AM1416" s="1" t="s">
        <v>4013</v>
      </c>
    </row>
    <row r="1417" spans="20:39" x14ac:dyDescent="0.2">
      <c r="T1417" s="28" t="s">
        <v>207</v>
      </c>
      <c r="U1417" s="68" t="s">
        <v>81</v>
      </c>
      <c r="V1417" s="72" t="str">
        <f t="shared" si="21"/>
        <v>MS_CLAY</v>
      </c>
      <c r="AJ1417" s="1" t="s">
        <v>82</v>
      </c>
      <c r="AK1417" s="1" t="s">
        <v>672</v>
      </c>
      <c r="AL1417" s="1" t="s">
        <v>6696</v>
      </c>
      <c r="AM1417" s="1" t="s">
        <v>3981</v>
      </c>
    </row>
    <row r="1418" spans="20:39" x14ac:dyDescent="0.2">
      <c r="T1418" s="29" t="s">
        <v>1159</v>
      </c>
      <c r="U1418" s="69" t="s">
        <v>81</v>
      </c>
      <c r="V1418" s="72" t="str">
        <f t="shared" ref="V1418:V1481" si="22">UPPER(CONCATENATE(TRIM(U1418),"_",TRIM(T1418)))</f>
        <v>MS_COAHOMA</v>
      </c>
      <c r="AJ1418" s="1" t="s">
        <v>82</v>
      </c>
      <c r="AK1418" s="1" t="s">
        <v>1043</v>
      </c>
      <c r="AL1418" s="1" t="s">
        <v>6697</v>
      </c>
      <c r="AM1418" s="1" t="s">
        <v>3982</v>
      </c>
    </row>
    <row r="1419" spans="20:39" x14ac:dyDescent="0.2">
      <c r="T1419" s="28" t="s">
        <v>1160</v>
      </c>
      <c r="U1419" s="68" t="s">
        <v>81</v>
      </c>
      <c r="V1419" s="72" t="str">
        <f t="shared" si="22"/>
        <v>MS_COPIAH</v>
      </c>
      <c r="AJ1419" s="1" t="s">
        <v>82</v>
      </c>
      <c r="AK1419" s="1" t="s">
        <v>1101</v>
      </c>
      <c r="AL1419" s="1" t="s">
        <v>6698</v>
      </c>
      <c r="AM1419" s="1" t="s">
        <v>4013</v>
      </c>
    </row>
    <row r="1420" spans="20:39" x14ac:dyDescent="0.2">
      <c r="T1420" s="29" t="s">
        <v>213</v>
      </c>
      <c r="U1420" s="69" t="s">
        <v>81</v>
      </c>
      <c r="V1420" s="72" t="str">
        <f t="shared" si="22"/>
        <v>MS_COVINGTON</v>
      </c>
      <c r="AJ1420" s="1" t="s">
        <v>82</v>
      </c>
      <c r="AK1420" s="1" t="s">
        <v>207</v>
      </c>
      <c r="AL1420" s="1" t="s">
        <v>6699</v>
      </c>
      <c r="AM1420" s="1" t="s">
        <v>3988</v>
      </c>
    </row>
    <row r="1421" spans="20:39" x14ac:dyDescent="0.2">
      <c r="T1421" s="28" t="s">
        <v>1161</v>
      </c>
      <c r="U1421" s="68" t="s">
        <v>81</v>
      </c>
      <c r="V1421" s="72" t="str">
        <f t="shared" si="22"/>
        <v>MS_DE SOTO</v>
      </c>
      <c r="AJ1421" s="1" t="s">
        <v>82</v>
      </c>
      <c r="AK1421" s="1" t="s">
        <v>649</v>
      </c>
      <c r="AL1421" s="1" t="s">
        <v>6700</v>
      </c>
      <c r="AM1421" s="1" t="s">
        <v>3983</v>
      </c>
    </row>
    <row r="1422" spans="20:39" x14ac:dyDescent="0.2">
      <c r="T1422" s="29" t="s">
        <v>1162</v>
      </c>
      <c r="U1422" s="69" t="s">
        <v>81</v>
      </c>
      <c r="V1422" s="72" t="str">
        <f t="shared" si="22"/>
        <v>MS_FORREST</v>
      </c>
      <c r="AJ1422" s="1" t="s">
        <v>82</v>
      </c>
      <c r="AK1422" s="1" t="s">
        <v>548</v>
      </c>
      <c r="AL1422" s="1" t="s">
        <v>6701</v>
      </c>
      <c r="AM1422" s="1" t="s">
        <v>3984</v>
      </c>
    </row>
    <row r="1423" spans="20:39" x14ac:dyDescent="0.2">
      <c r="T1423" s="28" t="s">
        <v>223</v>
      </c>
      <c r="U1423" s="68" t="s">
        <v>81</v>
      </c>
      <c r="V1423" s="72" t="str">
        <f t="shared" si="22"/>
        <v>MS_FRANKLIN</v>
      </c>
      <c r="AJ1423" s="1" t="s">
        <v>82</v>
      </c>
      <c r="AK1423" s="1" t="s">
        <v>1102</v>
      </c>
      <c r="AL1423" s="1" t="s">
        <v>6702</v>
      </c>
      <c r="AM1423" s="1" t="s">
        <v>3985</v>
      </c>
    </row>
    <row r="1424" spans="20:39" x14ac:dyDescent="0.2">
      <c r="T1424" s="29" t="s">
        <v>1163</v>
      </c>
      <c r="U1424" s="69" t="s">
        <v>81</v>
      </c>
      <c r="V1424" s="72" t="str">
        <f t="shared" si="22"/>
        <v>MS_GEORGE</v>
      </c>
      <c r="AJ1424" s="1" t="s">
        <v>82</v>
      </c>
      <c r="AK1424" s="1" t="s">
        <v>1103</v>
      </c>
      <c r="AL1424" s="1" t="s">
        <v>6703</v>
      </c>
      <c r="AM1424" s="1" t="s">
        <v>3986</v>
      </c>
    </row>
    <row r="1425" spans="20:39" x14ac:dyDescent="0.2">
      <c r="T1425" s="28" t="s">
        <v>225</v>
      </c>
      <c r="U1425" s="68" t="s">
        <v>81</v>
      </c>
      <c r="V1425" s="72" t="str">
        <f t="shared" si="22"/>
        <v>MS_GREENE</v>
      </c>
      <c r="AJ1425" s="1" t="s">
        <v>82</v>
      </c>
      <c r="AK1425" s="1" t="s">
        <v>1104</v>
      </c>
      <c r="AL1425" s="1" t="s">
        <v>6704</v>
      </c>
      <c r="AM1425" s="1" t="s">
        <v>4013</v>
      </c>
    </row>
    <row r="1426" spans="20:39" x14ac:dyDescent="0.2">
      <c r="T1426" s="29" t="s">
        <v>1164</v>
      </c>
      <c r="U1426" s="69" t="s">
        <v>81</v>
      </c>
      <c r="V1426" s="72" t="str">
        <f t="shared" si="22"/>
        <v>MS_GRENADA</v>
      </c>
      <c r="AJ1426" s="1" t="s">
        <v>82</v>
      </c>
      <c r="AK1426" s="1" t="s">
        <v>554</v>
      </c>
      <c r="AL1426" s="1" t="s">
        <v>6705</v>
      </c>
      <c r="AM1426" s="1" t="s">
        <v>4028</v>
      </c>
    </row>
    <row r="1427" spans="20:39" x14ac:dyDescent="0.2">
      <c r="T1427" s="28" t="s">
        <v>573</v>
      </c>
      <c r="U1427" s="68" t="s">
        <v>81</v>
      </c>
      <c r="V1427" s="72" t="str">
        <f t="shared" si="22"/>
        <v>MS_HANCOCK</v>
      </c>
      <c r="AJ1427" s="1" t="s">
        <v>82</v>
      </c>
      <c r="AK1427" s="1" t="s">
        <v>423</v>
      </c>
      <c r="AL1427" s="1" t="s">
        <v>6706</v>
      </c>
      <c r="AM1427" s="1" t="s">
        <v>3987</v>
      </c>
    </row>
    <row r="1428" spans="20:39" x14ac:dyDescent="0.2">
      <c r="T1428" s="29" t="s">
        <v>732</v>
      </c>
      <c r="U1428" s="69" t="s">
        <v>81</v>
      </c>
      <c r="V1428" s="72" t="str">
        <f t="shared" si="22"/>
        <v>MS_HARRISON</v>
      </c>
      <c r="AJ1428" s="1" t="s">
        <v>82</v>
      </c>
      <c r="AK1428" s="1" t="s">
        <v>1105</v>
      </c>
      <c r="AL1428" s="1" t="s">
        <v>6707</v>
      </c>
      <c r="AM1428" s="1" t="s">
        <v>3989</v>
      </c>
    </row>
    <row r="1429" spans="20:39" x14ac:dyDescent="0.2">
      <c r="T1429" s="28" t="s">
        <v>1165</v>
      </c>
      <c r="U1429" s="68" t="s">
        <v>81</v>
      </c>
      <c r="V1429" s="72" t="str">
        <f t="shared" si="22"/>
        <v>MS_HINDS</v>
      </c>
      <c r="AJ1429" s="1" t="s">
        <v>82</v>
      </c>
      <c r="AK1429" s="1" t="s">
        <v>1106</v>
      </c>
      <c r="AL1429" s="1" t="s">
        <v>6708</v>
      </c>
      <c r="AM1429" s="1" t="s">
        <v>3990</v>
      </c>
    </row>
    <row r="1430" spans="20:39" x14ac:dyDescent="0.2">
      <c r="T1430" s="29" t="s">
        <v>497</v>
      </c>
      <c r="U1430" s="69" t="s">
        <v>81</v>
      </c>
      <c r="V1430" s="72" t="str">
        <f t="shared" si="22"/>
        <v>MS_HOLMES</v>
      </c>
      <c r="AJ1430" s="1" t="s">
        <v>82</v>
      </c>
      <c r="AK1430" s="1" t="s">
        <v>1107</v>
      </c>
      <c r="AL1430" s="1" t="s">
        <v>6709</v>
      </c>
      <c r="AM1430" s="1" t="s">
        <v>3991</v>
      </c>
    </row>
    <row r="1431" spans="20:39" x14ac:dyDescent="0.2">
      <c r="T1431" s="28" t="s">
        <v>1166</v>
      </c>
      <c r="U1431" s="68" t="s">
        <v>81</v>
      </c>
      <c r="V1431" s="72" t="str">
        <f t="shared" si="22"/>
        <v>MS_HUMPHREYS</v>
      </c>
      <c r="AJ1431" s="1" t="s">
        <v>82</v>
      </c>
      <c r="AK1431" s="1" t="s">
        <v>1108</v>
      </c>
      <c r="AL1431" s="1" t="s">
        <v>6710</v>
      </c>
      <c r="AM1431" s="1" t="s">
        <v>3992</v>
      </c>
    </row>
    <row r="1432" spans="20:39" x14ac:dyDescent="0.2">
      <c r="T1432" s="29" t="s">
        <v>1167</v>
      </c>
      <c r="U1432" s="69" t="s">
        <v>81</v>
      </c>
      <c r="V1432" s="72" t="str">
        <f t="shared" si="22"/>
        <v>MS_ISSAQUENA</v>
      </c>
      <c r="AJ1432" s="1" t="s">
        <v>82</v>
      </c>
      <c r="AK1432" s="1" t="s">
        <v>314</v>
      </c>
      <c r="AL1432" s="1" t="s">
        <v>6711</v>
      </c>
      <c r="AM1432" s="1" t="s">
        <v>3994</v>
      </c>
    </row>
    <row r="1433" spans="20:39" x14ac:dyDescent="0.2">
      <c r="T1433" s="28" t="s">
        <v>1168</v>
      </c>
      <c r="U1433" s="68" t="s">
        <v>81</v>
      </c>
      <c r="V1433" s="72" t="str">
        <f t="shared" si="22"/>
        <v>MS_ITAWAMBA</v>
      </c>
      <c r="AJ1433" s="1" t="s">
        <v>82</v>
      </c>
      <c r="AK1433" s="1" t="s">
        <v>1109</v>
      </c>
      <c r="AL1433" s="1" t="s">
        <v>6712</v>
      </c>
      <c r="AM1433" s="1" t="s">
        <v>4013</v>
      </c>
    </row>
    <row r="1434" spans="20:39" x14ac:dyDescent="0.2">
      <c r="T1434" s="29" t="s">
        <v>229</v>
      </c>
      <c r="U1434" s="69" t="s">
        <v>81</v>
      </c>
      <c r="V1434" s="72" t="str">
        <f t="shared" si="22"/>
        <v>MS_JACKSON</v>
      </c>
      <c r="AJ1434" s="1" t="s">
        <v>82</v>
      </c>
      <c r="AK1434" s="1" t="s">
        <v>228</v>
      </c>
      <c r="AL1434" s="1" t="s">
        <v>6713</v>
      </c>
      <c r="AM1434" s="1" t="s">
        <v>9207</v>
      </c>
    </row>
    <row r="1435" spans="20:39" x14ac:dyDescent="0.2">
      <c r="T1435" s="28" t="s">
        <v>579</v>
      </c>
      <c r="U1435" s="68" t="s">
        <v>81</v>
      </c>
      <c r="V1435" s="72" t="str">
        <f t="shared" si="22"/>
        <v>MS_JASPER</v>
      </c>
      <c r="AJ1435" s="1" t="s">
        <v>82</v>
      </c>
      <c r="AK1435" s="1" t="s">
        <v>1110</v>
      </c>
      <c r="AL1435" s="1" t="s">
        <v>6714</v>
      </c>
      <c r="AM1435" s="1" t="s">
        <v>3995</v>
      </c>
    </row>
    <row r="1436" spans="20:39" x14ac:dyDescent="0.2">
      <c r="T1436" s="29" t="s">
        <v>230</v>
      </c>
      <c r="U1436" s="69" t="s">
        <v>81</v>
      </c>
      <c r="V1436" s="72" t="str">
        <f t="shared" si="22"/>
        <v>MS_JEFFERSON</v>
      </c>
      <c r="AJ1436" s="1" t="s">
        <v>82</v>
      </c>
      <c r="AK1436" s="1" t="s">
        <v>1111</v>
      </c>
      <c r="AL1436" s="1" t="s">
        <v>6715</v>
      </c>
      <c r="AM1436" s="1" t="s">
        <v>4013</v>
      </c>
    </row>
    <row r="1437" spans="20:39" x14ac:dyDescent="0.2">
      <c r="T1437" s="28" t="s">
        <v>1169</v>
      </c>
      <c r="U1437" s="68" t="s">
        <v>81</v>
      </c>
      <c r="V1437" s="72" t="str">
        <f t="shared" si="22"/>
        <v>MS_JEFFERSON DAVIS</v>
      </c>
      <c r="AJ1437" s="1" t="s">
        <v>82</v>
      </c>
      <c r="AK1437" s="1" t="s">
        <v>1112</v>
      </c>
      <c r="AL1437" s="1" t="s">
        <v>6716</v>
      </c>
      <c r="AM1437" s="1" t="s">
        <v>3996</v>
      </c>
    </row>
    <row r="1438" spans="20:39" x14ac:dyDescent="0.2">
      <c r="T1438" s="29" t="s">
        <v>582</v>
      </c>
      <c r="U1438" s="69" t="s">
        <v>81</v>
      </c>
      <c r="V1438" s="72" t="str">
        <f t="shared" si="22"/>
        <v>MS_JONES</v>
      </c>
      <c r="AJ1438" s="1" t="s">
        <v>82</v>
      </c>
      <c r="AK1438" s="1" t="s">
        <v>229</v>
      </c>
      <c r="AL1438" s="1" t="s">
        <v>6717</v>
      </c>
      <c r="AM1438" s="1" t="s">
        <v>3997</v>
      </c>
    </row>
    <row r="1439" spans="20:39" x14ac:dyDescent="0.2">
      <c r="T1439" s="28" t="s">
        <v>1170</v>
      </c>
      <c r="U1439" s="68" t="s">
        <v>81</v>
      </c>
      <c r="V1439" s="72" t="str">
        <f t="shared" si="22"/>
        <v>MS_KEMPER</v>
      </c>
      <c r="AJ1439" s="1" t="s">
        <v>82</v>
      </c>
      <c r="AK1439" s="1" t="s">
        <v>1113</v>
      </c>
      <c r="AL1439" s="1" t="s">
        <v>6718</v>
      </c>
      <c r="AM1439" s="1" t="s">
        <v>3998</v>
      </c>
    </row>
    <row r="1440" spans="20:39" x14ac:dyDescent="0.2">
      <c r="T1440" s="29" t="s">
        <v>321</v>
      </c>
      <c r="U1440" s="69" t="s">
        <v>81</v>
      </c>
      <c r="V1440" s="72" t="str">
        <f t="shared" si="22"/>
        <v>MS_LAFAYETTE</v>
      </c>
      <c r="AJ1440" s="1" t="s">
        <v>82</v>
      </c>
      <c r="AK1440" s="1" t="s">
        <v>1114</v>
      </c>
      <c r="AL1440" s="1" t="s">
        <v>6719</v>
      </c>
      <c r="AM1440" s="1" t="s">
        <v>3999</v>
      </c>
    </row>
    <row r="1441" spans="20:39" x14ac:dyDescent="0.2">
      <c r="T1441" s="28" t="s">
        <v>231</v>
      </c>
      <c r="U1441" s="68" t="s">
        <v>81</v>
      </c>
      <c r="V1441" s="72" t="str">
        <f t="shared" si="22"/>
        <v>MS_LAMAR</v>
      </c>
      <c r="AJ1441" s="1" t="s">
        <v>82</v>
      </c>
      <c r="AK1441" s="1" t="s">
        <v>1115</v>
      </c>
      <c r="AL1441" s="1" t="s">
        <v>6720</v>
      </c>
      <c r="AM1441" s="1" t="s">
        <v>4000</v>
      </c>
    </row>
    <row r="1442" spans="20:39" x14ac:dyDescent="0.2">
      <c r="T1442" s="29" t="s">
        <v>232</v>
      </c>
      <c r="U1442" s="69" t="s">
        <v>81</v>
      </c>
      <c r="V1442" s="72" t="str">
        <f t="shared" si="22"/>
        <v>MS_LAUDERDALE</v>
      </c>
      <c r="AJ1442" s="1" t="s">
        <v>82</v>
      </c>
      <c r="AK1442" s="1" t="s">
        <v>1116</v>
      </c>
      <c r="AL1442" s="1" t="s">
        <v>6721</v>
      </c>
      <c r="AM1442" s="1" t="s">
        <v>4001</v>
      </c>
    </row>
    <row r="1443" spans="20:39" x14ac:dyDescent="0.2">
      <c r="T1443" s="28" t="s">
        <v>233</v>
      </c>
      <c r="U1443" s="68" t="s">
        <v>81</v>
      </c>
      <c r="V1443" s="72" t="str">
        <f t="shared" si="22"/>
        <v>MS_LAWRENCE</v>
      </c>
      <c r="AJ1443" s="1" t="s">
        <v>82</v>
      </c>
      <c r="AK1443" s="1" t="s">
        <v>1117</v>
      </c>
      <c r="AL1443" s="1" t="s">
        <v>6722</v>
      </c>
      <c r="AM1443" s="1" t="s">
        <v>4002</v>
      </c>
    </row>
    <row r="1444" spans="20:39" x14ac:dyDescent="0.2">
      <c r="T1444" s="29" t="s">
        <v>1171</v>
      </c>
      <c r="U1444" s="69" t="s">
        <v>81</v>
      </c>
      <c r="V1444" s="72" t="str">
        <f t="shared" si="22"/>
        <v>MS_LEAKE</v>
      </c>
      <c r="AJ1444" s="1" t="s">
        <v>82</v>
      </c>
      <c r="AK1444" s="1" t="s">
        <v>366</v>
      </c>
      <c r="AL1444" s="1" t="s">
        <v>6723</v>
      </c>
      <c r="AM1444" s="1" t="s">
        <v>9208</v>
      </c>
    </row>
    <row r="1445" spans="20:39" x14ac:dyDescent="0.2">
      <c r="T1445" s="28" t="s">
        <v>234</v>
      </c>
      <c r="U1445" s="68" t="s">
        <v>81</v>
      </c>
      <c r="V1445" s="72" t="str">
        <f t="shared" si="22"/>
        <v>MS_LEE</v>
      </c>
      <c r="AJ1445" s="1" t="s">
        <v>82</v>
      </c>
      <c r="AK1445" s="1" t="s">
        <v>1118</v>
      </c>
      <c r="AL1445" s="1" t="s">
        <v>6724</v>
      </c>
      <c r="AM1445" s="1" t="s">
        <v>4003</v>
      </c>
    </row>
    <row r="1446" spans="20:39" x14ac:dyDescent="0.2">
      <c r="T1446" s="29" t="s">
        <v>1172</v>
      </c>
      <c r="U1446" s="69" t="s">
        <v>81</v>
      </c>
      <c r="V1446" s="72" t="str">
        <f t="shared" si="22"/>
        <v>MS_LEFLORE</v>
      </c>
      <c r="AJ1446" s="1" t="s">
        <v>82</v>
      </c>
      <c r="AK1446" s="1" t="s">
        <v>1119</v>
      </c>
      <c r="AL1446" s="1" t="s">
        <v>6725</v>
      </c>
      <c r="AM1446" s="1" t="s">
        <v>4004</v>
      </c>
    </row>
    <row r="1447" spans="20:39" x14ac:dyDescent="0.2">
      <c r="T1447" s="28" t="s">
        <v>322</v>
      </c>
      <c r="U1447" s="68" t="s">
        <v>81</v>
      </c>
      <c r="V1447" s="72" t="str">
        <f t="shared" si="22"/>
        <v>MS_LINCOLN</v>
      </c>
      <c r="AJ1447" s="1" t="s">
        <v>82</v>
      </c>
      <c r="AK1447" s="1" t="s">
        <v>322</v>
      </c>
      <c r="AL1447" s="1" t="s">
        <v>6726</v>
      </c>
      <c r="AM1447" s="1" t="s">
        <v>4005</v>
      </c>
    </row>
    <row r="1448" spans="20:39" x14ac:dyDescent="0.2">
      <c r="T1448" s="29" t="s">
        <v>236</v>
      </c>
      <c r="U1448" s="69" t="s">
        <v>81</v>
      </c>
      <c r="V1448" s="72" t="str">
        <f t="shared" si="22"/>
        <v>MS_LOWNDES</v>
      </c>
      <c r="AJ1448" s="1" t="s">
        <v>82</v>
      </c>
      <c r="AK1448" s="1" t="s">
        <v>787</v>
      </c>
      <c r="AL1448" s="1" t="s">
        <v>6727</v>
      </c>
      <c r="AM1448" s="1" t="s">
        <v>4006</v>
      </c>
    </row>
    <row r="1449" spans="20:39" x14ac:dyDescent="0.2">
      <c r="T1449" s="28" t="s">
        <v>238</v>
      </c>
      <c r="U1449" s="68" t="s">
        <v>81</v>
      </c>
      <c r="V1449" s="72" t="str">
        <f t="shared" si="22"/>
        <v>MS_MADISON</v>
      </c>
      <c r="AJ1449" s="1" t="s">
        <v>82</v>
      </c>
      <c r="AK1449" s="1" t="s">
        <v>1121</v>
      </c>
      <c r="AL1449" s="1" t="s">
        <v>6728</v>
      </c>
      <c r="AM1449" s="1" t="s">
        <v>4007</v>
      </c>
    </row>
    <row r="1450" spans="20:39" x14ac:dyDescent="0.2">
      <c r="T1450" s="29" t="s">
        <v>240</v>
      </c>
      <c r="U1450" s="69" t="s">
        <v>81</v>
      </c>
      <c r="V1450" s="72" t="str">
        <f t="shared" si="22"/>
        <v>MS_MARION</v>
      </c>
      <c r="AJ1450" s="1" t="s">
        <v>82</v>
      </c>
      <c r="AK1450" s="1" t="s">
        <v>241</v>
      </c>
      <c r="AL1450" s="1" t="s">
        <v>6729</v>
      </c>
      <c r="AM1450" s="1" t="s">
        <v>4008</v>
      </c>
    </row>
    <row r="1451" spans="20:39" x14ac:dyDescent="0.2">
      <c r="T1451" s="28" t="s">
        <v>241</v>
      </c>
      <c r="U1451" s="68" t="s">
        <v>81</v>
      </c>
      <c r="V1451" s="72" t="str">
        <f t="shared" si="22"/>
        <v>MS_MARSHALL</v>
      </c>
      <c r="AJ1451" s="1" t="s">
        <v>82</v>
      </c>
      <c r="AK1451" s="1" t="s">
        <v>503</v>
      </c>
      <c r="AL1451" s="1" t="s">
        <v>6730</v>
      </c>
      <c r="AM1451" s="1" t="s">
        <v>4009</v>
      </c>
    </row>
    <row r="1452" spans="20:39" x14ac:dyDescent="0.2">
      <c r="T1452" s="29" t="s">
        <v>243</v>
      </c>
      <c r="U1452" s="69" t="s">
        <v>81</v>
      </c>
      <c r="V1452" s="72" t="str">
        <f t="shared" si="22"/>
        <v>MS_MONROE</v>
      </c>
      <c r="AJ1452" s="1" t="s">
        <v>82</v>
      </c>
      <c r="AK1452" s="1" t="s">
        <v>1120</v>
      </c>
      <c r="AL1452" s="1" t="s">
        <v>6731</v>
      </c>
      <c r="AM1452" s="1" t="s">
        <v>4010</v>
      </c>
    </row>
    <row r="1453" spans="20:39" x14ac:dyDescent="0.2">
      <c r="T1453" s="28" t="s">
        <v>244</v>
      </c>
      <c r="U1453" s="68" t="s">
        <v>81</v>
      </c>
      <c r="V1453" s="72" t="str">
        <f t="shared" si="22"/>
        <v>MS_MONTGOMERY</v>
      </c>
      <c r="AJ1453" s="1" t="s">
        <v>82</v>
      </c>
      <c r="AK1453" s="1" t="s">
        <v>1122</v>
      </c>
      <c r="AL1453" s="1" t="s">
        <v>6732</v>
      </c>
      <c r="AM1453" s="1" t="s">
        <v>4011</v>
      </c>
    </row>
    <row r="1454" spans="20:39" x14ac:dyDescent="0.2">
      <c r="T1454" s="29" t="s">
        <v>1173</v>
      </c>
      <c r="U1454" s="69" t="s">
        <v>81</v>
      </c>
      <c r="V1454" s="72" t="str">
        <f t="shared" si="22"/>
        <v>MS_NESHOBA</v>
      </c>
      <c r="AJ1454" s="1" t="s">
        <v>82</v>
      </c>
      <c r="AK1454" s="1" t="s">
        <v>1123</v>
      </c>
      <c r="AL1454" s="1" t="s">
        <v>6733</v>
      </c>
      <c r="AM1454" s="1" t="s">
        <v>4012</v>
      </c>
    </row>
    <row r="1455" spans="20:39" x14ac:dyDescent="0.2">
      <c r="T1455" s="28" t="s">
        <v>329</v>
      </c>
      <c r="U1455" s="68" t="s">
        <v>81</v>
      </c>
      <c r="V1455" s="72" t="str">
        <f t="shared" si="22"/>
        <v>MS_NEWTON</v>
      </c>
      <c r="AJ1455" s="1" t="s">
        <v>82</v>
      </c>
      <c r="AK1455" s="1" t="s">
        <v>1124</v>
      </c>
      <c r="AL1455" s="1" t="s">
        <v>6734</v>
      </c>
      <c r="AM1455" s="1" t="s">
        <v>4014</v>
      </c>
    </row>
    <row r="1456" spans="20:39" x14ac:dyDescent="0.2">
      <c r="T1456" s="29" t="s">
        <v>1174</v>
      </c>
      <c r="U1456" s="69" t="s">
        <v>81</v>
      </c>
      <c r="V1456" s="72" t="str">
        <f t="shared" si="22"/>
        <v>MS_NOXUBEE</v>
      </c>
      <c r="AJ1456" s="1" t="s">
        <v>82</v>
      </c>
      <c r="AK1456" s="1" t="s">
        <v>1125</v>
      </c>
      <c r="AL1456" s="1" t="s">
        <v>6735</v>
      </c>
      <c r="AM1456" s="1" t="s">
        <v>4015</v>
      </c>
    </row>
    <row r="1457" spans="20:39" x14ac:dyDescent="0.2">
      <c r="T1457" s="28" t="s">
        <v>1175</v>
      </c>
      <c r="U1457" s="68" t="s">
        <v>81</v>
      </c>
      <c r="V1457" s="72" t="str">
        <f t="shared" si="22"/>
        <v>MS_OKTIBBEHA</v>
      </c>
      <c r="AJ1457" s="1" t="s">
        <v>82</v>
      </c>
      <c r="AK1457" s="1" t="s">
        <v>591</v>
      </c>
      <c r="AL1457" s="1" t="s">
        <v>6736</v>
      </c>
      <c r="AM1457" s="1" t="s">
        <v>4016</v>
      </c>
    </row>
    <row r="1458" spans="20:39" x14ac:dyDescent="0.2">
      <c r="T1458" s="29" t="s">
        <v>1176</v>
      </c>
      <c r="U1458" s="69" t="s">
        <v>81</v>
      </c>
      <c r="V1458" s="72" t="str">
        <f t="shared" si="22"/>
        <v>MS_PANOLA</v>
      </c>
      <c r="AJ1458" s="1" t="s">
        <v>82</v>
      </c>
      <c r="AK1458" s="1" t="s">
        <v>1126</v>
      </c>
      <c r="AL1458" s="1" t="s">
        <v>6737</v>
      </c>
      <c r="AM1458" s="1" t="s">
        <v>9205</v>
      </c>
    </row>
    <row r="1459" spans="20:39" x14ac:dyDescent="0.2">
      <c r="T1459" s="28" t="s">
        <v>1177</v>
      </c>
      <c r="U1459" s="68" t="s">
        <v>81</v>
      </c>
      <c r="V1459" s="72" t="str">
        <f t="shared" si="22"/>
        <v>MS_PEARL RIVER</v>
      </c>
      <c r="AJ1459" s="1" t="s">
        <v>82</v>
      </c>
      <c r="AK1459" s="1" t="s">
        <v>1127</v>
      </c>
      <c r="AL1459" s="1" t="s">
        <v>6738</v>
      </c>
      <c r="AM1459" s="1" t="s">
        <v>4017</v>
      </c>
    </row>
    <row r="1460" spans="20:39" x14ac:dyDescent="0.2">
      <c r="T1460" s="29" t="s">
        <v>246</v>
      </c>
      <c r="U1460" s="69" t="s">
        <v>81</v>
      </c>
      <c r="V1460" s="72" t="str">
        <f t="shared" si="22"/>
        <v>MS_PERRY</v>
      </c>
      <c r="AJ1460" s="1" t="s">
        <v>82</v>
      </c>
      <c r="AK1460" s="1" t="s">
        <v>1128</v>
      </c>
      <c r="AL1460" s="1" t="s">
        <v>6739</v>
      </c>
      <c r="AM1460" s="1" t="s">
        <v>4018</v>
      </c>
    </row>
    <row r="1461" spans="20:39" x14ac:dyDescent="0.2">
      <c r="T1461" s="28" t="s">
        <v>248</v>
      </c>
      <c r="U1461" s="68" t="s">
        <v>81</v>
      </c>
      <c r="V1461" s="72" t="str">
        <f t="shared" si="22"/>
        <v>MS_PIKE</v>
      </c>
      <c r="AJ1461" s="1" t="s">
        <v>82</v>
      </c>
      <c r="AK1461" s="1" t="s">
        <v>1129</v>
      </c>
      <c r="AL1461" s="1" t="s">
        <v>6740</v>
      </c>
      <c r="AM1461" s="1" t="s">
        <v>4028</v>
      </c>
    </row>
    <row r="1462" spans="20:39" x14ac:dyDescent="0.2">
      <c r="T1462" s="29" t="s">
        <v>1178</v>
      </c>
      <c r="U1462" s="69" t="s">
        <v>81</v>
      </c>
      <c r="V1462" s="72" t="str">
        <f t="shared" si="22"/>
        <v>MS_PONTOTOC</v>
      </c>
      <c r="AJ1462" s="1" t="s">
        <v>82</v>
      </c>
      <c r="AK1462" s="1" t="s">
        <v>1130</v>
      </c>
      <c r="AL1462" s="1" t="s">
        <v>6741</v>
      </c>
      <c r="AM1462" s="1" t="s">
        <v>4019</v>
      </c>
    </row>
    <row r="1463" spans="20:39" x14ac:dyDescent="0.2">
      <c r="T1463" s="28" t="s">
        <v>1179</v>
      </c>
      <c r="U1463" s="68" t="s">
        <v>81</v>
      </c>
      <c r="V1463" s="72" t="str">
        <f t="shared" si="22"/>
        <v>MS_PRENTISS</v>
      </c>
      <c r="AJ1463" s="1" t="s">
        <v>82</v>
      </c>
      <c r="AK1463" s="1" t="s">
        <v>1131</v>
      </c>
      <c r="AL1463" s="1" t="s">
        <v>6742</v>
      </c>
      <c r="AM1463" s="1" t="s">
        <v>4020</v>
      </c>
    </row>
    <row r="1464" spans="20:39" x14ac:dyDescent="0.2">
      <c r="T1464" s="29" t="s">
        <v>598</v>
      </c>
      <c r="U1464" s="69" t="s">
        <v>81</v>
      </c>
      <c r="V1464" s="72" t="str">
        <f t="shared" si="22"/>
        <v>MS_QUITMAN</v>
      </c>
      <c r="AJ1464" s="1" t="s">
        <v>82</v>
      </c>
      <c r="AK1464" s="1" t="s">
        <v>1132</v>
      </c>
      <c r="AL1464" s="1" t="s">
        <v>6743</v>
      </c>
      <c r="AM1464" s="1" t="s">
        <v>4021</v>
      </c>
    </row>
    <row r="1465" spans="20:39" x14ac:dyDescent="0.2">
      <c r="T1465" s="28" t="s">
        <v>1180</v>
      </c>
      <c r="U1465" s="68" t="s">
        <v>81</v>
      </c>
      <c r="V1465" s="72" t="str">
        <f t="shared" si="22"/>
        <v>MS_RANKIN</v>
      </c>
      <c r="AJ1465" s="1" t="s">
        <v>82</v>
      </c>
      <c r="AK1465" s="1" t="s">
        <v>1133</v>
      </c>
      <c r="AL1465" s="1" t="s">
        <v>6744</v>
      </c>
      <c r="AM1465" s="1" t="s">
        <v>4022</v>
      </c>
    </row>
    <row r="1466" spans="20:39" x14ac:dyDescent="0.2">
      <c r="T1466" s="29" t="s">
        <v>339</v>
      </c>
      <c r="U1466" s="69" t="s">
        <v>81</v>
      </c>
      <c r="V1466" s="72" t="str">
        <f t="shared" si="22"/>
        <v>MS_SCOTT</v>
      </c>
      <c r="AJ1466" s="1" t="s">
        <v>82</v>
      </c>
      <c r="AK1466" s="1" t="s">
        <v>333</v>
      </c>
      <c r="AL1466" s="1" t="s">
        <v>6745</v>
      </c>
      <c r="AM1466" s="1" t="s">
        <v>3993</v>
      </c>
    </row>
    <row r="1467" spans="20:39" x14ac:dyDescent="0.2">
      <c r="T1467" s="28" t="s">
        <v>1181</v>
      </c>
      <c r="U1467" s="68" t="s">
        <v>81</v>
      </c>
      <c r="V1467" s="72" t="str">
        <f t="shared" si="22"/>
        <v>MS_SHARKEY</v>
      </c>
      <c r="AJ1467" s="1" t="s">
        <v>82</v>
      </c>
      <c r="AK1467" s="1" t="s">
        <v>334</v>
      </c>
      <c r="AL1467" s="1" t="s">
        <v>6746</v>
      </c>
      <c r="AM1467" s="1" t="s">
        <v>4023</v>
      </c>
    </row>
    <row r="1468" spans="20:39" x14ac:dyDescent="0.2">
      <c r="T1468" s="29" t="s">
        <v>925</v>
      </c>
      <c r="U1468" s="69" t="s">
        <v>81</v>
      </c>
      <c r="V1468" s="72" t="str">
        <f t="shared" si="22"/>
        <v>MS_SIMPSON</v>
      </c>
      <c r="AJ1468" s="1" t="s">
        <v>82</v>
      </c>
      <c r="AK1468" s="1" t="s">
        <v>1134</v>
      </c>
      <c r="AL1468" s="1" t="s">
        <v>6747</v>
      </c>
      <c r="AM1468" s="1" t="s">
        <v>4013</v>
      </c>
    </row>
    <row r="1469" spans="20:39" x14ac:dyDescent="0.2">
      <c r="T1469" s="28" t="s">
        <v>863</v>
      </c>
      <c r="U1469" s="68" t="s">
        <v>81</v>
      </c>
      <c r="V1469" s="72" t="str">
        <f t="shared" si="22"/>
        <v>MS_SMITH</v>
      </c>
      <c r="AJ1469" s="1" t="s">
        <v>82</v>
      </c>
      <c r="AK1469" s="1" t="s">
        <v>1135</v>
      </c>
      <c r="AL1469" s="1" t="s">
        <v>6748</v>
      </c>
      <c r="AM1469" s="1" t="s">
        <v>4024</v>
      </c>
    </row>
    <row r="1470" spans="20:39" x14ac:dyDescent="0.2">
      <c r="T1470" s="29" t="s">
        <v>344</v>
      </c>
      <c r="U1470" s="69" t="s">
        <v>81</v>
      </c>
      <c r="V1470" s="72" t="str">
        <f t="shared" si="22"/>
        <v>MS_STONE</v>
      </c>
      <c r="AJ1470" s="1" t="s">
        <v>82</v>
      </c>
      <c r="AK1470" s="1" t="s">
        <v>1136</v>
      </c>
      <c r="AL1470" s="1" t="s">
        <v>6749</v>
      </c>
      <c r="AM1470" s="1" t="s">
        <v>4025</v>
      </c>
    </row>
    <row r="1471" spans="20:39" x14ac:dyDescent="0.2">
      <c r="T1471" s="28" t="s">
        <v>1182</v>
      </c>
      <c r="U1471" s="68" t="s">
        <v>81</v>
      </c>
      <c r="V1471" s="72" t="str">
        <f t="shared" si="22"/>
        <v>MS_SUNFLOWER</v>
      </c>
      <c r="AJ1471" s="1" t="s">
        <v>82</v>
      </c>
      <c r="AK1471" s="1" t="s">
        <v>1137</v>
      </c>
      <c r="AL1471" s="1" t="s">
        <v>6750</v>
      </c>
      <c r="AM1471" s="1" t="s">
        <v>4026</v>
      </c>
    </row>
    <row r="1472" spans="20:39" x14ac:dyDescent="0.2">
      <c r="T1472" s="29" t="s">
        <v>1183</v>
      </c>
      <c r="U1472" s="69" t="s">
        <v>81</v>
      </c>
      <c r="V1472" s="72" t="str">
        <f t="shared" si="22"/>
        <v>MS_TALLAHATCHIE</v>
      </c>
      <c r="AJ1472" s="1" t="s">
        <v>82</v>
      </c>
      <c r="AK1472" s="1" t="s">
        <v>856</v>
      </c>
      <c r="AL1472" s="1" t="s">
        <v>6751</v>
      </c>
      <c r="AM1472" s="1" t="s">
        <v>4027</v>
      </c>
    </row>
    <row r="1473" spans="20:39" x14ac:dyDescent="0.2">
      <c r="T1473" s="28" t="s">
        <v>1184</v>
      </c>
      <c r="U1473" s="68" t="s">
        <v>81</v>
      </c>
      <c r="V1473" s="72" t="str">
        <f t="shared" si="22"/>
        <v>MS_TATE</v>
      </c>
      <c r="AJ1473" s="1" t="s">
        <v>82</v>
      </c>
      <c r="AK1473" s="1" t="s">
        <v>1138</v>
      </c>
      <c r="AL1473" s="1" t="s">
        <v>6752</v>
      </c>
      <c r="AM1473" s="1" t="s">
        <v>9209</v>
      </c>
    </row>
    <row r="1474" spans="20:39" x14ac:dyDescent="0.2">
      <c r="T1474" s="29" t="s">
        <v>1185</v>
      </c>
      <c r="U1474" s="69" t="s">
        <v>81</v>
      </c>
      <c r="V1474" s="72" t="str">
        <f t="shared" si="22"/>
        <v>MS_TIPPAH</v>
      </c>
      <c r="AJ1474" s="1" t="s">
        <v>82</v>
      </c>
      <c r="AK1474" s="1" t="s">
        <v>1139</v>
      </c>
      <c r="AL1474" s="1" t="s">
        <v>6753</v>
      </c>
      <c r="AM1474" s="1" t="s">
        <v>4029</v>
      </c>
    </row>
    <row r="1475" spans="20:39" x14ac:dyDescent="0.2">
      <c r="T1475" s="28" t="s">
        <v>1186</v>
      </c>
      <c r="U1475" s="68" t="s">
        <v>81</v>
      </c>
      <c r="V1475" s="72" t="str">
        <f t="shared" si="22"/>
        <v>MS_TISHOMINGO</v>
      </c>
      <c r="AJ1475" s="1" t="s">
        <v>82</v>
      </c>
      <c r="AK1475" s="1" t="s">
        <v>339</v>
      </c>
      <c r="AL1475" s="1" t="s">
        <v>6754</v>
      </c>
      <c r="AM1475" s="1" t="s">
        <v>4013</v>
      </c>
    </row>
    <row r="1476" spans="20:39" x14ac:dyDescent="0.2">
      <c r="T1476" s="29" t="s">
        <v>1187</v>
      </c>
      <c r="U1476" s="69" t="s">
        <v>81</v>
      </c>
      <c r="V1476" s="72" t="str">
        <f t="shared" si="22"/>
        <v>MS_TUNICA</v>
      </c>
      <c r="AJ1476" s="1" t="s">
        <v>82</v>
      </c>
      <c r="AK1476" s="1" t="s">
        <v>1141</v>
      </c>
      <c r="AL1476" s="1" t="s">
        <v>6755</v>
      </c>
      <c r="AM1476" s="1" t="s">
        <v>4013</v>
      </c>
    </row>
    <row r="1477" spans="20:39" x14ac:dyDescent="0.2">
      <c r="T1477" s="28" t="s">
        <v>345</v>
      </c>
      <c r="U1477" s="68" t="s">
        <v>81</v>
      </c>
      <c r="V1477" s="72" t="str">
        <f t="shared" si="22"/>
        <v>MS_UNION</v>
      </c>
      <c r="AJ1477" s="1" t="s">
        <v>82</v>
      </c>
      <c r="AK1477" s="1" t="s">
        <v>1142</v>
      </c>
      <c r="AL1477" s="1" t="s">
        <v>6756</v>
      </c>
      <c r="AM1477" s="1" t="s">
        <v>4030</v>
      </c>
    </row>
    <row r="1478" spans="20:39" x14ac:dyDescent="0.2">
      <c r="T1478" s="29" t="s">
        <v>1188</v>
      </c>
      <c r="U1478" s="69" t="s">
        <v>81</v>
      </c>
      <c r="V1478" s="72" t="str">
        <f t="shared" si="22"/>
        <v>MS_WALTHALL</v>
      </c>
      <c r="AJ1478" s="1" t="s">
        <v>82</v>
      </c>
      <c r="AK1478" s="1" t="s">
        <v>1140</v>
      </c>
      <c r="AL1478" s="1" t="s">
        <v>6757</v>
      </c>
      <c r="AM1478" s="1" t="s">
        <v>9206</v>
      </c>
    </row>
    <row r="1479" spans="20:39" x14ac:dyDescent="0.2">
      <c r="T1479" s="28" t="s">
        <v>622</v>
      </c>
      <c r="U1479" s="68" t="s">
        <v>81</v>
      </c>
      <c r="V1479" s="72" t="str">
        <f t="shared" si="22"/>
        <v>MS_WARREN</v>
      </c>
      <c r="AJ1479" s="1" t="s">
        <v>82</v>
      </c>
      <c r="AK1479" s="1" t="s">
        <v>1143</v>
      </c>
      <c r="AL1479" s="1" t="s">
        <v>6758</v>
      </c>
      <c r="AM1479" s="1" t="s">
        <v>4031</v>
      </c>
    </row>
    <row r="1480" spans="20:39" x14ac:dyDescent="0.2">
      <c r="T1480" s="29" t="s">
        <v>258</v>
      </c>
      <c r="U1480" s="69" t="s">
        <v>81</v>
      </c>
      <c r="V1480" s="72" t="str">
        <f t="shared" si="22"/>
        <v>MS_WASHINGTON</v>
      </c>
      <c r="AJ1480" s="1" t="s">
        <v>82</v>
      </c>
      <c r="AK1480" s="1" t="s">
        <v>1144</v>
      </c>
      <c r="AL1480" s="1" t="s">
        <v>6759</v>
      </c>
      <c r="AM1480" s="1" t="s">
        <v>4032</v>
      </c>
    </row>
    <row r="1481" spans="20:39" x14ac:dyDescent="0.2">
      <c r="T1481" s="28" t="s">
        <v>623</v>
      </c>
      <c r="U1481" s="68" t="s">
        <v>81</v>
      </c>
      <c r="V1481" s="72" t="str">
        <f t="shared" si="22"/>
        <v>MS_WAYNE</v>
      </c>
      <c r="AJ1481" s="1" t="s">
        <v>82</v>
      </c>
      <c r="AK1481" s="1" t="s">
        <v>866</v>
      </c>
      <c r="AL1481" s="1" t="s">
        <v>6760</v>
      </c>
      <c r="AM1481" s="1" t="s">
        <v>4033</v>
      </c>
    </row>
    <row r="1482" spans="20:39" x14ac:dyDescent="0.2">
      <c r="T1482" s="29" t="s">
        <v>624</v>
      </c>
      <c r="U1482" s="69" t="s">
        <v>81</v>
      </c>
      <c r="V1482" s="72" t="str">
        <f t="shared" ref="V1482:V1545" si="23">UPPER(CONCATENATE(TRIM(U1482),"_",TRIM(T1482)))</f>
        <v>MS_WEBSTER</v>
      </c>
      <c r="AJ1482" s="1" t="s">
        <v>82</v>
      </c>
      <c r="AK1482" s="1" t="s">
        <v>1145</v>
      </c>
      <c r="AL1482" s="1" t="s">
        <v>6761</v>
      </c>
      <c r="AM1482" s="1" t="s">
        <v>4034</v>
      </c>
    </row>
    <row r="1483" spans="20:39" x14ac:dyDescent="0.2">
      <c r="T1483" s="28" t="s">
        <v>628</v>
      </c>
      <c r="U1483" s="68" t="s">
        <v>81</v>
      </c>
      <c r="V1483" s="72" t="str">
        <f t="shared" si="23"/>
        <v>MS_WILKINSON</v>
      </c>
      <c r="AJ1483" s="1" t="s">
        <v>82</v>
      </c>
      <c r="AK1483" s="1" t="s">
        <v>926</v>
      </c>
      <c r="AL1483" s="1" t="s">
        <v>6762</v>
      </c>
      <c r="AM1483" s="1" t="s">
        <v>4035</v>
      </c>
    </row>
    <row r="1484" spans="20:39" x14ac:dyDescent="0.2">
      <c r="T1484" s="29" t="s">
        <v>260</v>
      </c>
      <c r="U1484" s="69" t="s">
        <v>81</v>
      </c>
      <c r="V1484" s="72" t="str">
        <f t="shared" si="23"/>
        <v>MS_WINSTON</v>
      </c>
      <c r="AJ1484" s="1" t="s">
        <v>82</v>
      </c>
      <c r="AK1484" s="1" t="s">
        <v>1146</v>
      </c>
      <c r="AL1484" s="1" t="s">
        <v>6763</v>
      </c>
      <c r="AM1484" s="1" t="s">
        <v>4036</v>
      </c>
    </row>
    <row r="1485" spans="20:39" x14ac:dyDescent="0.2">
      <c r="T1485" s="28" t="s">
        <v>1189</v>
      </c>
      <c r="U1485" s="68" t="s">
        <v>81</v>
      </c>
      <c r="V1485" s="72" t="str">
        <f t="shared" si="23"/>
        <v>MS_YALOBUSHA</v>
      </c>
      <c r="AJ1485" s="1" t="s">
        <v>82</v>
      </c>
      <c r="AK1485" s="1" t="s">
        <v>1147</v>
      </c>
      <c r="AL1485" s="1" t="s">
        <v>6764</v>
      </c>
      <c r="AM1485" s="1" t="s">
        <v>4037</v>
      </c>
    </row>
    <row r="1486" spans="20:39" x14ac:dyDescent="0.2">
      <c r="T1486" s="29" t="s">
        <v>1190</v>
      </c>
      <c r="U1486" s="69" t="s">
        <v>81</v>
      </c>
      <c r="V1486" s="72" t="str">
        <f t="shared" si="23"/>
        <v>MS_YAZOO</v>
      </c>
      <c r="AJ1486" s="1" t="s">
        <v>82</v>
      </c>
      <c r="AK1486" s="1" t="s">
        <v>1148</v>
      </c>
      <c r="AL1486" s="1" t="s">
        <v>6765</v>
      </c>
      <c r="AM1486" s="1" t="s">
        <v>4038</v>
      </c>
    </row>
    <row r="1487" spans="20:39" x14ac:dyDescent="0.2">
      <c r="T1487" s="28" t="s">
        <v>763</v>
      </c>
      <c r="U1487" s="68" t="s">
        <v>80</v>
      </c>
      <c r="V1487" s="72" t="str">
        <f t="shared" si="23"/>
        <v>MO_ADAIR</v>
      </c>
      <c r="AJ1487" s="1" t="s">
        <v>82</v>
      </c>
      <c r="AK1487" s="1" t="s">
        <v>1149</v>
      </c>
      <c r="AL1487" s="1" t="s">
        <v>6766</v>
      </c>
      <c r="AM1487" s="1" t="s">
        <v>4039</v>
      </c>
    </row>
    <row r="1488" spans="20:39" x14ac:dyDescent="0.2">
      <c r="T1488" s="29" t="s">
        <v>1191</v>
      </c>
      <c r="U1488" s="69" t="s">
        <v>80</v>
      </c>
      <c r="V1488" s="72" t="str">
        <f t="shared" si="23"/>
        <v>MO_ANDREW</v>
      </c>
      <c r="AJ1488" s="1" t="s">
        <v>82</v>
      </c>
      <c r="AK1488" s="1" t="s">
        <v>258</v>
      </c>
      <c r="AL1488" s="1" t="s">
        <v>6767</v>
      </c>
      <c r="AM1488" s="1" t="s">
        <v>4013</v>
      </c>
    </row>
    <row r="1489" spans="20:39" x14ac:dyDescent="0.2">
      <c r="T1489" s="28" t="s">
        <v>809</v>
      </c>
      <c r="U1489" s="68" t="s">
        <v>80</v>
      </c>
      <c r="V1489" s="72" t="str">
        <f t="shared" si="23"/>
        <v>MO_ATCHISON</v>
      </c>
      <c r="AJ1489" s="1" t="s">
        <v>82</v>
      </c>
      <c r="AK1489" s="1" t="s">
        <v>1150</v>
      </c>
      <c r="AL1489" s="1" t="s">
        <v>6768</v>
      </c>
      <c r="AM1489" s="1" t="s">
        <v>4040</v>
      </c>
    </row>
    <row r="1490" spans="20:39" x14ac:dyDescent="0.2">
      <c r="T1490" s="29" t="s">
        <v>1192</v>
      </c>
      <c r="U1490" s="69" t="s">
        <v>80</v>
      </c>
      <c r="V1490" s="72" t="str">
        <f t="shared" si="23"/>
        <v>MO_AUDRAIN</v>
      </c>
      <c r="AJ1490" s="1" t="s">
        <v>82</v>
      </c>
      <c r="AK1490" s="1" t="s">
        <v>1151</v>
      </c>
      <c r="AL1490" s="1" t="s">
        <v>6769</v>
      </c>
      <c r="AM1490" s="1" t="s">
        <v>4041</v>
      </c>
    </row>
    <row r="1491" spans="20:39" x14ac:dyDescent="0.2">
      <c r="T1491" s="28" t="s">
        <v>1038</v>
      </c>
      <c r="U1491" s="68" t="s">
        <v>80</v>
      </c>
      <c r="V1491" s="72" t="str">
        <f t="shared" si="23"/>
        <v>MO_BARRY</v>
      </c>
      <c r="AJ1491" s="1" t="s">
        <v>82</v>
      </c>
      <c r="AK1491" s="1" t="s">
        <v>1152</v>
      </c>
      <c r="AL1491" s="1" t="s">
        <v>6770</v>
      </c>
      <c r="AM1491" s="1" t="s">
        <v>4042</v>
      </c>
    </row>
    <row r="1492" spans="20:39" x14ac:dyDescent="0.2">
      <c r="T1492" s="29" t="s">
        <v>811</v>
      </c>
      <c r="U1492" s="69" t="s">
        <v>80</v>
      </c>
      <c r="V1492" s="72" t="str">
        <f t="shared" si="23"/>
        <v>MO_BARTON</v>
      </c>
      <c r="AJ1492" s="1" t="s">
        <v>82</v>
      </c>
      <c r="AK1492" s="1" t="s">
        <v>807</v>
      </c>
      <c r="AL1492" s="1" t="s">
        <v>6771</v>
      </c>
      <c r="AM1492" s="1" t="s">
        <v>4013</v>
      </c>
    </row>
    <row r="1493" spans="20:39" x14ac:dyDescent="0.2">
      <c r="T1493" s="28" t="s">
        <v>1193</v>
      </c>
      <c r="U1493" s="68" t="s">
        <v>80</v>
      </c>
      <c r="V1493" s="72" t="str">
        <f t="shared" si="23"/>
        <v>MO_BATES</v>
      </c>
      <c r="AJ1493" s="1" t="s">
        <v>82</v>
      </c>
      <c r="AK1493" s="1" t="s">
        <v>1153</v>
      </c>
      <c r="AL1493" s="1" t="s">
        <v>6772</v>
      </c>
      <c r="AM1493" s="1" t="s">
        <v>4043</v>
      </c>
    </row>
    <row r="1494" spans="20:39" x14ac:dyDescent="0.2">
      <c r="T1494" s="29" t="s">
        <v>296</v>
      </c>
      <c r="U1494" s="69" t="s">
        <v>80</v>
      </c>
      <c r="V1494" s="72" t="str">
        <f t="shared" si="23"/>
        <v>MO_BENTON</v>
      </c>
      <c r="AJ1494" s="1" t="s">
        <v>80</v>
      </c>
      <c r="AK1494" s="1" t="s">
        <v>763</v>
      </c>
      <c r="AL1494" s="1" t="s">
        <v>6773</v>
      </c>
      <c r="AM1494" s="1" t="s">
        <v>4044</v>
      </c>
    </row>
    <row r="1495" spans="20:39" x14ac:dyDescent="0.2">
      <c r="T1495" s="28" t="s">
        <v>1194</v>
      </c>
      <c r="U1495" s="68" t="s">
        <v>80</v>
      </c>
      <c r="V1495" s="72" t="str">
        <f t="shared" si="23"/>
        <v>MO_BOLLINGER</v>
      </c>
      <c r="AJ1495" s="1" t="s">
        <v>80</v>
      </c>
      <c r="AK1495" s="1" t="s">
        <v>1191</v>
      </c>
      <c r="AL1495" s="1" t="s">
        <v>6774</v>
      </c>
      <c r="AM1495" s="1" t="s">
        <v>3719</v>
      </c>
    </row>
    <row r="1496" spans="20:39" x14ac:dyDescent="0.2">
      <c r="T1496" s="29" t="s">
        <v>297</v>
      </c>
      <c r="U1496" s="69" t="s">
        <v>80</v>
      </c>
      <c r="V1496" s="72" t="str">
        <f t="shared" si="23"/>
        <v>MO_BOONE</v>
      </c>
      <c r="AJ1496" s="1" t="s">
        <v>80</v>
      </c>
      <c r="AK1496" s="1" t="s">
        <v>809</v>
      </c>
      <c r="AL1496" s="1" t="s">
        <v>6775</v>
      </c>
      <c r="AM1496" s="1" t="s">
        <v>4045</v>
      </c>
    </row>
    <row r="1497" spans="20:39" x14ac:dyDescent="0.2">
      <c r="T1497" s="28" t="s">
        <v>769</v>
      </c>
      <c r="U1497" s="68" t="s">
        <v>80</v>
      </c>
      <c r="V1497" s="72" t="str">
        <f t="shared" si="23"/>
        <v>MO_BUCHANAN</v>
      </c>
      <c r="AJ1497" s="1" t="s">
        <v>80</v>
      </c>
      <c r="AK1497" s="1" t="s">
        <v>1192</v>
      </c>
      <c r="AL1497" s="1" t="s">
        <v>6776</v>
      </c>
      <c r="AM1497" s="1" t="s">
        <v>4046</v>
      </c>
    </row>
    <row r="1498" spans="20:39" x14ac:dyDescent="0.2">
      <c r="T1498" s="29" t="s">
        <v>200</v>
      </c>
      <c r="U1498" s="69" t="s">
        <v>80</v>
      </c>
      <c r="V1498" s="72" t="str">
        <f t="shared" si="23"/>
        <v>MO_BUTLER</v>
      </c>
      <c r="AJ1498" s="1" t="s">
        <v>80</v>
      </c>
      <c r="AK1498" s="1" t="s">
        <v>1038</v>
      </c>
      <c r="AL1498" s="1" t="s">
        <v>6777</v>
      </c>
      <c r="AM1498" s="1" t="s">
        <v>4047</v>
      </c>
    </row>
    <row r="1499" spans="20:39" x14ac:dyDescent="0.2">
      <c r="T1499" s="28" t="s">
        <v>885</v>
      </c>
      <c r="U1499" s="68" t="s">
        <v>80</v>
      </c>
      <c r="V1499" s="72" t="str">
        <f t="shared" si="23"/>
        <v>MO_CALDWELL</v>
      </c>
      <c r="AJ1499" s="1" t="s">
        <v>80</v>
      </c>
      <c r="AK1499" s="1" t="s">
        <v>811</v>
      </c>
      <c r="AL1499" s="1" t="s">
        <v>6778</v>
      </c>
      <c r="AM1499" s="1" t="s">
        <v>4048</v>
      </c>
    </row>
    <row r="1500" spans="20:39" x14ac:dyDescent="0.2">
      <c r="T1500" s="29" t="s">
        <v>1195</v>
      </c>
      <c r="U1500" s="69" t="s">
        <v>80</v>
      </c>
      <c r="V1500" s="72" t="str">
        <f t="shared" si="23"/>
        <v>MO_CALLAWAY</v>
      </c>
      <c r="AJ1500" s="1" t="s">
        <v>80</v>
      </c>
      <c r="AK1500" s="1" t="s">
        <v>1193</v>
      </c>
      <c r="AL1500" s="1" t="s">
        <v>6779</v>
      </c>
      <c r="AM1500" s="1" t="s">
        <v>4049</v>
      </c>
    </row>
    <row r="1501" spans="20:39" x14ac:dyDescent="0.2">
      <c r="T1501" s="28" t="s">
        <v>537</v>
      </c>
      <c r="U1501" s="68" t="s">
        <v>80</v>
      </c>
      <c r="V1501" s="72" t="str">
        <f t="shared" si="23"/>
        <v>MO_CAMDEN</v>
      </c>
      <c r="AJ1501" s="1" t="s">
        <v>80</v>
      </c>
      <c r="AK1501" s="1" t="s">
        <v>296</v>
      </c>
      <c r="AL1501" s="1" t="s">
        <v>6780</v>
      </c>
      <c r="AM1501" s="1" t="s">
        <v>4050</v>
      </c>
    </row>
    <row r="1502" spans="20:39" x14ac:dyDescent="0.2">
      <c r="T1502" s="29" t="s">
        <v>1196</v>
      </c>
      <c r="U1502" s="69" t="s">
        <v>80</v>
      </c>
      <c r="V1502" s="72" t="str">
        <f t="shared" si="23"/>
        <v>MO_CAPE GIRARDEAU</v>
      </c>
      <c r="AJ1502" s="1" t="s">
        <v>80</v>
      </c>
      <c r="AK1502" s="1" t="s">
        <v>1194</v>
      </c>
      <c r="AL1502" s="1" t="s">
        <v>6781</v>
      </c>
      <c r="AM1502" s="1" t="s">
        <v>3506</v>
      </c>
    </row>
    <row r="1503" spans="20:39" x14ac:dyDescent="0.2">
      <c r="T1503" s="28" t="s">
        <v>299</v>
      </c>
      <c r="U1503" s="68" t="s">
        <v>80</v>
      </c>
      <c r="V1503" s="72" t="str">
        <f t="shared" si="23"/>
        <v>MO_CARROLL</v>
      </c>
      <c r="AJ1503" s="1" t="s">
        <v>80</v>
      </c>
      <c r="AK1503" s="1" t="s">
        <v>297</v>
      </c>
      <c r="AL1503" s="1" t="s">
        <v>6782</v>
      </c>
      <c r="AM1503" s="1" t="s">
        <v>4059</v>
      </c>
    </row>
    <row r="1504" spans="20:39" x14ac:dyDescent="0.2">
      <c r="T1504" s="29" t="s">
        <v>889</v>
      </c>
      <c r="U1504" s="69" t="s">
        <v>80</v>
      </c>
      <c r="V1504" s="72" t="str">
        <f t="shared" si="23"/>
        <v>MO_CARTER</v>
      </c>
      <c r="AJ1504" s="1" t="s">
        <v>80</v>
      </c>
      <c r="AK1504" s="1" t="s">
        <v>769</v>
      </c>
      <c r="AL1504" s="1" t="s">
        <v>6783</v>
      </c>
      <c r="AM1504" s="1" t="s">
        <v>3719</v>
      </c>
    </row>
    <row r="1505" spans="20:39" x14ac:dyDescent="0.2">
      <c r="T1505" s="28" t="s">
        <v>672</v>
      </c>
      <c r="U1505" s="68" t="s">
        <v>80</v>
      </c>
      <c r="V1505" s="72" t="str">
        <f t="shared" si="23"/>
        <v>MO_CASS</v>
      </c>
      <c r="AJ1505" s="1" t="s">
        <v>80</v>
      </c>
      <c r="AK1505" s="1" t="s">
        <v>200</v>
      </c>
      <c r="AL1505" s="1" t="s">
        <v>6784</v>
      </c>
      <c r="AM1505" s="1" t="s">
        <v>4051</v>
      </c>
    </row>
    <row r="1506" spans="20:39" x14ac:dyDescent="0.2">
      <c r="T1506" s="29" t="s">
        <v>771</v>
      </c>
      <c r="U1506" s="69" t="s">
        <v>80</v>
      </c>
      <c r="V1506" s="72" t="str">
        <f t="shared" si="23"/>
        <v>MO_CEDAR</v>
      </c>
      <c r="AJ1506" s="1" t="s">
        <v>80</v>
      </c>
      <c r="AK1506" s="1" t="s">
        <v>885</v>
      </c>
      <c r="AL1506" s="1" t="s">
        <v>6785</v>
      </c>
      <c r="AM1506" s="1" t="s">
        <v>3678</v>
      </c>
    </row>
    <row r="1507" spans="20:39" x14ac:dyDescent="0.2">
      <c r="T1507" s="28" t="s">
        <v>1197</v>
      </c>
      <c r="U1507" s="68" t="s">
        <v>80</v>
      </c>
      <c r="V1507" s="72" t="str">
        <f t="shared" si="23"/>
        <v>MO_CHARITON</v>
      </c>
      <c r="AJ1507" s="1" t="s">
        <v>80</v>
      </c>
      <c r="AK1507" s="1" t="s">
        <v>1195</v>
      </c>
      <c r="AL1507" s="1" t="s">
        <v>6786</v>
      </c>
      <c r="AM1507" s="1" t="s">
        <v>4052</v>
      </c>
    </row>
    <row r="1508" spans="20:39" x14ac:dyDescent="0.2">
      <c r="T1508" s="29" t="s">
        <v>674</v>
      </c>
      <c r="U1508" s="69" t="s">
        <v>80</v>
      </c>
      <c r="V1508" s="72" t="str">
        <f t="shared" si="23"/>
        <v>MO_CHRISTIAN</v>
      </c>
      <c r="AJ1508" s="1" t="s">
        <v>80</v>
      </c>
      <c r="AK1508" s="1" t="s">
        <v>537</v>
      </c>
      <c r="AL1508" s="1" t="s">
        <v>6787</v>
      </c>
      <c r="AM1508" s="1" t="s">
        <v>4053</v>
      </c>
    </row>
    <row r="1509" spans="20:39" x14ac:dyDescent="0.2">
      <c r="T1509" s="28" t="s">
        <v>301</v>
      </c>
      <c r="U1509" s="68" t="s">
        <v>80</v>
      </c>
      <c r="V1509" s="72" t="str">
        <f t="shared" si="23"/>
        <v>MO_CLARK</v>
      </c>
      <c r="AJ1509" s="1" t="s">
        <v>80</v>
      </c>
      <c r="AK1509" s="1" t="s">
        <v>1196</v>
      </c>
      <c r="AL1509" s="1" t="s">
        <v>6788</v>
      </c>
      <c r="AM1509" s="1" t="s">
        <v>3506</v>
      </c>
    </row>
    <row r="1510" spans="20:39" x14ac:dyDescent="0.2">
      <c r="T1510" s="29" t="s">
        <v>207</v>
      </c>
      <c r="U1510" s="69" t="s">
        <v>80</v>
      </c>
      <c r="V1510" s="72" t="str">
        <f t="shared" si="23"/>
        <v>MO_CLAY</v>
      </c>
      <c r="AJ1510" s="1" t="s">
        <v>80</v>
      </c>
      <c r="AK1510" s="1" t="s">
        <v>299</v>
      </c>
      <c r="AL1510" s="1" t="s">
        <v>6789</v>
      </c>
      <c r="AM1510" s="1" t="s">
        <v>4054</v>
      </c>
    </row>
    <row r="1511" spans="20:39" x14ac:dyDescent="0.2">
      <c r="T1511" s="28" t="s">
        <v>675</v>
      </c>
      <c r="U1511" s="68" t="s">
        <v>80</v>
      </c>
      <c r="V1511" s="72" t="str">
        <f t="shared" si="23"/>
        <v>MO_CLINTON</v>
      </c>
      <c r="AJ1511" s="1" t="s">
        <v>80</v>
      </c>
      <c r="AK1511" s="1" t="s">
        <v>889</v>
      </c>
      <c r="AL1511" s="1" t="s">
        <v>6790</v>
      </c>
      <c r="AM1511" s="1" t="s">
        <v>4055</v>
      </c>
    </row>
    <row r="1512" spans="20:39" x14ac:dyDescent="0.2">
      <c r="T1512" s="29" t="s">
        <v>1198</v>
      </c>
      <c r="U1512" s="69" t="s">
        <v>80</v>
      </c>
      <c r="V1512" s="72" t="str">
        <f t="shared" si="23"/>
        <v>MO_COLE</v>
      </c>
      <c r="AJ1512" s="1" t="s">
        <v>80</v>
      </c>
      <c r="AK1512" s="1" t="s">
        <v>672</v>
      </c>
      <c r="AL1512" s="1" t="s">
        <v>6791</v>
      </c>
      <c r="AM1512" s="1" t="s">
        <v>3678</v>
      </c>
    </row>
    <row r="1513" spans="20:39" x14ac:dyDescent="0.2">
      <c r="T1513" s="28" t="s">
        <v>1199</v>
      </c>
      <c r="U1513" s="68" t="s">
        <v>80</v>
      </c>
      <c r="V1513" s="72" t="str">
        <f t="shared" si="23"/>
        <v>MO_COOPER</v>
      </c>
      <c r="AJ1513" s="1" t="s">
        <v>80</v>
      </c>
      <c r="AK1513" s="1" t="s">
        <v>771</v>
      </c>
      <c r="AL1513" s="1" t="s">
        <v>6792</v>
      </c>
      <c r="AM1513" s="1" t="s">
        <v>4056</v>
      </c>
    </row>
    <row r="1514" spans="20:39" x14ac:dyDescent="0.2">
      <c r="T1514" s="29" t="s">
        <v>306</v>
      </c>
      <c r="U1514" s="69" t="s">
        <v>80</v>
      </c>
      <c r="V1514" s="72" t="str">
        <f t="shared" si="23"/>
        <v>MO_CRAWFORD</v>
      </c>
      <c r="AJ1514" s="1" t="s">
        <v>80</v>
      </c>
      <c r="AK1514" s="1" t="s">
        <v>1197</v>
      </c>
      <c r="AL1514" s="1" t="s">
        <v>6793</v>
      </c>
      <c r="AM1514" s="1" t="s">
        <v>4057</v>
      </c>
    </row>
    <row r="1515" spans="20:39" x14ac:dyDescent="0.2">
      <c r="T1515" s="28" t="s">
        <v>482</v>
      </c>
      <c r="U1515" s="68" t="s">
        <v>80</v>
      </c>
      <c r="V1515" s="72" t="str">
        <f t="shared" si="23"/>
        <v>MO_DADE</v>
      </c>
      <c r="AJ1515" s="1" t="s">
        <v>80</v>
      </c>
      <c r="AK1515" s="1" t="s">
        <v>674</v>
      </c>
      <c r="AL1515" s="1" t="s">
        <v>6794</v>
      </c>
      <c r="AM1515" s="1" t="s">
        <v>4120</v>
      </c>
    </row>
    <row r="1516" spans="20:39" x14ac:dyDescent="0.2">
      <c r="T1516" s="29" t="s">
        <v>217</v>
      </c>
      <c r="U1516" s="69" t="s">
        <v>80</v>
      </c>
      <c r="V1516" s="72" t="str">
        <f t="shared" si="23"/>
        <v>MO_DALLAS</v>
      </c>
      <c r="AJ1516" s="1" t="s">
        <v>80</v>
      </c>
      <c r="AK1516" s="1" t="s">
        <v>301</v>
      </c>
      <c r="AL1516" s="1" t="s">
        <v>6795</v>
      </c>
      <c r="AM1516" s="1" t="s">
        <v>4058</v>
      </c>
    </row>
    <row r="1517" spans="20:39" x14ac:dyDescent="0.2">
      <c r="T1517" s="28" t="s">
        <v>725</v>
      </c>
      <c r="U1517" s="68" t="s">
        <v>80</v>
      </c>
      <c r="V1517" s="72" t="str">
        <f t="shared" si="23"/>
        <v>MO_DAVIESS</v>
      </c>
      <c r="AJ1517" s="1" t="s">
        <v>80</v>
      </c>
      <c r="AK1517" s="1" t="s">
        <v>207</v>
      </c>
      <c r="AL1517" s="1" t="s">
        <v>6796</v>
      </c>
      <c r="AM1517" s="1" t="s">
        <v>3678</v>
      </c>
    </row>
    <row r="1518" spans="20:39" x14ac:dyDescent="0.2">
      <c r="T1518" s="29" t="s">
        <v>218</v>
      </c>
      <c r="U1518" s="69" t="s">
        <v>80</v>
      </c>
      <c r="V1518" s="72" t="str">
        <f t="shared" si="23"/>
        <v>MO_DEKALB</v>
      </c>
      <c r="AJ1518" s="1" t="s">
        <v>80</v>
      </c>
      <c r="AK1518" s="1" t="s">
        <v>675</v>
      </c>
      <c r="AL1518" s="1" t="s">
        <v>6797</v>
      </c>
      <c r="AM1518" s="1" t="s">
        <v>3678</v>
      </c>
    </row>
    <row r="1519" spans="20:39" x14ac:dyDescent="0.2">
      <c r="T1519" s="28" t="s">
        <v>1200</v>
      </c>
      <c r="U1519" s="68" t="s">
        <v>80</v>
      </c>
      <c r="V1519" s="72" t="str">
        <f t="shared" si="23"/>
        <v>MO_DENT</v>
      </c>
      <c r="AJ1519" s="1" t="s">
        <v>80</v>
      </c>
      <c r="AK1519" s="1" t="s">
        <v>1198</v>
      </c>
      <c r="AL1519" s="1" t="s">
        <v>6798</v>
      </c>
      <c r="AM1519" s="1" t="s">
        <v>4078</v>
      </c>
    </row>
    <row r="1520" spans="20:39" x14ac:dyDescent="0.2">
      <c r="T1520" s="29" t="s">
        <v>423</v>
      </c>
      <c r="U1520" s="69" t="s">
        <v>80</v>
      </c>
      <c r="V1520" s="72" t="str">
        <f t="shared" si="23"/>
        <v>MO_DOUGLAS</v>
      </c>
      <c r="AJ1520" s="1" t="s">
        <v>80</v>
      </c>
      <c r="AK1520" s="1" t="s">
        <v>1199</v>
      </c>
      <c r="AL1520" s="1" t="s">
        <v>6799</v>
      </c>
      <c r="AM1520" s="1" t="s">
        <v>4060</v>
      </c>
    </row>
    <row r="1521" spans="20:39" x14ac:dyDescent="0.2">
      <c r="T1521" s="28" t="s">
        <v>1201</v>
      </c>
      <c r="U1521" s="68" t="s">
        <v>80</v>
      </c>
      <c r="V1521" s="72" t="str">
        <f t="shared" si="23"/>
        <v>MO_DUNKLIN</v>
      </c>
      <c r="AJ1521" s="1" t="s">
        <v>80</v>
      </c>
      <c r="AK1521" s="1" t="s">
        <v>306</v>
      </c>
      <c r="AL1521" s="1" t="s">
        <v>6800</v>
      </c>
      <c r="AM1521" s="1" t="s">
        <v>4061</v>
      </c>
    </row>
    <row r="1522" spans="20:39" x14ac:dyDescent="0.2">
      <c r="T1522" s="29" t="s">
        <v>223</v>
      </c>
      <c r="U1522" s="69" t="s">
        <v>80</v>
      </c>
      <c r="V1522" s="72" t="str">
        <f t="shared" si="23"/>
        <v>MO_FRANKLIN</v>
      </c>
      <c r="AJ1522" s="1" t="s">
        <v>80</v>
      </c>
      <c r="AK1522" s="1" t="s">
        <v>482</v>
      </c>
      <c r="AL1522" s="1" t="s">
        <v>6801</v>
      </c>
      <c r="AM1522" s="1" t="s">
        <v>4062</v>
      </c>
    </row>
    <row r="1523" spans="20:39" x14ac:dyDescent="0.2">
      <c r="T1523" s="28" t="s">
        <v>1202</v>
      </c>
      <c r="U1523" s="68" t="s">
        <v>80</v>
      </c>
      <c r="V1523" s="72" t="str">
        <f t="shared" si="23"/>
        <v>MO_GASCONADE</v>
      </c>
      <c r="AJ1523" s="1" t="s">
        <v>80</v>
      </c>
      <c r="AK1523" s="1" t="s">
        <v>217</v>
      </c>
      <c r="AL1523" s="1" t="s">
        <v>6802</v>
      </c>
      <c r="AM1523" s="1" t="s">
        <v>4063</v>
      </c>
    </row>
    <row r="1524" spans="20:39" x14ac:dyDescent="0.2">
      <c r="T1524" s="29" t="s">
        <v>1203</v>
      </c>
      <c r="U1524" s="69" t="s">
        <v>80</v>
      </c>
      <c r="V1524" s="72" t="str">
        <f t="shared" si="23"/>
        <v>MO_GENTRY</v>
      </c>
      <c r="AJ1524" s="1" t="s">
        <v>80</v>
      </c>
      <c r="AK1524" s="1" t="s">
        <v>725</v>
      </c>
      <c r="AL1524" s="1" t="s">
        <v>6803</v>
      </c>
      <c r="AM1524" s="1" t="s">
        <v>4064</v>
      </c>
    </row>
    <row r="1525" spans="20:39" x14ac:dyDescent="0.2">
      <c r="T1525" s="28" t="s">
        <v>225</v>
      </c>
      <c r="U1525" s="68" t="s">
        <v>80</v>
      </c>
      <c r="V1525" s="72" t="str">
        <f t="shared" si="23"/>
        <v>MO_GREENE</v>
      </c>
      <c r="AJ1525" s="1" t="s">
        <v>80</v>
      </c>
      <c r="AK1525" s="1" t="s">
        <v>218</v>
      </c>
      <c r="AL1525" s="1" t="s">
        <v>6804</v>
      </c>
      <c r="AM1525" s="1" t="s">
        <v>3719</v>
      </c>
    </row>
    <row r="1526" spans="20:39" x14ac:dyDescent="0.2">
      <c r="T1526" s="29" t="s">
        <v>684</v>
      </c>
      <c r="U1526" s="69" t="s">
        <v>80</v>
      </c>
      <c r="V1526" s="72" t="str">
        <f t="shared" si="23"/>
        <v>MO_GRUNDY</v>
      </c>
      <c r="AJ1526" s="1" t="s">
        <v>80</v>
      </c>
      <c r="AK1526" s="1" t="s">
        <v>1200</v>
      </c>
      <c r="AL1526" s="1" t="s">
        <v>6805</v>
      </c>
      <c r="AM1526" s="1" t="s">
        <v>4065</v>
      </c>
    </row>
    <row r="1527" spans="20:39" x14ac:dyDescent="0.2">
      <c r="T1527" s="28" t="s">
        <v>732</v>
      </c>
      <c r="U1527" s="68" t="s">
        <v>80</v>
      </c>
      <c r="V1527" s="72" t="str">
        <f t="shared" si="23"/>
        <v>MO_HARRISON</v>
      </c>
      <c r="AJ1527" s="1" t="s">
        <v>80</v>
      </c>
      <c r="AK1527" s="1" t="s">
        <v>423</v>
      </c>
      <c r="AL1527" s="1" t="s">
        <v>6806</v>
      </c>
      <c r="AM1527" s="1" t="s">
        <v>4066</v>
      </c>
    </row>
    <row r="1528" spans="20:39" x14ac:dyDescent="0.2">
      <c r="T1528" s="29" t="s">
        <v>227</v>
      </c>
      <c r="U1528" s="69" t="s">
        <v>80</v>
      </c>
      <c r="V1528" s="72" t="str">
        <f t="shared" si="23"/>
        <v>MO_HENRY</v>
      </c>
      <c r="AJ1528" s="1" t="s">
        <v>80</v>
      </c>
      <c r="AK1528" s="1" t="s">
        <v>1201</v>
      </c>
      <c r="AL1528" s="1" t="s">
        <v>6807</v>
      </c>
      <c r="AM1528" s="1" t="s">
        <v>4067</v>
      </c>
    </row>
    <row r="1529" spans="20:39" x14ac:dyDescent="0.2">
      <c r="T1529" s="28" t="s">
        <v>1204</v>
      </c>
      <c r="U1529" s="68" t="s">
        <v>80</v>
      </c>
      <c r="V1529" s="72" t="str">
        <f t="shared" si="23"/>
        <v>MO_HICKORY</v>
      </c>
      <c r="AJ1529" s="1" t="s">
        <v>80</v>
      </c>
      <c r="AK1529" s="1" t="s">
        <v>223</v>
      </c>
      <c r="AL1529" s="1" t="s">
        <v>6808</v>
      </c>
      <c r="AM1529" s="1" t="s">
        <v>3565</v>
      </c>
    </row>
    <row r="1530" spans="20:39" x14ac:dyDescent="0.2">
      <c r="T1530" s="29" t="s">
        <v>1205</v>
      </c>
      <c r="U1530" s="69" t="s">
        <v>80</v>
      </c>
      <c r="V1530" s="72" t="str">
        <f t="shared" si="23"/>
        <v>MO_HOLT</v>
      </c>
      <c r="AJ1530" s="1" t="s">
        <v>80</v>
      </c>
      <c r="AK1530" s="1" t="s">
        <v>1202</v>
      </c>
      <c r="AL1530" s="1" t="s">
        <v>6809</v>
      </c>
      <c r="AM1530" s="1" t="s">
        <v>4068</v>
      </c>
    </row>
    <row r="1531" spans="20:39" x14ac:dyDescent="0.2">
      <c r="T1531" s="28" t="s">
        <v>317</v>
      </c>
      <c r="U1531" s="68" t="s">
        <v>80</v>
      </c>
      <c r="V1531" s="72" t="str">
        <f t="shared" si="23"/>
        <v>MO_HOWARD</v>
      </c>
      <c r="AJ1531" s="1" t="s">
        <v>80</v>
      </c>
      <c r="AK1531" s="1" t="s">
        <v>1203</v>
      </c>
      <c r="AL1531" s="1" t="s">
        <v>6810</v>
      </c>
      <c r="AM1531" s="1" t="s">
        <v>4069</v>
      </c>
    </row>
    <row r="1532" spans="20:39" x14ac:dyDescent="0.2">
      <c r="T1532" s="29" t="s">
        <v>1206</v>
      </c>
      <c r="U1532" s="69" t="s">
        <v>80</v>
      </c>
      <c r="V1532" s="72" t="str">
        <f t="shared" si="23"/>
        <v>MO_HOWELL</v>
      </c>
      <c r="AJ1532" s="1" t="s">
        <v>80</v>
      </c>
      <c r="AK1532" s="1" t="s">
        <v>225</v>
      </c>
      <c r="AL1532" s="1" t="s">
        <v>6811</v>
      </c>
      <c r="AM1532" s="1" t="s">
        <v>4120</v>
      </c>
    </row>
    <row r="1533" spans="20:39" x14ac:dyDescent="0.2">
      <c r="T1533" s="28" t="s">
        <v>1057</v>
      </c>
      <c r="U1533" s="68" t="s">
        <v>80</v>
      </c>
      <c r="V1533" s="72" t="str">
        <f t="shared" si="23"/>
        <v>MO_IRON</v>
      </c>
      <c r="AJ1533" s="1" t="s">
        <v>80</v>
      </c>
      <c r="AK1533" s="1" t="s">
        <v>684</v>
      </c>
      <c r="AL1533" s="1" t="s">
        <v>6812</v>
      </c>
      <c r="AM1533" s="1" t="s">
        <v>4070</v>
      </c>
    </row>
    <row r="1534" spans="20:39" x14ac:dyDescent="0.2">
      <c r="T1534" s="29" t="s">
        <v>229</v>
      </c>
      <c r="U1534" s="69" t="s">
        <v>80</v>
      </c>
      <c r="V1534" s="72" t="str">
        <f t="shared" si="23"/>
        <v>MO_JACKSON</v>
      </c>
      <c r="AJ1534" s="1" t="s">
        <v>80</v>
      </c>
      <c r="AK1534" s="1" t="s">
        <v>732</v>
      </c>
      <c r="AL1534" s="1" t="s">
        <v>6813</v>
      </c>
      <c r="AM1534" s="1" t="s">
        <v>4071</v>
      </c>
    </row>
    <row r="1535" spans="20:39" x14ac:dyDescent="0.2">
      <c r="T1535" s="28" t="s">
        <v>579</v>
      </c>
      <c r="U1535" s="68" t="s">
        <v>80</v>
      </c>
      <c r="V1535" s="72" t="str">
        <f t="shared" si="23"/>
        <v>MO_JASPER</v>
      </c>
      <c r="AJ1535" s="1" t="s">
        <v>80</v>
      </c>
      <c r="AK1535" s="1" t="s">
        <v>227</v>
      </c>
      <c r="AL1535" s="1" t="s">
        <v>6814</v>
      </c>
      <c r="AM1535" s="1" t="s">
        <v>4072</v>
      </c>
    </row>
    <row r="1536" spans="20:39" x14ac:dyDescent="0.2">
      <c r="T1536" s="29" t="s">
        <v>230</v>
      </c>
      <c r="U1536" s="69" t="s">
        <v>80</v>
      </c>
      <c r="V1536" s="72" t="str">
        <f t="shared" si="23"/>
        <v>MO_JEFFERSON</v>
      </c>
      <c r="AJ1536" s="1" t="s">
        <v>80</v>
      </c>
      <c r="AK1536" s="1" t="s">
        <v>1204</v>
      </c>
      <c r="AL1536" s="1" t="s">
        <v>6815</v>
      </c>
      <c r="AM1536" s="1" t="s">
        <v>4073</v>
      </c>
    </row>
    <row r="1537" spans="20:39" x14ac:dyDescent="0.2">
      <c r="T1537" s="28" t="s">
        <v>320</v>
      </c>
      <c r="U1537" s="68" t="s">
        <v>80</v>
      </c>
      <c r="V1537" s="72" t="str">
        <f t="shared" si="23"/>
        <v>MO_JOHNSON</v>
      </c>
      <c r="AJ1537" s="1" t="s">
        <v>80</v>
      </c>
      <c r="AK1537" s="1" t="s">
        <v>1205</v>
      </c>
      <c r="AL1537" s="1" t="s">
        <v>6816</v>
      </c>
      <c r="AM1537" s="1" t="s">
        <v>4074</v>
      </c>
    </row>
    <row r="1538" spans="20:39" x14ac:dyDescent="0.2">
      <c r="T1538" s="29" t="s">
        <v>693</v>
      </c>
      <c r="U1538" s="69" t="s">
        <v>80</v>
      </c>
      <c r="V1538" s="72" t="str">
        <f t="shared" si="23"/>
        <v>MO_KNOX</v>
      </c>
      <c r="AJ1538" s="1" t="s">
        <v>80</v>
      </c>
      <c r="AK1538" s="1" t="s">
        <v>317</v>
      </c>
      <c r="AL1538" s="1" t="s">
        <v>6817</v>
      </c>
      <c r="AM1538" s="1" t="s">
        <v>4075</v>
      </c>
    </row>
    <row r="1539" spans="20:39" x14ac:dyDescent="0.2">
      <c r="T1539" s="28" t="s">
        <v>1207</v>
      </c>
      <c r="U1539" s="68" t="s">
        <v>80</v>
      </c>
      <c r="V1539" s="72" t="str">
        <f t="shared" si="23"/>
        <v>MO_LACLEDE</v>
      </c>
      <c r="AJ1539" s="1" t="s">
        <v>80</v>
      </c>
      <c r="AK1539" s="1" t="s">
        <v>1206</v>
      </c>
      <c r="AL1539" s="1" t="s">
        <v>6818</v>
      </c>
      <c r="AM1539" s="1" t="s">
        <v>4076</v>
      </c>
    </row>
    <row r="1540" spans="20:39" x14ac:dyDescent="0.2">
      <c r="T1540" s="29" t="s">
        <v>321</v>
      </c>
      <c r="U1540" s="69" t="s">
        <v>80</v>
      </c>
      <c r="V1540" s="72" t="str">
        <f t="shared" si="23"/>
        <v>MO_LAFAYETTE</v>
      </c>
      <c r="AJ1540" s="1" t="s">
        <v>80</v>
      </c>
      <c r="AK1540" s="1" t="s">
        <v>1057</v>
      </c>
      <c r="AL1540" s="1" t="s">
        <v>6819</v>
      </c>
      <c r="AM1540" s="1" t="s">
        <v>4077</v>
      </c>
    </row>
    <row r="1541" spans="20:39" x14ac:dyDescent="0.2">
      <c r="T1541" s="28" t="s">
        <v>233</v>
      </c>
      <c r="U1541" s="68" t="s">
        <v>80</v>
      </c>
      <c r="V1541" s="72" t="str">
        <f t="shared" si="23"/>
        <v>MO_LAWRENCE</v>
      </c>
      <c r="AJ1541" s="1" t="s">
        <v>80</v>
      </c>
      <c r="AK1541" s="1" t="s">
        <v>229</v>
      </c>
      <c r="AL1541" s="1" t="s">
        <v>6820</v>
      </c>
      <c r="AM1541" s="1" t="s">
        <v>3678</v>
      </c>
    </row>
    <row r="1542" spans="20:39" x14ac:dyDescent="0.2">
      <c r="T1542" s="29" t="s">
        <v>657</v>
      </c>
      <c r="U1542" s="69" t="s">
        <v>80</v>
      </c>
      <c r="V1542" s="72" t="str">
        <f t="shared" si="23"/>
        <v>MO_LEWIS</v>
      </c>
      <c r="AJ1542" s="1" t="s">
        <v>80</v>
      </c>
      <c r="AK1542" s="1" t="s">
        <v>579</v>
      </c>
      <c r="AL1542" s="1" t="s">
        <v>6821</v>
      </c>
      <c r="AM1542" s="1" t="s">
        <v>9210</v>
      </c>
    </row>
    <row r="1543" spans="20:39" x14ac:dyDescent="0.2">
      <c r="T1543" s="28" t="s">
        <v>322</v>
      </c>
      <c r="U1543" s="68" t="s">
        <v>80</v>
      </c>
      <c r="V1543" s="72" t="str">
        <f t="shared" si="23"/>
        <v>MO_LINCOLN</v>
      </c>
      <c r="AJ1543" s="1" t="s">
        <v>80</v>
      </c>
      <c r="AK1543" s="1" t="s">
        <v>230</v>
      </c>
      <c r="AL1543" s="1" t="s">
        <v>6822</v>
      </c>
      <c r="AM1543" s="1" t="s">
        <v>3565</v>
      </c>
    </row>
    <row r="1544" spans="20:39" x14ac:dyDescent="0.2">
      <c r="T1544" s="29" t="s">
        <v>784</v>
      </c>
      <c r="U1544" s="69" t="s">
        <v>80</v>
      </c>
      <c r="V1544" s="72" t="str">
        <f t="shared" si="23"/>
        <v>MO_LINN</v>
      </c>
      <c r="AJ1544" s="1" t="s">
        <v>80</v>
      </c>
      <c r="AK1544" s="1" t="s">
        <v>320</v>
      </c>
      <c r="AL1544" s="1" t="s">
        <v>6823</v>
      </c>
      <c r="AM1544" s="1" t="s">
        <v>4079</v>
      </c>
    </row>
    <row r="1545" spans="20:39" x14ac:dyDescent="0.2">
      <c r="T1545" s="28" t="s">
        <v>695</v>
      </c>
      <c r="U1545" s="68" t="s">
        <v>80</v>
      </c>
      <c r="V1545" s="72" t="str">
        <f t="shared" si="23"/>
        <v>MO_LIVINGSTON</v>
      </c>
      <c r="AJ1545" s="1" t="s">
        <v>80</v>
      </c>
      <c r="AK1545" s="1" t="s">
        <v>693</v>
      </c>
      <c r="AL1545" s="1" t="s">
        <v>6824</v>
      </c>
      <c r="AM1545" s="1" t="s">
        <v>4080</v>
      </c>
    </row>
    <row r="1546" spans="20:39" x14ac:dyDescent="0.2">
      <c r="T1546" s="29" t="s">
        <v>1208</v>
      </c>
      <c r="U1546" s="69" t="s">
        <v>80</v>
      </c>
      <c r="V1546" s="72" t="str">
        <f t="shared" ref="V1546:V1610" si="24">UPPER(CONCATENATE(TRIM(U1546),"_",TRIM(T1546)))</f>
        <v>MO_MCDONALD</v>
      </c>
      <c r="AJ1546" s="1" t="s">
        <v>80</v>
      </c>
      <c r="AK1546" s="1" t="s">
        <v>1207</v>
      </c>
      <c r="AL1546" s="1" t="s">
        <v>6825</v>
      </c>
      <c r="AM1546" s="1" t="s">
        <v>4081</v>
      </c>
    </row>
    <row r="1547" spans="20:39" x14ac:dyDescent="0.2">
      <c r="T1547" s="28" t="s">
        <v>237</v>
      </c>
      <c r="U1547" s="68" t="s">
        <v>80</v>
      </c>
      <c r="V1547" s="72" t="str">
        <f t="shared" si="24"/>
        <v>MO_MACON</v>
      </c>
      <c r="AJ1547" s="1" t="s">
        <v>80</v>
      </c>
      <c r="AK1547" s="1" t="s">
        <v>321</v>
      </c>
      <c r="AL1547" s="1" t="s">
        <v>6826</v>
      </c>
      <c r="AM1547" s="1" t="s">
        <v>3678</v>
      </c>
    </row>
    <row r="1548" spans="20:39" x14ac:dyDescent="0.2">
      <c r="T1548" s="29" t="s">
        <v>238</v>
      </c>
      <c r="U1548" s="69" t="s">
        <v>80</v>
      </c>
      <c r="V1548" s="72" t="str">
        <f t="shared" si="24"/>
        <v>MO_MADISON</v>
      </c>
      <c r="AJ1548" s="1" t="s">
        <v>80</v>
      </c>
      <c r="AK1548" s="1" t="s">
        <v>233</v>
      </c>
      <c r="AL1548" s="1" t="s">
        <v>6827</v>
      </c>
      <c r="AM1548" s="1" t="s">
        <v>4082</v>
      </c>
    </row>
    <row r="1549" spans="20:39" x14ac:dyDescent="0.2">
      <c r="T1549" s="28" t="s">
        <v>1209</v>
      </c>
      <c r="U1549" s="68" t="s">
        <v>80</v>
      </c>
      <c r="V1549" s="72" t="str">
        <f t="shared" si="24"/>
        <v>MO_MARIES</v>
      </c>
      <c r="AJ1549" s="1" t="s">
        <v>80</v>
      </c>
      <c r="AK1549" s="1" t="s">
        <v>657</v>
      </c>
      <c r="AL1549" s="1" t="s">
        <v>6828</v>
      </c>
      <c r="AM1549" s="1" t="s">
        <v>4083</v>
      </c>
    </row>
    <row r="1550" spans="20:39" x14ac:dyDescent="0.2">
      <c r="T1550" s="29" t="s">
        <v>240</v>
      </c>
      <c r="U1550" s="69" t="s">
        <v>80</v>
      </c>
      <c r="V1550" s="72" t="str">
        <f t="shared" si="24"/>
        <v>MO_MARION</v>
      </c>
      <c r="AJ1550" s="1" t="s">
        <v>80</v>
      </c>
      <c r="AK1550" s="1" t="s">
        <v>322</v>
      </c>
      <c r="AL1550" s="1" t="s">
        <v>6829</v>
      </c>
      <c r="AM1550" s="1" t="s">
        <v>3565</v>
      </c>
    </row>
    <row r="1551" spans="20:39" x14ac:dyDescent="0.2">
      <c r="T1551" s="28" t="s">
        <v>703</v>
      </c>
      <c r="U1551" s="68" t="s">
        <v>80</v>
      </c>
      <c r="V1551" s="72" t="str">
        <f t="shared" si="24"/>
        <v>MO_MERCER</v>
      </c>
      <c r="AJ1551" s="1" t="s">
        <v>80</v>
      </c>
      <c r="AK1551" s="1" t="s">
        <v>784</v>
      </c>
      <c r="AL1551" s="1" t="s">
        <v>6830</v>
      </c>
      <c r="AM1551" s="1" t="s">
        <v>4084</v>
      </c>
    </row>
    <row r="1552" spans="20:39" x14ac:dyDescent="0.2">
      <c r="T1552" s="29" t="s">
        <v>326</v>
      </c>
      <c r="U1552" s="69" t="s">
        <v>80</v>
      </c>
      <c r="V1552" s="72" t="str">
        <f t="shared" si="24"/>
        <v>MO_MILLER</v>
      </c>
      <c r="AJ1552" s="1" t="s">
        <v>80</v>
      </c>
      <c r="AK1552" s="1" t="s">
        <v>695</v>
      </c>
      <c r="AL1552" s="1" t="s">
        <v>6831</v>
      </c>
      <c r="AM1552" s="1" t="s">
        <v>4085</v>
      </c>
    </row>
    <row r="1553" spans="20:39" x14ac:dyDescent="0.2">
      <c r="T1553" s="28" t="s">
        <v>327</v>
      </c>
      <c r="U1553" s="68" t="s">
        <v>80</v>
      </c>
      <c r="V1553" s="72" t="str">
        <f t="shared" si="24"/>
        <v>MO_MISSISSIPPI</v>
      </c>
      <c r="AJ1553" s="1" t="s">
        <v>80</v>
      </c>
      <c r="AK1553" s="1" t="s">
        <v>237</v>
      </c>
      <c r="AL1553" s="1" t="s">
        <v>6832</v>
      </c>
      <c r="AM1553" s="1" t="s">
        <v>4086</v>
      </c>
    </row>
    <row r="1554" spans="20:39" x14ac:dyDescent="0.2">
      <c r="T1554" s="29" t="s">
        <v>1210</v>
      </c>
      <c r="U1554" s="69" t="s">
        <v>80</v>
      </c>
      <c r="V1554" s="72" t="str">
        <f t="shared" si="24"/>
        <v>MO_MONITEAU</v>
      </c>
      <c r="AJ1554" s="1" t="s">
        <v>80</v>
      </c>
      <c r="AK1554" s="1" t="s">
        <v>238</v>
      </c>
      <c r="AL1554" s="1" t="s">
        <v>6833</v>
      </c>
      <c r="AM1554" s="1" t="s">
        <v>4087</v>
      </c>
    </row>
    <row r="1555" spans="20:39" x14ac:dyDescent="0.2">
      <c r="T1555" s="28" t="s">
        <v>243</v>
      </c>
      <c r="U1555" s="68" t="s">
        <v>80</v>
      </c>
      <c r="V1555" s="72" t="str">
        <f t="shared" si="24"/>
        <v>MO_MONROE</v>
      </c>
      <c r="AJ1555" s="1" t="s">
        <v>80</v>
      </c>
      <c r="AK1555" s="1" t="s">
        <v>1209</v>
      </c>
      <c r="AL1555" s="1" t="s">
        <v>6834</v>
      </c>
      <c r="AM1555" s="1" t="s">
        <v>4088</v>
      </c>
    </row>
    <row r="1556" spans="20:39" x14ac:dyDescent="0.2">
      <c r="T1556" s="29" t="s">
        <v>244</v>
      </c>
      <c r="U1556" s="69" t="s">
        <v>80</v>
      </c>
      <c r="V1556" s="72" t="str">
        <f t="shared" si="24"/>
        <v>MO_MONTGOMERY</v>
      </c>
      <c r="AJ1556" s="1" t="s">
        <v>80</v>
      </c>
      <c r="AK1556" s="1" t="s">
        <v>240</v>
      </c>
      <c r="AL1556" s="1" t="s">
        <v>6835</v>
      </c>
      <c r="AM1556" s="1" t="s">
        <v>4089</v>
      </c>
    </row>
    <row r="1557" spans="20:39" x14ac:dyDescent="0.2">
      <c r="T1557" s="28" t="s">
        <v>245</v>
      </c>
      <c r="U1557" s="68" t="s">
        <v>80</v>
      </c>
      <c r="V1557" s="72" t="str">
        <f t="shared" si="24"/>
        <v>MO_MORGAN</v>
      </c>
      <c r="AJ1557" s="1" t="s">
        <v>80</v>
      </c>
      <c r="AK1557" s="1" t="s">
        <v>1208</v>
      </c>
      <c r="AL1557" s="1" t="s">
        <v>6836</v>
      </c>
      <c r="AM1557" s="1" t="s">
        <v>4090</v>
      </c>
    </row>
    <row r="1558" spans="20:39" x14ac:dyDescent="0.2">
      <c r="T1558" s="29" t="s">
        <v>1211</v>
      </c>
      <c r="U1558" s="69" t="s">
        <v>80</v>
      </c>
      <c r="V1558" s="72" t="str">
        <f t="shared" si="24"/>
        <v>MO_NEW MADRID</v>
      </c>
      <c r="AJ1558" s="1" t="s">
        <v>80</v>
      </c>
      <c r="AK1558" s="1" t="s">
        <v>703</v>
      </c>
      <c r="AL1558" s="1" t="s">
        <v>6837</v>
      </c>
      <c r="AM1558" s="1" t="s">
        <v>4091</v>
      </c>
    </row>
    <row r="1559" spans="20:39" x14ac:dyDescent="0.2">
      <c r="T1559" s="28" t="s">
        <v>329</v>
      </c>
      <c r="U1559" s="68" t="s">
        <v>80</v>
      </c>
      <c r="V1559" s="72" t="str">
        <f t="shared" si="24"/>
        <v>MO_NEWTON</v>
      </c>
      <c r="AJ1559" s="1" t="s">
        <v>80</v>
      </c>
      <c r="AK1559" s="1" t="s">
        <v>326</v>
      </c>
      <c r="AL1559" s="1" t="s">
        <v>6838</v>
      </c>
      <c r="AM1559" s="1" t="s">
        <v>4092</v>
      </c>
    </row>
    <row r="1560" spans="20:39" x14ac:dyDescent="0.2">
      <c r="T1560" s="29" t="s">
        <v>1212</v>
      </c>
      <c r="U1560" s="69" t="s">
        <v>80</v>
      </c>
      <c r="V1560" s="72" t="str">
        <f t="shared" si="24"/>
        <v>MO_NODAWAY</v>
      </c>
      <c r="AJ1560" s="1" t="s">
        <v>80</v>
      </c>
      <c r="AK1560" s="1" t="s">
        <v>327</v>
      </c>
      <c r="AL1560" s="1" t="s">
        <v>6839</v>
      </c>
      <c r="AM1560" s="1" t="s">
        <v>4093</v>
      </c>
    </row>
    <row r="1561" spans="20:39" x14ac:dyDescent="0.2">
      <c r="T1561" s="28" t="s">
        <v>1213</v>
      </c>
      <c r="U1561" s="68" t="s">
        <v>80</v>
      </c>
      <c r="V1561" s="72" t="str">
        <f t="shared" si="24"/>
        <v>MO_OREGON</v>
      </c>
      <c r="AJ1561" s="1" t="s">
        <v>80</v>
      </c>
      <c r="AK1561" s="1" t="s">
        <v>1210</v>
      </c>
      <c r="AL1561" s="1" t="s">
        <v>6840</v>
      </c>
      <c r="AM1561" s="1" t="s">
        <v>4094</v>
      </c>
    </row>
    <row r="1562" spans="20:39" x14ac:dyDescent="0.2">
      <c r="T1562" s="29" t="s">
        <v>847</v>
      </c>
      <c r="U1562" s="69" t="s">
        <v>80</v>
      </c>
      <c r="V1562" s="72" t="str">
        <f t="shared" si="24"/>
        <v>MO_OSAGE</v>
      </c>
      <c r="AJ1562" s="1" t="s">
        <v>80</v>
      </c>
      <c r="AK1562" s="1" t="s">
        <v>243</v>
      </c>
      <c r="AL1562" s="1" t="s">
        <v>6841</v>
      </c>
      <c r="AM1562" s="1" t="s">
        <v>4095</v>
      </c>
    </row>
    <row r="1563" spans="20:39" x14ac:dyDescent="0.2">
      <c r="T1563" s="28" t="s">
        <v>1214</v>
      </c>
      <c r="U1563" s="68" t="s">
        <v>80</v>
      </c>
      <c r="V1563" s="72" t="str">
        <f t="shared" si="24"/>
        <v>MO_OZARK</v>
      </c>
      <c r="AJ1563" s="1" t="s">
        <v>80</v>
      </c>
      <c r="AK1563" s="1" t="s">
        <v>244</v>
      </c>
      <c r="AL1563" s="1" t="s">
        <v>6842</v>
      </c>
      <c r="AM1563" s="1" t="s">
        <v>4096</v>
      </c>
    </row>
    <row r="1564" spans="20:39" x14ac:dyDescent="0.2">
      <c r="T1564" s="29" t="s">
        <v>1215</v>
      </c>
      <c r="U1564" s="69" t="s">
        <v>80</v>
      </c>
      <c r="V1564" s="72" t="str">
        <f t="shared" si="24"/>
        <v>MO_PEMISCOT</v>
      </c>
      <c r="AJ1564" s="1" t="s">
        <v>80</v>
      </c>
      <c r="AK1564" s="1" t="s">
        <v>245</v>
      </c>
      <c r="AL1564" s="1" t="s">
        <v>6843</v>
      </c>
      <c r="AM1564" s="1" t="s">
        <v>4097</v>
      </c>
    </row>
    <row r="1565" spans="20:39" x14ac:dyDescent="0.2">
      <c r="T1565" s="28" t="s">
        <v>246</v>
      </c>
      <c r="U1565" s="68" t="s">
        <v>80</v>
      </c>
      <c r="V1565" s="72" t="str">
        <f t="shared" si="24"/>
        <v>MO_PERRY</v>
      </c>
      <c r="AJ1565" s="1" t="s">
        <v>80</v>
      </c>
      <c r="AK1565" s="1" t="s">
        <v>1211</v>
      </c>
      <c r="AL1565" s="1" t="s">
        <v>6844</v>
      </c>
      <c r="AM1565" s="1" t="s">
        <v>4098</v>
      </c>
    </row>
    <row r="1566" spans="20:39" x14ac:dyDescent="0.2">
      <c r="T1566" s="29" t="s">
        <v>1216</v>
      </c>
      <c r="U1566" s="69" t="s">
        <v>80</v>
      </c>
      <c r="V1566" s="72" t="str">
        <f t="shared" si="24"/>
        <v>MO_PETTIS</v>
      </c>
      <c r="AJ1566" s="1" t="s">
        <v>80</v>
      </c>
      <c r="AK1566" s="1" t="s">
        <v>329</v>
      </c>
      <c r="AL1566" s="1" t="s">
        <v>6845</v>
      </c>
      <c r="AM1566" s="1" t="s">
        <v>9210</v>
      </c>
    </row>
    <row r="1567" spans="20:39" x14ac:dyDescent="0.2">
      <c r="T1567" s="28" t="s">
        <v>1217</v>
      </c>
      <c r="U1567" s="68" t="s">
        <v>80</v>
      </c>
      <c r="V1567" s="72" t="str">
        <f t="shared" si="24"/>
        <v>MO_PHELPS</v>
      </c>
      <c r="AJ1567" s="1" t="s">
        <v>80</v>
      </c>
      <c r="AK1567" s="1" t="s">
        <v>1212</v>
      </c>
      <c r="AL1567" s="1" t="s">
        <v>6846</v>
      </c>
      <c r="AM1567" s="1" t="s">
        <v>4099</v>
      </c>
    </row>
    <row r="1568" spans="20:39" x14ac:dyDescent="0.2">
      <c r="T1568" s="29" t="s">
        <v>248</v>
      </c>
      <c r="U1568" s="69" t="s">
        <v>80</v>
      </c>
      <c r="V1568" s="72" t="str">
        <f t="shared" si="24"/>
        <v>MO_PIKE</v>
      </c>
      <c r="AJ1568" s="1" t="s">
        <v>80</v>
      </c>
      <c r="AK1568" s="1" t="s">
        <v>1213</v>
      </c>
      <c r="AL1568" s="1" t="s">
        <v>6847</v>
      </c>
      <c r="AM1568" s="1" t="s">
        <v>4100</v>
      </c>
    </row>
    <row r="1569" spans="20:39" x14ac:dyDescent="0.2">
      <c r="T1569" s="28" t="s">
        <v>1218</v>
      </c>
      <c r="U1569" s="68" t="s">
        <v>80</v>
      </c>
      <c r="V1569" s="72" t="str">
        <f t="shared" si="24"/>
        <v>MO_PLATTE</v>
      </c>
      <c r="AJ1569" s="1" t="s">
        <v>80</v>
      </c>
      <c r="AK1569" s="1" t="s">
        <v>847</v>
      </c>
      <c r="AL1569" s="1" t="s">
        <v>6848</v>
      </c>
      <c r="AM1569" s="1" t="s">
        <v>4078</v>
      </c>
    </row>
    <row r="1570" spans="20:39" x14ac:dyDescent="0.2">
      <c r="T1570" s="29" t="s">
        <v>333</v>
      </c>
      <c r="U1570" s="69" t="s">
        <v>80</v>
      </c>
      <c r="V1570" s="72" t="str">
        <f t="shared" si="24"/>
        <v>MO_POLK</v>
      </c>
      <c r="AJ1570" s="1" t="s">
        <v>80</v>
      </c>
      <c r="AK1570" s="1" t="s">
        <v>1214</v>
      </c>
      <c r="AL1570" s="1" t="s">
        <v>6849</v>
      </c>
      <c r="AM1570" s="1" t="s">
        <v>4101</v>
      </c>
    </row>
    <row r="1571" spans="20:39" x14ac:dyDescent="0.2">
      <c r="T1571" s="28" t="s">
        <v>336</v>
      </c>
      <c r="U1571" s="68" t="s">
        <v>80</v>
      </c>
      <c r="V1571" s="72" t="str">
        <f t="shared" si="24"/>
        <v>MO_PULASKI</v>
      </c>
      <c r="AJ1571" s="1" t="s">
        <v>80</v>
      </c>
      <c r="AK1571" s="1" t="s">
        <v>1215</v>
      </c>
      <c r="AL1571" s="1" t="s">
        <v>6850</v>
      </c>
      <c r="AM1571" s="1" t="s">
        <v>4102</v>
      </c>
    </row>
    <row r="1572" spans="20:39" x14ac:dyDescent="0.2">
      <c r="T1572" s="29" t="s">
        <v>511</v>
      </c>
      <c r="U1572" s="69" t="s">
        <v>80</v>
      </c>
      <c r="V1572" s="72" t="str">
        <f t="shared" si="24"/>
        <v>MO_PUTNAM</v>
      </c>
      <c r="AJ1572" s="1" t="s">
        <v>80</v>
      </c>
      <c r="AK1572" s="1" t="s">
        <v>246</v>
      </c>
      <c r="AL1572" s="1" t="s">
        <v>6851</v>
      </c>
      <c r="AM1572" s="1" t="s">
        <v>4103</v>
      </c>
    </row>
    <row r="1573" spans="20:39" x14ac:dyDescent="0.2">
      <c r="T1573" s="28" t="s">
        <v>1219</v>
      </c>
      <c r="U1573" s="68" t="s">
        <v>80</v>
      </c>
      <c r="V1573" s="72" t="str">
        <f t="shared" si="24"/>
        <v>MO_RALLS</v>
      </c>
      <c r="AJ1573" s="1" t="s">
        <v>80</v>
      </c>
      <c r="AK1573" s="1" t="s">
        <v>1216</v>
      </c>
      <c r="AL1573" s="1" t="s">
        <v>6852</v>
      </c>
      <c r="AM1573" s="1" t="s">
        <v>4104</v>
      </c>
    </row>
    <row r="1574" spans="20:39" x14ac:dyDescent="0.2">
      <c r="T1574" s="29" t="s">
        <v>249</v>
      </c>
      <c r="U1574" s="69" t="s">
        <v>80</v>
      </c>
      <c r="V1574" s="72" t="str">
        <f t="shared" si="24"/>
        <v>MO_RANDOLPH</v>
      </c>
      <c r="AJ1574" s="1" t="s">
        <v>80</v>
      </c>
      <c r="AK1574" s="1" t="s">
        <v>1217</v>
      </c>
      <c r="AL1574" s="1" t="s">
        <v>6853</v>
      </c>
      <c r="AM1574" s="1" t="s">
        <v>4105</v>
      </c>
    </row>
    <row r="1575" spans="20:39" x14ac:dyDescent="0.2">
      <c r="T1575" s="28" t="s">
        <v>1220</v>
      </c>
      <c r="U1575" s="68" t="s">
        <v>80</v>
      </c>
      <c r="V1575" s="72" t="str">
        <f t="shared" si="24"/>
        <v>MO_RAY</v>
      </c>
      <c r="AJ1575" s="1" t="s">
        <v>80</v>
      </c>
      <c r="AK1575" s="1" t="s">
        <v>248</v>
      </c>
      <c r="AL1575" s="1" t="s">
        <v>6854</v>
      </c>
      <c r="AM1575" s="1" t="s">
        <v>4106</v>
      </c>
    </row>
    <row r="1576" spans="20:39" x14ac:dyDescent="0.2">
      <c r="T1576" s="29" t="s">
        <v>1221</v>
      </c>
      <c r="U1576" s="69" t="s">
        <v>80</v>
      </c>
      <c r="V1576" s="72" t="str">
        <f t="shared" si="24"/>
        <v>MO_REYNOLDS</v>
      </c>
      <c r="AJ1576" s="1" t="s">
        <v>80</v>
      </c>
      <c r="AK1576" s="1" t="s">
        <v>1218</v>
      </c>
      <c r="AL1576" s="1" t="s">
        <v>6855</v>
      </c>
      <c r="AM1576" s="1" t="s">
        <v>3678</v>
      </c>
    </row>
    <row r="1577" spans="20:39" x14ac:dyDescent="0.2">
      <c r="T1577" s="28" t="s">
        <v>747</v>
      </c>
      <c r="U1577" s="68" t="s">
        <v>80</v>
      </c>
      <c r="V1577" s="72" t="str">
        <f t="shared" si="24"/>
        <v>MO_RIPLEY</v>
      </c>
      <c r="AJ1577" s="1" t="s">
        <v>80</v>
      </c>
      <c r="AK1577" s="1" t="s">
        <v>333</v>
      </c>
      <c r="AL1577" s="1" t="s">
        <v>6856</v>
      </c>
      <c r="AM1577" s="1" t="s">
        <v>4107</v>
      </c>
    </row>
    <row r="1578" spans="20:39" x14ac:dyDescent="0.2">
      <c r="T1578" s="29" t="s">
        <v>1222</v>
      </c>
      <c r="U1578" s="69" t="s">
        <v>80</v>
      </c>
      <c r="V1578" s="72" t="str">
        <f t="shared" si="24"/>
        <v>MO_ST. CHARLES</v>
      </c>
      <c r="AJ1578" s="1" t="s">
        <v>80</v>
      </c>
      <c r="AK1578" s="1" t="s">
        <v>336</v>
      </c>
      <c r="AL1578" s="1" t="s">
        <v>6857</v>
      </c>
      <c r="AM1578" s="1" t="s">
        <v>4108</v>
      </c>
    </row>
    <row r="1579" spans="20:39" x14ac:dyDescent="0.2">
      <c r="T1579" s="28" t="s">
        <v>251</v>
      </c>
      <c r="U1579" s="68" t="s">
        <v>80</v>
      </c>
      <c r="V1579" s="72" t="str">
        <f t="shared" si="24"/>
        <v>MO_ST. CLAIR</v>
      </c>
      <c r="AJ1579" s="1" t="s">
        <v>80</v>
      </c>
      <c r="AK1579" s="1" t="s">
        <v>511</v>
      </c>
      <c r="AL1579" s="1" t="s">
        <v>6858</v>
      </c>
      <c r="AM1579" s="1" t="s">
        <v>4109</v>
      </c>
    </row>
    <row r="1580" spans="20:39" x14ac:dyDescent="0.2">
      <c r="T1580" s="29" t="s">
        <v>1223</v>
      </c>
      <c r="U1580" s="69" t="s">
        <v>80</v>
      </c>
      <c r="V1580" s="72" t="str">
        <f t="shared" si="24"/>
        <v>MO_STE. GENEVIEVE</v>
      </c>
      <c r="AJ1580" s="1" t="s">
        <v>80</v>
      </c>
      <c r="AK1580" s="1" t="s">
        <v>1219</v>
      </c>
      <c r="AL1580" s="1" t="s">
        <v>6859</v>
      </c>
      <c r="AM1580" s="1" t="s">
        <v>4110</v>
      </c>
    </row>
    <row r="1581" spans="20:39" x14ac:dyDescent="0.2">
      <c r="T1581" s="28" t="s">
        <v>1224</v>
      </c>
      <c r="U1581" s="68" t="s">
        <v>80</v>
      </c>
      <c r="V1581" s="72" t="str">
        <f t="shared" si="24"/>
        <v>MO_ST. FRANCOIS</v>
      </c>
      <c r="AJ1581" s="1" t="s">
        <v>80</v>
      </c>
      <c r="AK1581" s="1" t="s">
        <v>249</v>
      </c>
      <c r="AL1581" s="1" t="s">
        <v>6860</v>
      </c>
      <c r="AM1581" s="1" t="s">
        <v>4111</v>
      </c>
    </row>
    <row r="1582" spans="20:39" x14ac:dyDescent="0.2">
      <c r="T1582" s="29" t="s">
        <v>1140</v>
      </c>
      <c r="U1582" s="69" t="s">
        <v>80</v>
      </c>
      <c r="V1582" s="72" t="str">
        <f t="shared" si="24"/>
        <v>MO_ST. LOUIS</v>
      </c>
      <c r="AJ1582" s="1" t="s">
        <v>80</v>
      </c>
      <c r="AK1582" s="1" t="s">
        <v>1220</v>
      </c>
      <c r="AL1582" s="1" t="s">
        <v>6861</v>
      </c>
      <c r="AM1582" s="1" t="s">
        <v>3678</v>
      </c>
    </row>
    <row r="1583" spans="20:39" x14ac:dyDescent="0.2">
      <c r="T1583" s="28" t="s">
        <v>338</v>
      </c>
      <c r="U1583" s="68" t="s">
        <v>80</v>
      </c>
      <c r="V1583" s="72" t="str">
        <f t="shared" si="24"/>
        <v>MO_SALINE</v>
      </c>
      <c r="AJ1583" s="1" t="s">
        <v>80</v>
      </c>
      <c r="AK1583" s="1" t="s">
        <v>1221</v>
      </c>
      <c r="AL1583" s="1" t="s">
        <v>6862</v>
      </c>
      <c r="AM1583" s="1" t="s">
        <v>4112</v>
      </c>
    </row>
    <row r="1584" spans="20:39" x14ac:dyDescent="0.2">
      <c r="T1584" s="29" t="s">
        <v>711</v>
      </c>
      <c r="U1584" s="69" t="s">
        <v>80</v>
      </c>
      <c r="V1584" s="72" t="str">
        <f t="shared" si="24"/>
        <v>MO_SCHUYLER</v>
      </c>
      <c r="AJ1584" s="1" t="s">
        <v>80</v>
      </c>
      <c r="AK1584" s="1" t="s">
        <v>747</v>
      </c>
      <c r="AL1584" s="1" t="s">
        <v>6863</v>
      </c>
      <c r="AM1584" s="1" t="s">
        <v>4113</v>
      </c>
    </row>
    <row r="1585" spans="20:39" x14ac:dyDescent="0.2">
      <c r="T1585" s="28" t="s">
        <v>1225</v>
      </c>
      <c r="U1585" s="68" t="s">
        <v>80</v>
      </c>
      <c r="V1585" s="72" t="str">
        <f t="shared" si="24"/>
        <v>MO_SCOTLAND</v>
      </c>
      <c r="AJ1585" s="1" t="s">
        <v>80</v>
      </c>
      <c r="AK1585" s="1" t="s">
        <v>338</v>
      </c>
      <c r="AL1585" s="1" t="s">
        <v>6864</v>
      </c>
      <c r="AM1585" s="1" t="s">
        <v>4114</v>
      </c>
    </row>
    <row r="1586" spans="20:39" x14ac:dyDescent="0.2">
      <c r="T1586" s="29" t="s">
        <v>339</v>
      </c>
      <c r="U1586" s="69" t="s">
        <v>80</v>
      </c>
      <c r="V1586" s="72" t="str">
        <f t="shared" si="24"/>
        <v>MO_SCOTT</v>
      </c>
      <c r="AJ1586" s="1" t="s">
        <v>80</v>
      </c>
      <c r="AK1586" s="1" t="s">
        <v>711</v>
      </c>
      <c r="AL1586" s="1" t="s">
        <v>6865</v>
      </c>
      <c r="AM1586" s="1" t="s">
        <v>4115</v>
      </c>
    </row>
    <row r="1587" spans="20:39" x14ac:dyDescent="0.2">
      <c r="T1587" s="28" t="s">
        <v>1226</v>
      </c>
      <c r="U1587" s="68" t="s">
        <v>80</v>
      </c>
      <c r="V1587" s="72" t="str">
        <f t="shared" si="24"/>
        <v>MO_SHANNON</v>
      </c>
      <c r="AJ1587" s="1" t="s">
        <v>80</v>
      </c>
      <c r="AK1587" s="1" t="s">
        <v>1225</v>
      </c>
      <c r="AL1587" s="1" t="s">
        <v>6866</v>
      </c>
      <c r="AM1587" s="1" t="s">
        <v>4116</v>
      </c>
    </row>
    <row r="1588" spans="20:39" x14ac:dyDescent="0.2">
      <c r="T1588" s="29" t="s">
        <v>252</v>
      </c>
      <c r="U1588" s="69" t="s">
        <v>80</v>
      </c>
      <c r="V1588" s="72" t="str">
        <f t="shared" si="24"/>
        <v>MO_SHELBY</v>
      </c>
      <c r="AJ1588" s="1" t="s">
        <v>80</v>
      </c>
      <c r="AK1588" s="1" t="s">
        <v>339</v>
      </c>
      <c r="AL1588" s="1" t="s">
        <v>6867</v>
      </c>
      <c r="AM1588" s="1" t="s">
        <v>4117</v>
      </c>
    </row>
    <row r="1589" spans="20:39" x14ac:dyDescent="0.2">
      <c r="T1589" s="28" t="s">
        <v>1227</v>
      </c>
      <c r="U1589" s="68" t="s">
        <v>80</v>
      </c>
      <c r="V1589" s="72" t="str">
        <f t="shared" si="24"/>
        <v>MO_STODDARD</v>
      </c>
      <c r="AJ1589" s="1" t="s">
        <v>80</v>
      </c>
      <c r="AK1589" s="1" t="s">
        <v>1226</v>
      </c>
      <c r="AL1589" s="1" t="s">
        <v>6868</v>
      </c>
      <c r="AM1589" s="1" t="s">
        <v>4118</v>
      </c>
    </row>
    <row r="1590" spans="20:39" x14ac:dyDescent="0.2">
      <c r="T1590" s="29" t="s">
        <v>344</v>
      </c>
      <c r="U1590" s="69" t="s">
        <v>80</v>
      </c>
      <c r="V1590" s="72" t="str">
        <f t="shared" si="24"/>
        <v>MO_STONE</v>
      </c>
      <c r="AJ1590" s="1" t="s">
        <v>80</v>
      </c>
      <c r="AK1590" s="1" t="s">
        <v>252</v>
      </c>
      <c r="AL1590" s="1" t="s">
        <v>6869</v>
      </c>
      <c r="AM1590" s="1" t="s">
        <v>4119</v>
      </c>
    </row>
    <row r="1591" spans="20:39" x14ac:dyDescent="0.2">
      <c r="T1591" s="28" t="s">
        <v>753</v>
      </c>
      <c r="U1591" s="68" t="s">
        <v>80</v>
      </c>
      <c r="V1591" s="72" t="str">
        <f t="shared" si="24"/>
        <v>MO_SULLIVAN</v>
      </c>
      <c r="AJ1591" s="1" t="s">
        <v>80</v>
      </c>
      <c r="AK1591" s="1" t="s">
        <v>1222</v>
      </c>
      <c r="AL1591" s="1" t="s">
        <v>6870</v>
      </c>
      <c r="AM1591" s="1" t="s">
        <v>3565</v>
      </c>
    </row>
    <row r="1592" spans="20:39" x14ac:dyDescent="0.2">
      <c r="T1592" s="28" t="s">
        <v>8938</v>
      </c>
      <c r="U1592" s="68" t="s">
        <v>80</v>
      </c>
      <c r="V1592" s="72" t="str">
        <f t="shared" si="24"/>
        <v>MO_SULLIVAN PART</v>
      </c>
      <c r="AJ1592" s="1" t="s">
        <v>80</v>
      </c>
      <c r="AK1592" s="1" t="s">
        <v>251</v>
      </c>
      <c r="AL1592" s="1" t="s">
        <v>6871</v>
      </c>
      <c r="AM1592" s="1" t="s">
        <v>4121</v>
      </c>
    </row>
    <row r="1593" spans="20:39" x14ac:dyDescent="0.2">
      <c r="T1593" s="29" t="s">
        <v>1228</v>
      </c>
      <c r="U1593" s="69" t="s">
        <v>80</v>
      </c>
      <c r="V1593" s="72" t="str">
        <f t="shared" si="24"/>
        <v>MO_TANEY</v>
      </c>
      <c r="AJ1593" s="1" t="s">
        <v>80</v>
      </c>
      <c r="AK1593" s="1" t="s">
        <v>1224</v>
      </c>
      <c r="AL1593" s="1" t="s">
        <v>6872</v>
      </c>
      <c r="AM1593" s="1" t="s">
        <v>4122</v>
      </c>
    </row>
    <row r="1594" spans="20:39" x14ac:dyDescent="0.2">
      <c r="T1594" s="28" t="s">
        <v>1229</v>
      </c>
      <c r="U1594" s="68" t="s">
        <v>80</v>
      </c>
      <c r="V1594" s="72" t="str">
        <f t="shared" si="24"/>
        <v>MO_TEXAS</v>
      </c>
      <c r="AJ1594" s="1" t="s">
        <v>80</v>
      </c>
      <c r="AK1594" s="1" t="s">
        <v>1140</v>
      </c>
      <c r="AL1594" s="1" t="s">
        <v>6873</v>
      </c>
      <c r="AM1594" s="1" t="s">
        <v>3565</v>
      </c>
    </row>
    <row r="1595" spans="20:39" x14ac:dyDescent="0.2">
      <c r="T1595" s="29" t="s">
        <v>1230</v>
      </c>
      <c r="U1595" s="69" t="s">
        <v>80</v>
      </c>
      <c r="V1595" s="72" t="str">
        <f t="shared" si="24"/>
        <v>MO_VERNON</v>
      </c>
      <c r="AJ1595" s="1" t="s">
        <v>80</v>
      </c>
      <c r="AK1595" s="1" t="s">
        <v>1231</v>
      </c>
      <c r="AL1595" s="1" t="s">
        <v>6874</v>
      </c>
      <c r="AM1595" s="1" t="s">
        <v>3565</v>
      </c>
    </row>
    <row r="1596" spans="20:39" x14ac:dyDescent="0.2">
      <c r="T1596" s="28" t="s">
        <v>622</v>
      </c>
      <c r="U1596" s="68" t="s">
        <v>80</v>
      </c>
      <c r="V1596" s="72" t="str">
        <f t="shared" si="24"/>
        <v>MO_WARREN</v>
      </c>
      <c r="AJ1596" s="1" t="s">
        <v>80</v>
      </c>
      <c r="AK1596" s="1" t="s">
        <v>1223</v>
      </c>
      <c r="AL1596" s="1" t="s">
        <v>6875</v>
      </c>
      <c r="AM1596" s="1" t="s">
        <v>4123</v>
      </c>
    </row>
    <row r="1597" spans="20:39" x14ac:dyDescent="0.2">
      <c r="T1597" s="29" t="s">
        <v>258</v>
      </c>
      <c r="U1597" s="69" t="s">
        <v>80</v>
      </c>
      <c r="V1597" s="72" t="str">
        <f t="shared" si="24"/>
        <v>MO_WASHINGTON</v>
      </c>
      <c r="AJ1597" s="1" t="s">
        <v>80</v>
      </c>
      <c r="AK1597" s="1" t="s">
        <v>1227</v>
      </c>
      <c r="AL1597" s="1" t="s">
        <v>6876</v>
      </c>
      <c r="AM1597" s="1" t="s">
        <v>4124</v>
      </c>
    </row>
    <row r="1598" spans="20:39" x14ac:dyDescent="0.2">
      <c r="T1598" s="28" t="s">
        <v>623</v>
      </c>
      <c r="U1598" s="68" t="s">
        <v>80</v>
      </c>
      <c r="V1598" s="72" t="str">
        <f t="shared" si="24"/>
        <v>MO_WAYNE</v>
      </c>
      <c r="AJ1598" s="1" t="s">
        <v>80</v>
      </c>
      <c r="AK1598" s="1" t="s">
        <v>344</v>
      </c>
      <c r="AL1598" s="1" t="s">
        <v>6877</v>
      </c>
      <c r="AM1598" s="1" t="s">
        <v>4125</v>
      </c>
    </row>
    <row r="1599" spans="20:39" x14ac:dyDescent="0.2">
      <c r="T1599" s="29" t="s">
        <v>624</v>
      </c>
      <c r="U1599" s="69" t="s">
        <v>80</v>
      </c>
      <c r="V1599" s="72" t="str">
        <f t="shared" si="24"/>
        <v>MO_WEBSTER</v>
      </c>
      <c r="AJ1599" s="1" t="s">
        <v>80</v>
      </c>
      <c r="AK1599" s="1" t="s">
        <v>753</v>
      </c>
      <c r="AL1599" s="1" t="s">
        <v>6878</v>
      </c>
      <c r="AM1599" s="1" t="s">
        <v>4126</v>
      </c>
    </row>
    <row r="1600" spans="20:39" x14ac:dyDescent="0.2">
      <c r="T1600" s="28" t="s">
        <v>629</v>
      </c>
      <c r="U1600" s="68" t="s">
        <v>80</v>
      </c>
      <c r="V1600" s="72" t="str">
        <f t="shared" si="24"/>
        <v>MO_WORTH</v>
      </c>
      <c r="AJ1600" s="1" t="s">
        <v>80</v>
      </c>
      <c r="AK1600" s="1" t="s">
        <v>8938</v>
      </c>
      <c r="AL1600" s="1" t="s">
        <v>8941</v>
      </c>
      <c r="AM1600" s="1" t="s">
        <v>3565</v>
      </c>
    </row>
    <row r="1601" spans="20:39" x14ac:dyDescent="0.2">
      <c r="T1601" s="29" t="s">
        <v>807</v>
      </c>
      <c r="U1601" s="69" t="s">
        <v>80</v>
      </c>
      <c r="V1601" s="72" t="str">
        <f t="shared" si="24"/>
        <v>MO_WRIGHT</v>
      </c>
      <c r="AJ1601" s="1" t="s">
        <v>80</v>
      </c>
      <c r="AK1601" s="1" t="s">
        <v>1228</v>
      </c>
      <c r="AL1601" s="1" t="s">
        <v>6879</v>
      </c>
      <c r="AM1601" s="1" t="s">
        <v>4127</v>
      </c>
    </row>
    <row r="1602" spans="20:39" x14ac:dyDescent="0.2">
      <c r="T1602" s="28" t="s">
        <v>1231</v>
      </c>
      <c r="U1602" s="68" t="s">
        <v>80</v>
      </c>
      <c r="V1602" s="72" t="str">
        <f t="shared" si="24"/>
        <v>MO_ST. LOUIS CITY</v>
      </c>
      <c r="AJ1602" s="1" t="s">
        <v>80</v>
      </c>
      <c r="AK1602" s="1" t="s">
        <v>1229</v>
      </c>
      <c r="AL1602" s="1" t="s">
        <v>6880</v>
      </c>
      <c r="AM1602" s="1" t="s">
        <v>4128</v>
      </c>
    </row>
    <row r="1603" spans="20:39" x14ac:dyDescent="0.2">
      <c r="T1603" s="29" t="s">
        <v>1232</v>
      </c>
      <c r="U1603" s="69" t="s">
        <v>79</v>
      </c>
      <c r="V1603" s="72" t="str">
        <f t="shared" si="24"/>
        <v>MT_BEAVERHEAD</v>
      </c>
      <c r="AJ1603" s="1" t="s">
        <v>80</v>
      </c>
      <c r="AK1603" s="1" t="s">
        <v>1230</v>
      </c>
      <c r="AL1603" s="1" t="s">
        <v>6881</v>
      </c>
      <c r="AM1603" s="1" t="s">
        <v>4129</v>
      </c>
    </row>
    <row r="1604" spans="20:39" x14ac:dyDescent="0.2">
      <c r="T1604" s="28" t="s">
        <v>1233</v>
      </c>
      <c r="U1604" s="68" t="s">
        <v>79</v>
      </c>
      <c r="V1604" s="72" t="str">
        <f t="shared" si="24"/>
        <v>MT_BIG HORN</v>
      </c>
      <c r="AJ1604" s="1" t="s">
        <v>80</v>
      </c>
      <c r="AK1604" s="1" t="s">
        <v>622</v>
      </c>
      <c r="AL1604" s="1" t="s">
        <v>6882</v>
      </c>
      <c r="AM1604" s="1" t="s">
        <v>3565</v>
      </c>
    </row>
    <row r="1605" spans="20:39" x14ac:dyDescent="0.2">
      <c r="T1605" s="29" t="s">
        <v>640</v>
      </c>
      <c r="U1605" s="69" t="s">
        <v>79</v>
      </c>
      <c r="V1605" s="72" t="str">
        <f t="shared" si="24"/>
        <v>MT_BLAINE</v>
      </c>
      <c r="AJ1605" s="1" t="s">
        <v>80</v>
      </c>
      <c r="AK1605" s="1" t="s">
        <v>258</v>
      </c>
      <c r="AL1605" s="1" t="s">
        <v>6883</v>
      </c>
      <c r="AM1605" s="1" t="s">
        <v>4130</v>
      </c>
    </row>
    <row r="1606" spans="20:39" x14ac:dyDescent="0.2">
      <c r="T1606" s="28" t="s">
        <v>1234</v>
      </c>
      <c r="U1606" s="68" t="s">
        <v>79</v>
      </c>
      <c r="V1606" s="72" t="str">
        <f t="shared" si="24"/>
        <v>MT_BROADWATER</v>
      </c>
      <c r="AJ1606" s="1" t="s">
        <v>80</v>
      </c>
      <c r="AK1606" s="1" t="s">
        <v>623</v>
      </c>
      <c r="AL1606" s="1" t="s">
        <v>6884</v>
      </c>
      <c r="AM1606" s="1" t="s">
        <v>4131</v>
      </c>
    </row>
    <row r="1607" spans="20:39" x14ac:dyDescent="0.2">
      <c r="T1607" s="29" t="s">
        <v>1235</v>
      </c>
      <c r="U1607" s="69" t="s">
        <v>79</v>
      </c>
      <c r="V1607" s="72" t="str">
        <f t="shared" si="24"/>
        <v>MT_CARBON</v>
      </c>
      <c r="AJ1607" s="1" t="s">
        <v>80</v>
      </c>
      <c r="AK1607" s="1" t="s">
        <v>624</v>
      </c>
      <c r="AL1607" s="1" t="s">
        <v>6885</v>
      </c>
      <c r="AM1607" s="1" t="s">
        <v>4120</v>
      </c>
    </row>
    <row r="1608" spans="20:39" x14ac:dyDescent="0.2">
      <c r="T1608" s="28" t="s">
        <v>889</v>
      </c>
      <c r="U1608" s="68" t="s">
        <v>79</v>
      </c>
      <c r="V1608" s="72" t="str">
        <f t="shared" si="24"/>
        <v>MT_CARTER</v>
      </c>
      <c r="AJ1608" s="1" t="s">
        <v>80</v>
      </c>
      <c r="AK1608" s="1" t="s">
        <v>629</v>
      </c>
      <c r="AL1608" s="1" t="s">
        <v>6886</v>
      </c>
      <c r="AM1608" s="1" t="s">
        <v>4132</v>
      </c>
    </row>
    <row r="1609" spans="20:39" x14ac:dyDescent="0.2">
      <c r="T1609" s="29" t="s">
        <v>1236</v>
      </c>
      <c r="U1609" s="69" t="s">
        <v>79</v>
      </c>
      <c r="V1609" s="72" t="str">
        <f t="shared" si="24"/>
        <v>MT_CASCADE</v>
      </c>
      <c r="AJ1609" s="1" t="s">
        <v>80</v>
      </c>
      <c r="AK1609" s="1" t="s">
        <v>807</v>
      </c>
      <c r="AL1609" s="1" t="s">
        <v>6887</v>
      </c>
      <c r="AM1609" s="1" t="s">
        <v>4133</v>
      </c>
    </row>
    <row r="1610" spans="20:39" x14ac:dyDescent="0.2">
      <c r="T1610" s="28" t="s">
        <v>1237</v>
      </c>
      <c r="U1610" s="68" t="s">
        <v>79</v>
      </c>
      <c r="V1610" s="72" t="str">
        <f t="shared" si="24"/>
        <v>MT_CHOUTEAU</v>
      </c>
      <c r="AJ1610" s="1" t="s">
        <v>2948</v>
      </c>
      <c r="AK1610" s="1" t="s">
        <v>2949</v>
      </c>
      <c r="AL1610" s="1" t="s">
        <v>6888</v>
      </c>
      <c r="AM1610" s="1" t="s">
        <v>4134</v>
      </c>
    </row>
    <row r="1611" spans="20:39" x14ac:dyDescent="0.2">
      <c r="T1611" s="29" t="s">
        <v>419</v>
      </c>
      <c r="U1611" s="69" t="s">
        <v>79</v>
      </c>
      <c r="V1611" s="72" t="str">
        <f t="shared" ref="V1611:V1673" si="25">UPPER(CONCATENATE(TRIM(U1611),"_",TRIM(T1611)))</f>
        <v>MT_CUSTER</v>
      </c>
      <c r="AJ1611" s="1" t="s">
        <v>2948</v>
      </c>
      <c r="AK1611" s="1" t="s">
        <v>2950</v>
      </c>
      <c r="AL1611" s="1" t="s">
        <v>6889</v>
      </c>
      <c r="AM1611" s="1" t="s">
        <v>4134</v>
      </c>
    </row>
    <row r="1612" spans="20:39" x14ac:dyDescent="0.2">
      <c r="T1612" s="28" t="s">
        <v>1238</v>
      </c>
      <c r="U1612" s="68" t="s">
        <v>79</v>
      </c>
      <c r="V1612" s="72" t="str">
        <f t="shared" si="25"/>
        <v>MT_DANIELS</v>
      </c>
      <c r="AJ1612" s="1" t="s">
        <v>2948</v>
      </c>
      <c r="AK1612" s="1" t="s">
        <v>2951</v>
      </c>
      <c r="AL1612" s="1" t="s">
        <v>6890</v>
      </c>
      <c r="AM1612" s="1" t="s">
        <v>4134</v>
      </c>
    </row>
    <row r="1613" spans="20:39" x14ac:dyDescent="0.2">
      <c r="T1613" s="29" t="s">
        <v>551</v>
      </c>
      <c r="U1613" s="69" t="s">
        <v>79</v>
      </c>
      <c r="V1613" s="72" t="str">
        <f t="shared" si="25"/>
        <v>MT_DAWSON</v>
      </c>
      <c r="AJ1613" s="1" t="s">
        <v>2948</v>
      </c>
      <c r="AK1613" s="1" t="s">
        <v>2952</v>
      </c>
      <c r="AL1613" s="1" t="s">
        <v>6891</v>
      </c>
      <c r="AM1613" s="1" t="s">
        <v>4134</v>
      </c>
    </row>
    <row r="1614" spans="20:39" x14ac:dyDescent="0.2">
      <c r="T1614" s="28" t="s">
        <v>1239</v>
      </c>
      <c r="U1614" s="68" t="s">
        <v>79</v>
      </c>
      <c r="V1614" s="72" t="str">
        <f t="shared" si="25"/>
        <v>MT_DEER LODGE</v>
      </c>
      <c r="AJ1614" s="1" t="s">
        <v>81</v>
      </c>
      <c r="AK1614" s="1" t="s">
        <v>406</v>
      </c>
      <c r="AL1614" s="1" t="s">
        <v>6892</v>
      </c>
      <c r="AM1614" s="1" t="s">
        <v>4135</v>
      </c>
    </row>
    <row r="1615" spans="20:39" x14ac:dyDescent="0.2">
      <c r="T1615" s="29" t="s">
        <v>1240</v>
      </c>
      <c r="U1615" s="69" t="s">
        <v>79</v>
      </c>
      <c r="V1615" s="72" t="str">
        <f t="shared" si="25"/>
        <v>MT_FALLON</v>
      </c>
      <c r="AJ1615" s="1" t="s">
        <v>81</v>
      </c>
      <c r="AK1615" s="1" t="s">
        <v>1154</v>
      </c>
      <c r="AL1615" s="1" t="s">
        <v>6893</v>
      </c>
      <c r="AM1615" s="1" t="s">
        <v>4136</v>
      </c>
    </row>
    <row r="1616" spans="20:39" x14ac:dyDescent="0.2">
      <c r="T1616" s="28" t="s">
        <v>1241</v>
      </c>
      <c r="U1616" s="68" t="s">
        <v>79</v>
      </c>
      <c r="V1616" s="72" t="str">
        <f t="shared" si="25"/>
        <v>MT_FERGUS</v>
      </c>
      <c r="AJ1616" s="1" t="s">
        <v>81</v>
      </c>
      <c r="AK1616" s="1" t="s">
        <v>1155</v>
      </c>
      <c r="AL1616" s="1" t="s">
        <v>6894</v>
      </c>
      <c r="AM1616" s="1" t="s">
        <v>4137</v>
      </c>
    </row>
    <row r="1617" spans="20:39" x14ac:dyDescent="0.2">
      <c r="T1617" s="29" t="s">
        <v>1242</v>
      </c>
      <c r="U1617" s="69" t="s">
        <v>79</v>
      </c>
      <c r="V1617" s="72" t="str">
        <f t="shared" si="25"/>
        <v>MT_FLATHEAD</v>
      </c>
      <c r="AJ1617" s="1" t="s">
        <v>81</v>
      </c>
      <c r="AK1617" s="1" t="s">
        <v>1156</v>
      </c>
      <c r="AL1617" s="1" t="s">
        <v>6895</v>
      </c>
      <c r="AM1617" s="1" t="s">
        <v>4138</v>
      </c>
    </row>
    <row r="1618" spans="20:39" x14ac:dyDescent="0.2">
      <c r="T1618" s="28" t="s">
        <v>683</v>
      </c>
      <c r="U1618" s="68" t="s">
        <v>79</v>
      </c>
      <c r="V1618" s="72" t="str">
        <f t="shared" si="25"/>
        <v>MT_GALLATIN</v>
      </c>
      <c r="AJ1618" s="1" t="s">
        <v>81</v>
      </c>
      <c r="AK1618" s="1" t="s">
        <v>296</v>
      </c>
      <c r="AL1618" s="1" t="s">
        <v>6896</v>
      </c>
      <c r="AM1618" s="1" t="s">
        <v>9211</v>
      </c>
    </row>
    <row r="1619" spans="20:39" x14ac:dyDescent="0.2">
      <c r="T1619" s="29" t="s">
        <v>428</v>
      </c>
      <c r="U1619" s="69" t="s">
        <v>79</v>
      </c>
      <c r="V1619" s="72" t="str">
        <f t="shared" si="25"/>
        <v>MT_GARFIELD</v>
      </c>
      <c r="AJ1619" s="1" t="s">
        <v>81</v>
      </c>
      <c r="AK1619" s="1" t="s">
        <v>1157</v>
      </c>
      <c r="AL1619" s="1" t="s">
        <v>6897</v>
      </c>
      <c r="AM1619" s="1" t="s">
        <v>4139</v>
      </c>
    </row>
    <row r="1620" spans="20:39" x14ac:dyDescent="0.2">
      <c r="T1620" s="28" t="s">
        <v>1243</v>
      </c>
      <c r="U1620" s="68" t="s">
        <v>79</v>
      </c>
      <c r="V1620" s="72" t="str">
        <f t="shared" si="25"/>
        <v>MT_GLACIER</v>
      </c>
      <c r="AJ1620" s="1" t="s">
        <v>81</v>
      </c>
      <c r="AK1620" s="1" t="s">
        <v>201</v>
      </c>
      <c r="AL1620" s="1" t="s">
        <v>6898</v>
      </c>
      <c r="AM1620" s="1" t="s">
        <v>4140</v>
      </c>
    </row>
    <row r="1621" spans="20:39" x14ac:dyDescent="0.2">
      <c r="T1621" s="29" t="s">
        <v>1244</v>
      </c>
      <c r="U1621" s="69" t="s">
        <v>79</v>
      </c>
      <c r="V1621" s="72" t="str">
        <f t="shared" si="25"/>
        <v>MT_GOLDEN VALLEY</v>
      </c>
      <c r="AJ1621" s="1" t="s">
        <v>81</v>
      </c>
      <c r="AK1621" s="1" t="s">
        <v>299</v>
      </c>
      <c r="AL1621" s="1" t="s">
        <v>6899</v>
      </c>
      <c r="AM1621" s="1" t="s">
        <v>4141</v>
      </c>
    </row>
    <row r="1622" spans="20:39" x14ac:dyDescent="0.2">
      <c r="T1622" s="28" t="s">
        <v>1245</v>
      </c>
      <c r="U1622" s="68" t="s">
        <v>79</v>
      </c>
      <c r="V1622" s="72" t="str">
        <f t="shared" si="25"/>
        <v>MT_GRANITE</v>
      </c>
      <c r="AJ1622" s="1" t="s">
        <v>81</v>
      </c>
      <c r="AK1622" s="1" t="s">
        <v>773</v>
      </c>
      <c r="AL1622" s="1" t="s">
        <v>6900</v>
      </c>
      <c r="AM1622" s="1" t="s">
        <v>4142</v>
      </c>
    </row>
    <row r="1623" spans="20:39" x14ac:dyDescent="0.2">
      <c r="T1623" s="29" t="s">
        <v>1246</v>
      </c>
      <c r="U1623" s="69" t="s">
        <v>79</v>
      </c>
      <c r="V1623" s="72" t="str">
        <f t="shared" si="25"/>
        <v>MT_HILL</v>
      </c>
      <c r="AJ1623" s="1" t="s">
        <v>81</v>
      </c>
      <c r="AK1623" s="1" t="s">
        <v>205</v>
      </c>
      <c r="AL1623" s="1" t="s">
        <v>6901</v>
      </c>
      <c r="AM1623" s="1" t="s">
        <v>4143</v>
      </c>
    </row>
    <row r="1624" spans="20:39" x14ac:dyDescent="0.2">
      <c r="T1624" s="28" t="s">
        <v>230</v>
      </c>
      <c r="U1624" s="68" t="s">
        <v>79</v>
      </c>
      <c r="V1624" s="72" t="str">
        <f t="shared" si="25"/>
        <v>MT_JEFFERSON</v>
      </c>
      <c r="AJ1624" s="1" t="s">
        <v>81</v>
      </c>
      <c r="AK1624" s="1" t="s">
        <v>1158</v>
      </c>
      <c r="AL1624" s="1" t="s">
        <v>6902</v>
      </c>
      <c r="AM1624" s="1" t="s">
        <v>4144</v>
      </c>
    </row>
    <row r="1625" spans="20:39" x14ac:dyDescent="0.2">
      <c r="T1625" s="29" t="s">
        <v>1247</v>
      </c>
      <c r="U1625" s="69" t="s">
        <v>79</v>
      </c>
      <c r="V1625" s="72" t="str">
        <f t="shared" si="25"/>
        <v>MT_JUDITH BASIN</v>
      </c>
      <c r="AJ1625" s="1" t="s">
        <v>81</v>
      </c>
      <c r="AK1625" s="1" t="s">
        <v>206</v>
      </c>
      <c r="AL1625" s="1" t="s">
        <v>6903</v>
      </c>
      <c r="AM1625" s="1" t="s">
        <v>4145</v>
      </c>
    </row>
    <row r="1626" spans="20:39" x14ac:dyDescent="0.2">
      <c r="T1626" s="28" t="s">
        <v>366</v>
      </c>
      <c r="U1626" s="68" t="s">
        <v>79</v>
      </c>
      <c r="V1626" s="72" t="str">
        <f t="shared" si="25"/>
        <v>MT_LAKE</v>
      </c>
      <c r="AJ1626" s="1" t="s">
        <v>81</v>
      </c>
      <c r="AK1626" s="1" t="s">
        <v>207</v>
      </c>
      <c r="AL1626" s="1" t="s">
        <v>6904</v>
      </c>
      <c r="AM1626" s="1" t="s">
        <v>4146</v>
      </c>
    </row>
    <row r="1627" spans="20:39" x14ac:dyDescent="0.2">
      <c r="T1627" s="29" t="s">
        <v>1248</v>
      </c>
      <c r="U1627" s="69" t="s">
        <v>79</v>
      </c>
      <c r="V1627" s="72" t="str">
        <f t="shared" si="25"/>
        <v>MT_LEWIS AND CLARK</v>
      </c>
      <c r="AJ1627" s="1" t="s">
        <v>81</v>
      </c>
      <c r="AK1627" s="1" t="s">
        <v>1159</v>
      </c>
      <c r="AL1627" s="1" t="s">
        <v>6905</v>
      </c>
      <c r="AM1627" s="1" t="s">
        <v>4147</v>
      </c>
    </row>
    <row r="1628" spans="20:39" x14ac:dyDescent="0.2">
      <c r="T1628" s="28" t="s">
        <v>501</v>
      </c>
      <c r="U1628" s="68" t="s">
        <v>79</v>
      </c>
      <c r="V1628" s="72" t="str">
        <f t="shared" si="25"/>
        <v>MT_LIBERTY</v>
      </c>
      <c r="AJ1628" s="1" t="s">
        <v>81</v>
      </c>
      <c r="AK1628" s="1" t="s">
        <v>1160</v>
      </c>
      <c r="AL1628" s="1" t="s">
        <v>6906</v>
      </c>
      <c r="AM1628" s="1" t="s">
        <v>4157</v>
      </c>
    </row>
    <row r="1629" spans="20:39" x14ac:dyDescent="0.2">
      <c r="T1629" s="29" t="s">
        <v>322</v>
      </c>
      <c r="U1629" s="69" t="s">
        <v>79</v>
      </c>
      <c r="V1629" s="72" t="str">
        <f t="shared" si="25"/>
        <v>MT_LINCOLN</v>
      </c>
      <c r="AJ1629" s="1" t="s">
        <v>81</v>
      </c>
      <c r="AK1629" s="1" t="s">
        <v>213</v>
      </c>
      <c r="AL1629" s="1" t="s">
        <v>6907</v>
      </c>
      <c r="AM1629" s="1" t="s">
        <v>9212</v>
      </c>
    </row>
    <row r="1630" spans="20:39" x14ac:dyDescent="0.2">
      <c r="T1630" s="28" t="s">
        <v>1249</v>
      </c>
      <c r="U1630" s="68" t="s">
        <v>79</v>
      </c>
      <c r="V1630" s="72" t="str">
        <f t="shared" si="25"/>
        <v>MT_MCCONE</v>
      </c>
      <c r="AJ1630" s="1" t="s">
        <v>81</v>
      </c>
      <c r="AK1630" s="1" t="s">
        <v>1161</v>
      </c>
      <c r="AL1630" s="1" t="s">
        <v>6908</v>
      </c>
      <c r="AM1630" s="1" t="s">
        <v>3074</v>
      </c>
    </row>
    <row r="1631" spans="20:39" x14ac:dyDescent="0.2">
      <c r="T1631" s="29" t="s">
        <v>238</v>
      </c>
      <c r="U1631" s="69" t="s">
        <v>79</v>
      </c>
      <c r="V1631" s="72" t="str">
        <f t="shared" si="25"/>
        <v>MT_MADISON</v>
      </c>
      <c r="AJ1631" s="1" t="s">
        <v>81</v>
      </c>
      <c r="AK1631" s="1" t="s">
        <v>1162</v>
      </c>
      <c r="AL1631" s="1" t="s">
        <v>6909</v>
      </c>
      <c r="AM1631" s="1" t="s">
        <v>9213</v>
      </c>
    </row>
    <row r="1632" spans="20:39" x14ac:dyDescent="0.2">
      <c r="T1632" s="28" t="s">
        <v>1250</v>
      </c>
      <c r="U1632" s="68" t="s">
        <v>79</v>
      </c>
      <c r="V1632" s="72" t="str">
        <f t="shared" si="25"/>
        <v>MT_MEAGHER</v>
      </c>
      <c r="AJ1632" s="1" t="s">
        <v>81</v>
      </c>
      <c r="AK1632" s="1" t="s">
        <v>223</v>
      </c>
      <c r="AL1632" s="1" t="s">
        <v>6910</v>
      </c>
      <c r="AM1632" s="1" t="s">
        <v>4148</v>
      </c>
    </row>
    <row r="1633" spans="20:39" x14ac:dyDescent="0.2">
      <c r="T1633" s="29" t="s">
        <v>440</v>
      </c>
      <c r="U1633" s="69" t="s">
        <v>79</v>
      </c>
      <c r="V1633" s="72" t="str">
        <f t="shared" si="25"/>
        <v>MT_MINERAL</v>
      </c>
      <c r="AJ1633" s="1" t="s">
        <v>81</v>
      </c>
      <c r="AK1633" s="1" t="s">
        <v>1163</v>
      </c>
      <c r="AL1633" s="1" t="s">
        <v>6911</v>
      </c>
      <c r="AM1633" s="1" t="s">
        <v>4149</v>
      </c>
    </row>
    <row r="1634" spans="20:39" x14ac:dyDescent="0.2">
      <c r="T1634" s="28" t="s">
        <v>1251</v>
      </c>
      <c r="U1634" s="68" t="s">
        <v>79</v>
      </c>
      <c r="V1634" s="72" t="str">
        <f t="shared" si="25"/>
        <v>MT_MISSOULA</v>
      </c>
      <c r="AJ1634" s="1" t="s">
        <v>81</v>
      </c>
      <c r="AK1634" s="1" t="s">
        <v>225</v>
      </c>
      <c r="AL1634" s="1" t="s">
        <v>6912</v>
      </c>
      <c r="AM1634" s="1" t="s">
        <v>4150</v>
      </c>
    </row>
    <row r="1635" spans="20:39" x14ac:dyDescent="0.2">
      <c r="T1635" s="29" t="s">
        <v>1252</v>
      </c>
      <c r="U1635" s="69" t="s">
        <v>79</v>
      </c>
      <c r="V1635" s="72" t="str">
        <f t="shared" si="25"/>
        <v>MT_MUSSELSHELL</v>
      </c>
      <c r="AJ1635" s="1" t="s">
        <v>81</v>
      </c>
      <c r="AK1635" s="1" t="s">
        <v>1164</v>
      </c>
      <c r="AL1635" s="1" t="s">
        <v>6913</v>
      </c>
      <c r="AM1635" s="1" t="s">
        <v>4151</v>
      </c>
    </row>
    <row r="1636" spans="20:39" x14ac:dyDescent="0.2">
      <c r="T1636" s="28" t="s">
        <v>446</v>
      </c>
      <c r="U1636" s="68" t="s">
        <v>79</v>
      </c>
      <c r="V1636" s="72" t="str">
        <f t="shared" si="25"/>
        <v>MT_PARK</v>
      </c>
      <c r="AJ1636" s="1" t="s">
        <v>81</v>
      </c>
      <c r="AK1636" s="1" t="s">
        <v>573</v>
      </c>
      <c r="AL1636" s="1" t="s">
        <v>6914</v>
      </c>
      <c r="AM1636" s="1" t="s">
        <v>4152</v>
      </c>
    </row>
    <row r="1637" spans="20:39" x14ac:dyDescent="0.2">
      <c r="T1637" s="29" t="s">
        <v>1253</v>
      </c>
      <c r="U1637" s="69" t="s">
        <v>79</v>
      </c>
      <c r="V1637" s="72" t="str">
        <f t="shared" si="25"/>
        <v>MT_PETROLEUM</v>
      </c>
      <c r="AJ1637" s="1" t="s">
        <v>81</v>
      </c>
      <c r="AK1637" s="1" t="s">
        <v>732</v>
      </c>
      <c r="AL1637" s="1" t="s">
        <v>6915</v>
      </c>
      <c r="AM1637" s="1" t="s">
        <v>4152</v>
      </c>
    </row>
    <row r="1638" spans="20:39" x14ac:dyDescent="0.2">
      <c r="T1638" s="28" t="s">
        <v>331</v>
      </c>
      <c r="U1638" s="68" t="s">
        <v>79</v>
      </c>
      <c r="V1638" s="72" t="str">
        <f t="shared" si="25"/>
        <v>MT_PHILLIPS</v>
      </c>
      <c r="AJ1638" s="1" t="s">
        <v>81</v>
      </c>
      <c r="AK1638" s="1" t="s">
        <v>1165</v>
      </c>
      <c r="AL1638" s="1" t="s">
        <v>6916</v>
      </c>
      <c r="AM1638" s="1" t="s">
        <v>4157</v>
      </c>
    </row>
    <row r="1639" spans="20:39" x14ac:dyDescent="0.2">
      <c r="T1639" s="29" t="s">
        <v>1254</v>
      </c>
      <c r="U1639" s="69" t="s">
        <v>79</v>
      </c>
      <c r="V1639" s="72" t="str">
        <f t="shared" si="25"/>
        <v>MT_PONDERA</v>
      </c>
      <c r="AJ1639" s="1" t="s">
        <v>81</v>
      </c>
      <c r="AK1639" s="1" t="s">
        <v>497</v>
      </c>
      <c r="AL1639" s="1" t="s">
        <v>6917</v>
      </c>
      <c r="AM1639" s="1" t="s">
        <v>4153</v>
      </c>
    </row>
    <row r="1640" spans="20:39" x14ac:dyDescent="0.2">
      <c r="T1640" s="28" t="s">
        <v>1255</v>
      </c>
      <c r="U1640" s="68" t="s">
        <v>79</v>
      </c>
      <c r="V1640" s="72" t="str">
        <f t="shared" si="25"/>
        <v>MT_POWDER RIVER</v>
      </c>
      <c r="AJ1640" s="1" t="s">
        <v>81</v>
      </c>
      <c r="AK1640" s="1" t="s">
        <v>1166</v>
      </c>
      <c r="AL1640" s="1" t="s">
        <v>6918</v>
      </c>
      <c r="AM1640" s="1" t="s">
        <v>4154</v>
      </c>
    </row>
    <row r="1641" spans="20:39" x14ac:dyDescent="0.2">
      <c r="T1641" s="29" t="s">
        <v>921</v>
      </c>
      <c r="U1641" s="69" t="s">
        <v>79</v>
      </c>
      <c r="V1641" s="72" t="str">
        <f t="shared" si="25"/>
        <v>MT_POWELL</v>
      </c>
      <c r="AJ1641" s="1" t="s">
        <v>81</v>
      </c>
      <c r="AK1641" s="1" t="s">
        <v>1167</v>
      </c>
      <c r="AL1641" s="1" t="s">
        <v>6919</v>
      </c>
      <c r="AM1641" s="1" t="s">
        <v>4155</v>
      </c>
    </row>
    <row r="1642" spans="20:39" x14ac:dyDescent="0.2">
      <c r="T1642" s="28" t="s">
        <v>335</v>
      </c>
      <c r="U1642" s="68" t="s">
        <v>79</v>
      </c>
      <c r="V1642" s="72" t="str">
        <f t="shared" si="25"/>
        <v>MT_PRAIRIE</v>
      </c>
      <c r="AJ1642" s="1" t="s">
        <v>81</v>
      </c>
      <c r="AK1642" s="1" t="s">
        <v>1168</v>
      </c>
      <c r="AL1642" s="1" t="s">
        <v>6920</v>
      </c>
      <c r="AM1642" s="1" t="s">
        <v>4156</v>
      </c>
    </row>
    <row r="1643" spans="20:39" x14ac:dyDescent="0.2">
      <c r="T1643" s="29" t="s">
        <v>1256</v>
      </c>
      <c r="U1643" s="69" t="s">
        <v>79</v>
      </c>
      <c r="V1643" s="72" t="str">
        <f t="shared" si="25"/>
        <v>MT_RAVALLI</v>
      </c>
      <c r="AJ1643" s="1" t="s">
        <v>81</v>
      </c>
      <c r="AK1643" s="1" t="s">
        <v>229</v>
      </c>
      <c r="AL1643" s="1" t="s">
        <v>6921</v>
      </c>
      <c r="AM1643" s="1" t="s">
        <v>4180</v>
      </c>
    </row>
    <row r="1644" spans="20:39" x14ac:dyDescent="0.2">
      <c r="T1644" s="28" t="s">
        <v>708</v>
      </c>
      <c r="U1644" s="68" t="s">
        <v>79</v>
      </c>
      <c r="V1644" s="72" t="str">
        <f t="shared" si="25"/>
        <v>MT_RICHLAND</v>
      </c>
      <c r="AJ1644" s="1" t="s">
        <v>81</v>
      </c>
      <c r="AK1644" s="1" t="s">
        <v>579</v>
      </c>
      <c r="AL1644" s="1" t="s">
        <v>6922</v>
      </c>
      <c r="AM1644" s="1" t="s">
        <v>4158</v>
      </c>
    </row>
    <row r="1645" spans="20:39" x14ac:dyDescent="0.2">
      <c r="T1645" s="29" t="s">
        <v>1257</v>
      </c>
      <c r="U1645" s="69" t="s">
        <v>79</v>
      </c>
      <c r="V1645" s="72" t="str">
        <f t="shared" si="25"/>
        <v>MT_ROOSEVELT</v>
      </c>
      <c r="AJ1645" s="1" t="s">
        <v>81</v>
      </c>
      <c r="AK1645" s="1" t="s">
        <v>230</v>
      </c>
      <c r="AL1645" s="1" t="s">
        <v>6923</v>
      </c>
      <c r="AM1645" s="1" t="s">
        <v>4159</v>
      </c>
    </row>
    <row r="1646" spans="20:39" x14ac:dyDescent="0.2">
      <c r="T1646" s="28" t="s">
        <v>1258</v>
      </c>
      <c r="U1646" s="68" t="s">
        <v>79</v>
      </c>
      <c r="V1646" s="72" t="str">
        <f t="shared" si="25"/>
        <v>MT_ROSEBUD</v>
      </c>
      <c r="AJ1646" s="1" t="s">
        <v>81</v>
      </c>
      <c r="AK1646" s="1" t="s">
        <v>1169</v>
      </c>
      <c r="AL1646" s="1" t="s">
        <v>6924</v>
      </c>
      <c r="AM1646" s="1" t="s">
        <v>4160</v>
      </c>
    </row>
    <row r="1647" spans="20:39" x14ac:dyDescent="0.2">
      <c r="T1647" s="29" t="s">
        <v>1259</v>
      </c>
      <c r="U1647" s="69" t="s">
        <v>79</v>
      </c>
      <c r="V1647" s="72" t="str">
        <f t="shared" si="25"/>
        <v>MT_SANDERS</v>
      </c>
      <c r="AJ1647" s="1" t="s">
        <v>81</v>
      </c>
      <c r="AK1647" s="1" t="s">
        <v>582</v>
      </c>
      <c r="AL1647" s="1" t="s">
        <v>6925</v>
      </c>
      <c r="AM1647" s="1" t="s">
        <v>4161</v>
      </c>
    </row>
    <row r="1648" spans="20:39" x14ac:dyDescent="0.2">
      <c r="T1648" s="28" t="s">
        <v>861</v>
      </c>
      <c r="U1648" s="68" t="s">
        <v>79</v>
      </c>
      <c r="V1648" s="72" t="str">
        <f t="shared" si="25"/>
        <v>MT_SHERIDAN</v>
      </c>
      <c r="AJ1648" s="1" t="s">
        <v>81</v>
      </c>
      <c r="AK1648" s="1" t="s">
        <v>1170</v>
      </c>
      <c r="AL1648" s="1" t="s">
        <v>6926</v>
      </c>
      <c r="AM1648" s="1" t="s">
        <v>4162</v>
      </c>
    </row>
    <row r="1649" spans="20:39" x14ac:dyDescent="0.2">
      <c r="T1649" s="29" t="s">
        <v>1260</v>
      </c>
      <c r="U1649" s="69" t="s">
        <v>79</v>
      </c>
      <c r="V1649" s="72" t="str">
        <f t="shared" si="25"/>
        <v>MT_SILVER BOW</v>
      </c>
      <c r="AJ1649" s="1" t="s">
        <v>81</v>
      </c>
      <c r="AK1649" s="1" t="s">
        <v>321</v>
      </c>
      <c r="AL1649" s="1" t="s">
        <v>6927</v>
      </c>
      <c r="AM1649" s="1" t="s">
        <v>4163</v>
      </c>
    </row>
    <row r="1650" spans="20:39" x14ac:dyDescent="0.2">
      <c r="T1650" s="28" t="s">
        <v>1261</v>
      </c>
      <c r="U1650" s="68" t="s">
        <v>79</v>
      </c>
      <c r="V1650" s="72" t="str">
        <f t="shared" si="25"/>
        <v>MT_STILLWATER</v>
      </c>
      <c r="AJ1650" s="1" t="s">
        <v>81</v>
      </c>
      <c r="AK1650" s="1" t="s">
        <v>231</v>
      </c>
      <c r="AL1650" s="1" t="s">
        <v>6928</v>
      </c>
      <c r="AM1650" s="1" t="s">
        <v>9213</v>
      </c>
    </row>
    <row r="1651" spans="20:39" x14ac:dyDescent="0.2">
      <c r="T1651" s="29" t="s">
        <v>1262</v>
      </c>
      <c r="U1651" s="69" t="s">
        <v>79</v>
      </c>
      <c r="V1651" s="72" t="str">
        <f t="shared" si="25"/>
        <v>MT_SWEET GRASS</v>
      </c>
      <c r="AJ1651" s="1" t="s">
        <v>81</v>
      </c>
      <c r="AK1651" s="1" t="s">
        <v>232</v>
      </c>
      <c r="AL1651" s="1" t="s">
        <v>6929</v>
      </c>
      <c r="AM1651" s="1" t="s">
        <v>4164</v>
      </c>
    </row>
    <row r="1652" spans="20:39" x14ac:dyDescent="0.2">
      <c r="T1652" s="28" t="s">
        <v>665</v>
      </c>
      <c r="U1652" s="68" t="s">
        <v>79</v>
      </c>
      <c r="V1652" s="72" t="str">
        <f t="shared" si="25"/>
        <v>MT_TETON</v>
      </c>
      <c r="AJ1652" s="1" t="s">
        <v>81</v>
      </c>
      <c r="AK1652" s="1" t="s">
        <v>233</v>
      </c>
      <c r="AL1652" s="1" t="s">
        <v>6930</v>
      </c>
      <c r="AM1652" s="1" t="s">
        <v>4165</v>
      </c>
    </row>
    <row r="1653" spans="20:39" x14ac:dyDescent="0.2">
      <c r="T1653" s="29" t="s">
        <v>1263</v>
      </c>
      <c r="U1653" s="69" t="s">
        <v>79</v>
      </c>
      <c r="V1653" s="72" t="str">
        <f t="shared" si="25"/>
        <v>MT_TOOLE</v>
      </c>
      <c r="AJ1653" s="1" t="s">
        <v>81</v>
      </c>
      <c r="AK1653" s="1" t="s">
        <v>1171</v>
      </c>
      <c r="AL1653" s="1" t="s">
        <v>6931</v>
      </c>
      <c r="AM1653" s="1" t="s">
        <v>4166</v>
      </c>
    </row>
    <row r="1654" spans="20:39" x14ac:dyDescent="0.2">
      <c r="T1654" s="28" t="s">
        <v>1264</v>
      </c>
      <c r="U1654" s="68" t="s">
        <v>79</v>
      </c>
      <c r="V1654" s="72" t="str">
        <f t="shared" si="25"/>
        <v>MT_TREASURE</v>
      </c>
      <c r="AJ1654" s="1" t="s">
        <v>81</v>
      </c>
      <c r="AK1654" s="1" t="s">
        <v>234</v>
      </c>
      <c r="AL1654" s="1" t="s">
        <v>6932</v>
      </c>
      <c r="AM1654" s="1" t="s">
        <v>4167</v>
      </c>
    </row>
    <row r="1655" spans="20:39" x14ac:dyDescent="0.2">
      <c r="T1655" s="29" t="s">
        <v>667</v>
      </c>
      <c r="U1655" s="69" t="s">
        <v>79</v>
      </c>
      <c r="V1655" s="72" t="str">
        <f t="shared" si="25"/>
        <v>MT_VALLEY</v>
      </c>
      <c r="AJ1655" s="1" t="s">
        <v>81</v>
      </c>
      <c r="AK1655" s="1" t="s">
        <v>1172</v>
      </c>
      <c r="AL1655" s="1" t="s">
        <v>6933</v>
      </c>
      <c r="AM1655" s="1" t="s">
        <v>4168</v>
      </c>
    </row>
    <row r="1656" spans="20:39" x14ac:dyDescent="0.2">
      <c r="T1656" s="28" t="s">
        <v>1265</v>
      </c>
      <c r="U1656" s="68" t="s">
        <v>79</v>
      </c>
      <c r="V1656" s="72" t="str">
        <f t="shared" si="25"/>
        <v>MT_WHEATLAND</v>
      </c>
      <c r="AJ1656" s="1" t="s">
        <v>81</v>
      </c>
      <c r="AK1656" s="1" t="s">
        <v>322</v>
      </c>
      <c r="AL1656" s="1" t="s">
        <v>6934</v>
      </c>
      <c r="AM1656" s="1" t="s">
        <v>4169</v>
      </c>
    </row>
    <row r="1657" spans="20:39" x14ac:dyDescent="0.2">
      <c r="T1657" s="29" t="s">
        <v>1266</v>
      </c>
      <c r="U1657" s="69" t="s">
        <v>79</v>
      </c>
      <c r="V1657" s="72" t="str">
        <f t="shared" si="25"/>
        <v>MT_WIBAUX</v>
      </c>
      <c r="AJ1657" s="1" t="s">
        <v>81</v>
      </c>
      <c r="AK1657" s="1" t="s">
        <v>236</v>
      </c>
      <c r="AL1657" s="1" t="s">
        <v>6935</v>
      </c>
      <c r="AM1657" s="1" t="s">
        <v>4170</v>
      </c>
    </row>
    <row r="1658" spans="20:39" x14ac:dyDescent="0.2">
      <c r="T1658" s="28" t="s">
        <v>1267</v>
      </c>
      <c r="U1658" s="68" t="s">
        <v>79</v>
      </c>
      <c r="V1658" s="72" t="str">
        <f t="shared" si="25"/>
        <v>MT_YELLOWSTONE</v>
      </c>
      <c r="AJ1658" s="1" t="s">
        <v>81</v>
      </c>
      <c r="AK1658" s="1" t="s">
        <v>238</v>
      </c>
      <c r="AL1658" s="1" t="s">
        <v>6936</v>
      </c>
      <c r="AM1658" s="1" t="s">
        <v>4157</v>
      </c>
    </row>
    <row r="1659" spans="20:39" x14ac:dyDescent="0.2">
      <c r="T1659" s="28" t="s">
        <v>406</v>
      </c>
      <c r="U1659" s="68" t="s">
        <v>78</v>
      </c>
      <c r="V1659" s="72" t="str">
        <f t="shared" si="25"/>
        <v>NE_ADAMS</v>
      </c>
      <c r="AJ1659" s="1" t="s">
        <v>81</v>
      </c>
      <c r="AK1659" s="1" t="s">
        <v>240</v>
      </c>
      <c r="AL1659" s="1" t="s">
        <v>6937</v>
      </c>
      <c r="AM1659" s="1" t="s">
        <v>4171</v>
      </c>
    </row>
    <row r="1660" spans="20:39" x14ac:dyDescent="0.2">
      <c r="T1660" s="29" t="s">
        <v>1268</v>
      </c>
      <c r="U1660" s="69" t="s">
        <v>78</v>
      </c>
      <c r="V1660" s="72" t="str">
        <f t="shared" si="25"/>
        <v>NE_ANTELOPE</v>
      </c>
      <c r="AJ1660" s="1" t="s">
        <v>81</v>
      </c>
      <c r="AK1660" s="1" t="s">
        <v>241</v>
      </c>
      <c r="AL1660" s="1" t="s">
        <v>6938</v>
      </c>
      <c r="AM1660" s="1" t="s">
        <v>4172</v>
      </c>
    </row>
    <row r="1661" spans="20:39" x14ac:dyDescent="0.2">
      <c r="T1661" s="28" t="s">
        <v>1269</v>
      </c>
      <c r="U1661" s="68" t="s">
        <v>78</v>
      </c>
      <c r="V1661" s="72" t="str">
        <f t="shared" si="25"/>
        <v>NE_ARTHUR</v>
      </c>
      <c r="AJ1661" s="1" t="s">
        <v>81</v>
      </c>
      <c r="AK1661" s="1" t="s">
        <v>243</v>
      </c>
      <c r="AL1661" s="1" t="s">
        <v>6939</v>
      </c>
      <c r="AM1661" s="1" t="s">
        <v>4173</v>
      </c>
    </row>
    <row r="1662" spans="20:39" x14ac:dyDescent="0.2">
      <c r="T1662" s="29" t="s">
        <v>1270</v>
      </c>
      <c r="U1662" s="69" t="s">
        <v>78</v>
      </c>
      <c r="V1662" s="72" t="str">
        <f t="shared" si="25"/>
        <v>NE_BANNER</v>
      </c>
      <c r="AJ1662" s="1" t="s">
        <v>81</v>
      </c>
      <c r="AK1662" s="1" t="s">
        <v>244</v>
      </c>
      <c r="AL1662" s="1" t="s">
        <v>6940</v>
      </c>
      <c r="AM1662" s="1" t="s">
        <v>4174</v>
      </c>
    </row>
    <row r="1663" spans="20:39" x14ac:dyDescent="0.2">
      <c r="T1663" s="28" t="s">
        <v>640</v>
      </c>
      <c r="U1663" s="68" t="s">
        <v>78</v>
      </c>
      <c r="V1663" s="72" t="str">
        <f t="shared" si="25"/>
        <v>NE_BLAINE</v>
      </c>
      <c r="AJ1663" s="1" t="s">
        <v>81</v>
      </c>
      <c r="AK1663" s="1" t="s">
        <v>1173</v>
      </c>
      <c r="AL1663" s="1" t="s">
        <v>6941</v>
      </c>
      <c r="AM1663" s="1" t="s">
        <v>4175</v>
      </c>
    </row>
    <row r="1664" spans="20:39" x14ac:dyDescent="0.2">
      <c r="T1664" s="29" t="s">
        <v>297</v>
      </c>
      <c r="U1664" s="69" t="s">
        <v>78</v>
      </c>
      <c r="V1664" s="72" t="str">
        <f t="shared" si="25"/>
        <v>NE_BOONE</v>
      </c>
      <c r="AJ1664" s="1" t="s">
        <v>81</v>
      </c>
      <c r="AK1664" s="1" t="s">
        <v>329</v>
      </c>
      <c r="AL1664" s="1" t="s">
        <v>6942</v>
      </c>
      <c r="AM1664" s="1" t="s">
        <v>4176</v>
      </c>
    </row>
    <row r="1665" spans="20:39" x14ac:dyDescent="0.2">
      <c r="T1665" s="28" t="s">
        <v>1271</v>
      </c>
      <c r="U1665" s="68" t="s">
        <v>78</v>
      </c>
      <c r="V1665" s="72" t="str">
        <f t="shared" si="25"/>
        <v>NE_BOX BUTTE</v>
      </c>
      <c r="AJ1665" s="1" t="s">
        <v>81</v>
      </c>
      <c r="AK1665" s="1" t="s">
        <v>1174</v>
      </c>
      <c r="AL1665" s="1" t="s">
        <v>6943</v>
      </c>
      <c r="AM1665" s="1" t="s">
        <v>4177</v>
      </c>
    </row>
    <row r="1666" spans="20:39" x14ac:dyDescent="0.2">
      <c r="T1666" s="29" t="s">
        <v>879</v>
      </c>
      <c r="U1666" s="69" t="s">
        <v>78</v>
      </c>
      <c r="V1666" s="72" t="str">
        <f t="shared" si="25"/>
        <v>NE_BOYD</v>
      </c>
      <c r="AJ1666" s="1" t="s">
        <v>81</v>
      </c>
      <c r="AK1666" s="1" t="s">
        <v>1175</v>
      </c>
      <c r="AL1666" s="1" t="s">
        <v>6944</v>
      </c>
      <c r="AM1666" s="1" t="s">
        <v>4178</v>
      </c>
    </row>
    <row r="1667" spans="20:39" x14ac:dyDescent="0.2">
      <c r="T1667" s="28" t="s">
        <v>670</v>
      </c>
      <c r="U1667" s="68" t="s">
        <v>78</v>
      </c>
      <c r="V1667" s="72" t="str">
        <f t="shared" si="25"/>
        <v>NE_BROWN</v>
      </c>
      <c r="AJ1667" s="1" t="s">
        <v>81</v>
      </c>
      <c r="AK1667" s="1" t="s">
        <v>1176</v>
      </c>
      <c r="AL1667" s="1" t="s">
        <v>6945</v>
      </c>
      <c r="AM1667" s="1" t="s">
        <v>4179</v>
      </c>
    </row>
    <row r="1668" spans="20:39" x14ac:dyDescent="0.2">
      <c r="T1668" s="29" t="s">
        <v>1272</v>
      </c>
      <c r="U1668" s="69" t="s">
        <v>78</v>
      </c>
      <c r="V1668" s="72" t="str">
        <f t="shared" si="25"/>
        <v>NE_BUFFALO</v>
      </c>
      <c r="AJ1668" s="1" t="s">
        <v>81</v>
      </c>
      <c r="AK1668" s="1" t="s">
        <v>1177</v>
      </c>
      <c r="AL1668" s="1" t="s">
        <v>6946</v>
      </c>
      <c r="AM1668" s="1" t="s">
        <v>4181</v>
      </c>
    </row>
    <row r="1669" spans="20:39" x14ac:dyDescent="0.2">
      <c r="T1669" s="28" t="s">
        <v>1273</v>
      </c>
      <c r="U1669" s="68" t="s">
        <v>78</v>
      </c>
      <c r="V1669" s="72" t="str">
        <f t="shared" si="25"/>
        <v>NE_BURT</v>
      </c>
      <c r="AJ1669" s="1" t="s">
        <v>81</v>
      </c>
      <c r="AK1669" s="1" t="s">
        <v>246</v>
      </c>
      <c r="AL1669" s="1" t="s">
        <v>6947</v>
      </c>
      <c r="AM1669" s="1" t="s">
        <v>9213</v>
      </c>
    </row>
    <row r="1670" spans="20:39" x14ac:dyDescent="0.2">
      <c r="T1670" s="29" t="s">
        <v>200</v>
      </c>
      <c r="U1670" s="69" t="s">
        <v>78</v>
      </c>
      <c r="V1670" s="72" t="str">
        <f t="shared" si="25"/>
        <v>NE_BUTLER</v>
      </c>
      <c r="AJ1670" s="1" t="s">
        <v>81</v>
      </c>
      <c r="AK1670" s="1" t="s">
        <v>248</v>
      </c>
      <c r="AL1670" s="1" t="s">
        <v>6948</v>
      </c>
      <c r="AM1670" s="1" t="s">
        <v>4182</v>
      </c>
    </row>
    <row r="1671" spans="20:39" x14ac:dyDescent="0.2">
      <c r="T1671" s="28" t="s">
        <v>672</v>
      </c>
      <c r="U1671" s="68" t="s">
        <v>78</v>
      </c>
      <c r="V1671" s="72" t="str">
        <f t="shared" si="25"/>
        <v>NE_CASS</v>
      </c>
      <c r="AJ1671" s="1" t="s">
        <v>81</v>
      </c>
      <c r="AK1671" s="1" t="s">
        <v>1178</v>
      </c>
      <c r="AL1671" s="1" t="s">
        <v>6949</v>
      </c>
      <c r="AM1671" s="1" t="s">
        <v>4183</v>
      </c>
    </row>
    <row r="1672" spans="20:39" x14ac:dyDescent="0.2">
      <c r="T1672" s="29" t="s">
        <v>771</v>
      </c>
      <c r="U1672" s="69" t="s">
        <v>78</v>
      </c>
      <c r="V1672" s="72" t="str">
        <f t="shared" si="25"/>
        <v>NE_CEDAR</v>
      </c>
      <c r="AJ1672" s="1" t="s">
        <v>81</v>
      </c>
      <c r="AK1672" s="1" t="s">
        <v>1179</v>
      </c>
      <c r="AL1672" s="1" t="s">
        <v>6950</v>
      </c>
      <c r="AM1672" s="1" t="s">
        <v>4184</v>
      </c>
    </row>
    <row r="1673" spans="20:39" x14ac:dyDescent="0.2">
      <c r="T1673" s="28" t="s">
        <v>813</v>
      </c>
      <c r="U1673" s="68" t="s">
        <v>78</v>
      </c>
      <c r="V1673" s="72" t="str">
        <f t="shared" si="25"/>
        <v>NE_CHASE</v>
      </c>
      <c r="AJ1673" s="1" t="s">
        <v>81</v>
      </c>
      <c r="AK1673" s="1" t="s">
        <v>598</v>
      </c>
      <c r="AL1673" s="1" t="s">
        <v>6951</v>
      </c>
      <c r="AM1673" s="1" t="s">
        <v>4185</v>
      </c>
    </row>
    <row r="1674" spans="20:39" x14ac:dyDescent="0.2">
      <c r="T1674" s="29" t="s">
        <v>1274</v>
      </c>
      <c r="U1674" s="69" t="s">
        <v>78</v>
      </c>
      <c r="V1674" s="72" t="str">
        <f t="shared" ref="V1674:V1737" si="26">UPPER(CONCATENATE(TRIM(U1674),"_",TRIM(T1674)))</f>
        <v>NE_CHERRY</v>
      </c>
      <c r="AJ1674" s="1" t="s">
        <v>81</v>
      </c>
      <c r="AK1674" s="1" t="s">
        <v>1180</v>
      </c>
      <c r="AL1674" s="1" t="s">
        <v>6952</v>
      </c>
      <c r="AM1674" s="1" t="s">
        <v>4157</v>
      </c>
    </row>
    <row r="1675" spans="20:39" x14ac:dyDescent="0.2">
      <c r="T1675" s="28" t="s">
        <v>414</v>
      </c>
      <c r="U1675" s="68" t="s">
        <v>78</v>
      </c>
      <c r="V1675" s="72" t="str">
        <f t="shared" si="26"/>
        <v>NE_CHEYENNE</v>
      </c>
      <c r="AJ1675" s="1" t="s">
        <v>81</v>
      </c>
      <c r="AK1675" s="1" t="s">
        <v>339</v>
      </c>
      <c r="AL1675" s="1" t="s">
        <v>6953</v>
      </c>
      <c r="AM1675" s="1" t="s">
        <v>9214</v>
      </c>
    </row>
    <row r="1676" spans="20:39" x14ac:dyDescent="0.2">
      <c r="T1676" s="29" t="s">
        <v>207</v>
      </c>
      <c r="U1676" s="69" t="s">
        <v>78</v>
      </c>
      <c r="V1676" s="72" t="str">
        <f t="shared" si="26"/>
        <v>NE_CLAY</v>
      </c>
      <c r="AJ1676" s="1" t="s">
        <v>81</v>
      </c>
      <c r="AK1676" s="1" t="s">
        <v>1181</v>
      </c>
      <c r="AL1676" s="1" t="s">
        <v>6954</v>
      </c>
      <c r="AM1676" s="1" t="s">
        <v>4186</v>
      </c>
    </row>
    <row r="1677" spans="20:39" x14ac:dyDescent="0.2">
      <c r="T1677" s="28" t="s">
        <v>1275</v>
      </c>
      <c r="U1677" s="68" t="s">
        <v>78</v>
      </c>
      <c r="V1677" s="72" t="str">
        <f t="shared" si="26"/>
        <v>NE_COLFAX</v>
      </c>
      <c r="AJ1677" s="1" t="s">
        <v>81</v>
      </c>
      <c r="AK1677" s="1" t="s">
        <v>925</v>
      </c>
      <c r="AL1677" s="1" t="s">
        <v>6955</v>
      </c>
      <c r="AM1677" s="1" t="s">
        <v>4187</v>
      </c>
    </row>
    <row r="1678" spans="20:39" x14ac:dyDescent="0.2">
      <c r="T1678" s="29" t="s">
        <v>1276</v>
      </c>
      <c r="U1678" s="69" t="s">
        <v>78</v>
      </c>
      <c r="V1678" s="72" t="str">
        <f t="shared" si="26"/>
        <v>NE_CUMING</v>
      </c>
      <c r="AJ1678" s="1" t="s">
        <v>81</v>
      </c>
      <c r="AK1678" s="1" t="s">
        <v>863</v>
      </c>
      <c r="AL1678" s="1" t="s">
        <v>6956</v>
      </c>
      <c r="AM1678" s="1" t="s">
        <v>4188</v>
      </c>
    </row>
    <row r="1679" spans="20:39" x14ac:dyDescent="0.2">
      <c r="T1679" s="28" t="s">
        <v>419</v>
      </c>
      <c r="U1679" s="68" t="s">
        <v>78</v>
      </c>
      <c r="V1679" s="72" t="str">
        <f t="shared" si="26"/>
        <v>NE_CUSTER</v>
      </c>
      <c r="AJ1679" s="1" t="s">
        <v>81</v>
      </c>
      <c r="AK1679" s="1" t="s">
        <v>344</v>
      </c>
      <c r="AL1679" s="1" t="s">
        <v>6957</v>
      </c>
      <c r="AM1679" s="1" t="s">
        <v>4189</v>
      </c>
    </row>
    <row r="1680" spans="20:39" x14ac:dyDescent="0.2">
      <c r="T1680" s="29" t="s">
        <v>1104</v>
      </c>
      <c r="U1680" s="69" t="s">
        <v>78</v>
      </c>
      <c r="V1680" s="72" t="str">
        <f t="shared" si="26"/>
        <v>NE_DAKOTA</v>
      </c>
      <c r="AJ1680" s="1" t="s">
        <v>81</v>
      </c>
      <c r="AK1680" s="1" t="s">
        <v>1182</v>
      </c>
      <c r="AL1680" s="1" t="s">
        <v>6958</v>
      </c>
      <c r="AM1680" s="1" t="s">
        <v>4190</v>
      </c>
    </row>
    <row r="1681" spans="20:39" x14ac:dyDescent="0.2">
      <c r="T1681" s="28" t="s">
        <v>1277</v>
      </c>
      <c r="U1681" s="68" t="s">
        <v>78</v>
      </c>
      <c r="V1681" s="72" t="str">
        <f t="shared" si="26"/>
        <v>NE_DAWES</v>
      </c>
      <c r="AJ1681" s="1" t="s">
        <v>81</v>
      </c>
      <c r="AK1681" s="1" t="s">
        <v>1183</v>
      </c>
      <c r="AL1681" s="1" t="s">
        <v>6959</v>
      </c>
      <c r="AM1681" s="1" t="s">
        <v>4191</v>
      </c>
    </row>
    <row r="1682" spans="20:39" x14ac:dyDescent="0.2">
      <c r="T1682" s="29" t="s">
        <v>551</v>
      </c>
      <c r="U1682" s="69" t="s">
        <v>78</v>
      </c>
      <c r="V1682" s="72" t="str">
        <f t="shared" si="26"/>
        <v>NE_DAWSON</v>
      </c>
      <c r="AJ1682" s="1" t="s">
        <v>81</v>
      </c>
      <c r="AK1682" s="1" t="s">
        <v>1184</v>
      </c>
      <c r="AL1682" s="1" t="s">
        <v>6960</v>
      </c>
      <c r="AM1682" s="1" t="s">
        <v>4192</v>
      </c>
    </row>
    <row r="1683" spans="20:39" x14ac:dyDescent="0.2">
      <c r="T1683" s="28" t="s">
        <v>1278</v>
      </c>
      <c r="U1683" s="68" t="s">
        <v>78</v>
      </c>
      <c r="V1683" s="72" t="str">
        <f t="shared" si="26"/>
        <v>NE_DEUEL</v>
      </c>
      <c r="AJ1683" s="1" t="s">
        <v>81</v>
      </c>
      <c r="AK1683" s="1" t="s">
        <v>1185</v>
      </c>
      <c r="AL1683" s="1" t="s">
        <v>6961</v>
      </c>
      <c r="AM1683" s="1" t="s">
        <v>4193</v>
      </c>
    </row>
    <row r="1684" spans="20:39" x14ac:dyDescent="0.2">
      <c r="T1684" s="29" t="s">
        <v>1279</v>
      </c>
      <c r="U1684" s="69" t="s">
        <v>78</v>
      </c>
      <c r="V1684" s="72" t="str">
        <f t="shared" si="26"/>
        <v>NE_DIXON</v>
      </c>
      <c r="AJ1684" s="1" t="s">
        <v>81</v>
      </c>
      <c r="AK1684" s="1" t="s">
        <v>1186</v>
      </c>
      <c r="AL1684" s="1" t="s">
        <v>6962</v>
      </c>
      <c r="AM1684" s="1" t="s">
        <v>4194</v>
      </c>
    </row>
    <row r="1685" spans="20:39" x14ac:dyDescent="0.2">
      <c r="T1685" s="28" t="s">
        <v>554</v>
      </c>
      <c r="U1685" s="68" t="s">
        <v>78</v>
      </c>
      <c r="V1685" s="72" t="str">
        <f t="shared" si="26"/>
        <v>NE_DODGE</v>
      </c>
      <c r="AJ1685" s="1" t="s">
        <v>81</v>
      </c>
      <c r="AK1685" s="1" t="s">
        <v>1187</v>
      </c>
      <c r="AL1685" s="1" t="s">
        <v>6963</v>
      </c>
      <c r="AM1685" s="1" t="s">
        <v>4195</v>
      </c>
    </row>
    <row r="1686" spans="20:39" x14ac:dyDescent="0.2">
      <c r="T1686" s="29" t="s">
        <v>423</v>
      </c>
      <c r="U1686" s="69" t="s">
        <v>78</v>
      </c>
      <c r="V1686" s="72" t="str">
        <f t="shared" si="26"/>
        <v>NE_DOUGLAS</v>
      </c>
      <c r="AJ1686" s="1" t="s">
        <v>81</v>
      </c>
      <c r="AK1686" s="1" t="s">
        <v>345</v>
      </c>
      <c r="AL1686" s="1" t="s">
        <v>6964</v>
      </c>
      <c r="AM1686" s="1" t="s">
        <v>4196</v>
      </c>
    </row>
    <row r="1687" spans="20:39" x14ac:dyDescent="0.2">
      <c r="T1687" s="28" t="s">
        <v>1280</v>
      </c>
      <c r="U1687" s="68" t="s">
        <v>78</v>
      </c>
      <c r="V1687" s="72" t="str">
        <f t="shared" si="26"/>
        <v>NE_DUNDY</v>
      </c>
      <c r="AJ1687" s="1" t="s">
        <v>81</v>
      </c>
      <c r="AK1687" s="1" t="s">
        <v>1188</v>
      </c>
      <c r="AL1687" s="1" t="s">
        <v>6965</v>
      </c>
      <c r="AM1687" s="1" t="s">
        <v>4197</v>
      </c>
    </row>
    <row r="1688" spans="20:39" x14ac:dyDescent="0.2">
      <c r="T1688" s="29" t="s">
        <v>1106</v>
      </c>
      <c r="U1688" s="69" t="s">
        <v>78</v>
      </c>
      <c r="V1688" s="72" t="str">
        <f t="shared" si="26"/>
        <v>NE_FILLMORE</v>
      </c>
      <c r="AJ1688" s="1" t="s">
        <v>81</v>
      </c>
      <c r="AK1688" s="1" t="s">
        <v>622</v>
      </c>
      <c r="AL1688" s="1" t="s">
        <v>6966</v>
      </c>
      <c r="AM1688" s="1" t="s">
        <v>4198</v>
      </c>
    </row>
    <row r="1689" spans="20:39" x14ac:dyDescent="0.2">
      <c r="T1689" s="28" t="s">
        <v>223</v>
      </c>
      <c r="U1689" s="68" t="s">
        <v>78</v>
      </c>
      <c r="V1689" s="72" t="str">
        <f t="shared" si="26"/>
        <v>NE_FRANKLIN</v>
      </c>
      <c r="AJ1689" s="1" t="s">
        <v>81</v>
      </c>
      <c r="AK1689" s="1" t="s">
        <v>258</v>
      </c>
      <c r="AL1689" s="1" t="s">
        <v>6967</v>
      </c>
      <c r="AM1689" s="1" t="s">
        <v>4199</v>
      </c>
    </row>
    <row r="1690" spans="20:39" x14ac:dyDescent="0.2">
      <c r="T1690" s="29" t="s">
        <v>1281</v>
      </c>
      <c r="U1690" s="69" t="s">
        <v>78</v>
      </c>
      <c r="V1690" s="72" t="str">
        <f t="shared" si="26"/>
        <v>NE_FRONTIER</v>
      </c>
      <c r="AJ1690" s="1" t="s">
        <v>81</v>
      </c>
      <c r="AK1690" s="1" t="s">
        <v>623</v>
      </c>
      <c r="AL1690" s="1" t="s">
        <v>6968</v>
      </c>
      <c r="AM1690" s="1" t="s">
        <v>4200</v>
      </c>
    </row>
    <row r="1691" spans="20:39" x14ac:dyDescent="0.2">
      <c r="T1691" s="28" t="s">
        <v>1282</v>
      </c>
      <c r="U1691" s="68" t="s">
        <v>78</v>
      </c>
      <c r="V1691" s="72" t="str">
        <f t="shared" si="26"/>
        <v>NE_FURNAS</v>
      </c>
      <c r="AJ1691" s="1" t="s">
        <v>81</v>
      </c>
      <c r="AK1691" s="1" t="s">
        <v>624</v>
      </c>
      <c r="AL1691" s="1" t="s">
        <v>6969</v>
      </c>
      <c r="AM1691" s="1" t="s">
        <v>4201</v>
      </c>
    </row>
    <row r="1692" spans="20:39" x14ac:dyDescent="0.2">
      <c r="T1692" s="29" t="s">
        <v>1283</v>
      </c>
      <c r="U1692" s="69" t="s">
        <v>78</v>
      </c>
      <c r="V1692" s="72" t="str">
        <f t="shared" si="26"/>
        <v>NE_GAGE</v>
      </c>
      <c r="AJ1692" s="1" t="s">
        <v>81</v>
      </c>
      <c r="AK1692" s="1" t="s">
        <v>628</v>
      </c>
      <c r="AL1692" s="1" t="s">
        <v>6970</v>
      </c>
      <c r="AM1692" s="1" t="s">
        <v>4202</v>
      </c>
    </row>
    <row r="1693" spans="20:39" x14ac:dyDescent="0.2">
      <c r="T1693" s="28" t="s">
        <v>1284</v>
      </c>
      <c r="U1693" s="68" t="s">
        <v>78</v>
      </c>
      <c r="V1693" s="72" t="str">
        <f t="shared" si="26"/>
        <v>NE_GARDEN</v>
      </c>
      <c r="AJ1693" s="1" t="s">
        <v>81</v>
      </c>
      <c r="AK1693" s="1" t="s">
        <v>260</v>
      </c>
      <c r="AL1693" s="1" t="s">
        <v>6971</v>
      </c>
      <c r="AM1693" s="1" t="s">
        <v>4203</v>
      </c>
    </row>
    <row r="1694" spans="20:39" x14ac:dyDescent="0.2">
      <c r="T1694" s="29" t="s">
        <v>428</v>
      </c>
      <c r="U1694" s="69" t="s">
        <v>78</v>
      </c>
      <c r="V1694" s="72" t="str">
        <f t="shared" si="26"/>
        <v>NE_GARFIELD</v>
      </c>
      <c r="AJ1694" s="1" t="s">
        <v>81</v>
      </c>
      <c r="AK1694" s="1" t="s">
        <v>1189</v>
      </c>
      <c r="AL1694" s="1" t="s">
        <v>6972</v>
      </c>
      <c r="AM1694" s="1" t="s">
        <v>4204</v>
      </c>
    </row>
    <row r="1695" spans="20:39" x14ac:dyDescent="0.2">
      <c r="T1695" s="28" t="s">
        <v>1285</v>
      </c>
      <c r="U1695" s="68" t="s">
        <v>78</v>
      </c>
      <c r="V1695" s="72" t="str">
        <f t="shared" si="26"/>
        <v>NE_GOSPER</v>
      </c>
      <c r="AJ1695" s="1" t="s">
        <v>81</v>
      </c>
      <c r="AK1695" s="1" t="s">
        <v>1190</v>
      </c>
      <c r="AL1695" s="1" t="s">
        <v>6973</v>
      </c>
      <c r="AM1695" s="1" t="s">
        <v>4205</v>
      </c>
    </row>
    <row r="1696" spans="20:39" x14ac:dyDescent="0.2">
      <c r="T1696" s="29" t="s">
        <v>314</v>
      </c>
      <c r="U1696" s="69" t="s">
        <v>78</v>
      </c>
      <c r="V1696" s="72" t="str">
        <f t="shared" si="26"/>
        <v>NE_GRANT</v>
      </c>
      <c r="AJ1696" s="1" t="s">
        <v>79</v>
      </c>
      <c r="AK1696" s="1" t="s">
        <v>1232</v>
      </c>
      <c r="AL1696" s="1" t="s">
        <v>6974</v>
      </c>
      <c r="AM1696" s="1" t="s">
        <v>4206</v>
      </c>
    </row>
    <row r="1697" spans="20:39" x14ac:dyDescent="0.2">
      <c r="T1697" s="28" t="s">
        <v>827</v>
      </c>
      <c r="U1697" s="68" t="s">
        <v>78</v>
      </c>
      <c r="V1697" s="72" t="str">
        <f t="shared" si="26"/>
        <v>NE_GREELEY</v>
      </c>
      <c r="AJ1697" s="1" t="s">
        <v>79</v>
      </c>
      <c r="AK1697" s="1" t="s">
        <v>1233</v>
      </c>
      <c r="AL1697" s="1" t="s">
        <v>6975</v>
      </c>
      <c r="AM1697" s="1" t="s">
        <v>4207</v>
      </c>
    </row>
    <row r="1698" spans="20:39" x14ac:dyDescent="0.2">
      <c r="T1698" s="29" t="s">
        <v>572</v>
      </c>
      <c r="U1698" s="69" t="s">
        <v>78</v>
      </c>
      <c r="V1698" s="72" t="str">
        <f t="shared" si="26"/>
        <v>NE_HALL</v>
      </c>
      <c r="AJ1698" s="1" t="s">
        <v>79</v>
      </c>
      <c r="AK1698" s="1" t="s">
        <v>640</v>
      </c>
      <c r="AL1698" s="1" t="s">
        <v>6976</v>
      </c>
      <c r="AM1698" s="1" t="s">
        <v>4209</v>
      </c>
    </row>
    <row r="1699" spans="20:39" x14ac:dyDescent="0.2">
      <c r="T1699" s="28" t="s">
        <v>491</v>
      </c>
      <c r="U1699" s="68" t="s">
        <v>78</v>
      </c>
      <c r="V1699" s="72" t="str">
        <f t="shared" si="26"/>
        <v>NE_HAMILTON</v>
      </c>
      <c r="AJ1699" s="1" t="s">
        <v>79</v>
      </c>
      <c r="AK1699" s="1" t="s">
        <v>1234</v>
      </c>
      <c r="AL1699" s="1" t="s">
        <v>6977</v>
      </c>
      <c r="AM1699" s="1" t="s">
        <v>9215</v>
      </c>
    </row>
    <row r="1700" spans="20:39" x14ac:dyDescent="0.2">
      <c r="T1700" s="29" t="s">
        <v>900</v>
      </c>
      <c r="U1700" s="69" t="s">
        <v>78</v>
      </c>
      <c r="V1700" s="72" t="str">
        <f t="shared" si="26"/>
        <v>NE_HARLAN</v>
      </c>
      <c r="AJ1700" s="1" t="s">
        <v>79</v>
      </c>
      <c r="AK1700" s="1" t="s">
        <v>1235</v>
      </c>
      <c r="AL1700" s="1" t="s">
        <v>6978</v>
      </c>
      <c r="AM1700" s="1" t="s">
        <v>4208</v>
      </c>
    </row>
    <row r="1701" spans="20:39" x14ac:dyDescent="0.2">
      <c r="T1701" s="28" t="s">
        <v>1286</v>
      </c>
      <c r="U1701" s="68" t="s">
        <v>78</v>
      </c>
      <c r="V1701" s="72" t="str">
        <f t="shared" si="26"/>
        <v>NE_HAYES</v>
      </c>
      <c r="AJ1701" s="1" t="s">
        <v>79</v>
      </c>
      <c r="AK1701" s="1" t="s">
        <v>889</v>
      </c>
      <c r="AL1701" s="1" t="s">
        <v>6979</v>
      </c>
      <c r="AM1701" s="1" t="s">
        <v>4210</v>
      </c>
    </row>
    <row r="1702" spans="20:39" x14ac:dyDescent="0.2">
      <c r="T1702" s="29" t="s">
        <v>1287</v>
      </c>
      <c r="U1702" s="69" t="s">
        <v>78</v>
      </c>
      <c r="V1702" s="72" t="str">
        <f t="shared" si="26"/>
        <v>NE_HITCHCOCK</v>
      </c>
      <c r="AJ1702" s="1" t="s">
        <v>79</v>
      </c>
      <c r="AK1702" s="1" t="s">
        <v>1236</v>
      </c>
      <c r="AL1702" s="1" t="s">
        <v>6980</v>
      </c>
      <c r="AM1702" s="1" t="s">
        <v>4223</v>
      </c>
    </row>
    <row r="1703" spans="20:39" x14ac:dyDescent="0.2">
      <c r="T1703" s="28" t="s">
        <v>1205</v>
      </c>
      <c r="U1703" s="68" t="s">
        <v>78</v>
      </c>
      <c r="V1703" s="72" t="str">
        <f t="shared" si="26"/>
        <v>NE_HOLT</v>
      </c>
      <c r="AJ1703" s="1" t="s">
        <v>79</v>
      </c>
      <c r="AK1703" s="1" t="s">
        <v>1237</v>
      </c>
      <c r="AL1703" s="1" t="s">
        <v>6981</v>
      </c>
      <c r="AM1703" s="1" t="s">
        <v>4211</v>
      </c>
    </row>
    <row r="1704" spans="20:39" x14ac:dyDescent="0.2">
      <c r="T1704" s="29" t="s">
        <v>1288</v>
      </c>
      <c r="U1704" s="69" t="s">
        <v>78</v>
      </c>
      <c r="V1704" s="72" t="str">
        <f t="shared" si="26"/>
        <v>NE_HOOKER</v>
      </c>
      <c r="AJ1704" s="1" t="s">
        <v>79</v>
      </c>
      <c r="AK1704" s="1" t="s">
        <v>419</v>
      </c>
      <c r="AL1704" s="1" t="s">
        <v>6982</v>
      </c>
      <c r="AM1704" s="1" t="s">
        <v>4212</v>
      </c>
    </row>
    <row r="1705" spans="20:39" x14ac:dyDescent="0.2">
      <c r="T1705" s="28" t="s">
        <v>317</v>
      </c>
      <c r="U1705" s="68" t="s">
        <v>78</v>
      </c>
      <c r="V1705" s="72" t="str">
        <f t="shared" si="26"/>
        <v>NE_HOWARD</v>
      </c>
      <c r="AJ1705" s="1" t="s">
        <v>79</v>
      </c>
      <c r="AK1705" s="1" t="s">
        <v>1238</v>
      </c>
      <c r="AL1705" s="1" t="s">
        <v>6983</v>
      </c>
      <c r="AM1705" s="1" t="s">
        <v>4213</v>
      </c>
    </row>
    <row r="1706" spans="20:39" x14ac:dyDescent="0.2">
      <c r="T1706" s="29" t="s">
        <v>230</v>
      </c>
      <c r="U1706" s="69" t="s">
        <v>78</v>
      </c>
      <c r="V1706" s="72" t="str">
        <f t="shared" si="26"/>
        <v>NE_JEFFERSON</v>
      </c>
      <c r="AJ1706" s="1" t="s">
        <v>79</v>
      </c>
      <c r="AK1706" s="1" t="s">
        <v>551</v>
      </c>
      <c r="AL1706" s="1" t="s">
        <v>6984</v>
      </c>
      <c r="AM1706" s="1" t="s">
        <v>4214</v>
      </c>
    </row>
    <row r="1707" spans="20:39" x14ac:dyDescent="0.2">
      <c r="T1707" s="28" t="s">
        <v>320</v>
      </c>
      <c r="U1707" s="68" t="s">
        <v>78</v>
      </c>
      <c r="V1707" s="72" t="str">
        <f t="shared" si="26"/>
        <v>NE_JOHNSON</v>
      </c>
      <c r="AJ1707" s="1" t="s">
        <v>79</v>
      </c>
      <c r="AK1707" s="1" t="s">
        <v>1239</v>
      </c>
      <c r="AL1707" s="1" t="s">
        <v>6985</v>
      </c>
      <c r="AM1707" s="1" t="s">
        <v>4215</v>
      </c>
    </row>
    <row r="1708" spans="20:39" x14ac:dyDescent="0.2">
      <c r="T1708" s="29" t="s">
        <v>1289</v>
      </c>
      <c r="U1708" s="69" t="s">
        <v>78</v>
      </c>
      <c r="V1708" s="72" t="str">
        <f t="shared" si="26"/>
        <v>NE_KEARNEY</v>
      </c>
      <c r="AJ1708" s="1" t="s">
        <v>79</v>
      </c>
      <c r="AK1708" s="1" t="s">
        <v>1240</v>
      </c>
      <c r="AL1708" s="1" t="s">
        <v>6986</v>
      </c>
      <c r="AM1708" s="1" t="s">
        <v>4216</v>
      </c>
    </row>
    <row r="1709" spans="20:39" x14ac:dyDescent="0.2">
      <c r="T1709" s="28" t="s">
        <v>1290</v>
      </c>
      <c r="U1709" s="68" t="s">
        <v>78</v>
      </c>
      <c r="V1709" s="72" t="str">
        <f t="shared" si="26"/>
        <v>NE_KEITH</v>
      </c>
      <c r="AJ1709" s="1" t="s">
        <v>79</v>
      </c>
      <c r="AK1709" s="1" t="s">
        <v>1241</v>
      </c>
      <c r="AL1709" s="1" t="s">
        <v>6987</v>
      </c>
      <c r="AM1709" s="1" t="s">
        <v>4217</v>
      </c>
    </row>
    <row r="1710" spans="20:39" x14ac:dyDescent="0.2">
      <c r="T1710" s="29" t="s">
        <v>1291</v>
      </c>
      <c r="U1710" s="69" t="s">
        <v>78</v>
      </c>
      <c r="V1710" s="72" t="str">
        <f t="shared" si="26"/>
        <v>NE_KEYA PAHA</v>
      </c>
      <c r="AJ1710" s="1" t="s">
        <v>79</v>
      </c>
      <c r="AK1710" s="1" t="s">
        <v>1242</v>
      </c>
      <c r="AL1710" s="1" t="s">
        <v>6988</v>
      </c>
      <c r="AM1710" s="1" t="s">
        <v>4218</v>
      </c>
    </row>
    <row r="1711" spans="20:39" x14ac:dyDescent="0.2">
      <c r="T1711" s="28" t="s">
        <v>1292</v>
      </c>
      <c r="U1711" s="68" t="s">
        <v>78</v>
      </c>
      <c r="V1711" s="72" t="str">
        <f t="shared" si="26"/>
        <v>NE_KIMBALL</v>
      </c>
      <c r="AJ1711" s="1" t="s">
        <v>79</v>
      </c>
      <c r="AK1711" s="1" t="s">
        <v>683</v>
      </c>
      <c r="AL1711" s="1" t="s">
        <v>6989</v>
      </c>
      <c r="AM1711" s="1" t="s">
        <v>9216</v>
      </c>
    </row>
    <row r="1712" spans="20:39" x14ac:dyDescent="0.2">
      <c r="T1712" s="29" t="s">
        <v>693</v>
      </c>
      <c r="U1712" s="69" t="s">
        <v>78</v>
      </c>
      <c r="V1712" s="72" t="str">
        <f t="shared" si="26"/>
        <v>NE_KNOX</v>
      </c>
      <c r="AJ1712" s="1" t="s">
        <v>79</v>
      </c>
      <c r="AK1712" s="1" t="s">
        <v>428</v>
      </c>
      <c r="AL1712" s="1" t="s">
        <v>6990</v>
      </c>
      <c r="AM1712" s="1" t="s">
        <v>4219</v>
      </c>
    </row>
    <row r="1713" spans="20:39" x14ac:dyDescent="0.2">
      <c r="T1713" s="28" t="s">
        <v>1293</v>
      </c>
      <c r="U1713" s="68" t="s">
        <v>78</v>
      </c>
      <c r="V1713" s="72" t="str">
        <f t="shared" si="26"/>
        <v>NE_LANCASTER</v>
      </c>
      <c r="AJ1713" s="1" t="s">
        <v>79</v>
      </c>
      <c r="AK1713" s="1" t="s">
        <v>1243</v>
      </c>
      <c r="AL1713" s="1" t="s">
        <v>6991</v>
      </c>
      <c r="AM1713" s="1" t="s">
        <v>4220</v>
      </c>
    </row>
    <row r="1714" spans="20:39" x14ac:dyDescent="0.2">
      <c r="T1714" s="29" t="s">
        <v>322</v>
      </c>
      <c r="U1714" s="69" t="s">
        <v>78</v>
      </c>
      <c r="V1714" s="72" t="str">
        <f t="shared" si="26"/>
        <v>NE_LINCOLN</v>
      </c>
      <c r="AJ1714" s="1" t="s">
        <v>79</v>
      </c>
      <c r="AK1714" s="1" t="s">
        <v>1244</v>
      </c>
      <c r="AL1714" s="1" t="s">
        <v>6992</v>
      </c>
      <c r="AM1714" s="1" t="s">
        <v>4221</v>
      </c>
    </row>
    <row r="1715" spans="20:39" x14ac:dyDescent="0.2">
      <c r="T1715" s="28" t="s">
        <v>324</v>
      </c>
      <c r="U1715" s="68" t="s">
        <v>78</v>
      </c>
      <c r="V1715" s="72" t="str">
        <f t="shared" si="26"/>
        <v>NE_LOGAN</v>
      </c>
      <c r="AJ1715" s="1" t="s">
        <v>79</v>
      </c>
      <c r="AK1715" s="1" t="s">
        <v>1245</v>
      </c>
      <c r="AL1715" s="1" t="s">
        <v>6993</v>
      </c>
      <c r="AM1715" s="1" t="s">
        <v>4222</v>
      </c>
    </row>
    <row r="1716" spans="20:39" x14ac:dyDescent="0.2">
      <c r="T1716" s="29" t="s">
        <v>1294</v>
      </c>
      <c r="U1716" s="69" t="s">
        <v>78</v>
      </c>
      <c r="V1716" s="72" t="str">
        <f t="shared" si="26"/>
        <v>NE_LOUP</v>
      </c>
      <c r="AJ1716" s="1" t="s">
        <v>79</v>
      </c>
      <c r="AK1716" s="1" t="s">
        <v>1246</v>
      </c>
      <c r="AL1716" s="1" t="s">
        <v>6994</v>
      </c>
      <c r="AM1716" s="1" t="s">
        <v>4224</v>
      </c>
    </row>
    <row r="1717" spans="20:39" x14ac:dyDescent="0.2">
      <c r="T1717" s="28" t="s">
        <v>839</v>
      </c>
      <c r="U1717" s="68" t="s">
        <v>78</v>
      </c>
      <c r="V1717" s="72" t="str">
        <f t="shared" si="26"/>
        <v>NE_MCPHERSON</v>
      </c>
      <c r="AJ1717" s="1" t="s">
        <v>79</v>
      </c>
      <c r="AK1717" s="1" t="s">
        <v>230</v>
      </c>
      <c r="AL1717" s="1" t="s">
        <v>6995</v>
      </c>
      <c r="AM1717" s="1" t="s">
        <v>9217</v>
      </c>
    </row>
    <row r="1718" spans="20:39" x14ac:dyDescent="0.2">
      <c r="T1718" s="29" t="s">
        <v>238</v>
      </c>
      <c r="U1718" s="69" t="s">
        <v>78</v>
      </c>
      <c r="V1718" s="72" t="str">
        <f t="shared" si="26"/>
        <v>NE_MADISON</v>
      </c>
      <c r="AJ1718" s="1" t="s">
        <v>79</v>
      </c>
      <c r="AK1718" s="1" t="s">
        <v>1247</v>
      </c>
      <c r="AL1718" s="1" t="s">
        <v>6996</v>
      </c>
      <c r="AM1718" s="1" t="s">
        <v>4225</v>
      </c>
    </row>
    <row r="1719" spans="20:39" x14ac:dyDescent="0.2">
      <c r="T1719" s="28" t="s">
        <v>1295</v>
      </c>
      <c r="U1719" s="68" t="s">
        <v>78</v>
      </c>
      <c r="V1719" s="72" t="str">
        <f t="shared" si="26"/>
        <v>NE_MERRICK</v>
      </c>
      <c r="AJ1719" s="1" t="s">
        <v>79</v>
      </c>
      <c r="AK1719" s="1" t="s">
        <v>366</v>
      </c>
      <c r="AL1719" s="1" t="s">
        <v>6997</v>
      </c>
      <c r="AM1719" s="1" t="s">
        <v>4226</v>
      </c>
    </row>
    <row r="1720" spans="20:39" x14ac:dyDescent="0.2">
      <c r="T1720" s="29" t="s">
        <v>1296</v>
      </c>
      <c r="U1720" s="69" t="s">
        <v>78</v>
      </c>
      <c r="V1720" s="72" t="str">
        <f t="shared" si="26"/>
        <v>NE_MORRILL</v>
      </c>
      <c r="AJ1720" s="1" t="s">
        <v>79</v>
      </c>
      <c r="AK1720" s="1" t="s">
        <v>1248</v>
      </c>
      <c r="AL1720" s="1" t="s">
        <v>6998</v>
      </c>
      <c r="AM1720" s="1" t="s">
        <v>9218</v>
      </c>
    </row>
    <row r="1721" spans="20:39" x14ac:dyDescent="0.2">
      <c r="T1721" s="28" t="s">
        <v>1297</v>
      </c>
      <c r="U1721" s="68" t="s">
        <v>78</v>
      </c>
      <c r="V1721" s="72" t="str">
        <f t="shared" si="26"/>
        <v>NE_NANCE</v>
      </c>
      <c r="AJ1721" s="1" t="s">
        <v>79</v>
      </c>
      <c r="AK1721" s="1" t="s">
        <v>501</v>
      </c>
      <c r="AL1721" s="1" t="s">
        <v>6999</v>
      </c>
      <c r="AM1721" s="1" t="s">
        <v>4227</v>
      </c>
    </row>
    <row r="1722" spans="20:39" x14ac:dyDescent="0.2">
      <c r="T1722" s="29" t="s">
        <v>843</v>
      </c>
      <c r="U1722" s="69" t="s">
        <v>78</v>
      </c>
      <c r="V1722" s="72" t="str">
        <f t="shared" si="26"/>
        <v>NE_NEMAHA</v>
      </c>
      <c r="AJ1722" s="1" t="s">
        <v>79</v>
      </c>
      <c r="AK1722" s="1" t="s">
        <v>322</v>
      </c>
      <c r="AL1722" s="1" t="s">
        <v>7000</v>
      </c>
      <c r="AM1722" s="1" t="s">
        <v>4228</v>
      </c>
    </row>
    <row r="1723" spans="20:39" x14ac:dyDescent="0.2">
      <c r="T1723" s="28" t="s">
        <v>1298</v>
      </c>
      <c r="U1723" s="68" t="s">
        <v>78</v>
      </c>
      <c r="V1723" s="72" t="str">
        <f t="shared" si="26"/>
        <v>NE_NUCKOLLS</v>
      </c>
      <c r="AJ1723" s="1" t="s">
        <v>79</v>
      </c>
      <c r="AK1723" s="1" t="s">
        <v>238</v>
      </c>
      <c r="AL1723" s="1" t="s">
        <v>7001</v>
      </c>
      <c r="AM1723" s="1" t="s">
        <v>4229</v>
      </c>
    </row>
    <row r="1724" spans="20:39" x14ac:dyDescent="0.2">
      <c r="T1724" s="29" t="s">
        <v>1299</v>
      </c>
      <c r="U1724" s="69" t="s">
        <v>78</v>
      </c>
      <c r="V1724" s="72" t="str">
        <f t="shared" si="26"/>
        <v>NE_OTOE</v>
      </c>
      <c r="AJ1724" s="1" t="s">
        <v>79</v>
      </c>
      <c r="AK1724" s="1" t="s">
        <v>1249</v>
      </c>
      <c r="AL1724" s="1" t="s">
        <v>7002</v>
      </c>
      <c r="AM1724" s="1" t="s">
        <v>4230</v>
      </c>
    </row>
    <row r="1725" spans="20:39" x14ac:dyDescent="0.2">
      <c r="T1725" s="28" t="s">
        <v>850</v>
      </c>
      <c r="U1725" s="68" t="s">
        <v>78</v>
      </c>
      <c r="V1725" s="72" t="str">
        <f t="shared" si="26"/>
        <v>NE_PAWNEE</v>
      </c>
      <c r="AJ1725" s="1" t="s">
        <v>79</v>
      </c>
      <c r="AK1725" s="1" t="s">
        <v>1250</v>
      </c>
      <c r="AL1725" s="1" t="s">
        <v>7003</v>
      </c>
      <c r="AM1725" s="1" t="s">
        <v>4231</v>
      </c>
    </row>
    <row r="1726" spans="20:39" x14ac:dyDescent="0.2">
      <c r="T1726" s="29" t="s">
        <v>1300</v>
      </c>
      <c r="U1726" s="69" t="s">
        <v>78</v>
      </c>
      <c r="V1726" s="72" t="str">
        <f t="shared" si="26"/>
        <v>NE_PERKINS</v>
      </c>
      <c r="AJ1726" s="1" t="s">
        <v>79</v>
      </c>
      <c r="AK1726" s="1" t="s">
        <v>440</v>
      </c>
      <c r="AL1726" s="1" t="s">
        <v>7004</v>
      </c>
      <c r="AM1726" s="1" t="s">
        <v>9219</v>
      </c>
    </row>
    <row r="1727" spans="20:39" x14ac:dyDescent="0.2">
      <c r="T1727" s="28" t="s">
        <v>1217</v>
      </c>
      <c r="U1727" s="68" t="s">
        <v>78</v>
      </c>
      <c r="V1727" s="72" t="str">
        <f t="shared" si="26"/>
        <v>NE_PHELPS</v>
      </c>
      <c r="AJ1727" s="1" t="s">
        <v>79</v>
      </c>
      <c r="AK1727" s="1" t="s">
        <v>1251</v>
      </c>
      <c r="AL1727" s="1" t="s">
        <v>7005</v>
      </c>
      <c r="AM1727" s="1" t="s">
        <v>9220</v>
      </c>
    </row>
    <row r="1728" spans="20:39" x14ac:dyDescent="0.2">
      <c r="T1728" s="29" t="s">
        <v>597</v>
      </c>
      <c r="U1728" s="69" t="s">
        <v>78</v>
      </c>
      <c r="V1728" s="72" t="str">
        <f t="shared" si="26"/>
        <v>NE_PIERCE</v>
      </c>
      <c r="AJ1728" s="1" t="s">
        <v>79</v>
      </c>
      <c r="AK1728" s="1" t="s">
        <v>1252</v>
      </c>
      <c r="AL1728" s="1" t="s">
        <v>7006</v>
      </c>
      <c r="AM1728" s="1" t="s">
        <v>4232</v>
      </c>
    </row>
    <row r="1729" spans="20:39" x14ac:dyDescent="0.2">
      <c r="T1729" s="28" t="s">
        <v>1218</v>
      </c>
      <c r="U1729" s="68" t="s">
        <v>78</v>
      </c>
      <c r="V1729" s="72" t="str">
        <f t="shared" si="26"/>
        <v>NE_PLATTE</v>
      </c>
      <c r="AJ1729" s="1" t="s">
        <v>79</v>
      </c>
      <c r="AK1729" s="1" t="s">
        <v>446</v>
      </c>
      <c r="AL1729" s="1" t="s">
        <v>7007</v>
      </c>
      <c r="AM1729" s="1" t="s">
        <v>4233</v>
      </c>
    </row>
    <row r="1730" spans="20:39" x14ac:dyDescent="0.2">
      <c r="T1730" s="29" t="s">
        <v>333</v>
      </c>
      <c r="U1730" s="69" t="s">
        <v>78</v>
      </c>
      <c r="V1730" s="72" t="str">
        <f t="shared" si="26"/>
        <v>NE_POLK</v>
      </c>
      <c r="AJ1730" s="1" t="s">
        <v>79</v>
      </c>
      <c r="AK1730" s="1" t="s">
        <v>1253</v>
      </c>
      <c r="AL1730" s="1" t="s">
        <v>7008</v>
      </c>
      <c r="AM1730" s="1" t="s">
        <v>4234</v>
      </c>
    </row>
    <row r="1731" spans="20:39" x14ac:dyDescent="0.2">
      <c r="T1731" s="28" t="s">
        <v>1301</v>
      </c>
      <c r="U1731" s="68" t="s">
        <v>78</v>
      </c>
      <c r="V1731" s="72" t="str">
        <f t="shared" si="26"/>
        <v>NE_RED WILLOW</v>
      </c>
      <c r="AJ1731" s="1" t="s">
        <v>79</v>
      </c>
      <c r="AK1731" s="1" t="s">
        <v>331</v>
      </c>
      <c r="AL1731" s="1" t="s">
        <v>7009</v>
      </c>
      <c r="AM1731" s="1" t="s">
        <v>4235</v>
      </c>
    </row>
    <row r="1732" spans="20:39" x14ac:dyDescent="0.2">
      <c r="T1732" s="29" t="s">
        <v>1302</v>
      </c>
      <c r="U1732" s="69" t="s">
        <v>78</v>
      </c>
      <c r="V1732" s="72" t="str">
        <f t="shared" si="26"/>
        <v>NE_RICHARDSON</v>
      </c>
      <c r="AJ1732" s="1" t="s">
        <v>79</v>
      </c>
      <c r="AK1732" s="1" t="s">
        <v>1254</v>
      </c>
      <c r="AL1732" s="1" t="s">
        <v>7010</v>
      </c>
      <c r="AM1732" s="1" t="s">
        <v>4236</v>
      </c>
    </row>
    <row r="1733" spans="20:39" x14ac:dyDescent="0.2">
      <c r="T1733" s="28" t="s">
        <v>1138</v>
      </c>
      <c r="U1733" s="68" t="s">
        <v>78</v>
      </c>
      <c r="V1733" s="72" t="str">
        <f t="shared" si="26"/>
        <v>NE_ROCK</v>
      </c>
      <c r="AJ1733" s="1" t="s">
        <v>79</v>
      </c>
      <c r="AK1733" s="1" t="s">
        <v>1255</v>
      </c>
      <c r="AL1733" s="1" t="s">
        <v>7011</v>
      </c>
      <c r="AM1733" s="1" t="s">
        <v>4237</v>
      </c>
    </row>
    <row r="1734" spans="20:39" x14ac:dyDescent="0.2">
      <c r="T1734" s="29" t="s">
        <v>338</v>
      </c>
      <c r="U1734" s="69" t="s">
        <v>78</v>
      </c>
      <c r="V1734" s="72" t="str">
        <f t="shared" si="26"/>
        <v>NE_SALINE</v>
      </c>
      <c r="AJ1734" s="1" t="s">
        <v>79</v>
      </c>
      <c r="AK1734" s="1" t="s">
        <v>921</v>
      </c>
      <c r="AL1734" s="1" t="s">
        <v>7012</v>
      </c>
      <c r="AM1734" s="1" t="s">
        <v>4238</v>
      </c>
    </row>
    <row r="1735" spans="20:39" x14ac:dyDescent="0.2">
      <c r="T1735" s="28" t="s">
        <v>1303</v>
      </c>
      <c r="U1735" s="68" t="s">
        <v>78</v>
      </c>
      <c r="V1735" s="72" t="str">
        <f t="shared" si="26"/>
        <v>NE_SARPY</v>
      </c>
      <c r="AJ1735" s="1" t="s">
        <v>79</v>
      </c>
      <c r="AK1735" s="1" t="s">
        <v>335</v>
      </c>
      <c r="AL1735" s="1" t="s">
        <v>7013</v>
      </c>
      <c r="AM1735" s="1" t="s">
        <v>4239</v>
      </c>
    </row>
    <row r="1736" spans="20:39" x14ac:dyDescent="0.2">
      <c r="T1736" s="29" t="s">
        <v>1304</v>
      </c>
      <c r="U1736" s="69" t="s">
        <v>78</v>
      </c>
      <c r="V1736" s="72" t="str">
        <f t="shared" si="26"/>
        <v>NE_SAUNDERS</v>
      </c>
      <c r="AJ1736" s="1" t="s">
        <v>79</v>
      </c>
      <c r="AK1736" s="1" t="s">
        <v>1256</v>
      </c>
      <c r="AL1736" s="1" t="s">
        <v>7014</v>
      </c>
      <c r="AM1736" s="1" t="s">
        <v>4240</v>
      </c>
    </row>
    <row r="1737" spans="20:39" x14ac:dyDescent="0.2">
      <c r="T1737" s="28" t="s">
        <v>1305</v>
      </c>
      <c r="U1737" s="68" t="s">
        <v>78</v>
      </c>
      <c r="V1737" s="72" t="str">
        <f t="shared" si="26"/>
        <v>NE_SCOTTS BLUFF</v>
      </c>
      <c r="AJ1737" s="1" t="s">
        <v>79</v>
      </c>
      <c r="AK1737" s="1" t="s">
        <v>708</v>
      </c>
      <c r="AL1737" s="1" t="s">
        <v>7015</v>
      </c>
      <c r="AM1737" s="1" t="s">
        <v>4241</v>
      </c>
    </row>
    <row r="1738" spans="20:39" x14ac:dyDescent="0.2">
      <c r="T1738" s="29" t="s">
        <v>859</v>
      </c>
      <c r="U1738" s="69" t="s">
        <v>78</v>
      </c>
      <c r="V1738" s="72" t="str">
        <f t="shared" ref="V1738:V1801" si="27">UPPER(CONCATENATE(TRIM(U1738),"_",TRIM(T1738)))</f>
        <v>NE_SEWARD</v>
      </c>
      <c r="AJ1738" s="1" t="s">
        <v>79</v>
      </c>
      <c r="AK1738" s="1" t="s">
        <v>1257</v>
      </c>
      <c r="AL1738" s="1" t="s">
        <v>7016</v>
      </c>
      <c r="AM1738" s="1" t="s">
        <v>4242</v>
      </c>
    </row>
    <row r="1739" spans="20:39" x14ac:dyDescent="0.2">
      <c r="T1739" s="28" t="s">
        <v>861</v>
      </c>
      <c r="U1739" s="68" t="s">
        <v>78</v>
      </c>
      <c r="V1739" s="72" t="str">
        <f t="shared" si="27"/>
        <v>NE_SHERIDAN</v>
      </c>
      <c r="AJ1739" s="1" t="s">
        <v>79</v>
      </c>
      <c r="AK1739" s="1" t="s">
        <v>1258</v>
      </c>
      <c r="AL1739" s="1" t="s">
        <v>7017</v>
      </c>
      <c r="AM1739" s="1" t="s">
        <v>4243</v>
      </c>
    </row>
    <row r="1740" spans="20:39" x14ac:dyDescent="0.2">
      <c r="T1740" s="29" t="s">
        <v>862</v>
      </c>
      <c r="U1740" s="69" t="s">
        <v>78</v>
      </c>
      <c r="V1740" s="72" t="str">
        <f t="shared" si="27"/>
        <v>NE_SHERMAN</v>
      </c>
      <c r="AJ1740" s="1" t="s">
        <v>79</v>
      </c>
      <c r="AK1740" s="1" t="s">
        <v>1259</v>
      </c>
      <c r="AL1740" s="1" t="s">
        <v>7018</v>
      </c>
      <c r="AM1740" s="1" t="s">
        <v>4244</v>
      </c>
    </row>
    <row r="1741" spans="20:39" x14ac:dyDescent="0.2">
      <c r="T1741" s="28" t="s">
        <v>801</v>
      </c>
      <c r="U1741" s="68" t="s">
        <v>78</v>
      </c>
      <c r="V1741" s="72" t="str">
        <f t="shared" si="27"/>
        <v>NE_SIOUX</v>
      </c>
      <c r="AJ1741" s="1" t="s">
        <v>79</v>
      </c>
      <c r="AK1741" s="1" t="s">
        <v>861</v>
      </c>
      <c r="AL1741" s="1" t="s">
        <v>7019</v>
      </c>
      <c r="AM1741" s="1" t="s">
        <v>4245</v>
      </c>
    </row>
    <row r="1742" spans="20:39" x14ac:dyDescent="0.2">
      <c r="T1742" s="29" t="s">
        <v>865</v>
      </c>
      <c r="U1742" s="69" t="s">
        <v>78</v>
      </c>
      <c r="V1742" s="72" t="str">
        <f t="shared" si="27"/>
        <v>NE_STANTON</v>
      </c>
      <c r="AJ1742" s="1" t="s">
        <v>79</v>
      </c>
      <c r="AK1742" s="1" t="s">
        <v>1260</v>
      </c>
      <c r="AL1742" s="1" t="s">
        <v>7020</v>
      </c>
      <c r="AM1742" s="1" t="s">
        <v>4246</v>
      </c>
    </row>
    <row r="1743" spans="20:39" x14ac:dyDescent="0.2">
      <c r="T1743" s="28" t="s">
        <v>1306</v>
      </c>
      <c r="U1743" s="68" t="s">
        <v>78</v>
      </c>
      <c r="V1743" s="72" t="str">
        <f t="shared" si="27"/>
        <v>NE_THAYER</v>
      </c>
      <c r="AJ1743" s="1" t="s">
        <v>79</v>
      </c>
      <c r="AK1743" s="1" t="s">
        <v>1261</v>
      </c>
      <c r="AL1743" s="1" t="s">
        <v>7021</v>
      </c>
      <c r="AM1743" s="1" t="s">
        <v>4247</v>
      </c>
    </row>
    <row r="1744" spans="20:39" x14ac:dyDescent="0.2">
      <c r="T1744" s="29" t="s">
        <v>612</v>
      </c>
      <c r="U1744" s="69" t="s">
        <v>78</v>
      </c>
      <c r="V1744" s="72" t="str">
        <f t="shared" si="27"/>
        <v>NE_THOMAS</v>
      </c>
      <c r="AJ1744" s="1" t="s">
        <v>79</v>
      </c>
      <c r="AK1744" s="1" t="s">
        <v>1262</v>
      </c>
      <c r="AL1744" s="1" t="s">
        <v>7022</v>
      </c>
      <c r="AM1744" s="1" t="s">
        <v>4248</v>
      </c>
    </row>
    <row r="1745" spans="20:39" x14ac:dyDescent="0.2">
      <c r="T1745" s="28" t="s">
        <v>1307</v>
      </c>
      <c r="U1745" s="68" t="s">
        <v>78</v>
      </c>
      <c r="V1745" s="72" t="str">
        <f t="shared" si="27"/>
        <v>NE_THURSTON</v>
      </c>
      <c r="AJ1745" s="1" t="s">
        <v>79</v>
      </c>
      <c r="AK1745" s="1" t="s">
        <v>665</v>
      </c>
      <c r="AL1745" s="1" t="s">
        <v>7023</v>
      </c>
      <c r="AM1745" s="1" t="s">
        <v>4249</v>
      </c>
    </row>
    <row r="1746" spans="20:39" x14ac:dyDescent="0.2">
      <c r="T1746" s="29" t="s">
        <v>667</v>
      </c>
      <c r="U1746" s="69" t="s">
        <v>78</v>
      </c>
      <c r="V1746" s="72" t="str">
        <f t="shared" si="27"/>
        <v>NE_VALLEY</v>
      </c>
      <c r="AJ1746" s="1" t="s">
        <v>79</v>
      </c>
      <c r="AK1746" s="1" t="s">
        <v>1263</v>
      </c>
      <c r="AL1746" s="1" t="s">
        <v>7024</v>
      </c>
      <c r="AM1746" s="1" t="s">
        <v>4250</v>
      </c>
    </row>
    <row r="1747" spans="20:39" x14ac:dyDescent="0.2">
      <c r="T1747" s="28" t="s">
        <v>258</v>
      </c>
      <c r="U1747" s="68" t="s">
        <v>78</v>
      </c>
      <c r="V1747" s="72" t="str">
        <f t="shared" si="27"/>
        <v>NE_WASHINGTON</v>
      </c>
      <c r="AJ1747" s="1" t="s">
        <v>79</v>
      </c>
      <c r="AK1747" s="1" t="s">
        <v>1264</v>
      </c>
      <c r="AL1747" s="1" t="s">
        <v>7025</v>
      </c>
      <c r="AM1747" s="1" t="s">
        <v>4251</v>
      </c>
    </row>
    <row r="1748" spans="20:39" x14ac:dyDescent="0.2">
      <c r="T1748" s="29" t="s">
        <v>623</v>
      </c>
      <c r="U1748" s="69" t="s">
        <v>78</v>
      </c>
      <c r="V1748" s="72" t="str">
        <f t="shared" si="27"/>
        <v>NE_WAYNE</v>
      </c>
      <c r="AJ1748" s="1" t="s">
        <v>79</v>
      </c>
      <c r="AK1748" s="1" t="s">
        <v>667</v>
      </c>
      <c r="AL1748" s="1" t="s">
        <v>7026</v>
      </c>
      <c r="AM1748" s="1" t="s">
        <v>4252</v>
      </c>
    </row>
    <row r="1749" spans="20:39" x14ac:dyDescent="0.2">
      <c r="T1749" s="28" t="s">
        <v>624</v>
      </c>
      <c r="U1749" s="68" t="s">
        <v>78</v>
      </c>
      <c r="V1749" s="72" t="str">
        <f t="shared" si="27"/>
        <v>NE_WEBSTER</v>
      </c>
      <c r="AJ1749" s="1" t="s">
        <v>79</v>
      </c>
      <c r="AK1749" s="1" t="s">
        <v>1265</v>
      </c>
      <c r="AL1749" s="1" t="s">
        <v>7027</v>
      </c>
      <c r="AM1749" s="1" t="s">
        <v>4253</v>
      </c>
    </row>
    <row r="1750" spans="20:39" x14ac:dyDescent="0.2">
      <c r="T1750" s="29" t="s">
        <v>625</v>
      </c>
      <c r="U1750" s="69" t="s">
        <v>78</v>
      </c>
      <c r="V1750" s="72" t="str">
        <f t="shared" si="27"/>
        <v>NE_WHEELER</v>
      </c>
      <c r="AJ1750" s="1" t="s">
        <v>79</v>
      </c>
      <c r="AK1750" s="1" t="s">
        <v>1266</v>
      </c>
      <c r="AL1750" s="1" t="s">
        <v>7028</v>
      </c>
      <c r="AM1750" s="1" t="s">
        <v>4254</v>
      </c>
    </row>
    <row r="1751" spans="20:39" x14ac:dyDescent="0.2">
      <c r="T1751" s="28" t="s">
        <v>1003</v>
      </c>
      <c r="U1751" s="68" t="s">
        <v>78</v>
      </c>
      <c r="V1751" s="72" t="str">
        <f t="shared" si="27"/>
        <v>NE_YORK</v>
      </c>
      <c r="AJ1751" s="1" t="s">
        <v>79</v>
      </c>
      <c r="AK1751" s="1" t="s">
        <v>1267</v>
      </c>
      <c r="AL1751" s="1" t="s">
        <v>7029</v>
      </c>
      <c r="AM1751" s="1" t="s">
        <v>4208</v>
      </c>
    </row>
    <row r="1752" spans="20:39" x14ac:dyDescent="0.2">
      <c r="T1752" s="29" t="s">
        <v>1308</v>
      </c>
      <c r="U1752" s="69" t="s">
        <v>77</v>
      </c>
      <c r="V1752" s="72" t="str">
        <f t="shared" si="27"/>
        <v>NV_CHURCHILL</v>
      </c>
      <c r="AJ1752" s="1" t="s">
        <v>73</v>
      </c>
      <c r="AK1752" s="1" t="s">
        <v>1392</v>
      </c>
      <c r="AL1752" s="1" t="s">
        <v>7030</v>
      </c>
      <c r="AM1752" s="1" t="s">
        <v>4263</v>
      </c>
    </row>
    <row r="1753" spans="20:39" x14ac:dyDescent="0.2">
      <c r="T1753" s="28" t="s">
        <v>301</v>
      </c>
      <c r="U1753" s="68" t="s">
        <v>77</v>
      </c>
      <c r="V1753" s="72" t="str">
        <f t="shared" si="27"/>
        <v>NV_CLARK</v>
      </c>
      <c r="AJ1753" s="1" t="s">
        <v>73</v>
      </c>
      <c r="AK1753" s="1" t="s">
        <v>668</v>
      </c>
      <c r="AL1753" s="1" t="s">
        <v>7031</v>
      </c>
      <c r="AM1753" s="1" t="s">
        <v>4286</v>
      </c>
    </row>
    <row r="1754" spans="20:39" x14ac:dyDescent="0.2">
      <c r="T1754" s="29" t="s">
        <v>423</v>
      </c>
      <c r="U1754" s="69" t="s">
        <v>77</v>
      </c>
      <c r="V1754" s="72" t="str">
        <f t="shared" si="27"/>
        <v>NV_DOUGLAS</v>
      </c>
      <c r="AJ1754" s="1" t="s">
        <v>73</v>
      </c>
      <c r="AK1754" s="1" t="s">
        <v>1393</v>
      </c>
      <c r="AL1754" s="1" t="s">
        <v>7032</v>
      </c>
      <c r="AM1754" s="1" t="s">
        <v>4255</v>
      </c>
    </row>
    <row r="1755" spans="20:39" x14ac:dyDescent="0.2">
      <c r="T1755" s="28" t="s">
        <v>1309</v>
      </c>
      <c r="U1755" s="68" t="s">
        <v>77</v>
      </c>
      <c r="V1755" s="72" t="str">
        <f t="shared" si="27"/>
        <v>NV_ELKO</v>
      </c>
      <c r="AJ1755" s="1" t="s">
        <v>73</v>
      </c>
      <c r="AK1755" s="1" t="s">
        <v>1394</v>
      </c>
      <c r="AL1755" s="1" t="s">
        <v>7033</v>
      </c>
      <c r="AM1755" s="1" t="s">
        <v>4256</v>
      </c>
    </row>
    <row r="1756" spans="20:39" x14ac:dyDescent="0.2">
      <c r="T1756" s="29" t="s">
        <v>1310</v>
      </c>
      <c r="U1756" s="69" t="s">
        <v>77</v>
      </c>
      <c r="V1756" s="72" t="str">
        <f t="shared" si="27"/>
        <v>NV_ESMERALDA</v>
      </c>
      <c r="AJ1756" s="1" t="s">
        <v>73</v>
      </c>
      <c r="AK1756" s="1" t="s">
        <v>1395</v>
      </c>
      <c r="AL1756" s="1" t="s">
        <v>7034</v>
      </c>
      <c r="AM1756" s="1" t="s">
        <v>4257</v>
      </c>
    </row>
    <row r="1757" spans="20:39" x14ac:dyDescent="0.2">
      <c r="T1757" s="28" t="s">
        <v>1311</v>
      </c>
      <c r="U1757" s="68" t="s">
        <v>77</v>
      </c>
      <c r="V1757" s="72" t="str">
        <f t="shared" si="27"/>
        <v>NV_EUREKA</v>
      </c>
      <c r="AJ1757" s="1" t="s">
        <v>73</v>
      </c>
      <c r="AK1757" s="1" t="s">
        <v>1396</v>
      </c>
      <c r="AL1757" s="1" t="s">
        <v>7035</v>
      </c>
      <c r="AM1757" s="1" t="s">
        <v>4258</v>
      </c>
    </row>
    <row r="1758" spans="20:39" x14ac:dyDescent="0.2">
      <c r="T1758" s="29" t="s">
        <v>361</v>
      </c>
      <c r="U1758" s="69" t="s">
        <v>77</v>
      </c>
      <c r="V1758" s="72" t="str">
        <f t="shared" si="27"/>
        <v>NV_HUMBOLDT</v>
      </c>
      <c r="AJ1758" s="1" t="s">
        <v>73</v>
      </c>
      <c r="AK1758" s="1" t="s">
        <v>1397</v>
      </c>
      <c r="AL1758" s="1" t="s">
        <v>7036</v>
      </c>
      <c r="AM1758" s="1" t="s">
        <v>4259</v>
      </c>
    </row>
    <row r="1759" spans="20:39" x14ac:dyDescent="0.2">
      <c r="T1759" s="28" t="s">
        <v>1312</v>
      </c>
      <c r="U1759" s="68" t="s">
        <v>77</v>
      </c>
      <c r="V1759" s="72" t="str">
        <f t="shared" si="27"/>
        <v>NV_LANDER</v>
      </c>
      <c r="AJ1759" s="1" t="s">
        <v>73</v>
      </c>
      <c r="AK1759" s="1" t="s">
        <v>1398</v>
      </c>
      <c r="AL1759" s="1" t="s">
        <v>7037</v>
      </c>
      <c r="AM1759" s="1" t="s">
        <v>4260</v>
      </c>
    </row>
    <row r="1760" spans="20:39" x14ac:dyDescent="0.2">
      <c r="T1760" s="29" t="s">
        <v>322</v>
      </c>
      <c r="U1760" s="69" t="s">
        <v>77</v>
      </c>
      <c r="V1760" s="72" t="str">
        <f t="shared" si="27"/>
        <v>NV_LINCOLN</v>
      </c>
      <c r="AJ1760" s="1" t="s">
        <v>73</v>
      </c>
      <c r="AK1760" s="1" t="s">
        <v>1399</v>
      </c>
      <c r="AL1760" s="1" t="s">
        <v>7038</v>
      </c>
      <c r="AM1760" s="1" t="s">
        <v>4261</v>
      </c>
    </row>
    <row r="1761" spans="20:39" x14ac:dyDescent="0.2">
      <c r="T1761" s="28" t="s">
        <v>787</v>
      </c>
      <c r="U1761" s="68" t="s">
        <v>77</v>
      </c>
      <c r="V1761" s="72" t="str">
        <f t="shared" si="27"/>
        <v>NV_LYON</v>
      </c>
      <c r="AJ1761" s="1" t="s">
        <v>73</v>
      </c>
      <c r="AK1761" s="1" t="s">
        <v>1400</v>
      </c>
      <c r="AL1761" s="1" t="s">
        <v>7039</v>
      </c>
      <c r="AM1761" s="1" t="s">
        <v>4262</v>
      </c>
    </row>
    <row r="1762" spans="20:39" x14ac:dyDescent="0.2">
      <c r="T1762" s="29" t="s">
        <v>440</v>
      </c>
      <c r="U1762" s="69" t="s">
        <v>77</v>
      </c>
      <c r="V1762" s="72" t="str">
        <f t="shared" si="27"/>
        <v>NV_MINERAL</v>
      </c>
      <c r="AJ1762" s="1" t="s">
        <v>73</v>
      </c>
      <c r="AK1762" s="1" t="s">
        <v>1401</v>
      </c>
      <c r="AL1762" s="1" t="s">
        <v>7040</v>
      </c>
      <c r="AM1762" s="1" t="s">
        <v>9221</v>
      </c>
    </row>
    <row r="1763" spans="20:39" x14ac:dyDescent="0.2">
      <c r="T1763" s="28" t="s">
        <v>1313</v>
      </c>
      <c r="U1763" s="68" t="s">
        <v>77</v>
      </c>
      <c r="V1763" s="72" t="str">
        <f t="shared" si="27"/>
        <v>NV_NYE</v>
      </c>
      <c r="AJ1763" s="1" t="s">
        <v>73</v>
      </c>
      <c r="AK1763" s="1" t="s">
        <v>535</v>
      </c>
      <c r="AL1763" s="1" t="s">
        <v>7041</v>
      </c>
      <c r="AM1763" s="1" t="s">
        <v>4286</v>
      </c>
    </row>
    <row r="1764" spans="20:39" x14ac:dyDescent="0.2">
      <c r="T1764" s="29" t="s">
        <v>1314</v>
      </c>
      <c r="U1764" s="69" t="s">
        <v>77</v>
      </c>
      <c r="V1764" s="72" t="str">
        <f t="shared" si="27"/>
        <v>NV_PERSHING</v>
      </c>
      <c r="AJ1764" s="1" t="s">
        <v>73</v>
      </c>
      <c r="AK1764" s="1" t="s">
        <v>1402</v>
      </c>
      <c r="AL1764" s="1" t="s">
        <v>7042</v>
      </c>
      <c r="AM1764" s="1" t="s">
        <v>4267</v>
      </c>
    </row>
    <row r="1765" spans="20:39" x14ac:dyDescent="0.2">
      <c r="T1765" s="28" t="s">
        <v>1315</v>
      </c>
      <c r="U1765" s="68" t="s">
        <v>77</v>
      </c>
      <c r="V1765" s="72" t="str">
        <f t="shared" si="27"/>
        <v>NV_STOREY</v>
      </c>
      <c r="AJ1765" s="1" t="s">
        <v>73</v>
      </c>
      <c r="AK1765" s="1" t="s">
        <v>885</v>
      </c>
      <c r="AL1765" s="1" t="s">
        <v>7043</v>
      </c>
      <c r="AM1765" s="1" t="s">
        <v>4286</v>
      </c>
    </row>
    <row r="1766" spans="20:39" x14ac:dyDescent="0.2">
      <c r="T1766" s="29" t="s">
        <v>1316</v>
      </c>
      <c r="U1766" s="69" t="s">
        <v>77</v>
      </c>
      <c r="V1766" s="72" t="str">
        <f t="shared" si="27"/>
        <v>NV_WASHOE</v>
      </c>
      <c r="AJ1766" s="1" t="s">
        <v>73</v>
      </c>
      <c r="AK1766" s="1" t="s">
        <v>537</v>
      </c>
      <c r="AL1766" s="1" t="s">
        <v>7044</v>
      </c>
      <c r="AM1766" s="1" t="s">
        <v>4264</v>
      </c>
    </row>
    <row r="1767" spans="20:39" x14ac:dyDescent="0.2">
      <c r="T1767" s="28" t="s">
        <v>1317</v>
      </c>
      <c r="U1767" s="68" t="s">
        <v>77</v>
      </c>
      <c r="V1767" s="72" t="str">
        <f t="shared" si="27"/>
        <v>NV_WHITE PINE</v>
      </c>
      <c r="AJ1767" s="1" t="s">
        <v>73</v>
      </c>
      <c r="AK1767" s="1" t="s">
        <v>1403</v>
      </c>
      <c r="AL1767" s="1" t="s">
        <v>7045</v>
      </c>
      <c r="AM1767" s="1" t="s">
        <v>4265</v>
      </c>
    </row>
    <row r="1768" spans="20:39" x14ac:dyDescent="0.2">
      <c r="T1768" s="29" t="s">
        <v>1318</v>
      </c>
      <c r="U1768" s="69" t="s">
        <v>77</v>
      </c>
      <c r="V1768" s="72" t="str">
        <f t="shared" si="27"/>
        <v>NV_CARSON CITY</v>
      </c>
      <c r="AJ1768" s="1" t="s">
        <v>73</v>
      </c>
      <c r="AK1768" s="1" t="s">
        <v>1404</v>
      </c>
      <c r="AL1768" s="1" t="s">
        <v>7046</v>
      </c>
      <c r="AM1768" s="1" t="s">
        <v>4266</v>
      </c>
    </row>
    <row r="1769" spans="20:39" x14ac:dyDescent="0.2">
      <c r="T1769" s="28" t="s">
        <v>1319</v>
      </c>
      <c r="U1769" s="68" t="s">
        <v>76</v>
      </c>
      <c r="V1769" s="72" t="str">
        <f t="shared" si="27"/>
        <v>NH_BELKNAP</v>
      </c>
      <c r="AJ1769" s="1" t="s">
        <v>73</v>
      </c>
      <c r="AK1769" s="1" t="s">
        <v>1405</v>
      </c>
      <c r="AL1769" s="1" t="s">
        <v>7047</v>
      </c>
      <c r="AM1769" s="1" t="s">
        <v>4286</v>
      </c>
    </row>
    <row r="1770" spans="20:39" x14ac:dyDescent="0.2">
      <c r="T1770" s="29" t="s">
        <v>299</v>
      </c>
      <c r="U1770" s="69" t="s">
        <v>76</v>
      </c>
      <c r="V1770" s="72" t="str">
        <f t="shared" si="27"/>
        <v>NH_CARROLL</v>
      </c>
      <c r="AJ1770" s="1" t="s">
        <v>73</v>
      </c>
      <c r="AK1770" s="1" t="s">
        <v>541</v>
      </c>
      <c r="AL1770" s="1" t="s">
        <v>7048</v>
      </c>
      <c r="AM1770" s="1" t="s">
        <v>4276</v>
      </c>
    </row>
    <row r="1771" spans="20:39" x14ac:dyDescent="0.2">
      <c r="T1771" s="28" t="s">
        <v>1320</v>
      </c>
      <c r="U1771" s="68" t="s">
        <v>76</v>
      </c>
      <c r="V1771" s="72" t="str">
        <f t="shared" si="27"/>
        <v>NH_CHESHIRE</v>
      </c>
      <c r="AJ1771" s="1" t="s">
        <v>73</v>
      </c>
      <c r="AK1771" s="1" t="s">
        <v>203</v>
      </c>
      <c r="AL1771" s="1" t="s">
        <v>7049</v>
      </c>
      <c r="AM1771" s="1" t="s">
        <v>4268</v>
      </c>
    </row>
    <row r="1772" spans="20:39" x14ac:dyDescent="0.2">
      <c r="T1772" s="29" t="s">
        <v>1321</v>
      </c>
      <c r="U1772" s="69" t="s">
        <v>76</v>
      </c>
      <c r="V1772" s="72" t="str">
        <f t="shared" si="27"/>
        <v>NH_COOS</v>
      </c>
      <c r="AJ1772" s="1" t="s">
        <v>73</v>
      </c>
      <c r="AK1772" s="1" t="s">
        <v>1406</v>
      </c>
      <c r="AL1772" s="1" t="s">
        <v>7050</v>
      </c>
      <c r="AM1772" s="1" t="s">
        <v>4269</v>
      </c>
    </row>
    <row r="1773" spans="20:39" x14ac:dyDescent="0.2">
      <c r="T1773" s="28" t="s">
        <v>1322</v>
      </c>
      <c r="U1773" s="68" t="s">
        <v>76</v>
      </c>
      <c r="V1773" s="72" t="str">
        <f t="shared" si="27"/>
        <v>NH_GRAFTON</v>
      </c>
      <c r="AJ1773" s="1" t="s">
        <v>73</v>
      </c>
      <c r="AK1773" s="1" t="s">
        <v>207</v>
      </c>
      <c r="AL1773" s="1" t="s">
        <v>7051</v>
      </c>
      <c r="AM1773" s="1" t="s">
        <v>4270</v>
      </c>
    </row>
    <row r="1774" spans="20:39" x14ac:dyDescent="0.2">
      <c r="T1774" s="29" t="s">
        <v>496</v>
      </c>
      <c r="U1774" s="69" t="s">
        <v>76</v>
      </c>
      <c r="V1774" s="72" t="str">
        <f t="shared" si="27"/>
        <v>NH_HILLSBOROUGH</v>
      </c>
      <c r="AJ1774" s="1" t="s">
        <v>73</v>
      </c>
      <c r="AK1774" s="1" t="s">
        <v>302</v>
      </c>
      <c r="AL1774" s="1" t="s">
        <v>7052</v>
      </c>
      <c r="AM1774" s="1" t="s">
        <v>4271</v>
      </c>
    </row>
    <row r="1775" spans="20:39" x14ac:dyDescent="0.2">
      <c r="T1775" s="28" t="s">
        <v>1323</v>
      </c>
      <c r="U1775" s="68" t="s">
        <v>76</v>
      </c>
      <c r="V1775" s="72" t="str">
        <f t="shared" si="27"/>
        <v>NH_MERRIMACK</v>
      </c>
      <c r="AJ1775" s="1" t="s">
        <v>73</v>
      </c>
      <c r="AK1775" s="1" t="s">
        <v>1407</v>
      </c>
      <c r="AL1775" s="1" t="s">
        <v>7053</v>
      </c>
      <c r="AM1775" s="1" t="s">
        <v>4272</v>
      </c>
    </row>
    <row r="1776" spans="20:39" x14ac:dyDescent="0.2">
      <c r="T1776" s="29" t="s">
        <v>1324</v>
      </c>
      <c r="U1776" s="69" t="s">
        <v>76</v>
      </c>
      <c r="V1776" s="72" t="str">
        <f t="shared" si="27"/>
        <v>NH_ROCKINGHAM</v>
      </c>
      <c r="AJ1776" s="1" t="s">
        <v>73</v>
      </c>
      <c r="AK1776" s="1" t="s">
        <v>1408</v>
      </c>
      <c r="AL1776" s="1" t="s">
        <v>7054</v>
      </c>
      <c r="AM1776" s="1" t="s">
        <v>9222</v>
      </c>
    </row>
    <row r="1777" spans="20:39" x14ac:dyDescent="0.2">
      <c r="T1777" s="28" t="s">
        <v>1325</v>
      </c>
      <c r="U1777" s="68" t="s">
        <v>76</v>
      </c>
      <c r="V1777" s="72" t="str">
        <f t="shared" si="27"/>
        <v>NH_STRAFFORD</v>
      </c>
      <c r="AJ1777" s="1" t="s">
        <v>73</v>
      </c>
      <c r="AK1777" s="1" t="s">
        <v>677</v>
      </c>
      <c r="AL1777" s="1" t="s">
        <v>7055</v>
      </c>
      <c r="AM1777" s="1" t="s">
        <v>4277</v>
      </c>
    </row>
    <row r="1778" spans="20:39" x14ac:dyDescent="0.2">
      <c r="T1778" s="29" t="s">
        <v>753</v>
      </c>
      <c r="U1778" s="69" t="s">
        <v>76</v>
      </c>
      <c r="V1778" s="72" t="str">
        <f t="shared" si="27"/>
        <v>NH_SULLIVAN</v>
      </c>
      <c r="AJ1778" s="1" t="s">
        <v>73</v>
      </c>
      <c r="AK1778" s="1" t="s">
        <v>1409</v>
      </c>
      <c r="AL1778" s="1" t="s">
        <v>7056</v>
      </c>
      <c r="AM1778" s="1" t="s">
        <v>4320</v>
      </c>
    </row>
    <row r="1779" spans="20:39" x14ac:dyDescent="0.2">
      <c r="T1779" s="28" t="s">
        <v>1326</v>
      </c>
      <c r="U1779" s="68" t="s">
        <v>75</v>
      </c>
      <c r="V1779" s="72" t="str">
        <f t="shared" si="27"/>
        <v>NJ_ATLANTIC</v>
      </c>
      <c r="AJ1779" s="1" t="s">
        <v>73</v>
      </c>
      <c r="AK1779" s="1" t="s">
        <v>1410</v>
      </c>
      <c r="AL1779" s="1" t="s">
        <v>7057</v>
      </c>
      <c r="AM1779" s="1" t="s">
        <v>4273</v>
      </c>
    </row>
    <row r="1780" spans="20:39" x14ac:dyDescent="0.2">
      <c r="T1780" s="29" t="s">
        <v>1327</v>
      </c>
      <c r="U1780" s="69" t="s">
        <v>75</v>
      </c>
      <c r="V1780" s="72" t="str">
        <f t="shared" si="27"/>
        <v>NJ_BERGEN</v>
      </c>
      <c r="AJ1780" s="1" t="s">
        <v>73</v>
      </c>
      <c r="AK1780" s="1" t="s">
        <v>1411</v>
      </c>
      <c r="AL1780" s="1" t="s">
        <v>7058</v>
      </c>
      <c r="AM1780" s="1" t="s">
        <v>4274</v>
      </c>
    </row>
    <row r="1781" spans="20:39" x14ac:dyDescent="0.2">
      <c r="T1781" s="28" t="s">
        <v>1328</v>
      </c>
      <c r="U1781" s="68" t="s">
        <v>75</v>
      </c>
      <c r="V1781" s="72" t="str">
        <f t="shared" si="27"/>
        <v>NJ_BURLINGTON</v>
      </c>
      <c r="AJ1781" s="1" t="s">
        <v>73</v>
      </c>
      <c r="AK1781" s="1" t="s">
        <v>1412</v>
      </c>
      <c r="AL1781" s="1" t="s">
        <v>7059</v>
      </c>
      <c r="AM1781" s="1" t="s">
        <v>4327</v>
      </c>
    </row>
    <row r="1782" spans="20:39" x14ac:dyDescent="0.2">
      <c r="T1782" s="29" t="s">
        <v>537</v>
      </c>
      <c r="U1782" s="69" t="s">
        <v>75</v>
      </c>
      <c r="V1782" s="72" t="str">
        <f t="shared" si="27"/>
        <v>NJ_CAMDEN</v>
      </c>
      <c r="AJ1782" s="1" t="s">
        <v>73</v>
      </c>
      <c r="AK1782" s="1" t="s">
        <v>1413</v>
      </c>
      <c r="AL1782" s="1" t="s">
        <v>7060</v>
      </c>
      <c r="AM1782" s="1" t="s">
        <v>4275</v>
      </c>
    </row>
    <row r="1783" spans="20:39" x14ac:dyDescent="0.2">
      <c r="T1783" s="28" t="s">
        <v>1329</v>
      </c>
      <c r="U1783" s="68" t="s">
        <v>75</v>
      </c>
      <c r="V1783" s="72" t="str">
        <f t="shared" si="27"/>
        <v>NJ_CAPE MAY</v>
      </c>
      <c r="AJ1783" s="1" t="s">
        <v>73</v>
      </c>
      <c r="AK1783" s="1" t="s">
        <v>1414</v>
      </c>
      <c r="AL1783" s="1" t="s">
        <v>7061</v>
      </c>
      <c r="AM1783" s="1" t="s">
        <v>4276</v>
      </c>
    </row>
    <row r="1784" spans="20:39" x14ac:dyDescent="0.2">
      <c r="T1784" s="29" t="s">
        <v>677</v>
      </c>
      <c r="U1784" s="69" t="s">
        <v>75</v>
      </c>
      <c r="V1784" s="72" t="str">
        <f t="shared" si="27"/>
        <v>NJ_CUMBERLAND</v>
      </c>
      <c r="AJ1784" s="1" t="s">
        <v>73</v>
      </c>
      <c r="AK1784" s="1" t="s">
        <v>1415</v>
      </c>
      <c r="AL1784" s="1" t="s">
        <v>7062</v>
      </c>
      <c r="AM1784" s="1" t="s">
        <v>4309</v>
      </c>
    </row>
    <row r="1785" spans="20:39" x14ac:dyDescent="0.2">
      <c r="T1785" s="28" t="s">
        <v>1025</v>
      </c>
      <c r="U1785" s="68" t="s">
        <v>75</v>
      </c>
      <c r="V1785" s="72" t="str">
        <f t="shared" si="27"/>
        <v>NJ_ESSEX</v>
      </c>
      <c r="AJ1785" s="1" t="s">
        <v>73</v>
      </c>
      <c r="AK1785" s="1" t="s">
        <v>564</v>
      </c>
      <c r="AL1785" s="1" t="s">
        <v>7063</v>
      </c>
      <c r="AM1785" s="1" t="s">
        <v>4327</v>
      </c>
    </row>
    <row r="1786" spans="20:39" x14ac:dyDescent="0.2">
      <c r="T1786" s="29" t="s">
        <v>1330</v>
      </c>
      <c r="U1786" s="69" t="s">
        <v>75</v>
      </c>
      <c r="V1786" s="72" t="str">
        <f t="shared" si="27"/>
        <v>NJ_GLOUCESTER</v>
      </c>
      <c r="AJ1786" s="1" t="s">
        <v>73</v>
      </c>
      <c r="AK1786" s="1" t="s">
        <v>223</v>
      </c>
      <c r="AL1786" s="1" t="s">
        <v>7064</v>
      </c>
      <c r="AM1786" s="1" t="s">
        <v>9223</v>
      </c>
    </row>
    <row r="1787" spans="20:39" x14ac:dyDescent="0.2">
      <c r="T1787" s="28" t="s">
        <v>1331</v>
      </c>
      <c r="U1787" s="68" t="s">
        <v>75</v>
      </c>
      <c r="V1787" s="72" t="str">
        <f t="shared" si="27"/>
        <v>NJ_HUDSON</v>
      </c>
      <c r="AJ1787" s="1" t="s">
        <v>73</v>
      </c>
      <c r="AK1787" s="1" t="s">
        <v>1416</v>
      </c>
      <c r="AL1787" s="1" t="s">
        <v>7065</v>
      </c>
      <c r="AM1787" s="1" t="s">
        <v>4267</v>
      </c>
    </row>
    <row r="1788" spans="20:39" x14ac:dyDescent="0.2">
      <c r="T1788" s="29" t="s">
        <v>1332</v>
      </c>
      <c r="U1788" s="69" t="s">
        <v>75</v>
      </c>
      <c r="V1788" s="72" t="str">
        <f t="shared" si="27"/>
        <v>NJ_HUNTERDON</v>
      </c>
      <c r="AJ1788" s="1" t="s">
        <v>73</v>
      </c>
      <c r="AK1788" s="1" t="s">
        <v>1417</v>
      </c>
      <c r="AL1788" s="1" t="s">
        <v>7066</v>
      </c>
      <c r="AM1788" s="1" t="s">
        <v>4278</v>
      </c>
    </row>
    <row r="1789" spans="20:39" x14ac:dyDescent="0.2">
      <c r="T1789" s="28" t="s">
        <v>703</v>
      </c>
      <c r="U1789" s="68" t="s">
        <v>75</v>
      </c>
      <c r="V1789" s="72" t="str">
        <f t="shared" si="27"/>
        <v>NJ_MERCER</v>
      </c>
      <c r="AJ1789" s="1" t="s">
        <v>73</v>
      </c>
      <c r="AK1789" s="1" t="s">
        <v>282</v>
      </c>
      <c r="AL1789" s="1" t="s">
        <v>7067</v>
      </c>
      <c r="AM1789" s="1" t="s">
        <v>4280</v>
      </c>
    </row>
    <row r="1790" spans="20:39" x14ac:dyDescent="0.2">
      <c r="T1790" s="29" t="s">
        <v>463</v>
      </c>
      <c r="U1790" s="69" t="s">
        <v>75</v>
      </c>
      <c r="V1790" s="72" t="str">
        <f t="shared" si="27"/>
        <v>NJ_MIDDLESEX</v>
      </c>
      <c r="AJ1790" s="1" t="s">
        <v>73</v>
      </c>
      <c r="AK1790" s="1" t="s">
        <v>1418</v>
      </c>
      <c r="AL1790" s="1" t="s">
        <v>7068</v>
      </c>
      <c r="AM1790" s="1" t="s">
        <v>9224</v>
      </c>
    </row>
    <row r="1791" spans="20:39" x14ac:dyDescent="0.2">
      <c r="T1791" s="28" t="s">
        <v>1333</v>
      </c>
      <c r="U1791" s="68" t="s">
        <v>75</v>
      </c>
      <c r="V1791" s="72" t="str">
        <f t="shared" si="27"/>
        <v>NJ_MONMOUTH</v>
      </c>
      <c r="AJ1791" s="1" t="s">
        <v>73</v>
      </c>
      <c r="AK1791" s="1" t="s">
        <v>225</v>
      </c>
      <c r="AL1791" s="1" t="s">
        <v>7069</v>
      </c>
      <c r="AM1791" s="1" t="s">
        <v>4281</v>
      </c>
    </row>
    <row r="1792" spans="20:39" x14ac:dyDescent="0.2">
      <c r="T1792" s="29" t="s">
        <v>841</v>
      </c>
      <c r="U1792" s="69" t="s">
        <v>75</v>
      </c>
      <c r="V1792" s="72" t="str">
        <f t="shared" si="27"/>
        <v>NJ_MORRIS</v>
      </c>
      <c r="AJ1792" s="1" t="s">
        <v>73</v>
      </c>
      <c r="AK1792" s="1" t="s">
        <v>1419</v>
      </c>
      <c r="AL1792" s="1" t="s">
        <v>7070</v>
      </c>
      <c r="AM1792" s="1" t="s">
        <v>4282</v>
      </c>
    </row>
    <row r="1793" spans="20:39" x14ac:dyDescent="0.2">
      <c r="T1793" s="28" t="s">
        <v>1334</v>
      </c>
      <c r="U1793" s="68" t="s">
        <v>75</v>
      </c>
      <c r="V1793" s="72" t="str">
        <f t="shared" si="27"/>
        <v>NJ_OCEAN</v>
      </c>
      <c r="AJ1793" s="1" t="s">
        <v>73</v>
      </c>
      <c r="AK1793" s="1" t="s">
        <v>1420</v>
      </c>
      <c r="AL1793" s="1" t="s">
        <v>7071</v>
      </c>
      <c r="AM1793" s="1" t="s">
        <v>4284</v>
      </c>
    </row>
    <row r="1794" spans="20:39" x14ac:dyDescent="0.2">
      <c r="T1794" s="29" t="s">
        <v>1335</v>
      </c>
      <c r="U1794" s="69" t="s">
        <v>75</v>
      </c>
      <c r="V1794" s="72" t="str">
        <f t="shared" si="27"/>
        <v>NJ_PASSAIC</v>
      </c>
      <c r="AJ1794" s="1" t="s">
        <v>73</v>
      </c>
      <c r="AK1794" s="1" t="s">
        <v>1421</v>
      </c>
      <c r="AL1794" s="1" t="s">
        <v>7072</v>
      </c>
      <c r="AM1794" s="1" t="s">
        <v>9225</v>
      </c>
    </row>
    <row r="1795" spans="20:39" x14ac:dyDescent="0.2">
      <c r="T1795" s="28" t="s">
        <v>1336</v>
      </c>
      <c r="U1795" s="68" t="s">
        <v>75</v>
      </c>
      <c r="V1795" s="72" t="str">
        <f t="shared" si="27"/>
        <v>NJ_SALEM</v>
      </c>
      <c r="AJ1795" s="1" t="s">
        <v>73</v>
      </c>
      <c r="AK1795" s="1" t="s">
        <v>1422</v>
      </c>
      <c r="AL1795" s="1" t="s">
        <v>7073</v>
      </c>
      <c r="AM1795" s="1" t="s">
        <v>9226</v>
      </c>
    </row>
    <row r="1796" spans="20:39" x14ac:dyDescent="0.2">
      <c r="T1796" s="29" t="s">
        <v>1001</v>
      </c>
      <c r="U1796" s="69" t="s">
        <v>75</v>
      </c>
      <c r="V1796" s="72" t="str">
        <f t="shared" si="27"/>
        <v>NJ_SOMERSET</v>
      </c>
      <c r="AJ1796" s="1" t="s">
        <v>73</v>
      </c>
      <c r="AK1796" s="1" t="s">
        <v>686</v>
      </c>
      <c r="AL1796" s="1" t="s">
        <v>7074</v>
      </c>
      <c r="AM1796" s="1" t="s">
        <v>9221</v>
      </c>
    </row>
    <row r="1797" spans="20:39" x14ac:dyDescent="0.2">
      <c r="T1797" s="28" t="s">
        <v>470</v>
      </c>
      <c r="U1797" s="68" t="s">
        <v>75</v>
      </c>
      <c r="V1797" s="72" t="str">
        <f t="shared" si="27"/>
        <v>NJ_SUSSEX</v>
      </c>
      <c r="AJ1797" s="1" t="s">
        <v>73</v>
      </c>
      <c r="AK1797" s="1" t="s">
        <v>1423</v>
      </c>
      <c r="AL1797" s="1" t="s">
        <v>7075</v>
      </c>
      <c r="AM1797" s="1" t="s">
        <v>4285</v>
      </c>
    </row>
    <row r="1798" spans="20:39" x14ac:dyDescent="0.2">
      <c r="T1798" s="29" t="s">
        <v>345</v>
      </c>
      <c r="U1798" s="69" t="s">
        <v>75</v>
      </c>
      <c r="V1798" s="72" t="str">
        <f t="shared" si="27"/>
        <v>NJ_UNION</v>
      </c>
      <c r="AJ1798" s="1" t="s">
        <v>73</v>
      </c>
      <c r="AK1798" s="1" t="s">
        <v>1424</v>
      </c>
      <c r="AL1798" s="1" t="s">
        <v>7076</v>
      </c>
      <c r="AM1798" s="1" t="s">
        <v>4287</v>
      </c>
    </row>
    <row r="1799" spans="20:39" x14ac:dyDescent="0.2">
      <c r="T1799" s="28" t="s">
        <v>622</v>
      </c>
      <c r="U1799" s="68" t="s">
        <v>75</v>
      </c>
      <c r="V1799" s="72" t="str">
        <f t="shared" si="27"/>
        <v>NJ_WARREN</v>
      </c>
      <c r="AJ1799" s="1" t="s">
        <v>73</v>
      </c>
      <c r="AK1799" s="1" t="s">
        <v>1425</v>
      </c>
      <c r="AL1799" s="1" t="s">
        <v>7077</v>
      </c>
      <c r="AM1799" s="1" t="s">
        <v>4288</v>
      </c>
    </row>
    <row r="1800" spans="20:39" x14ac:dyDescent="0.2">
      <c r="T1800" s="29" t="s">
        <v>1337</v>
      </c>
      <c r="U1800" s="69" t="s">
        <v>74</v>
      </c>
      <c r="V1800" s="72" t="str">
        <f t="shared" si="27"/>
        <v>NM_BERNALILLO</v>
      </c>
      <c r="AJ1800" s="1" t="s">
        <v>73</v>
      </c>
      <c r="AK1800" s="1" t="s">
        <v>1426</v>
      </c>
      <c r="AL1800" s="1" t="s">
        <v>7078</v>
      </c>
      <c r="AM1800" s="1" t="s">
        <v>4289</v>
      </c>
    </row>
    <row r="1801" spans="20:39" x14ac:dyDescent="0.2">
      <c r="T1801" s="28" t="s">
        <v>1338</v>
      </c>
      <c r="U1801" s="68" t="s">
        <v>74</v>
      </c>
      <c r="V1801" s="72" t="str">
        <f t="shared" si="27"/>
        <v>NM_CATRON</v>
      </c>
      <c r="AJ1801" s="1" t="s">
        <v>73</v>
      </c>
      <c r="AK1801" s="1" t="s">
        <v>229</v>
      </c>
      <c r="AL1801" s="1" t="s">
        <v>7079</v>
      </c>
      <c r="AM1801" s="1" t="s">
        <v>4290</v>
      </c>
    </row>
    <row r="1802" spans="20:39" x14ac:dyDescent="0.2">
      <c r="T1802" s="29" t="s">
        <v>1339</v>
      </c>
      <c r="U1802" s="69" t="s">
        <v>74</v>
      </c>
      <c r="V1802" s="72" t="str">
        <f t="shared" ref="V1802:V1865" si="28">UPPER(CONCATENATE(TRIM(U1802),"_",TRIM(T1802)))</f>
        <v>NM_CHAVES</v>
      </c>
      <c r="AJ1802" s="1" t="s">
        <v>73</v>
      </c>
      <c r="AK1802" s="1" t="s">
        <v>1427</v>
      </c>
      <c r="AL1802" s="1" t="s">
        <v>7080</v>
      </c>
      <c r="AM1802" s="1" t="s">
        <v>9223</v>
      </c>
    </row>
    <row r="1803" spans="20:39" x14ac:dyDescent="0.2">
      <c r="T1803" s="28" t="s">
        <v>1340</v>
      </c>
      <c r="U1803" s="68" t="s">
        <v>74</v>
      </c>
      <c r="V1803" s="72" t="str">
        <f t="shared" si="28"/>
        <v>NM_CIBOLA</v>
      </c>
      <c r="AJ1803" s="1" t="s">
        <v>73</v>
      </c>
      <c r="AK1803" s="1" t="s">
        <v>582</v>
      </c>
      <c r="AL1803" s="1" t="s">
        <v>7081</v>
      </c>
      <c r="AM1803" s="1" t="s">
        <v>9227</v>
      </c>
    </row>
    <row r="1804" spans="20:39" x14ac:dyDescent="0.2">
      <c r="T1804" s="29" t="s">
        <v>1275</v>
      </c>
      <c r="U1804" s="69" t="s">
        <v>74</v>
      </c>
      <c r="V1804" s="72" t="str">
        <f t="shared" si="28"/>
        <v>NM_COLFAX</v>
      </c>
      <c r="AJ1804" s="1" t="s">
        <v>73</v>
      </c>
      <c r="AK1804" s="1" t="s">
        <v>234</v>
      </c>
      <c r="AL1804" s="1" t="s">
        <v>7082</v>
      </c>
      <c r="AM1804" s="1" t="s">
        <v>4292</v>
      </c>
    </row>
    <row r="1805" spans="20:39" x14ac:dyDescent="0.2">
      <c r="T1805" s="28" t="s">
        <v>1341</v>
      </c>
      <c r="U1805" s="68" t="s">
        <v>74</v>
      </c>
      <c r="V1805" s="72" t="str">
        <f t="shared" si="28"/>
        <v>NM_CURRY</v>
      </c>
      <c r="AJ1805" s="1" t="s">
        <v>73</v>
      </c>
      <c r="AK1805" s="1" t="s">
        <v>1428</v>
      </c>
      <c r="AL1805" s="1" t="s">
        <v>7083</v>
      </c>
      <c r="AM1805" s="1" t="s">
        <v>4293</v>
      </c>
    </row>
    <row r="1806" spans="20:39" x14ac:dyDescent="0.2">
      <c r="T1806" s="29" t="s">
        <v>1342</v>
      </c>
      <c r="U1806" s="69" t="s">
        <v>74</v>
      </c>
      <c r="V1806" s="72" t="str">
        <f t="shared" si="28"/>
        <v>NM_DEBACA</v>
      </c>
      <c r="AJ1806" s="1" t="s">
        <v>73</v>
      </c>
      <c r="AK1806" s="1" t="s">
        <v>322</v>
      </c>
      <c r="AL1806" s="1" t="s">
        <v>7084</v>
      </c>
      <c r="AM1806" s="1" t="s">
        <v>4294</v>
      </c>
    </row>
    <row r="1807" spans="20:39" x14ac:dyDescent="0.2">
      <c r="T1807" s="28" t="s">
        <v>1343</v>
      </c>
      <c r="U1807" s="68" t="s">
        <v>74</v>
      </c>
      <c r="V1807" s="72" t="str">
        <f t="shared" si="28"/>
        <v>NM_DONA ANA</v>
      </c>
      <c r="AJ1807" s="1" t="s">
        <v>73</v>
      </c>
      <c r="AK1807" s="1" t="s">
        <v>237</v>
      </c>
      <c r="AL1807" s="1" t="s">
        <v>7085</v>
      </c>
      <c r="AM1807" s="1" t="s">
        <v>4295</v>
      </c>
    </row>
    <row r="1808" spans="20:39" x14ac:dyDescent="0.2">
      <c r="T1808" s="29" t="s">
        <v>1344</v>
      </c>
      <c r="U1808" s="69" t="s">
        <v>74</v>
      </c>
      <c r="V1808" s="72" t="str">
        <f t="shared" si="28"/>
        <v>NM_EDDY</v>
      </c>
      <c r="AJ1808" s="1" t="s">
        <v>73</v>
      </c>
      <c r="AK1808" s="1" t="s">
        <v>238</v>
      </c>
      <c r="AL1808" s="1" t="s">
        <v>7086</v>
      </c>
      <c r="AM1808" s="1" t="s">
        <v>9221</v>
      </c>
    </row>
    <row r="1809" spans="20:39" x14ac:dyDescent="0.2">
      <c r="T1809" s="28" t="s">
        <v>314</v>
      </c>
      <c r="U1809" s="68" t="s">
        <v>74</v>
      </c>
      <c r="V1809" s="72" t="str">
        <f t="shared" si="28"/>
        <v>NM_GRANT</v>
      </c>
      <c r="AJ1809" s="1" t="s">
        <v>73</v>
      </c>
      <c r="AK1809" s="1" t="s">
        <v>503</v>
      </c>
      <c r="AL1809" s="1" t="s">
        <v>7087</v>
      </c>
      <c r="AM1809" s="1" t="s">
        <v>4296</v>
      </c>
    </row>
    <row r="1810" spans="20:39" x14ac:dyDescent="0.2">
      <c r="T1810" s="29" t="s">
        <v>1345</v>
      </c>
      <c r="U1810" s="69" t="s">
        <v>74</v>
      </c>
      <c r="V1810" s="72" t="str">
        <f t="shared" si="28"/>
        <v>NM_GUADALUPE</v>
      </c>
      <c r="AJ1810" s="1" t="s">
        <v>73</v>
      </c>
      <c r="AK1810" s="1" t="s">
        <v>1429</v>
      </c>
      <c r="AL1810" s="1" t="s">
        <v>7088</v>
      </c>
      <c r="AM1810" s="1" t="s">
        <v>4297</v>
      </c>
    </row>
    <row r="1811" spans="20:39" x14ac:dyDescent="0.2">
      <c r="T1811" s="28" t="s">
        <v>1346</v>
      </c>
      <c r="U1811" s="68" t="s">
        <v>74</v>
      </c>
      <c r="V1811" s="72" t="str">
        <f t="shared" si="28"/>
        <v>NM_HARDING</v>
      </c>
      <c r="AJ1811" s="1" t="s">
        <v>73</v>
      </c>
      <c r="AK1811" s="1" t="s">
        <v>1430</v>
      </c>
      <c r="AL1811" s="1" t="s">
        <v>7089</v>
      </c>
      <c r="AM1811" s="1" t="s">
        <v>4267</v>
      </c>
    </row>
    <row r="1812" spans="20:39" x14ac:dyDescent="0.2">
      <c r="T1812" s="29" t="s">
        <v>1347</v>
      </c>
      <c r="U1812" s="69" t="s">
        <v>74</v>
      </c>
      <c r="V1812" s="72" t="str">
        <f t="shared" si="28"/>
        <v>NM_HIDALGO</v>
      </c>
      <c r="AJ1812" s="1" t="s">
        <v>73</v>
      </c>
      <c r="AK1812" s="1" t="s">
        <v>590</v>
      </c>
      <c r="AL1812" s="1" t="s">
        <v>7090</v>
      </c>
      <c r="AM1812" s="1" t="s">
        <v>4298</v>
      </c>
    </row>
    <row r="1813" spans="20:39" x14ac:dyDescent="0.2">
      <c r="T1813" s="28" t="s">
        <v>1348</v>
      </c>
      <c r="U1813" s="68" t="s">
        <v>74</v>
      </c>
      <c r="V1813" s="72" t="str">
        <f t="shared" si="28"/>
        <v>NM_LEA</v>
      </c>
      <c r="AJ1813" s="1" t="s">
        <v>73</v>
      </c>
      <c r="AK1813" s="1" t="s">
        <v>244</v>
      </c>
      <c r="AL1813" s="1" t="s">
        <v>7091</v>
      </c>
      <c r="AM1813" s="1" t="s">
        <v>4299</v>
      </c>
    </row>
    <row r="1814" spans="20:39" x14ac:dyDescent="0.2">
      <c r="T1814" s="29" t="s">
        <v>322</v>
      </c>
      <c r="U1814" s="69" t="s">
        <v>74</v>
      </c>
      <c r="V1814" s="72" t="str">
        <f t="shared" si="28"/>
        <v>NM_LINCOLN</v>
      </c>
      <c r="AJ1814" s="1" t="s">
        <v>73</v>
      </c>
      <c r="AK1814" s="1" t="s">
        <v>1431</v>
      </c>
      <c r="AL1814" s="1" t="s">
        <v>7092</v>
      </c>
      <c r="AM1814" s="1" t="s">
        <v>9228</v>
      </c>
    </row>
    <row r="1815" spans="20:39" x14ac:dyDescent="0.2">
      <c r="T1815" s="28" t="s">
        <v>1349</v>
      </c>
      <c r="U1815" s="68" t="s">
        <v>74</v>
      </c>
      <c r="V1815" s="72" t="str">
        <f t="shared" si="28"/>
        <v>NM_LOS ALAMOS</v>
      </c>
      <c r="AJ1815" s="1" t="s">
        <v>73</v>
      </c>
      <c r="AK1815" s="1" t="s">
        <v>1432</v>
      </c>
      <c r="AL1815" s="1" t="s">
        <v>7093</v>
      </c>
      <c r="AM1815" s="1" t="s">
        <v>4309</v>
      </c>
    </row>
    <row r="1816" spans="20:39" x14ac:dyDescent="0.2">
      <c r="T1816" s="29" t="s">
        <v>1350</v>
      </c>
      <c r="U1816" s="69" t="s">
        <v>74</v>
      </c>
      <c r="V1816" s="72" t="str">
        <f t="shared" si="28"/>
        <v>NM_LUNA</v>
      </c>
      <c r="AJ1816" s="1" t="s">
        <v>73</v>
      </c>
      <c r="AK1816" s="1" t="s">
        <v>1433</v>
      </c>
      <c r="AL1816" s="1" t="s">
        <v>7094</v>
      </c>
      <c r="AM1816" s="1" t="s">
        <v>4325</v>
      </c>
    </row>
    <row r="1817" spans="20:39" x14ac:dyDescent="0.2">
      <c r="T1817" s="28" t="s">
        <v>1351</v>
      </c>
      <c r="U1817" s="68" t="s">
        <v>74</v>
      </c>
      <c r="V1817" s="72" t="str">
        <f t="shared" si="28"/>
        <v>NM_MCKINLEY</v>
      </c>
      <c r="AJ1817" s="1" t="s">
        <v>73</v>
      </c>
      <c r="AK1817" s="1" t="s">
        <v>1434</v>
      </c>
      <c r="AL1817" s="1" t="s">
        <v>7095</v>
      </c>
      <c r="AM1817" s="1" t="s">
        <v>4300</v>
      </c>
    </row>
    <row r="1818" spans="20:39" x14ac:dyDescent="0.2">
      <c r="T1818" s="29" t="s">
        <v>1352</v>
      </c>
      <c r="U1818" s="69" t="s">
        <v>74</v>
      </c>
      <c r="V1818" s="72" t="str">
        <f t="shared" si="28"/>
        <v>NM_MORA</v>
      </c>
      <c r="AJ1818" s="1" t="s">
        <v>73</v>
      </c>
      <c r="AK1818" s="1" t="s">
        <v>1435</v>
      </c>
      <c r="AL1818" s="1" t="s">
        <v>7096</v>
      </c>
      <c r="AM1818" s="1" t="s">
        <v>4291</v>
      </c>
    </row>
    <row r="1819" spans="20:39" x14ac:dyDescent="0.2">
      <c r="T1819" s="28" t="s">
        <v>444</v>
      </c>
      <c r="U1819" s="68" t="s">
        <v>74</v>
      </c>
      <c r="V1819" s="72" t="str">
        <f t="shared" si="28"/>
        <v>NM_OTERO</v>
      </c>
      <c r="AJ1819" s="1" t="s">
        <v>73</v>
      </c>
      <c r="AK1819" s="1" t="s">
        <v>378</v>
      </c>
      <c r="AL1819" s="1" t="s">
        <v>7097</v>
      </c>
      <c r="AM1819" s="1" t="s">
        <v>4276</v>
      </c>
    </row>
    <row r="1820" spans="20:39" x14ac:dyDescent="0.2">
      <c r="T1820" s="29" t="s">
        <v>1353</v>
      </c>
      <c r="U1820" s="69" t="s">
        <v>74</v>
      </c>
      <c r="V1820" s="72" t="str">
        <f t="shared" si="28"/>
        <v>NM_QUAY</v>
      </c>
      <c r="AJ1820" s="1" t="s">
        <v>73</v>
      </c>
      <c r="AK1820" s="1" t="s">
        <v>1436</v>
      </c>
      <c r="AL1820" s="1" t="s">
        <v>7098</v>
      </c>
      <c r="AM1820" s="1" t="s">
        <v>9229</v>
      </c>
    </row>
    <row r="1821" spans="20:39" x14ac:dyDescent="0.2">
      <c r="T1821" s="28" t="s">
        <v>1354</v>
      </c>
      <c r="U1821" s="68" t="s">
        <v>74</v>
      </c>
      <c r="V1821" s="72" t="str">
        <f t="shared" si="28"/>
        <v>NM_RIO ARRIBA</v>
      </c>
      <c r="AJ1821" s="1" t="s">
        <v>73</v>
      </c>
      <c r="AK1821" s="1" t="s">
        <v>1437</v>
      </c>
      <c r="AL1821" s="1" t="s">
        <v>7099</v>
      </c>
      <c r="AM1821" s="1" t="s">
        <v>4301</v>
      </c>
    </row>
    <row r="1822" spans="20:39" x14ac:dyDescent="0.2">
      <c r="T1822" s="29" t="s">
        <v>1257</v>
      </c>
      <c r="U1822" s="69" t="s">
        <v>74</v>
      </c>
      <c r="V1822" s="72" t="str">
        <f t="shared" si="28"/>
        <v>NM_ROOSEVELT</v>
      </c>
      <c r="AJ1822" s="1" t="s">
        <v>73</v>
      </c>
      <c r="AK1822" s="1" t="s">
        <v>1438</v>
      </c>
      <c r="AL1822" s="1" t="s">
        <v>7100</v>
      </c>
      <c r="AM1822" s="1" t="s">
        <v>4302</v>
      </c>
    </row>
    <row r="1823" spans="20:39" x14ac:dyDescent="0.2">
      <c r="T1823" s="28" t="s">
        <v>1355</v>
      </c>
      <c r="U1823" s="68" t="s">
        <v>74</v>
      </c>
      <c r="V1823" s="72" t="str">
        <f t="shared" si="28"/>
        <v>NM_SANDOVAL</v>
      </c>
      <c r="AJ1823" s="1" t="s">
        <v>73</v>
      </c>
      <c r="AK1823" s="1" t="s">
        <v>1439</v>
      </c>
      <c r="AL1823" s="1" t="s">
        <v>7101</v>
      </c>
      <c r="AM1823" s="1" t="s">
        <v>4303</v>
      </c>
    </row>
    <row r="1824" spans="20:39" x14ac:dyDescent="0.2">
      <c r="T1824" s="29" t="s">
        <v>454</v>
      </c>
      <c r="U1824" s="69" t="s">
        <v>74</v>
      </c>
      <c r="V1824" s="72" t="str">
        <f t="shared" si="28"/>
        <v>NM_SAN JUAN</v>
      </c>
      <c r="AJ1824" s="1" t="s">
        <v>73</v>
      </c>
      <c r="AK1824" s="1" t="s">
        <v>1440</v>
      </c>
      <c r="AL1824" s="1" t="s">
        <v>7102</v>
      </c>
      <c r="AM1824" s="1" t="s">
        <v>4304</v>
      </c>
    </row>
    <row r="1825" spans="20:39" x14ac:dyDescent="0.2">
      <c r="T1825" s="28" t="s">
        <v>455</v>
      </c>
      <c r="U1825" s="68" t="s">
        <v>74</v>
      </c>
      <c r="V1825" s="72" t="str">
        <f t="shared" si="28"/>
        <v>NM_SAN MIGUEL</v>
      </c>
      <c r="AJ1825" s="1" t="s">
        <v>73</v>
      </c>
      <c r="AK1825" s="1" t="s">
        <v>1441</v>
      </c>
      <c r="AL1825" s="1" t="s">
        <v>7103</v>
      </c>
      <c r="AM1825" s="1" t="s">
        <v>4283</v>
      </c>
    </row>
    <row r="1826" spans="20:39" x14ac:dyDescent="0.2">
      <c r="T1826" s="29" t="s">
        <v>1356</v>
      </c>
      <c r="U1826" s="69" t="s">
        <v>74</v>
      </c>
      <c r="V1826" s="72" t="str">
        <f t="shared" si="28"/>
        <v>NM_SANTA FE</v>
      </c>
      <c r="AJ1826" s="1" t="s">
        <v>73</v>
      </c>
      <c r="AK1826" s="1" t="s">
        <v>333</v>
      </c>
      <c r="AL1826" s="1" t="s">
        <v>7104</v>
      </c>
      <c r="AM1826" s="1" t="s">
        <v>4305</v>
      </c>
    </row>
    <row r="1827" spans="20:39" x14ac:dyDescent="0.2">
      <c r="T1827" s="28" t="s">
        <v>393</v>
      </c>
      <c r="U1827" s="68" t="s">
        <v>74</v>
      </c>
      <c r="V1827" s="72" t="str">
        <f t="shared" si="28"/>
        <v>NM_SIERRA</v>
      </c>
      <c r="AJ1827" s="1" t="s">
        <v>73</v>
      </c>
      <c r="AK1827" s="1" t="s">
        <v>249</v>
      </c>
      <c r="AL1827" s="1" t="s">
        <v>7105</v>
      </c>
      <c r="AM1827" s="1" t="s">
        <v>4282</v>
      </c>
    </row>
    <row r="1828" spans="20:39" x14ac:dyDescent="0.2">
      <c r="T1828" s="29" t="s">
        <v>1357</v>
      </c>
      <c r="U1828" s="69" t="s">
        <v>74</v>
      </c>
      <c r="V1828" s="72" t="str">
        <f t="shared" si="28"/>
        <v>NM_SOCORRO</v>
      </c>
      <c r="AJ1828" s="1" t="s">
        <v>73</v>
      </c>
      <c r="AK1828" s="1" t="s">
        <v>600</v>
      </c>
      <c r="AL1828" s="1" t="s">
        <v>7106</v>
      </c>
      <c r="AM1828" s="1" t="s">
        <v>4306</v>
      </c>
    </row>
    <row r="1829" spans="20:39" x14ac:dyDescent="0.2">
      <c r="T1829" s="28" t="s">
        <v>1358</v>
      </c>
      <c r="U1829" s="68" t="s">
        <v>74</v>
      </c>
      <c r="V1829" s="72" t="str">
        <f t="shared" si="28"/>
        <v>NM_TAOS</v>
      </c>
      <c r="AJ1829" s="1" t="s">
        <v>73</v>
      </c>
      <c r="AK1829" s="1" t="s">
        <v>1442</v>
      </c>
      <c r="AL1829" s="1" t="s">
        <v>7107</v>
      </c>
      <c r="AM1829" s="1" t="s">
        <v>4307</v>
      </c>
    </row>
    <row r="1830" spans="20:39" x14ac:dyDescent="0.2">
      <c r="T1830" s="29" t="s">
        <v>1359</v>
      </c>
      <c r="U1830" s="69" t="s">
        <v>74</v>
      </c>
      <c r="V1830" s="72" t="str">
        <f t="shared" si="28"/>
        <v>NM_TORRANCE</v>
      </c>
      <c r="AJ1830" s="1" t="s">
        <v>73</v>
      </c>
      <c r="AK1830" s="1" t="s">
        <v>1324</v>
      </c>
      <c r="AL1830" s="1" t="s">
        <v>7108</v>
      </c>
      <c r="AM1830" s="1" t="s">
        <v>4308</v>
      </c>
    </row>
    <row r="1831" spans="20:39" x14ac:dyDescent="0.2">
      <c r="T1831" s="28" t="s">
        <v>345</v>
      </c>
      <c r="U1831" s="68" t="s">
        <v>74</v>
      </c>
      <c r="V1831" s="72" t="str">
        <f t="shared" si="28"/>
        <v>NM_UNION</v>
      </c>
      <c r="AJ1831" s="1" t="s">
        <v>73</v>
      </c>
      <c r="AK1831" s="1" t="s">
        <v>924</v>
      </c>
      <c r="AL1831" s="1" t="s">
        <v>7109</v>
      </c>
      <c r="AM1831" s="1" t="s">
        <v>4310</v>
      </c>
    </row>
    <row r="1832" spans="20:39" x14ac:dyDescent="0.2">
      <c r="T1832" s="29" t="s">
        <v>1360</v>
      </c>
      <c r="U1832" s="69" t="s">
        <v>74</v>
      </c>
      <c r="V1832" s="72" t="str">
        <f t="shared" si="28"/>
        <v>NM_VALENCIA</v>
      </c>
      <c r="AJ1832" s="1" t="s">
        <v>73</v>
      </c>
      <c r="AK1832" s="1" t="s">
        <v>1443</v>
      </c>
      <c r="AL1832" s="1" t="s">
        <v>7110</v>
      </c>
      <c r="AM1832" s="1" t="s">
        <v>4311</v>
      </c>
    </row>
    <row r="1833" spans="20:39" x14ac:dyDescent="0.2">
      <c r="T1833" s="28" t="s">
        <v>1361</v>
      </c>
      <c r="U1833" s="68" t="s">
        <v>54</v>
      </c>
      <c r="V1833" s="72" t="str">
        <f t="shared" si="28"/>
        <v>NY_ALBANY</v>
      </c>
      <c r="AJ1833" s="1" t="s">
        <v>73</v>
      </c>
      <c r="AK1833" s="1" t="s">
        <v>1444</v>
      </c>
      <c r="AL1833" s="1" t="s">
        <v>7111</v>
      </c>
      <c r="AM1833" s="1" t="s">
        <v>4312</v>
      </c>
    </row>
    <row r="1834" spans="20:39" x14ac:dyDescent="0.2">
      <c r="T1834" s="29" t="s">
        <v>1004</v>
      </c>
      <c r="U1834" s="69" t="s">
        <v>54</v>
      </c>
      <c r="V1834" s="72" t="str">
        <f t="shared" si="28"/>
        <v>NY_ALLEGANY</v>
      </c>
      <c r="AJ1834" s="1" t="s">
        <v>73</v>
      </c>
      <c r="AK1834" s="1" t="s">
        <v>1225</v>
      </c>
      <c r="AL1834" s="1" t="s">
        <v>7112</v>
      </c>
      <c r="AM1834" s="1" t="s">
        <v>4313</v>
      </c>
    </row>
    <row r="1835" spans="20:39" x14ac:dyDescent="0.2">
      <c r="T1835" s="28" t="s">
        <v>1362</v>
      </c>
      <c r="U1835" s="68" t="s">
        <v>54</v>
      </c>
      <c r="V1835" s="72" t="str">
        <f t="shared" si="28"/>
        <v>NY_BRONX</v>
      </c>
      <c r="AJ1835" s="1" t="s">
        <v>73</v>
      </c>
      <c r="AK1835" s="1" t="s">
        <v>1445</v>
      </c>
      <c r="AL1835" s="1" t="s">
        <v>7113</v>
      </c>
      <c r="AM1835" s="1" t="s">
        <v>4314</v>
      </c>
    </row>
    <row r="1836" spans="20:39" x14ac:dyDescent="0.2">
      <c r="T1836" s="29" t="s">
        <v>1363</v>
      </c>
      <c r="U1836" s="69" t="s">
        <v>54</v>
      </c>
      <c r="V1836" s="72" t="str">
        <f t="shared" si="28"/>
        <v>NY_BROOME</v>
      </c>
      <c r="AJ1836" s="1" t="s">
        <v>73</v>
      </c>
      <c r="AK1836" s="1" t="s">
        <v>1446</v>
      </c>
      <c r="AL1836" s="1" t="s">
        <v>7114</v>
      </c>
      <c r="AM1836" s="1" t="s">
        <v>4327</v>
      </c>
    </row>
    <row r="1837" spans="20:39" x14ac:dyDescent="0.2">
      <c r="T1837" s="28" t="s">
        <v>1364</v>
      </c>
      <c r="U1837" s="68" t="s">
        <v>54</v>
      </c>
      <c r="V1837" s="72" t="str">
        <f t="shared" si="28"/>
        <v>NY_CATTARAUGUS</v>
      </c>
      <c r="AJ1837" s="1" t="s">
        <v>73</v>
      </c>
      <c r="AK1837" s="1" t="s">
        <v>1447</v>
      </c>
      <c r="AL1837" s="1" t="s">
        <v>7115</v>
      </c>
      <c r="AM1837" s="1" t="s">
        <v>4315</v>
      </c>
    </row>
    <row r="1838" spans="20:39" x14ac:dyDescent="0.2">
      <c r="T1838" s="29" t="s">
        <v>1365</v>
      </c>
      <c r="U1838" s="69" t="s">
        <v>54</v>
      </c>
      <c r="V1838" s="72" t="str">
        <f t="shared" si="28"/>
        <v>NY_CAYUGA</v>
      </c>
      <c r="AJ1838" s="1" t="s">
        <v>73</v>
      </c>
      <c r="AK1838" s="1" t="s">
        <v>1448</v>
      </c>
      <c r="AL1838" s="1" t="s">
        <v>7116</v>
      </c>
      <c r="AM1838" s="1" t="s">
        <v>4316</v>
      </c>
    </row>
    <row r="1839" spans="20:39" x14ac:dyDescent="0.2">
      <c r="T1839" s="28" t="s">
        <v>814</v>
      </c>
      <c r="U1839" s="68" t="s">
        <v>54</v>
      </c>
      <c r="V1839" s="72" t="str">
        <f t="shared" si="28"/>
        <v>NY_CHAUTAUQUA</v>
      </c>
      <c r="AJ1839" s="1" t="s">
        <v>73</v>
      </c>
      <c r="AK1839" s="1" t="s">
        <v>1449</v>
      </c>
      <c r="AL1839" s="1" t="s">
        <v>7117</v>
      </c>
      <c r="AM1839" s="1" t="s">
        <v>4317</v>
      </c>
    </row>
    <row r="1840" spans="20:39" x14ac:dyDescent="0.2">
      <c r="T1840" s="29" t="s">
        <v>1366</v>
      </c>
      <c r="U1840" s="69" t="s">
        <v>54</v>
      </c>
      <c r="V1840" s="72" t="str">
        <f t="shared" si="28"/>
        <v>NY_CHEMUNG</v>
      </c>
      <c r="AJ1840" s="1" t="s">
        <v>73</v>
      </c>
      <c r="AK1840" s="1" t="s">
        <v>1450</v>
      </c>
      <c r="AL1840" s="1" t="s">
        <v>7118</v>
      </c>
      <c r="AM1840" s="1" t="s">
        <v>4318</v>
      </c>
    </row>
    <row r="1841" spans="20:39" x14ac:dyDescent="0.2">
      <c r="T1841" s="28" t="s">
        <v>1367</v>
      </c>
      <c r="U1841" s="68" t="s">
        <v>54</v>
      </c>
      <c r="V1841" s="72" t="str">
        <f t="shared" si="28"/>
        <v>NY_CHENANGO</v>
      </c>
      <c r="AJ1841" s="1" t="s">
        <v>73</v>
      </c>
      <c r="AK1841" s="1" t="s">
        <v>345</v>
      </c>
      <c r="AL1841" s="1" t="s">
        <v>7119</v>
      </c>
      <c r="AM1841" s="1" t="s">
        <v>4267</v>
      </c>
    </row>
    <row r="1842" spans="20:39" x14ac:dyDescent="0.2">
      <c r="T1842" s="29" t="s">
        <v>675</v>
      </c>
      <c r="U1842" s="69" t="s">
        <v>54</v>
      </c>
      <c r="V1842" s="72" t="str">
        <f t="shared" si="28"/>
        <v>NY_CLINTON</v>
      </c>
      <c r="AJ1842" s="1" t="s">
        <v>73</v>
      </c>
      <c r="AK1842" s="1" t="s">
        <v>1451</v>
      </c>
      <c r="AL1842" s="1" t="s">
        <v>7120</v>
      </c>
      <c r="AM1842" s="1" t="s">
        <v>4319</v>
      </c>
    </row>
    <row r="1843" spans="20:39" x14ac:dyDescent="0.2">
      <c r="T1843" s="28" t="s">
        <v>303</v>
      </c>
      <c r="U1843" s="68" t="s">
        <v>54</v>
      </c>
      <c r="V1843" s="72" t="str">
        <f t="shared" si="28"/>
        <v>NY_COLUMBIA</v>
      </c>
      <c r="AJ1843" s="1" t="s">
        <v>73</v>
      </c>
      <c r="AK1843" s="1" t="s">
        <v>1452</v>
      </c>
      <c r="AL1843" s="1" t="s">
        <v>7121</v>
      </c>
      <c r="AM1843" s="1" t="s">
        <v>9223</v>
      </c>
    </row>
    <row r="1844" spans="20:39" x14ac:dyDescent="0.2">
      <c r="T1844" s="29" t="s">
        <v>1368</v>
      </c>
      <c r="U1844" s="69" t="s">
        <v>54</v>
      </c>
      <c r="V1844" s="72" t="str">
        <f t="shared" si="28"/>
        <v>NY_CORTLAND</v>
      </c>
      <c r="AJ1844" s="1" t="s">
        <v>73</v>
      </c>
      <c r="AK1844" s="1" t="s">
        <v>622</v>
      </c>
      <c r="AL1844" s="1" t="s">
        <v>7122</v>
      </c>
      <c r="AM1844" s="1" t="s">
        <v>4321</v>
      </c>
    </row>
    <row r="1845" spans="20:39" x14ac:dyDescent="0.2">
      <c r="T1845" s="28" t="s">
        <v>727</v>
      </c>
      <c r="U1845" s="68" t="s">
        <v>54</v>
      </c>
      <c r="V1845" s="72" t="str">
        <f t="shared" si="28"/>
        <v>NY_DELAWARE</v>
      </c>
      <c r="AJ1845" s="1" t="s">
        <v>73</v>
      </c>
      <c r="AK1845" s="1" t="s">
        <v>258</v>
      </c>
      <c r="AL1845" s="1" t="s">
        <v>7123</v>
      </c>
      <c r="AM1845" s="1" t="s">
        <v>4322</v>
      </c>
    </row>
    <row r="1846" spans="20:39" x14ac:dyDescent="0.2">
      <c r="T1846" s="29" t="s">
        <v>1369</v>
      </c>
      <c r="U1846" s="69" t="s">
        <v>54</v>
      </c>
      <c r="V1846" s="72" t="str">
        <f t="shared" si="28"/>
        <v>NY_DUTCHESS</v>
      </c>
      <c r="AJ1846" s="1" t="s">
        <v>73</v>
      </c>
      <c r="AK1846" s="1" t="s">
        <v>1453</v>
      </c>
      <c r="AL1846" s="1" t="s">
        <v>7124</v>
      </c>
      <c r="AM1846" s="1" t="s">
        <v>4323</v>
      </c>
    </row>
    <row r="1847" spans="20:39" x14ac:dyDescent="0.2">
      <c r="T1847" s="28" t="s">
        <v>1370</v>
      </c>
      <c r="U1847" s="68" t="s">
        <v>54</v>
      </c>
      <c r="V1847" s="72" t="str">
        <f t="shared" si="28"/>
        <v>NY_ERIE</v>
      </c>
      <c r="AJ1847" s="1" t="s">
        <v>73</v>
      </c>
      <c r="AK1847" s="1" t="s">
        <v>623</v>
      </c>
      <c r="AL1847" s="1" t="s">
        <v>7125</v>
      </c>
      <c r="AM1847" s="1" t="s">
        <v>4279</v>
      </c>
    </row>
    <row r="1848" spans="20:39" x14ac:dyDescent="0.2">
      <c r="T1848" s="29" t="s">
        <v>1025</v>
      </c>
      <c r="U1848" s="69" t="s">
        <v>54</v>
      </c>
      <c r="V1848" s="72" t="str">
        <f t="shared" si="28"/>
        <v>NY_ESSEX</v>
      </c>
      <c r="AJ1848" s="1" t="s">
        <v>73</v>
      </c>
      <c r="AK1848" s="1" t="s">
        <v>627</v>
      </c>
      <c r="AL1848" s="1" t="s">
        <v>7126</v>
      </c>
      <c r="AM1848" s="1" t="s">
        <v>4324</v>
      </c>
    </row>
    <row r="1849" spans="20:39" x14ac:dyDescent="0.2">
      <c r="T1849" s="28" t="s">
        <v>223</v>
      </c>
      <c r="U1849" s="68" t="s">
        <v>54</v>
      </c>
      <c r="V1849" s="72" t="str">
        <f t="shared" si="28"/>
        <v>NY_FRANKLIN</v>
      </c>
      <c r="AJ1849" s="1" t="s">
        <v>73</v>
      </c>
      <c r="AK1849" s="1" t="s">
        <v>872</v>
      </c>
      <c r="AL1849" s="1" t="s">
        <v>7127</v>
      </c>
      <c r="AM1849" s="1" t="s">
        <v>4326</v>
      </c>
    </row>
    <row r="1850" spans="20:39" x14ac:dyDescent="0.2">
      <c r="T1850" s="29" t="s">
        <v>312</v>
      </c>
      <c r="U1850" s="69" t="s">
        <v>54</v>
      </c>
      <c r="V1850" s="72" t="str">
        <f t="shared" si="28"/>
        <v>NY_FULTON</v>
      </c>
      <c r="AJ1850" s="1" t="s">
        <v>73</v>
      </c>
      <c r="AK1850" s="1" t="s">
        <v>1454</v>
      </c>
      <c r="AL1850" s="1" t="s">
        <v>7128</v>
      </c>
      <c r="AM1850" s="1" t="s">
        <v>4327</v>
      </c>
    </row>
    <row r="1851" spans="20:39" x14ac:dyDescent="0.2">
      <c r="T1851" s="28" t="s">
        <v>1046</v>
      </c>
      <c r="U1851" s="68" t="s">
        <v>54</v>
      </c>
      <c r="V1851" s="72" t="str">
        <f t="shared" si="28"/>
        <v>NY_GENESEE</v>
      </c>
      <c r="AJ1851" s="1" t="s">
        <v>73</v>
      </c>
      <c r="AK1851" s="1" t="s">
        <v>1455</v>
      </c>
      <c r="AL1851" s="1" t="s">
        <v>7129</v>
      </c>
      <c r="AM1851" s="1" t="s">
        <v>4328</v>
      </c>
    </row>
    <row r="1852" spans="20:39" x14ac:dyDescent="0.2">
      <c r="T1852" s="29" t="s">
        <v>225</v>
      </c>
      <c r="U1852" s="69" t="s">
        <v>54</v>
      </c>
      <c r="V1852" s="72" t="str">
        <f t="shared" si="28"/>
        <v>NY_GREENE</v>
      </c>
      <c r="AJ1852" s="1" t="s">
        <v>72</v>
      </c>
      <c r="AK1852" s="1" t="s">
        <v>406</v>
      </c>
      <c r="AL1852" s="1" t="s">
        <v>7130</v>
      </c>
      <c r="AM1852" s="1" t="s">
        <v>4329</v>
      </c>
    </row>
    <row r="1853" spans="20:39" x14ac:dyDescent="0.2">
      <c r="T1853" s="28" t="s">
        <v>491</v>
      </c>
      <c r="U1853" s="68" t="s">
        <v>54</v>
      </c>
      <c r="V1853" s="72" t="str">
        <f t="shared" si="28"/>
        <v>NY_HAMILTON</v>
      </c>
      <c r="AJ1853" s="1" t="s">
        <v>72</v>
      </c>
      <c r="AK1853" s="1" t="s">
        <v>1456</v>
      </c>
      <c r="AL1853" s="1" t="s">
        <v>7131</v>
      </c>
      <c r="AM1853" s="1" t="s">
        <v>4330</v>
      </c>
    </row>
    <row r="1854" spans="20:39" x14ac:dyDescent="0.2">
      <c r="T1854" s="29" t="s">
        <v>1371</v>
      </c>
      <c r="U1854" s="69" t="s">
        <v>54</v>
      </c>
      <c r="V1854" s="72" t="str">
        <f t="shared" si="28"/>
        <v>NY_HERKIMER</v>
      </c>
      <c r="AJ1854" s="1" t="s">
        <v>72</v>
      </c>
      <c r="AK1854" s="1" t="s">
        <v>1457</v>
      </c>
      <c r="AL1854" s="1" t="s">
        <v>7132</v>
      </c>
      <c r="AM1854" s="1" t="s">
        <v>4331</v>
      </c>
    </row>
    <row r="1855" spans="20:39" x14ac:dyDescent="0.2">
      <c r="T1855" s="28" t="s">
        <v>230</v>
      </c>
      <c r="U1855" s="68" t="s">
        <v>54</v>
      </c>
      <c r="V1855" s="72" t="str">
        <f t="shared" si="28"/>
        <v>NY_JEFFERSON</v>
      </c>
      <c r="AJ1855" s="1" t="s">
        <v>72</v>
      </c>
      <c r="AK1855" s="1" t="s">
        <v>1458</v>
      </c>
      <c r="AL1855" s="1" t="s">
        <v>7133</v>
      </c>
      <c r="AM1855" s="1" t="s">
        <v>4332</v>
      </c>
    </row>
    <row r="1856" spans="20:39" x14ac:dyDescent="0.2">
      <c r="T1856" s="29" t="s">
        <v>365</v>
      </c>
      <c r="U1856" s="69" t="s">
        <v>54</v>
      </c>
      <c r="V1856" s="72" t="str">
        <f t="shared" si="28"/>
        <v>NY_KINGS</v>
      </c>
      <c r="AJ1856" s="1" t="s">
        <v>72</v>
      </c>
      <c r="AK1856" s="1" t="s">
        <v>1459</v>
      </c>
      <c r="AL1856" s="1" t="s">
        <v>7134</v>
      </c>
      <c r="AM1856" s="1" t="s">
        <v>4334</v>
      </c>
    </row>
    <row r="1857" spans="20:39" x14ac:dyDescent="0.2">
      <c r="T1857" s="28" t="s">
        <v>657</v>
      </c>
      <c r="U1857" s="68" t="s">
        <v>54</v>
      </c>
      <c r="V1857" s="72" t="str">
        <f t="shared" si="28"/>
        <v>NY_LEWIS</v>
      </c>
      <c r="AJ1857" s="1" t="s">
        <v>72</v>
      </c>
      <c r="AK1857" s="1" t="s">
        <v>1460</v>
      </c>
      <c r="AL1857" s="1" t="s">
        <v>7135</v>
      </c>
      <c r="AM1857" s="1" t="s">
        <v>4335</v>
      </c>
    </row>
    <row r="1858" spans="20:39" x14ac:dyDescent="0.2">
      <c r="T1858" s="29" t="s">
        <v>695</v>
      </c>
      <c r="U1858" s="69" t="s">
        <v>54</v>
      </c>
      <c r="V1858" s="72" t="str">
        <f t="shared" si="28"/>
        <v>NY_LIVINGSTON</v>
      </c>
      <c r="AJ1858" s="1" t="s">
        <v>72</v>
      </c>
      <c r="AK1858" s="1" t="s">
        <v>535</v>
      </c>
      <c r="AL1858" s="1" t="s">
        <v>7136</v>
      </c>
      <c r="AM1858" s="1" t="s">
        <v>4336</v>
      </c>
    </row>
    <row r="1859" spans="20:39" x14ac:dyDescent="0.2">
      <c r="T1859" s="28" t="s">
        <v>238</v>
      </c>
      <c r="U1859" s="68" t="s">
        <v>54</v>
      </c>
      <c r="V1859" s="72" t="str">
        <f t="shared" si="28"/>
        <v>NY_MADISON</v>
      </c>
      <c r="AJ1859" s="1" t="s">
        <v>72</v>
      </c>
      <c r="AK1859" s="1" t="s">
        <v>1461</v>
      </c>
      <c r="AL1859" s="1" t="s">
        <v>7137</v>
      </c>
      <c r="AM1859" s="1" t="s">
        <v>4333</v>
      </c>
    </row>
    <row r="1860" spans="20:39" x14ac:dyDescent="0.2">
      <c r="T1860" s="29" t="s">
        <v>243</v>
      </c>
      <c r="U1860" s="69" t="s">
        <v>54</v>
      </c>
      <c r="V1860" s="72" t="str">
        <f t="shared" si="28"/>
        <v>NY_MONROE</v>
      </c>
      <c r="AJ1860" s="1" t="s">
        <v>72</v>
      </c>
      <c r="AK1860" s="1" t="s">
        <v>672</v>
      </c>
      <c r="AL1860" s="1" t="s">
        <v>7138</v>
      </c>
      <c r="AM1860" s="1" t="s">
        <v>3988</v>
      </c>
    </row>
    <row r="1861" spans="20:39" x14ac:dyDescent="0.2">
      <c r="T1861" s="28" t="s">
        <v>244</v>
      </c>
      <c r="U1861" s="68" t="s">
        <v>54</v>
      </c>
      <c r="V1861" s="72" t="str">
        <f t="shared" si="28"/>
        <v>NY_MONTGOMERY</v>
      </c>
      <c r="AJ1861" s="1" t="s">
        <v>72</v>
      </c>
      <c r="AK1861" s="1" t="s">
        <v>1462</v>
      </c>
      <c r="AL1861" s="1" t="s">
        <v>7139</v>
      </c>
      <c r="AM1861" s="1" t="s">
        <v>4337</v>
      </c>
    </row>
    <row r="1862" spans="20:39" x14ac:dyDescent="0.2">
      <c r="T1862" s="29" t="s">
        <v>504</v>
      </c>
      <c r="U1862" s="69" t="s">
        <v>54</v>
      </c>
      <c r="V1862" s="72" t="str">
        <f t="shared" si="28"/>
        <v>NY_NASSAU</v>
      </c>
      <c r="AJ1862" s="1" t="s">
        <v>72</v>
      </c>
      <c r="AK1862" s="1" t="s">
        <v>1463</v>
      </c>
      <c r="AL1862" s="1" t="s">
        <v>7140</v>
      </c>
      <c r="AM1862" s="1" t="s">
        <v>4338</v>
      </c>
    </row>
    <row r="1863" spans="20:39" x14ac:dyDescent="0.2">
      <c r="T1863" s="28" t="s">
        <v>1372</v>
      </c>
      <c r="U1863" s="68" t="s">
        <v>54</v>
      </c>
      <c r="V1863" s="72" t="str">
        <f t="shared" si="28"/>
        <v>NY_NEW YORK</v>
      </c>
      <c r="AJ1863" s="1" t="s">
        <v>72</v>
      </c>
      <c r="AK1863" s="1" t="s">
        <v>1464</v>
      </c>
      <c r="AL1863" s="1" t="s">
        <v>7141</v>
      </c>
      <c r="AM1863" s="1" t="s">
        <v>4339</v>
      </c>
    </row>
    <row r="1864" spans="20:39" x14ac:dyDescent="0.2">
      <c r="T1864" s="29" t="s">
        <v>1373</v>
      </c>
      <c r="U1864" s="69" t="s">
        <v>54</v>
      </c>
      <c r="V1864" s="72" t="str">
        <f t="shared" si="28"/>
        <v>NY_NIAGARA</v>
      </c>
      <c r="AJ1864" s="1" t="s">
        <v>72</v>
      </c>
      <c r="AK1864" s="1" t="s">
        <v>1465</v>
      </c>
      <c r="AL1864" s="1" t="s">
        <v>7142</v>
      </c>
      <c r="AM1864" s="1" t="s">
        <v>4340</v>
      </c>
    </row>
    <row r="1865" spans="20:39" x14ac:dyDescent="0.2">
      <c r="T1865" s="28" t="s">
        <v>660</v>
      </c>
      <c r="U1865" s="68" t="s">
        <v>54</v>
      </c>
      <c r="V1865" s="72" t="str">
        <f t="shared" si="28"/>
        <v>NY_ONEIDA</v>
      </c>
      <c r="AJ1865" s="1" t="s">
        <v>72</v>
      </c>
      <c r="AK1865" s="1" t="s">
        <v>1344</v>
      </c>
      <c r="AL1865" s="1" t="s">
        <v>7143</v>
      </c>
      <c r="AM1865" s="1" t="s">
        <v>4341</v>
      </c>
    </row>
    <row r="1866" spans="20:39" x14ac:dyDescent="0.2">
      <c r="T1866" s="29" t="s">
        <v>1374</v>
      </c>
      <c r="U1866" s="69" t="s">
        <v>54</v>
      </c>
      <c r="V1866" s="72" t="str">
        <f t="shared" ref="V1866:V1929" si="29">UPPER(CONCATENATE(TRIM(U1866),"_",TRIM(T1866)))</f>
        <v>NY_ONONDAGA</v>
      </c>
      <c r="AJ1866" s="1" t="s">
        <v>72</v>
      </c>
      <c r="AK1866" s="1" t="s">
        <v>1466</v>
      </c>
      <c r="AL1866" s="1" t="s">
        <v>7144</v>
      </c>
      <c r="AM1866" s="1" t="s">
        <v>4342</v>
      </c>
    </row>
    <row r="1867" spans="20:39" x14ac:dyDescent="0.2">
      <c r="T1867" s="28" t="s">
        <v>1375</v>
      </c>
      <c r="U1867" s="68" t="s">
        <v>54</v>
      </c>
      <c r="V1867" s="72" t="str">
        <f t="shared" si="29"/>
        <v>NY_ONTARIO</v>
      </c>
      <c r="AJ1867" s="1" t="s">
        <v>72</v>
      </c>
      <c r="AK1867" s="1" t="s">
        <v>1467</v>
      </c>
      <c r="AL1867" s="1" t="s">
        <v>7145</v>
      </c>
      <c r="AM1867" s="1" t="s">
        <v>4343</v>
      </c>
    </row>
    <row r="1868" spans="20:39" x14ac:dyDescent="0.2">
      <c r="T1868" s="29" t="s">
        <v>378</v>
      </c>
      <c r="U1868" s="69" t="s">
        <v>54</v>
      </c>
      <c r="V1868" s="72" t="str">
        <f t="shared" si="29"/>
        <v>NY_ORANGE</v>
      </c>
      <c r="AJ1868" s="1" t="s">
        <v>72</v>
      </c>
      <c r="AK1868" s="1" t="s">
        <v>1244</v>
      </c>
      <c r="AL1868" s="1" t="s">
        <v>7146</v>
      </c>
      <c r="AM1868" s="1" t="s">
        <v>4344</v>
      </c>
    </row>
    <row r="1869" spans="20:39" x14ac:dyDescent="0.2">
      <c r="T1869" s="28" t="s">
        <v>1376</v>
      </c>
      <c r="U1869" s="68" t="s">
        <v>54</v>
      </c>
      <c r="V1869" s="72" t="str">
        <f t="shared" si="29"/>
        <v>NY_ORLEANS</v>
      </c>
      <c r="AJ1869" s="1" t="s">
        <v>72</v>
      </c>
      <c r="AK1869" s="1" t="s">
        <v>1468</v>
      </c>
      <c r="AL1869" s="1" t="s">
        <v>7147</v>
      </c>
      <c r="AM1869" s="1" t="s">
        <v>3993</v>
      </c>
    </row>
    <row r="1870" spans="20:39" x14ac:dyDescent="0.2">
      <c r="T1870" s="29" t="s">
        <v>1377</v>
      </c>
      <c r="U1870" s="69" t="s">
        <v>54</v>
      </c>
      <c r="V1870" s="72" t="str">
        <f t="shared" si="29"/>
        <v>NY_OSWEGO</v>
      </c>
      <c r="AJ1870" s="1" t="s">
        <v>72</v>
      </c>
      <c r="AK1870" s="1" t="s">
        <v>314</v>
      </c>
      <c r="AL1870" s="1" t="s">
        <v>7148</v>
      </c>
      <c r="AM1870" s="1" t="s">
        <v>4345</v>
      </c>
    </row>
    <row r="1871" spans="20:39" x14ac:dyDescent="0.2">
      <c r="T1871" s="28" t="s">
        <v>1083</v>
      </c>
      <c r="U1871" s="68" t="s">
        <v>54</v>
      </c>
      <c r="V1871" s="72" t="str">
        <f t="shared" si="29"/>
        <v>NY_OTSEGO</v>
      </c>
      <c r="AJ1871" s="1" t="s">
        <v>72</v>
      </c>
      <c r="AK1871" s="1" t="s">
        <v>1469</v>
      </c>
      <c r="AL1871" s="1" t="s">
        <v>7149</v>
      </c>
      <c r="AM1871" s="1" t="s">
        <v>4346</v>
      </c>
    </row>
    <row r="1872" spans="20:39" x14ac:dyDescent="0.2">
      <c r="T1872" s="29" t="s">
        <v>511</v>
      </c>
      <c r="U1872" s="69" t="s">
        <v>54</v>
      </c>
      <c r="V1872" s="72" t="str">
        <f t="shared" si="29"/>
        <v>NY_PUTNAM</v>
      </c>
      <c r="AJ1872" s="1" t="s">
        <v>72</v>
      </c>
      <c r="AK1872" s="1" t="s">
        <v>1470</v>
      </c>
      <c r="AL1872" s="1" t="s">
        <v>7150</v>
      </c>
      <c r="AM1872" s="1" t="s">
        <v>4347</v>
      </c>
    </row>
    <row r="1873" spans="20:39" x14ac:dyDescent="0.2">
      <c r="T1873" s="28" t="s">
        <v>1378</v>
      </c>
      <c r="U1873" s="68" t="s">
        <v>54</v>
      </c>
      <c r="V1873" s="72" t="str">
        <f t="shared" si="29"/>
        <v>NY_QUEENS</v>
      </c>
      <c r="AJ1873" s="1" t="s">
        <v>72</v>
      </c>
      <c r="AK1873" s="1" t="s">
        <v>1471</v>
      </c>
      <c r="AL1873" s="1" t="s">
        <v>7151</v>
      </c>
      <c r="AM1873" s="1" t="s">
        <v>4348</v>
      </c>
    </row>
    <row r="1874" spans="20:39" x14ac:dyDescent="0.2">
      <c r="T1874" s="29" t="s">
        <v>1379</v>
      </c>
      <c r="U1874" s="69" t="s">
        <v>54</v>
      </c>
      <c r="V1874" s="72" t="str">
        <f t="shared" si="29"/>
        <v>NY_RENSSELAER</v>
      </c>
      <c r="AJ1874" s="1" t="s">
        <v>72</v>
      </c>
      <c r="AK1874" s="1" t="s">
        <v>1472</v>
      </c>
      <c r="AL1874" s="1" t="s">
        <v>7152</v>
      </c>
      <c r="AM1874" s="1" t="s">
        <v>4349</v>
      </c>
    </row>
    <row r="1875" spans="20:39" x14ac:dyDescent="0.2">
      <c r="T1875" s="28" t="s">
        <v>600</v>
      </c>
      <c r="U1875" s="68" t="s">
        <v>54</v>
      </c>
      <c r="V1875" s="72" t="str">
        <f t="shared" si="29"/>
        <v>NY_RICHMOND</v>
      </c>
      <c r="AJ1875" s="1" t="s">
        <v>72</v>
      </c>
      <c r="AK1875" s="1" t="s">
        <v>324</v>
      </c>
      <c r="AL1875" s="1" t="s">
        <v>7153</v>
      </c>
      <c r="AM1875" s="1" t="s">
        <v>4350</v>
      </c>
    </row>
    <row r="1876" spans="20:39" x14ac:dyDescent="0.2">
      <c r="T1876" s="29" t="s">
        <v>1380</v>
      </c>
      <c r="U1876" s="69" t="s">
        <v>54</v>
      </c>
      <c r="V1876" s="72" t="str">
        <f t="shared" si="29"/>
        <v>NY_ROCKLAND</v>
      </c>
      <c r="AJ1876" s="1" t="s">
        <v>72</v>
      </c>
      <c r="AK1876" s="1" t="s">
        <v>697</v>
      </c>
      <c r="AL1876" s="1" t="s">
        <v>7154</v>
      </c>
      <c r="AM1876" s="1" t="s">
        <v>9230</v>
      </c>
    </row>
    <row r="1877" spans="20:39" x14ac:dyDescent="0.2">
      <c r="T1877" s="28" t="s">
        <v>1381</v>
      </c>
      <c r="U1877" s="68" t="s">
        <v>54</v>
      </c>
      <c r="V1877" s="72" t="str">
        <f t="shared" si="29"/>
        <v>NY_ST. LAWRENCE</v>
      </c>
      <c r="AJ1877" s="1" t="s">
        <v>72</v>
      </c>
      <c r="AK1877" s="1" t="s">
        <v>588</v>
      </c>
      <c r="AL1877" s="1" t="s">
        <v>7155</v>
      </c>
      <c r="AM1877" s="1" t="s">
        <v>4351</v>
      </c>
    </row>
    <row r="1878" spans="20:39" x14ac:dyDescent="0.2">
      <c r="T1878" s="29" t="s">
        <v>1382</v>
      </c>
      <c r="U1878" s="69" t="s">
        <v>54</v>
      </c>
      <c r="V1878" s="72" t="str">
        <f t="shared" si="29"/>
        <v>NY_SARATOGA</v>
      </c>
      <c r="AJ1878" s="1" t="s">
        <v>72</v>
      </c>
      <c r="AK1878" s="1" t="s">
        <v>1473</v>
      </c>
      <c r="AL1878" s="1" t="s">
        <v>7156</v>
      </c>
      <c r="AM1878" s="1" t="s">
        <v>4352</v>
      </c>
    </row>
    <row r="1879" spans="20:39" x14ac:dyDescent="0.2">
      <c r="T1879" s="28" t="s">
        <v>1383</v>
      </c>
      <c r="U1879" s="68" t="s">
        <v>54</v>
      </c>
      <c r="V1879" s="72" t="str">
        <f t="shared" si="29"/>
        <v>NY_SCHENECTADY</v>
      </c>
      <c r="AJ1879" s="1" t="s">
        <v>72</v>
      </c>
      <c r="AK1879" s="1" t="s">
        <v>698</v>
      </c>
      <c r="AL1879" s="1" t="s">
        <v>7157</v>
      </c>
      <c r="AM1879" s="1" t="s">
        <v>4353</v>
      </c>
    </row>
    <row r="1880" spans="20:39" x14ac:dyDescent="0.2">
      <c r="T1880" s="29" t="s">
        <v>1384</v>
      </c>
      <c r="U1880" s="69" t="s">
        <v>54</v>
      </c>
      <c r="V1880" s="72" t="str">
        <f t="shared" si="29"/>
        <v>NY_SCHOHARIE</v>
      </c>
      <c r="AJ1880" s="1" t="s">
        <v>72</v>
      </c>
      <c r="AK1880" s="1" t="s">
        <v>703</v>
      </c>
      <c r="AL1880" s="1" t="s">
        <v>7158</v>
      </c>
      <c r="AM1880" s="1" t="s">
        <v>4354</v>
      </c>
    </row>
    <row r="1881" spans="20:39" x14ac:dyDescent="0.2">
      <c r="T1881" s="28" t="s">
        <v>711</v>
      </c>
      <c r="U1881" s="68" t="s">
        <v>54</v>
      </c>
      <c r="V1881" s="72" t="str">
        <f t="shared" si="29"/>
        <v>NY_SCHUYLER</v>
      </c>
      <c r="AJ1881" s="1" t="s">
        <v>72</v>
      </c>
      <c r="AK1881" s="1" t="s">
        <v>842</v>
      </c>
      <c r="AL1881" s="1" t="s">
        <v>7159</v>
      </c>
      <c r="AM1881" s="1" t="s">
        <v>4333</v>
      </c>
    </row>
    <row r="1882" spans="20:39" x14ac:dyDescent="0.2">
      <c r="T1882" s="29" t="s">
        <v>1385</v>
      </c>
      <c r="U1882" s="69" t="s">
        <v>54</v>
      </c>
      <c r="V1882" s="72" t="str">
        <f t="shared" si="29"/>
        <v>NY_SENECA</v>
      </c>
      <c r="AJ1882" s="1" t="s">
        <v>72</v>
      </c>
      <c r="AK1882" s="1" t="s">
        <v>1474</v>
      </c>
      <c r="AL1882" s="1" t="s">
        <v>7160</v>
      </c>
      <c r="AM1882" s="1" t="s">
        <v>4355</v>
      </c>
    </row>
    <row r="1883" spans="20:39" x14ac:dyDescent="0.2">
      <c r="T1883" s="28" t="s">
        <v>752</v>
      </c>
      <c r="U1883" s="68" t="s">
        <v>54</v>
      </c>
      <c r="V1883" s="72" t="str">
        <f t="shared" si="29"/>
        <v>NY_STEUBEN</v>
      </c>
      <c r="AJ1883" s="1" t="s">
        <v>72</v>
      </c>
      <c r="AK1883" s="1" t="s">
        <v>916</v>
      </c>
      <c r="AL1883" s="1" t="s">
        <v>7161</v>
      </c>
      <c r="AM1883" s="1" t="s">
        <v>4356</v>
      </c>
    </row>
    <row r="1884" spans="20:39" x14ac:dyDescent="0.2">
      <c r="T1884" s="29" t="s">
        <v>1030</v>
      </c>
      <c r="U1884" s="69" t="s">
        <v>54</v>
      </c>
      <c r="V1884" s="72" t="str">
        <f t="shared" si="29"/>
        <v>NY_SUFFOLK</v>
      </c>
      <c r="AJ1884" s="1" t="s">
        <v>72</v>
      </c>
      <c r="AK1884" s="1" t="s">
        <v>1475</v>
      </c>
      <c r="AL1884" s="1" t="s">
        <v>7162</v>
      </c>
      <c r="AM1884" s="1" t="s">
        <v>4333</v>
      </c>
    </row>
    <row r="1885" spans="20:39" x14ac:dyDescent="0.2">
      <c r="T1885" s="28" t="s">
        <v>753</v>
      </c>
      <c r="U1885" s="68" t="s">
        <v>54</v>
      </c>
      <c r="V1885" s="72" t="str">
        <f t="shared" si="29"/>
        <v>NY_SULLIVAN</v>
      </c>
      <c r="AJ1885" s="1" t="s">
        <v>72</v>
      </c>
      <c r="AK1885" s="1" t="s">
        <v>1476</v>
      </c>
      <c r="AL1885" s="1" t="s">
        <v>7163</v>
      </c>
      <c r="AM1885" s="1" t="s">
        <v>4357</v>
      </c>
    </row>
    <row r="1886" spans="20:39" x14ac:dyDescent="0.2">
      <c r="T1886" s="29" t="s">
        <v>1386</v>
      </c>
      <c r="U1886" s="69" t="s">
        <v>54</v>
      </c>
      <c r="V1886" s="72" t="str">
        <f t="shared" si="29"/>
        <v>NY_TIOGA</v>
      </c>
      <c r="AJ1886" s="1" t="s">
        <v>72</v>
      </c>
      <c r="AK1886" s="1" t="s">
        <v>597</v>
      </c>
      <c r="AL1886" s="1" t="s">
        <v>7164</v>
      </c>
      <c r="AM1886" s="1" t="s">
        <v>4358</v>
      </c>
    </row>
    <row r="1887" spans="20:39" x14ac:dyDescent="0.2">
      <c r="T1887" s="28" t="s">
        <v>1387</v>
      </c>
      <c r="U1887" s="68" t="s">
        <v>54</v>
      </c>
      <c r="V1887" s="72" t="str">
        <f t="shared" si="29"/>
        <v>NY_TOMPKINS</v>
      </c>
      <c r="AJ1887" s="1" t="s">
        <v>72</v>
      </c>
      <c r="AK1887" s="1" t="s">
        <v>1134</v>
      </c>
      <c r="AL1887" s="1" t="s">
        <v>7165</v>
      </c>
      <c r="AM1887" s="1" t="s">
        <v>4359</v>
      </c>
    </row>
    <row r="1888" spans="20:39" x14ac:dyDescent="0.2">
      <c r="T1888" s="29" t="s">
        <v>1388</v>
      </c>
      <c r="U1888" s="69" t="s">
        <v>54</v>
      </c>
      <c r="V1888" s="72" t="str">
        <f t="shared" si="29"/>
        <v>NY_ULSTER</v>
      </c>
      <c r="AJ1888" s="1" t="s">
        <v>72</v>
      </c>
      <c r="AK1888" s="1" t="s">
        <v>1477</v>
      </c>
      <c r="AL1888" s="1" t="s">
        <v>7166</v>
      </c>
      <c r="AM1888" s="1" t="s">
        <v>4360</v>
      </c>
    </row>
    <row r="1889" spans="20:39" x14ac:dyDescent="0.2">
      <c r="T1889" s="28" t="s">
        <v>622</v>
      </c>
      <c r="U1889" s="68" t="s">
        <v>54</v>
      </c>
      <c r="V1889" s="72" t="str">
        <f t="shared" si="29"/>
        <v>NY_WARREN</v>
      </c>
      <c r="AJ1889" s="1" t="s">
        <v>72</v>
      </c>
      <c r="AK1889" s="1" t="s">
        <v>1137</v>
      </c>
      <c r="AL1889" s="1" t="s">
        <v>7167</v>
      </c>
      <c r="AM1889" s="1" t="s">
        <v>9231</v>
      </c>
    </row>
    <row r="1890" spans="20:39" x14ac:dyDescent="0.2">
      <c r="T1890" s="29" t="s">
        <v>258</v>
      </c>
      <c r="U1890" s="69" t="s">
        <v>54</v>
      </c>
      <c r="V1890" s="72" t="str">
        <f t="shared" si="29"/>
        <v>NY_WASHINGTON</v>
      </c>
      <c r="AJ1890" s="1" t="s">
        <v>72</v>
      </c>
      <c r="AK1890" s="1" t="s">
        <v>708</v>
      </c>
      <c r="AL1890" s="1" t="s">
        <v>7168</v>
      </c>
      <c r="AM1890" s="1" t="s">
        <v>4361</v>
      </c>
    </row>
    <row r="1891" spans="20:39" x14ac:dyDescent="0.2">
      <c r="T1891" s="28" t="s">
        <v>623</v>
      </c>
      <c r="U1891" s="68" t="s">
        <v>54</v>
      </c>
      <c r="V1891" s="72" t="str">
        <f t="shared" si="29"/>
        <v>NY_WAYNE</v>
      </c>
      <c r="AJ1891" s="1" t="s">
        <v>72</v>
      </c>
      <c r="AK1891" s="1" t="s">
        <v>1478</v>
      </c>
      <c r="AL1891" s="1" t="s">
        <v>7169</v>
      </c>
      <c r="AM1891" s="1" t="s">
        <v>4362</v>
      </c>
    </row>
    <row r="1892" spans="20:39" x14ac:dyDescent="0.2">
      <c r="T1892" s="29" t="s">
        <v>1389</v>
      </c>
      <c r="U1892" s="69" t="s">
        <v>54</v>
      </c>
      <c r="V1892" s="72" t="str">
        <f t="shared" si="29"/>
        <v>NY_WESTCHESTER</v>
      </c>
      <c r="AJ1892" s="1" t="s">
        <v>72</v>
      </c>
      <c r="AK1892" s="1" t="s">
        <v>1479</v>
      </c>
      <c r="AL1892" s="1" t="s">
        <v>7170</v>
      </c>
      <c r="AM1892" s="1" t="s">
        <v>4363</v>
      </c>
    </row>
    <row r="1893" spans="20:39" x14ac:dyDescent="0.2">
      <c r="T1893" s="28" t="s">
        <v>1390</v>
      </c>
      <c r="U1893" s="68" t="s">
        <v>54</v>
      </c>
      <c r="V1893" s="72" t="str">
        <f t="shared" si="29"/>
        <v>NY_WYOMING</v>
      </c>
      <c r="AJ1893" s="1" t="s">
        <v>72</v>
      </c>
      <c r="AK1893" s="1" t="s">
        <v>861</v>
      </c>
      <c r="AL1893" s="1" t="s">
        <v>7171</v>
      </c>
      <c r="AM1893" s="1" t="s">
        <v>4364</v>
      </c>
    </row>
    <row r="1894" spans="20:39" x14ac:dyDescent="0.2">
      <c r="T1894" s="29" t="s">
        <v>1391</v>
      </c>
      <c r="U1894" s="69" t="s">
        <v>54</v>
      </c>
      <c r="V1894" s="72" t="str">
        <f t="shared" si="29"/>
        <v>NY_YATES</v>
      </c>
      <c r="AJ1894" s="1" t="s">
        <v>72</v>
      </c>
      <c r="AK1894" s="1" t="s">
        <v>801</v>
      </c>
      <c r="AL1894" s="1" t="s">
        <v>7172</v>
      </c>
      <c r="AM1894" s="1" t="s">
        <v>4365</v>
      </c>
    </row>
    <row r="1895" spans="20:39" x14ac:dyDescent="0.2">
      <c r="T1895" s="28" t="s">
        <v>1392</v>
      </c>
      <c r="U1895" s="68" t="s">
        <v>73</v>
      </c>
      <c r="V1895" s="72" t="str">
        <f t="shared" si="29"/>
        <v>NC_ALAMANCE</v>
      </c>
      <c r="AJ1895" s="1" t="s">
        <v>72</v>
      </c>
      <c r="AK1895" s="1" t="s">
        <v>1480</v>
      </c>
      <c r="AL1895" s="1" t="s">
        <v>7173</v>
      </c>
      <c r="AM1895" s="1" t="s">
        <v>4366</v>
      </c>
    </row>
    <row r="1896" spans="20:39" x14ac:dyDescent="0.2">
      <c r="T1896" s="29" t="s">
        <v>668</v>
      </c>
      <c r="U1896" s="69" t="s">
        <v>73</v>
      </c>
      <c r="V1896" s="72" t="str">
        <f t="shared" si="29"/>
        <v>NC_ALEXANDER</v>
      </c>
      <c r="AJ1896" s="1" t="s">
        <v>72</v>
      </c>
      <c r="AK1896" s="1" t="s">
        <v>712</v>
      </c>
      <c r="AL1896" s="1" t="s">
        <v>7174</v>
      </c>
      <c r="AM1896" s="1" t="s">
        <v>4367</v>
      </c>
    </row>
    <row r="1897" spans="20:39" x14ac:dyDescent="0.2">
      <c r="T1897" s="28" t="s">
        <v>1393</v>
      </c>
      <c r="U1897" s="68" t="s">
        <v>73</v>
      </c>
      <c r="V1897" s="72" t="str">
        <f t="shared" si="29"/>
        <v>NC_ALLEGHANY</v>
      </c>
      <c r="AJ1897" s="1" t="s">
        <v>72</v>
      </c>
      <c r="AK1897" s="1" t="s">
        <v>1144</v>
      </c>
      <c r="AL1897" s="1" t="s">
        <v>7175</v>
      </c>
      <c r="AM1897" s="1" t="s">
        <v>4368</v>
      </c>
    </row>
    <row r="1898" spans="20:39" x14ac:dyDescent="0.2">
      <c r="T1898" s="29" t="s">
        <v>1394</v>
      </c>
      <c r="U1898" s="69" t="s">
        <v>73</v>
      </c>
      <c r="V1898" s="72" t="str">
        <f t="shared" si="29"/>
        <v>NC_ANSON</v>
      </c>
      <c r="AJ1898" s="1" t="s">
        <v>72</v>
      </c>
      <c r="AK1898" s="1" t="s">
        <v>1481</v>
      </c>
      <c r="AL1898" s="1" t="s">
        <v>7176</v>
      </c>
      <c r="AM1898" s="1" t="s">
        <v>4369</v>
      </c>
    </row>
    <row r="1899" spans="20:39" x14ac:dyDescent="0.2">
      <c r="T1899" s="28" t="s">
        <v>1395</v>
      </c>
      <c r="U1899" s="68" t="s">
        <v>73</v>
      </c>
      <c r="V1899" s="72" t="str">
        <f t="shared" si="29"/>
        <v>NC_ASHE</v>
      </c>
      <c r="AJ1899" s="1" t="s">
        <v>72</v>
      </c>
      <c r="AK1899" s="1" t="s">
        <v>1482</v>
      </c>
      <c r="AL1899" s="1" t="s">
        <v>7177</v>
      </c>
      <c r="AM1899" s="1" t="s">
        <v>4370</v>
      </c>
    </row>
    <row r="1900" spans="20:39" x14ac:dyDescent="0.2">
      <c r="T1900" s="29" t="s">
        <v>1396</v>
      </c>
      <c r="U1900" s="69" t="s">
        <v>73</v>
      </c>
      <c r="V1900" s="72" t="str">
        <f t="shared" si="29"/>
        <v>NC_AVERY</v>
      </c>
      <c r="AJ1900" s="1" t="s">
        <v>72</v>
      </c>
      <c r="AK1900" s="1" t="s">
        <v>1483</v>
      </c>
      <c r="AL1900" s="1" t="s">
        <v>7178</v>
      </c>
      <c r="AM1900" s="1" t="s">
        <v>4371</v>
      </c>
    </row>
    <row r="1901" spans="20:39" x14ac:dyDescent="0.2">
      <c r="T1901" s="28" t="s">
        <v>1397</v>
      </c>
      <c r="U1901" s="68" t="s">
        <v>73</v>
      </c>
      <c r="V1901" s="72" t="str">
        <f t="shared" si="29"/>
        <v>NC_BEAUFORT</v>
      </c>
      <c r="AJ1901" s="1" t="s">
        <v>72</v>
      </c>
      <c r="AK1901" s="1" t="s">
        <v>1484</v>
      </c>
      <c r="AL1901" s="1" t="s">
        <v>7179</v>
      </c>
      <c r="AM1901" s="1" t="s">
        <v>4372</v>
      </c>
    </row>
    <row r="1902" spans="20:39" x14ac:dyDescent="0.2">
      <c r="T1902" s="29" t="s">
        <v>1398</v>
      </c>
      <c r="U1902" s="69" t="s">
        <v>73</v>
      </c>
      <c r="V1902" s="72" t="str">
        <f t="shared" si="29"/>
        <v>NC_BERTIE</v>
      </c>
      <c r="AJ1902" s="1" t="s">
        <v>72</v>
      </c>
      <c r="AK1902" s="1" t="s">
        <v>1485</v>
      </c>
      <c r="AL1902" s="1" t="s">
        <v>7180</v>
      </c>
      <c r="AM1902" s="1" t="s">
        <v>9232</v>
      </c>
    </row>
    <row r="1903" spans="20:39" x14ac:dyDescent="0.2">
      <c r="T1903" s="28" t="s">
        <v>1399</v>
      </c>
      <c r="U1903" s="68" t="s">
        <v>73</v>
      </c>
      <c r="V1903" s="72" t="str">
        <f t="shared" si="29"/>
        <v>NC_BLADEN</v>
      </c>
      <c r="AJ1903" s="1" t="s">
        <v>72</v>
      </c>
      <c r="AK1903" s="1" t="s">
        <v>761</v>
      </c>
      <c r="AL1903" s="1" t="s">
        <v>7181</v>
      </c>
      <c r="AM1903" s="1" t="s">
        <v>4373</v>
      </c>
    </row>
    <row r="1904" spans="20:39" x14ac:dyDescent="0.2">
      <c r="T1904" s="29" t="s">
        <v>1400</v>
      </c>
      <c r="U1904" s="69" t="s">
        <v>73</v>
      </c>
      <c r="V1904" s="72" t="str">
        <f t="shared" si="29"/>
        <v>NC_BRUNSWICK</v>
      </c>
      <c r="AJ1904" s="1" t="s">
        <v>72</v>
      </c>
      <c r="AK1904" s="1" t="s">
        <v>1486</v>
      </c>
      <c r="AL1904" s="1" t="s">
        <v>7182</v>
      </c>
      <c r="AM1904" s="1" t="s">
        <v>4374</v>
      </c>
    </row>
    <row r="1905" spans="20:39" x14ac:dyDescent="0.2">
      <c r="T1905" s="28" t="s">
        <v>1401</v>
      </c>
      <c r="U1905" s="68" t="s">
        <v>73</v>
      </c>
      <c r="V1905" s="72" t="str">
        <f t="shared" si="29"/>
        <v>NC_BUNCOMBE</v>
      </c>
      <c r="AJ1905" s="1" t="s">
        <v>78</v>
      </c>
      <c r="AK1905" s="1" t="s">
        <v>406</v>
      </c>
      <c r="AL1905" s="1" t="s">
        <v>7183</v>
      </c>
      <c r="AM1905" s="1" t="s">
        <v>4375</v>
      </c>
    </row>
    <row r="1906" spans="20:39" x14ac:dyDescent="0.2">
      <c r="T1906" s="29" t="s">
        <v>535</v>
      </c>
      <c r="U1906" s="69" t="s">
        <v>73</v>
      </c>
      <c r="V1906" s="72" t="str">
        <f t="shared" si="29"/>
        <v>NC_BURKE</v>
      </c>
      <c r="AJ1906" s="1" t="s">
        <v>78</v>
      </c>
      <c r="AK1906" s="1" t="s">
        <v>1268</v>
      </c>
      <c r="AL1906" s="1" t="s">
        <v>7184</v>
      </c>
      <c r="AM1906" s="1" t="s">
        <v>4376</v>
      </c>
    </row>
    <row r="1907" spans="20:39" x14ac:dyDescent="0.2">
      <c r="T1907" s="28" t="s">
        <v>1402</v>
      </c>
      <c r="U1907" s="68" t="s">
        <v>73</v>
      </c>
      <c r="V1907" s="72" t="str">
        <f t="shared" si="29"/>
        <v>NC_CABARRUS</v>
      </c>
      <c r="AJ1907" s="1" t="s">
        <v>78</v>
      </c>
      <c r="AK1907" s="1" t="s">
        <v>1269</v>
      </c>
      <c r="AL1907" s="1" t="s">
        <v>7185</v>
      </c>
      <c r="AM1907" s="1" t="s">
        <v>4377</v>
      </c>
    </row>
    <row r="1908" spans="20:39" x14ac:dyDescent="0.2">
      <c r="T1908" s="29" t="s">
        <v>885</v>
      </c>
      <c r="U1908" s="69" t="s">
        <v>73</v>
      </c>
      <c r="V1908" s="72" t="str">
        <f t="shared" si="29"/>
        <v>NC_CALDWELL</v>
      </c>
      <c r="AJ1908" s="1" t="s">
        <v>78</v>
      </c>
      <c r="AK1908" s="1" t="s">
        <v>1270</v>
      </c>
      <c r="AL1908" s="1" t="s">
        <v>7186</v>
      </c>
      <c r="AM1908" s="1" t="s">
        <v>4378</v>
      </c>
    </row>
    <row r="1909" spans="20:39" x14ac:dyDescent="0.2">
      <c r="T1909" s="28" t="s">
        <v>537</v>
      </c>
      <c r="U1909" s="68" t="s">
        <v>73</v>
      </c>
      <c r="V1909" s="72" t="str">
        <f t="shared" si="29"/>
        <v>NC_CAMDEN</v>
      </c>
      <c r="AJ1909" s="1" t="s">
        <v>78</v>
      </c>
      <c r="AK1909" s="1" t="s">
        <v>640</v>
      </c>
      <c r="AL1909" s="1" t="s">
        <v>7187</v>
      </c>
      <c r="AM1909" s="1" t="s">
        <v>4379</v>
      </c>
    </row>
    <row r="1910" spans="20:39" x14ac:dyDescent="0.2">
      <c r="T1910" s="29" t="s">
        <v>1403</v>
      </c>
      <c r="U1910" s="69" t="s">
        <v>73</v>
      </c>
      <c r="V1910" s="72" t="str">
        <f t="shared" si="29"/>
        <v>NC_CARTERET</v>
      </c>
      <c r="AJ1910" s="1" t="s">
        <v>78</v>
      </c>
      <c r="AK1910" s="1" t="s">
        <v>297</v>
      </c>
      <c r="AL1910" s="1" t="s">
        <v>7188</v>
      </c>
      <c r="AM1910" s="1" t="s">
        <v>4380</v>
      </c>
    </row>
    <row r="1911" spans="20:39" x14ac:dyDescent="0.2">
      <c r="T1911" s="28" t="s">
        <v>1404</v>
      </c>
      <c r="U1911" s="68" t="s">
        <v>73</v>
      </c>
      <c r="V1911" s="72" t="str">
        <f t="shared" si="29"/>
        <v>NC_CASWELL</v>
      </c>
      <c r="AJ1911" s="1" t="s">
        <v>78</v>
      </c>
      <c r="AK1911" s="1" t="s">
        <v>1271</v>
      </c>
      <c r="AL1911" s="1" t="s">
        <v>7189</v>
      </c>
      <c r="AM1911" s="1" t="s">
        <v>4381</v>
      </c>
    </row>
    <row r="1912" spans="20:39" x14ac:dyDescent="0.2">
      <c r="T1912" s="29" t="s">
        <v>1405</v>
      </c>
      <c r="U1912" s="69" t="s">
        <v>73</v>
      </c>
      <c r="V1912" s="72" t="str">
        <f t="shared" si="29"/>
        <v>NC_CATAWBA</v>
      </c>
      <c r="AJ1912" s="1" t="s">
        <v>78</v>
      </c>
      <c r="AK1912" s="1" t="s">
        <v>879</v>
      </c>
      <c r="AL1912" s="1" t="s">
        <v>7190</v>
      </c>
      <c r="AM1912" s="1" t="s">
        <v>4382</v>
      </c>
    </row>
    <row r="1913" spans="20:39" x14ac:dyDescent="0.2">
      <c r="T1913" s="28" t="s">
        <v>541</v>
      </c>
      <c r="U1913" s="68" t="s">
        <v>73</v>
      </c>
      <c r="V1913" s="72" t="str">
        <f t="shared" si="29"/>
        <v>NC_CHATHAM</v>
      </c>
      <c r="AJ1913" s="1" t="s">
        <v>78</v>
      </c>
      <c r="AK1913" s="1" t="s">
        <v>670</v>
      </c>
      <c r="AL1913" s="1" t="s">
        <v>7191</v>
      </c>
      <c r="AM1913" s="1" t="s">
        <v>4383</v>
      </c>
    </row>
    <row r="1914" spans="20:39" x14ac:dyDescent="0.2">
      <c r="T1914" s="29" t="s">
        <v>203</v>
      </c>
      <c r="U1914" s="69" t="s">
        <v>73</v>
      </c>
      <c r="V1914" s="72" t="str">
        <f t="shared" si="29"/>
        <v>NC_CHEROKEE</v>
      </c>
      <c r="AJ1914" s="1" t="s">
        <v>78</v>
      </c>
      <c r="AK1914" s="1" t="s">
        <v>1272</v>
      </c>
      <c r="AL1914" s="1" t="s">
        <v>7192</v>
      </c>
      <c r="AM1914" s="1" t="s">
        <v>4384</v>
      </c>
    </row>
    <row r="1915" spans="20:39" x14ac:dyDescent="0.2">
      <c r="T1915" s="28" t="s">
        <v>1406</v>
      </c>
      <c r="U1915" s="68" t="s">
        <v>73</v>
      </c>
      <c r="V1915" s="72" t="str">
        <f t="shared" si="29"/>
        <v>NC_CHOWAN</v>
      </c>
      <c r="AJ1915" s="1" t="s">
        <v>78</v>
      </c>
      <c r="AK1915" s="1" t="s">
        <v>1273</v>
      </c>
      <c r="AL1915" s="1" t="s">
        <v>7193</v>
      </c>
      <c r="AM1915" s="1" t="s">
        <v>4385</v>
      </c>
    </row>
    <row r="1916" spans="20:39" x14ac:dyDescent="0.2">
      <c r="T1916" s="29" t="s">
        <v>207</v>
      </c>
      <c r="U1916" s="69" t="s">
        <v>73</v>
      </c>
      <c r="V1916" s="72" t="str">
        <f t="shared" si="29"/>
        <v>NC_CLAY</v>
      </c>
      <c r="AJ1916" s="1" t="s">
        <v>78</v>
      </c>
      <c r="AK1916" s="1" t="s">
        <v>200</v>
      </c>
      <c r="AL1916" s="1" t="s">
        <v>7194</v>
      </c>
      <c r="AM1916" s="1" t="s">
        <v>4386</v>
      </c>
    </row>
    <row r="1917" spans="20:39" x14ac:dyDescent="0.2">
      <c r="T1917" s="28" t="s">
        <v>302</v>
      </c>
      <c r="U1917" s="68" t="s">
        <v>73</v>
      </c>
      <c r="V1917" s="72" t="str">
        <f t="shared" si="29"/>
        <v>NC_CLEVELAND</v>
      </c>
      <c r="AJ1917" s="1" t="s">
        <v>78</v>
      </c>
      <c r="AK1917" s="1" t="s">
        <v>672</v>
      </c>
      <c r="AL1917" s="1" t="s">
        <v>7195</v>
      </c>
      <c r="AM1917" s="1" t="s">
        <v>3438</v>
      </c>
    </row>
    <row r="1918" spans="20:39" x14ac:dyDescent="0.2">
      <c r="T1918" s="29" t="s">
        <v>1407</v>
      </c>
      <c r="U1918" s="69" t="s">
        <v>73</v>
      </c>
      <c r="V1918" s="72" t="str">
        <f t="shared" si="29"/>
        <v>NC_COLUMBUS</v>
      </c>
      <c r="AJ1918" s="1" t="s">
        <v>78</v>
      </c>
      <c r="AK1918" s="1" t="s">
        <v>771</v>
      </c>
      <c r="AL1918" s="1" t="s">
        <v>7196</v>
      </c>
      <c r="AM1918" s="1" t="s">
        <v>4387</v>
      </c>
    </row>
    <row r="1919" spans="20:39" x14ac:dyDescent="0.2">
      <c r="T1919" s="28" t="s">
        <v>1408</v>
      </c>
      <c r="U1919" s="68" t="s">
        <v>73</v>
      </c>
      <c r="V1919" s="72" t="str">
        <f t="shared" si="29"/>
        <v>NC_CRAVEN</v>
      </c>
      <c r="AJ1919" s="1" t="s">
        <v>78</v>
      </c>
      <c r="AK1919" s="1" t="s">
        <v>813</v>
      </c>
      <c r="AL1919" s="1" t="s">
        <v>7197</v>
      </c>
      <c r="AM1919" s="1" t="s">
        <v>4388</v>
      </c>
    </row>
    <row r="1920" spans="20:39" x14ac:dyDescent="0.2">
      <c r="T1920" s="29" t="s">
        <v>677</v>
      </c>
      <c r="U1920" s="69" t="s">
        <v>73</v>
      </c>
      <c r="V1920" s="72" t="str">
        <f t="shared" si="29"/>
        <v>NC_CUMBERLAND</v>
      </c>
      <c r="AJ1920" s="1" t="s">
        <v>78</v>
      </c>
      <c r="AK1920" s="1" t="s">
        <v>1274</v>
      </c>
      <c r="AL1920" s="1" t="s">
        <v>7198</v>
      </c>
      <c r="AM1920" s="1" t="s">
        <v>4389</v>
      </c>
    </row>
    <row r="1921" spans="20:39" x14ac:dyDescent="0.2">
      <c r="T1921" s="28" t="s">
        <v>1409</v>
      </c>
      <c r="U1921" s="68" t="s">
        <v>73</v>
      </c>
      <c r="V1921" s="72" t="str">
        <f t="shared" si="29"/>
        <v>NC_CURRITUCK</v>
      </c>
      <c r="AJ1921" s="1" t="s">
        <v>78</v>
      </c>
      <c r="AK1921" s="1" t="s">
        <v>414</v>
      </c>
      <c r="AL1921" s="1" t="s">
        <v>7199</v>
      </c>
      <c r="AM1921" s="1" t="s">
        <v>4390</v>
      </c>
    </row>
    <row r="1922" spans="20:39" x14ac:dyDescent="0.2">
      <c r="T1922" s="29" t="s">
        <v>1410</v>
      </c>
      <c r="U1922" s="69" t="s">
        <v>73</v>
      </c>
      <c r="V1922" s="72" t="str">
        <f t="shared" si="29"/>
        <v>NC_DARE</v>
      </c>
      <c r="AJ1922" s="1" t="s">
        <v>78</v>
      </c>
      <c r="AK1922" s="1" t="s">
        <v>207</v>
      </c>
      <c r="AL1922" s="1" t="s">
        <v>7200</v>
      </c>
      <c r="AM1922" s="1" t="s">
        <v>4391</v>
      </c>
    </row>
    <row r="1923" spans="20:39" x14ac:dyDescent="0.2">
      <c r="T1923" s="28" t="s">
        <v>1411</v>
      </c>
      <c r="U1923" s="68" t="s">
        <v>73</v>
      </c>
      <c r="V1923" s="72" t="str">
        <f t="shared" si="29"/>
        <v>NC_DAVIDSON</v>
      </c>
      <c r="AJ1923" s="1" t="s">
        <v>78</v>
      </c>
      <c r="AK1923" s="1" t="s">
        <v>1275</v>
      </c>
      <c r="AL1923" s="1" t="s">
        <v>7201</v>
      </c>
      <c r="AM1923" s="1" t="s">
        <v>4392</v>
      </c>
    </row>
    <row r="1924" spans="20:39" x14ac:dyDescent="0.2">
      <c r="T1924" s="29" t="s">
        <v>1412</v>
      </c>
      <c r="U1924" s="69" t="s">
        <v>73</v>
      </c>
      <c r="V1924" s="72" t="str">
        <f t="shared" si="29"/>
        <v>NC_DAVIE</v>
      </c>
      <c r="AJ1924" s="1" t="s">
        <v>78</v>
      </c>
      <c r="AK1924" s="1" t="s">
        <v>1276</v>
      </c>
      <c r="AL1924" s="1" t="s">
        <v>7202</v>
      </c>
      <c r="AM1924" s="1" t="s">
        <v>4393</v>
      </c>
    </row>
    <row r="1925" spans="20:39" x14ac:dyDescent="0.2">
      <c r="T1925" s="28" t="s">
        <v>1413</v>
      </c>
      <c r="U1925" s="68" t="s">
        <v>73</v>
      </c>
      <c r="V1925" s="72" t="str">
        <f t="shared" si="29"/>
        <v>NC_DUPLIN</v>
      </c>
      <c r="AJ1925" s="1" t="s">
        <v>78</v>
      </c>
      <c r="AK1925" s="1" t="s">
        <v>419</v>
      </c>
      <c r="AL1925" s="1" t="s">
        <v>7203</v>
      </c>
      <c r="AM1925" s="1" t="s">
        <v>4394</v>
      </c>
    </row>
    <row r="1926" spans="20:39" x14ac:dyDescent="0.2">
      <c r="T1926" s="29" t="s">
        <v>1414</v>
      </c>
      <c r="U1926" s="69" t="s">
        <v>73</v>
      </c>
      <c r="V1926" s="72" t="str">
        <f t="shared" si="29"/>
        <v>NC_DURHAM</v>
      </c>
      <c r="AJ1926" s="1" t="s">
        <v>78</v>
      </c>
      <c r="AK1926" s="1" t="s">
        <v>1104</v>
      </c>
      <c r="AL1926" s="1" t="s">
        <v>7204</v>
      </c>
      <c r="AM1926" s="1" t="s">
        <v>3448</v>
      </c>
    </row>
    <row r="1927" spans="20:39" x14ac:dyDescent="0.2">
      <c r="T1927" s="28" t="s">
        <v>1415</v>
      </c>
      <c r="U1927" s="68" t="s">
        <v>73</v>
      </c>
      <c r="V1927" s="72" t="str">
        <f t="shared" si="29"/>
        <v>NC_EDGECOMBE</v>
      </c>
      <c r="AJ1927" s="1" t="s">
        <v>78</v>
      </c>
      <c r="AK1927" s="1" t="s">
        <v>1277</v>
      </c>
      <c r="AL1927" s="1" t="s">
        <v>7205</v>
      </c>
      <c r="AM1927" s="1" t="s">
        <v>4395</v>
      </c>
    </row>
    <row r="1928" spans="20:39" x14ac:dyDescent="0.2">
      <c r="T1928" s="29" t="s">
        <v>564</v>
      </c>
      <c r="U1928" s="69" t="s">
        <v>73</v>
      </c>
      <c r="V1928" s="72" t="str">
        <f t="shared" si="29"/>
        <v>NC_FORSYTH</v>
      </c>
      <c r="AJ1928" s="1" t="s">
        <v>78</v>
      </c>
      <c r="AK1928" s="1" t="s">
        <v>551</v>
      </c>
      <c r="AL1928" s="1" t="s">
        <v>7206</v>
      </c>
      <c r="AM1928" s="1" t="s">
        <v>4396</v>
      </c>
    </row>
    <row r="1929" spans="20:39" x14ac:dyDescent="0.2">
      <c r="T1929" s="28" t="s">
        <v>223</v>
      </c>
      <c r="U1929" s="68" t="s">
        <v>73</v>
      </c>
      <c r="V1929" s="72" t="str">
        <f t="shared" si="29"/>
        <v>NC_FRANKLIN</v>
      </c>
      <c r="AJ1929" s="1" t="s">
        <v>78</v>
      </c>
      <c r="AK1929" s="1" t="s">
        <v>1278</v>
      </c>
      <c r="AL1929" s="1" t="s">
        <v>7207</v>
      </c>
      <c r="AM1929" s="1" t="s">
        <v>4397</v>
      </c>
    </row>
    <row r="1930" spans="20:39" x14ac:dyDescent="0.2">
      <c r="T1930" s="29" t="s">
        <v>1416</v>
      </c>
      <c r="U1930" s="69" t="s">
        <v>73</v>
      </c>
      <c r="V1930" s="72" t="str">
        <f t="shared" ref="V1930:V1993" si="30">UPPER(CONCATENATE(TRIM(U1930),"_",TRIM(T1930)))</f>
        <v>NC_GASTON</v>
      </c>
      <c r="AJ1930" s="1" t="s">
        <v>78</v>
      </c>
      <c r="AK1930" s="1" t="s">
        <v>1279</v>
      </c>
      <c r="AL1930" s="1" t="s">
        <v>7208</v>
      </c>
      <c r="AM1930" s="1" t="s">
        <v>9233</v>
      </c>
    </row>
    <row r="1931" spans="20:39" x14ac:dyDescent="0.2">
      <c r="T1931" s="28" t="s">
        <v>1417</v>
      </c>
      <c r="U1931" s="68" t="s">
        <v>73</v>
      </c>
      <c r="V1931" s="72" t="str">
        <f t="shared" si="30"/>
        <v>NC_GATES</v>
      </c>
      <c r="AJ1931" s="1" t="s">
        <v>78</v>
      </c>
      <c r="AK1931" s="1" t="s">
        <v>554</v>
      </c>
      <c r="AL1931" s="1" t="s">
        <v>7209</v>
      </c>
      <c r="AM1931" s="1" t="s">
        <v>4398</v>
      </c>
    </row>
    <row r="1932" spans="20:39" x14ac:dyDescent="0.2">
      <c r="T1932" s="29" t="s">
        <v>282</v>
      </c>
      <c r="U1932" s="69" t="s">
        <v>73</v>
      </c>
      <c r="V1932" s="72" t="str">
        <f t="shared" si="30"/>
        <v>NC_GRAHAM</v>
      </c>
      <c r="AJ1932" s="1" t="s">
        <v>78</v>
      </c>
      <c r="AK1932" s="1" t="s">
        <v>423</v>
      </c>
      <c r="AL1932" s="1" t="s">
        <v>7210</v>
      </c>
      <c r="AM1932" s="1" t="s">
        <v>3438</v>
      </c>
    </row>
    <row r="1933" spans="20:39" x14ac:dyDescent="0.2">
      <c r="T1933" s="28" t="s">
        <v>1418</v>
      </c>
      <c r="U1933" s="68" t="s">
        <v>73</v>
      </c>
      <c r="V1933" s="72" t="str">
        <f t="shared" si="30"/>
        <v>NC_GRANVILLE</v>
      </c>
      <c r="AJ1933" s="1" t="s">
        <v>78</v>
      </c>
      <c r="AK1933" s="1" t="s">
        <v>1280</v>
      </c>
      <c r="AL1933" s="1" t="s">
        <v>7211</v>
      </c>
      <c r="AM1933" s="1" t="s">
        <v>4399</v>
      </c>
    </row>
    <row r="1934" spans="20:39" x14ac:dyDescent="0.2">
      <c r="T1934" s="29" t="s">
        <v>225</v>
      </c>
      <c r="U1934" s="69" t="s">
        <v>73</v>
      </c>
      <c r="V1934" s="72" t="str">
        <f t="shared" si="30"/>
        <v>NC_GREENE</v>
      </c>
      <c r="AJ1934" s="1" t="s">
        <v>78</v>
      </c>
      <c r="AK1934" s="1" t="s">
        <v>1106</v>
      </c>
      <c r="AL1934" s="1" t="s">
        <v>7212</v>
      </c>
      <c r="AM1934" s="1" t="s">
        <v>4400</v>
      </c>
    </row>
    <row r="1935" spans="20:39" x14ac:dyDescent="0.2">
      <c r="T1935" s="28" t="s">
        <v>1419</v>
      </c>
      <c r="U1935" s="68" t="s">
        <v>73</v>
      </c>
      <c r="V1935" s="72" t="str">
        <f t="shared" si="30"/>
        <v>NC_GUILFORD</v>
      </c>
      <c r="AJ1935" s="1" t="s">
        <v>78</v>
      </c>
      <c r="AK1935" s="1" t="s">
        <v>223</v>
      </c>
      <c r="AL1935" s="1" t="s">
        <v>7213</v>
      </c>
      <c r="AM1935" s="1" t="s">
        <v>4401</v>
      </c>
    </row>
    <row r="1936" spans="20:39" x14ac:dyDescent="0.2">
      <c r="T1936" s="29" t="s">
        <v>1420</v>
      </c>
      <c r="U1936" s="69" t="s">
        <v>73</v>
      </c>
      <c r="V1936" s="72" t="str">
        <f t="shared" si="30"/>
        <v>NC_HALIFAX</v>
      </c>
      <c r="AJ1936" s="1" t="s">
        <v>78</v>
      </c>
      <c r="AK1936" s="1" t="s">
        <v>1281</v>
      </c>
      <c r="AL1936" s="1" t="s">
        <v>7214</v>
      </c>
      <c r="AM1936" s="1" t="s">
        <v>4402</v>
      </c>
    </row>
    <row r="1937" spans="20:39" x14ac:dyDescent="0.2">
      <c r="T1937" s="28" t="s">
        <v>1421</v>
      </c>
      <c r="U1937" s="68" t="s">
        <v>73</v>
      </c>
      <c r="V1937" s="72" t="str">
        <f t="shared" si="30"/>
        <v>NC_HARNETT</v>
      </c>
      <c r="AJ1937" s="1" t="s">
        <v>78</v>
      </c>
      <c r="AK1937" s="1" t="s">
        <v>1282</v>
      </c>
      <c r="AL1937" s="1" t="s">
        <v>7215</v>
      </c>
      <c r="AM1937" s="1" t="s">
        <v>4403</v>
      </c>
    </row>
    <row r="1938" spans="20:39" x14ac:dyDescent="0.2">
      <c r="T1938" s="29" t="s">
        <v>1422</v>
      </c>
      <c r="U1938" s="69" t="s">
        <v>73</v>
      </c>
      <c r="V1938" s="72" t="str">
        <f t="shared" si="30"/>
        <v>NC_HAYWOOD</v>
      </c>
      <c r="AJ1938" s="1" t="s">
        <v>78</v>
      </c>
      <c r="AK1938" s="1" t="s">
        <v>1283</v>
      </c>
      <c r="AL1938" s="1" t="s">
        <v>7216</v>
      </c>
      <c r="AM1938" s="1" t="s">
        <v>4404</v>
      </c>
    </row>
    <row r="1939" spans="20:39" x14ac:dyDescent="0.2">
      <c r="T1939" s="28" t="s">
        <v>686</v>
      </c>
      <c r="U1939" s="68" t="s">
        <v>73</v>
      </c>
      <c r="V1939" s="72" t="str">
        <f t="shared" si="30"/>
        <v>NC_HENDERSON</v>
      </c>
      <c r="AJ1939" s="1" t="s">
        <v>78</v>
      </c>
      <c r="AK1939" s="1" t="s">
        <v>1284</v>
      </c>
      <c r="AL1939" s="1" t="s">
        <v>7217</v>
      </c>
      <c r="AM1939" s="1" t="s">
        <v>4405</v>
      </c>
    </row>
    <row r="1940" spans="20:39" x14ac:dyDescent="0.2">
      <c r="T1940" s="29" t="s">
        <v>1423</v>
      </c>
      <c r="U1940" s="69" t="s">
        <v>73</v>
      </c>
      <c r="V1940" s="72" t="str">
        <f t="shared" si="30"/>
        <v>NC_HERTFORD</v>
      </c>
      <c r="AJ1940" s="1" t="s">
        <v>78</v>
      </c>
      <c r="AK1940" s="1" t="s">
        <v>428</v>
      </c>
      <c r="AL1940" s="1" t="s">
        <v>7218</v>
      </c>
      <c r="AM1940" s="1" t="s">
        <v>4406</v>
      </c>
    </row>
    <row r="1941" spans="20:39" x14ac:dyDescent="0.2">
      <c r="T1941" s="28" t="s">
        <v>1424</v>
      </c>
      <c r="U1941" s="68" t="s">
        <v>73</v>
      </c>
      <c r="V1941" s="72" t="str">
        <f t="shared" si="30"/>
        <v>NC_HOKE</v>
      </c>
      <c r="AJ1941" s="1" t="s">
        <v>78</v>
      </c>
      <c r="AK1941" s="1" t="s">
        <v>1285</v>
      </c>
      <c r="AL1941" s="1" t="s">
        <v>7219</v>
      </c>
      <c r="AM1941" s="1" t="s">
        <v>4407</v>
      </c>
    </row>
    <row r="1942" spans="20:39" x14ac:dyDescent="0.2">
      <c r="T1942" s="29" t="s">
        <v>1425</v>
      </c>
      <c r="U1942" s="69" t="s">
        <v>73</v>
      </c>
      <c r="V1942" s="72" t="str">
        <f t="shared" si="30"/>
        <v>NC_HYDE</v>
      </c>
      <c r="AJ1942" s="1" t="s">
        <v>78</v>
      </c>
      <c r="AK1942" s="1" t="s">
        <v>314</v>
      </c>
      <c r="AL1942" s="1" t="s">
        <v>7220</v>
      </c>
      <c r="AM1942" s="1" t="s">
        <v>4408</v>
      </c>
    </row>
    <row r="1943" spans="20:39" x14ac:dyDescent="0.2">
      <c r="T1943" s="28" t="s">
        <v>1426</v>
      </c>
      <c r="U1943" s="68" t="s">
        <v>73</v>
      </c>
      <c r="V1943" s="72" t="str">
        <f t="shared" si="30"/>
        <v>NC_IREDELL</v>
      </c>
      <c r="AJ1943" s="1" t="s">
        <v>78</v>
      </c>
      <c r="AK1943" s="1" t="s">
        <v>827</v>
      </c>
      <c r="AL1943" s="1" t="s">
        <v>7221</v>
      </c>
      <c r="AM1943" s="1" t="s">
        <v>4409</v>
      </c>
    </row>
    <row r="1944" spans="20:39" x14ac:dyDescent="0.2">
      <c r="T1944" s="29" t="s">
        <v>229</v>
      </c>
      <c r="U1944" s="69" t="s">
        <v>73</v>
      </c>
      <c r="V1944" s="72" t="str">
        <f t="shared" si="30"/>
        <v>NC_JACKSON</v>
      </c>
      <c r="AJ1944" s="1" t="s">
        <v>78</v>
      </c>
      <c r="AK1944" s="1" t="s">
        <v>572</v>
      </c>
      <c r="AL1944" s="1" t="s">
        <v>7222</v>
      </c>
      <c r="AM1944" s="1" t="s">
        <v>4410</v>
      </c>
    </row>
    <row r="1945" spans="20:39" x14ac:dyDescent="0.2">
      <c r="T1945" s="28" t="s">
        <v>1427</v>
      </c>
      <c r="U1945" s="68" t="s">
        <v>73</v>
      </c>
      <c r="V1945" s="72" t="str">
        <f t="shared" si="30"/>
        <v>NC_JOHNSTON</v>
      </c>
      <c r="AJ1945" s="1" t="s">
        <v>78</v>
      </c>
      <c r="AK1945" s="1" t="s">
        <v>491</v>
      </c>
      <c r="AL1945" s="1" t="s">
        <v>7223</v>
      </c>
      <c r="AM1945" s="1" t="s">
        <v>4411</v>
      </c>
    </row>
    <row r="1946" spans="20:39" x14ac:dyDescent="0.2">
      <c r="T1946" s="29" t="s">
        <v>582</v>
      </c>
      <c r="U1946" s="69" t="s">
        <v>73</v>
      </c>
      <c r="V1946" s="72" t="str">
        <f t="shared" si="30"/>
        <v>NC_JONES</v>
      </c>
      <c r="AJ1946" s="1" t="s">
        <v>78</v>
      </c>
      <c r="AK1946" s="1" t="s">
        <v>900</v>
      </c>
      <c r="AL1946" s="1" t="s">
        <v>7224</v>
      </c>
      <c r="AM1946" s="1" t="s">
        <v>4412</v>
      </c>
    </row>
    <row r="1947" spans="20:39" x14ac:dyDescent="0.2">
      <c r="T1947" s="28" t="s">
        <v>234</v>
      </c>
      <c r="U1947" s="68" t="s">
        <v>73</v>
      </c>
      <c r="V1947" s="72" t="str">
        <f t="shared" si="30"/>
        <v>NC_LEE</v>
      </c>
      <c r="AJ1947" s="1" t="s">
        <v>78</v>
      </c>
      <c r="AK1947" s="1" t="s">
        <v>1286</v>
      </c>
      <c r="AL1947" s="1" t="s">
        <v>7225</v>
      </c>
      <c r="AM1947" s="1" t="s">
        <v>4413</v>
      </c>
    </row>
    <row r="1948" spans="20:39" x14ac:dyDescent="0.2">
      <c r="T1948" s="29" t="s">
        <v>1428</v>
      </c>
      <c r="U1948" s="69" t="s">
        <v>73</v>
      </c>
      <c r="V1948" s="72" t="str">
        <f t="shared" si="30"/>
        <v>NC_LENOIR</v>
      </c>
      <c r="AJ1948" s="1" t="s">
        <v>78</v>
      </c>
      <c r="AK1948" s="1" t="s">
        <v>1287</v>
      </c>
      <c r="AL1948" s="1" t="s">
        <v>7226</v>
      </c>
      <c r="AM1948" s="1" t="s">
        <v>4414</v>
      </c>
    </row>
    <row r="1949" spans="20:39" x14ac:dyDescent="0.2">
      <c r="T1949" s="28" t="s">
        <v>322</v>
      </c>
      <c r="U1949" s="68" t="s">
        <v>73</v>
      </c>
      <c r="V1949" s="72" t="str">
        <f t="shared" si="30"/>
        <v>NC_LINCOLN</v>
      </c>
      <c r="AJ1949" s="1" t="s">
        <v>78</v>
      </c>
      <c r="AK1949" s="1" t="s">
        <v>1205</v>
      </c>
      <c r="AL1949" s="1" t="s">
        <v>7227</v>
      </c>
      <c r="AM1949" s="1" t="s">
        <v>4415</v>
      </c>
    </row>
    <row r="1950" spans="20:39" x14ac:dyDescent="0.2">
      <c r="T1950" s="29" t="s">
        <v>1429</v>
      </c>
      <c r="U1950" s="69" t="s">
        <v>73</v>
      </c>
      <c r="V1950" s="72" t="str">
        <f t="shared" si="30"/>
        <v>NC_MCDOWELL</v>
      </c>
      <c r="AJ1950" s="1" t="s">
        <v>78</v>
      </c>
      <c r="AK1950" s="1" t="s">
        <v>1288</v>
      </c>
      <c r="AL1950" s="1" t="s">
        <v>7228</v>
      </c>
      <c r="AM1950" s="1" t="s">
        <v>4416</v>
      </c>
    </row>
    <row r="1951" spans="20:39" x14ac:dyDescent="0.2">
      <c r="T1951" s="28" t="s">
        <v>237</v>
      </c>
      <c r="U1951" s="68" t="s">
        <v>73</v>
      </c>
      <c r="V1951" s="72" t="str">
        <f t="shared" si="30"/>
        <v>NC_MACON</v>
      </c>
      <c r="AJ1951" s="1" t="s">
        <v>78</v>
      </c>
      <c r="AK1951" s="1" t="s">
        <v>317</v>
      </c>
      <c r="AL1951" s="1" t="s">
        <v>7229</v>
      </c>
      <c r="AM1951" s="1" t="s">
        <v>4417</v>
      </c>
    </row>
    <row r="1952" spans="20:39" x14ac:dyDescent="0.2">
      <c r="T1952" s="29" t="s">
        <v>238</v>
      </c>
      <c r="U1952" s="69" t="s">
        <v>73</v>
      </c>
      <c r="V1952" s="72" t="str">
        <f t="shared" si="30"/>
        <v>NC_MADISON</v>
      </c>
      <c r="AJ1952" s="1" t="s">
        <v>78</v>
      </c>
      <c r="AK1952" s="1" t="s">
        <v>230</v>
      </c>
      <c r="AL1952" s="1" t="s">
        <v>7230</v>
      </c>
      <c r="AM1952" s="1" t="s">
        <v>4418</v>
      </c>
    </row>
    <row r="1953" spans="20:39" x14ac:dyDescent="0.2">
      <c r="T1953" s="28" t="s">
        <v>503</v>
      </c>
      <c r="U1953" s="68" t="s">
        <v>73</v>
      </c>
      <c r="V1953" s="72" t="str">
        <f t="shared" si="30"/>
        <v>NC_MARTIN</v>
      </c>
      <c r="AJ1953" s="1" t="s">
        <v>78</v>
      </c>
      <c r="AK1953" s="1" t="s">
        <v>320</v>
      </c>
      <c r="AL1953" s="1" t="s">
        <v>7231</v>
      </c>
      <c r="AM1953" s="1" t="s">
        <v>4419</v>
      </c>
    </row>
    <row r="1954" spans="20:39" x14ac:dyDescent="0.2">
      <c r="T1954" s="29" t="s">
        <v>1430</v>
      </c>
      <c r="U1954" s="69" t="s">
        <v>73</v>
      </c>
      <c r="V1954" s="72" t="str">
        <f t="shared" si="30"/>
        <v>NC_MECKLENBURG</v>
      </c>
      <c r="AJ1954" s="1" t="s">
        <v>78</v>
      </c>
      <c r="AK1954" s="1" t="s">
        <v>1289</v>
      </c>
      <c r="AL1954" s="1" t="s">
        <v>7232</v>
      </c>
      <c r="AM1954" s="1" t="s">
        <v>4420</v>
      </c>
    </row>
    <row r="1955" spans="20:39" x14ac:dyDescent="0.2">
      <c r="T1955" s="28" t="s">
        <v>590</v>
      </c>
      <c r="U1955" s="68" t="s">
        <v>73</v>
      </c>
      <c r="V1955" s="72" t="str">
        <f t="shared" si="30"/>
        <v>NC_MITCHELL</v>
      </c>
      <c r="AJ1955" s="1" t="s">
        <v>78</v>
      </c>
      <c r="AK1955" s="1" t="s">
        <v>1290</v>
      </c>
      <c r="AL1955" s="1" t="s">
        <v>7233</v>
      </c>
      <c r="AM1955" s="1" t="s">
        <v>4421</v>
      </c>
    </row>
    <row r="1956" spans="20:39" x14ac:dyDescent="0.2">
      <c r="T1956" s="29" t="s">
        <v>244</v>
      </c>
      <c r="U1956" s="69" t="s">
        <v>73</v>
      </c>
      <c r="V1956" s="72" t="str">
        <f t="shared" si="30"/>
        <v>NC_MONTGOMERY</v>
      </c>
      <c r="AJ1956" s="1" t="s">
        <v>78</v>
      </c>
      <c r="AK1956" s="1" t="s">
        <v>1291</v>
      </c>
      <c r="AL1956" s="1" t="s">
        <v>7234</v>
      </c>
      <c r="AM1956" s="1" t="s">
        <v>4422</v>
      </c>
    </row>
    <row r="1957" spans="20:39" x14ac:dyDescent="0.2">
      <c r="T1957" s="28" t="s">
        <v>1431</v>
      </c>
      <c r="U1957" s="68" t="s">
        <v>73</v>
      </c>
      <c r="V1957" s="72" t="str">
        <f t="shared" si="30"/>
        <v>NC_MOORE</v>
      </c>
      <c r="AJ1957" s="1" t="s">
        <v>78</v>
      </c>
      <c r="AK1957" s="1" t="s">
        <v>1292</v>
      </c>
      <c r="AL1957" s="1" t="s">
        <v>7235</v>
      </c>
      <c r="AM1957" s="1" t="s">
        <v>4423</v>
      </c>
    </row>
    <row r="1958" spans="20:39" x14ac:dyDescent="0.2">
      <c r="T1958" s="29" t="s">
        <v>1432</v>
      </c>
      <c r="U1958" s="69" t="s">
        <v>73</v>
      </c>
      <c r="V1958" s="72" t="str">
        <f t="shared" si="30"/>
        <v>NC_NASH</v>
      </c>
      <c r="AJ1958" s="1" t="s">
        <v>78</v>
      </c>
      <c r="AK1958" s="1" t="s">
        <v>693</v>
      </c>
      <c r="AL1958" s="1" t="s">
        <v>7236</v>
      </c>
      <c r="AM1958" s="1" t="s">
        <v>4424</v>
      </c>
    </row>
    <row r="1959" spans="20:39" x14ac:dyDescent="0.2">
      <c r="T1959" s="28" t="s">
        <v>1433</v>
      </c>
      <c r="U1959" s="68" t="s">
        <v>73</v>
      </c>
      <c r="V1959" s="72" t="str">
        <f t="shared" si="30"/>
        <v>NC_NEW HANOVER</v>
      </c>
      <c r="AJ1959" s="1" t="s">
        <v>78</v>
      </c>
      <c r="AK1959" s="1" t="s">
        <v>1293</v>
      </c>
      <c r="AL1959" s="1" t="s">
        <v>7237</v>
      </c>
      <c r="AM1959" s="1" t="s">
        <v>4426</v>
      </c>
    </row>
    <row r="1960" spans="20:39" x14ac:dyDescent="0.2">
      <c r="T1960" s="29" t="s">
        <v>1434</v>
      </c>
      <c r="U1960" s="69" t="s">
        <v>73</v>
      </c>
      <c r="V1960" s="72" t="str">
        <f t="shared" si="30"/>
        <v>NC_NORTHAMPTON</v>
      </c>
      <c r="AJ1960" s="1" t="s">
        <v>78</v>
      </c>
      <c r="AK1960" s="1" t="s">
        <v>322</v>
      </c>
      <c r="AL1960" s="1" t="s">
        <v>7238</v>
      </c>
      <c r="AM1960" s="1" t="s">
        <v>4425</v>
      </c>
    </row>
    <row r="1961" spans="20:39" x14ac:dyDescent="0.2">
      <c r="T1961" s="28" t="s">
        <v>1435</v>
      </c>
      <c r="U1961" s="68" t="s">
        <v>73</v>
      </c>
      <c r="V1961" s="72" t="str">
        <f t="shared" si="30"/>
        <v>NC_ONSLOW</v>
      </c>
      <c r="AJ1961" s="1" t="s">
        <v>78</v>
      </c>
      <c r="AK1961" s="1" t="s">
        <v>324</v>
      </c>
      <c r="AL1961" s="1" t="s">
        <v>7239</v>
      </c>
      <c r="AM1961" s="1" t="s">
        <v>4427</v>
      </c>
    </row>
    <row r="1962" spans="20:39" x14ac:dyDescent="0.2">
      <c r="T1962" s="29" t="s">
        <v>378</v>
      </c>
      <c r="U1962" s="69" t="s">
        <v>73</v>
      </c>
      <c r="V1962" s="72" t="str">
        <f t="shared" si="30"/>
        <v>NC_ORANGE</v>
      </c>
      <c r="AJ1962" s="1" t="s">
        <v>78</v>
      </c>
      <c r="AK1962" s="1" t="s">
        <v>1294</v>
      </c>
      <c r="AL1962" s="1" t="s">
        <v>7240</v>
      </c>
      <c r="AM1962" s="1" t="s">
        <v>4428</v>
      </c>
    </row>
    <row r="1963" spans="20:39" x14ac:dyDescent="0.2">
      <c r="T1963" s="28" t="s">
        <v>1436</v>
      </c>
      <c r="U1963" s="68" t="s">
        <v>73</v>
      </c>
      <c r="V1963" s="72" t="str">
        <f t="shared" si="30"/>
        <v>NC_PAMLICO</v>
      </c>
      <c r="AJ1963" s="1" t="s">
        <v>78</v>
      </c>
      <c r="AK1963" s="1" t="s">
        <v>238</v>
      </c>
      <c r="AL1963" s="1" t="s">
        <v>7241</v>
      </c>
      <c r="AM1963" s="1" t="s">
        <v>4429</v>
      </c>
    </row>
    <row r="1964" spans="20:39" x14ac:dyDescent="0.2">
      <c r="T1964" s="29" t="s">
        <v>1437</v>
      </c>
      <c r="U1964" s="69" t="s">
        <v>73</v>
      </c>
      <c r="V1964" s="72" t="str">
        <f t="shared" si="30"/>
        <v>NC_PASQUOTANK</v>
      </c>
      <c r="AJ1964" s="1" t="s">
        <v>78</v>
      </c>
      <c r="AK1964" s="1" t="s">
        <v>839</v>
      </c>
      <c r="AL1964" s="1" t="s">
        <v>7242</v>
      </c>
      <c r="AM1964" s="1" t="s">
        <v>4430</v>
      </c>
    </row>
    <row r="1965" spans="20:39" x14ac:dyDescent="0.2">
      <c r="T1965" s="28" t="s">
        <v>1438</v>
      </c>
      <c r="U1965" s="68" t="s">
        <v>73</v>
      </c>
      <c r="V1965" s="72" t="str">
        <f t="shared" si="30"/>
        <v>NC_PENDER</v>
      </c>
      <c r="AJ1965" s="1" t="s">
        <v>78</v>
      </c>
      <c r="AK1965" s="1" t="s">
        <v>1295</v>
      </c>
      <c r="AL1965" s="1" t="s">
        <v>7243</v>
      </c>
      <c r="AM1965" s="1" t="s">
        <v>4431</v>
      </c>
    </row>
    <row r="1966" spans="20:39" x14ac:dyDescent="0.2">
      <c r="T1966" s="29" t="s">
        <v>1439</v>
      </c>
      <c r="U1966" s="69" t="s">
        <v>73</v>
      </c>
      <c r="V1966" s="72" t="str">
        <f t="shared" si="30"/>
        <v>NC_PERQUIMANS</v>
      </c>
      <c r="AJ1966" s="1" t="s">
        <v>78</v>
      </c>
      <c r="AK1966" s="1" t="s">
        <v>1296</v>
      </c>
      <c r="AL1966" s="1" t="s">
        <v>7244</v>
      </c>
      <c r="AM1966" s="1" t="s">
        <v>4432</v>
      </c>
    </row>
    <row r="1967" spans="20:39" x14ac:dyDescent="0.2">
      <c r="T1967" s="28" t="s">
        <v>1440</v>
      </c>
      <c r="U1967" s="68" t="s">
        <v>73</v>
      </c>
      <c r="V1967" s="72" t="str">
        <f t="shared" si="30"/>
        <v>NC_PERSON</v>
      </c>
      <c r="AJ1967" s="1" t="s">
        <v>78</v>
      </c>
      <c r="AK1967" s="1" t="s">
        <v>1297</v>
      </c>
      <c r="AL1967" s="1" t="s">
        <v>7245</v>
      </c>
      <c r="AM1967" s="1" t="s">
        <v>4433</v>
      </c>
    </row>
    <row r="1968" spans="20:39" x14ac:dyDescent="0.2">
      <c r="T1968" s="29" t="s">
        <v>1441</v>
      </c>
      <c r="U1968" s="69" t="s">
        <v>73</v>
      </c>
      <c r="V1968" s="72" t="str">
        <f t="shared" si="30"/>
        <v>NC_PITT</v>
      </c>
      <c r="AJ1968" s="1" t="s">
        <v>78</v>
      </c>
      <c r="AK1968" s="1" t="s">
        <v>843</v>
      </c>
      <c r="AL1968" s="1" t="s">
        <v>7246</v>
      </c>
      <c r="AM1968" s="1" t="s">
        <v>4434</v>
      </c>
    </row>
    <row r="1969" spans="20:39" x14ac:dyDescent="0.2">
      <c r="T1969" s="28" t="s">
        <v>333</v>
      </c>
      <c r="U1969" s="68" t="s">
        <v>73</v>
      </c>
      <c r="V1969" s="72" t="str">
        <f t="shared" si="30"/>
        <v>NC_POLK</v>
      </c>
      <c r="AJ1969" s="1" t="s">
        <v>78</v>
      </c>
      <c r="AK1969" s="1" t="s">
        <v>1298</v>
      </c>
      <c r="AL1969" s="1" t="s">
        <v>7247</v>
      </c>
      <c r="AM1969" s="1" t="s">
        <v>4435</v>
      </c>
    </row>
    <row r="1970" spans="20:39" x14ac:dyDescent="0.2">
      <c r="T1970" s="29" t="s">
        <v>249</v>
      </c>
      <c r="U1970" s="69" t="s">
        <v>73</v>
      </c>
      <c r="V1970" s="72" t="str">
        <f t="shared" si="30"/>
        <v>NC_RANDOLPH</v>
      </c>
      <c r="AJ1970" s="1" t="s">
        <v>78</v>
      </c>
      <c r="AK1970" s="1" t="s">
        <v>1299</v>
      </c>
      <c r="AL1970" s="1" t="s">
        <v>7248</v>
      </c>
      <c r="AM1970" s="1" t="s">
        <v>4436</v>
      </c>
    </row>
    <row r="1971" spans="20:39" x14ac:dyDescent="0.2">
      <c r="T1971" s="28" t="s">
        <v>600</v>
      </c>
      <c r="U1971" s="68" t="s">
        <v>73</v>
      </c>
      <c r="V1971" s="72" t="str">
        <f t="shared" si="30"/>
        <v>NC_RICHMOND</v>
      </c>
      <c r="AJ1971" s="1" t="s">
        <v>78</v>
      </c>
      <c r="AK1971" s="1" t="s">
        <v>850</v>
      </c>
      <c r="AL1971" s="1" t="s">
        <v>7249</v>
      </c>
      <c r="AM1971" s="1" t="s">
        <v>4437</v>
      </c>
    </row>
    <row r="1972" spans="20:39" x14ac:dyDescent="0.2">
      <c r="T1972" s="29" t="s">
        <v>1442</v>
      </c>
      <c r="U1972" s="69" t="s">
        <v>73</v>
      </c>
      <c r="V1972" s="72" t="str">
        <f t="shared" si="30"/>
        <v>NC_ROBESON</v>
      </c>
      <c r="AJ1972" s="1" t="s">
        <v>78</v>
      </c>
      <c r="AK1972" s="1" t="s">
        <v>1300</v>
      </c>
      <c r="AL1972" s="1" t="s">
        <v>7250</v>
      </c>
      <c r="AM1972" s="1" t="s">
        <v>4438</v>
      </c>
    </row>
    <row r="1973" spans="20:39" x14ac:dyDescent="0.2">
      <c r="T1973" s="28" t="s">
        <v>1324</v>
      </c>
      <c r="U1973" s="68" t="s">
        <v>73</v>
      </c>
      <c r="V1973" s="72" t="str">
        <f t="shared" si="30"/>
        <v>NC_ROCKINGHAM</v>
      </c>
      <c r="AJ1973" s="1" t="s">
        <v>78</v>
      </c>
      <c r="AK1973" s="1" t="s">
        <v>1217</v>
      </c>
      <c r="AL1973" s="1" t="s">
        <v>7251</v>
      </c>
      <c r="AM1973" s="1" t="s">
        <v>4439</v>
      </c>
    </row>
    <row r="1974" spans="20:39" x14ac:dyDescent="0.2">
      <c r="T1974" s="29" t="s">
        <v>924</v>
      </c>
      <c r="U1974" s="69" t="s">
        <v>73</v>
      </c>
      <c r="V1974" s="72" t="str">
        <f t="shared" si="30"/>
        <v>NC_ROWAN</v>
      </c>
      <c r="AJ1974" s="1" t="s">
        <v>78</v>
      </c>
      <c r="AK1974" s="1" t="s">
        <v>597</v>
      </c>
      <c r="AL1974" s="1" t="s">
        <v>7252</v>
      </c>
      <c r="AM1974" s="1" t="s">
        <v>4440</v>
      </c>
    </row>
    <row r="1975" spans="20:39" x14ac:dyDescent="0.2">
      <c r="T1975" s="28" t="s">
        <v>1443</v>
      </c>
      <c r="U1975" s="68" t="s">
        <v>73</v>
      </c>
      <c r="V1975" s="72" t="str">
        <f t="shared" si="30"/>
        <v>NC_RUTHERFORD</v>
      </c>
      <c r="AJ1975" s="1" t="s">
        <v>78</v>
      </c>
      <c r="AK1975" s="1" t="s">
        <v>1218</v>
      </c>
      <c r="AL1975" s="1" t="s">
        <v>7253</v>
      </c>
      <c r="AM1975" s="1" t="s">
        <v>4441</v>
      </c>
    </row>
    <row r="1976" spans="20:39" x14ac:dyDescent="0.2">
      <c r="T1976" s="29" t="s">
        <v>1444</v>
      </c>
      <c r="U1976" s="69" t="s">
        <v>73</v>
      </c>
      <c r="V1976" s="72" t="str">
        <f t="shared" si="30"/>
        <v>NC_SAMPSON</v>
      </c>
      <c r="AJ1976" s="1" t="s">
        <v>78</v>
      </c>
      <c r="AK1976" s="1" t="s">
        <v>333</v>
      </c>
      <c r="AL1976" s="1" t="s">
        <v>7254</v>
      </c>
      <c r="AM1976" s="1" t="s">
        <v>4442</v>
      </c>
    </row>
    <row r="1977" spans="20:39" x14ac:dyDescent="0.2">
      <c r="T1977" s="28" t="s">
        <v>1225</v>
      </c>
      <c r="U1977" s="68" t="s">
        <v>73</v>
      </c>
      <c r="V1977" s="72" t="str">
        <f t="shared" si="30"/>
        <v>NC_SCOTLAND</v>
      </c>
      <c r="AJ1977" s="1" t="s">
        <v>78</v>
      </c>
      <c r="AK1977" s="1" t="s">
        <v>1301</v>
      </c>
      <c r="AL1977" s="1" t="s">
        <v>7255</v>
      </c>
      <c r="AM1977" s="1" t="s">
        <v>4443</v>
      </c>
    </row>
    <row r="1978" spans="20:39" x14ac:dyDescent="0.2">
      <c r="T1978" s="29" t="s">
        <v>1445</v>
      </c>
      <c r="U1978" s="69" t="s">
        <v>73</v>
      </c>
      <c r="V1978" s="72" t="str">
        <f t="shared" si="30"/>
        <v>NC_STANLY</v>
      </c>
      <c r="AJ1978" s="1" t="s">
        <v>78</v>
      </c>
      <c r="AK1978" s="1" t="s">
        <v>1302</v>
      </c>
      <c r="AL1978" s="1" t="s">
        <v>7256</v>
      </c>
      <c r="AM1978" s="1" t="s">
        <v>4444</v>
      </c>
    </row>
    <row r="1979" spans="20:39" x14ac:dyDescent="0.2">
      <c r="T1979" s="28" t="s">
        <v>1446</v>
      </c>
      <c r="U1979" s="68" t="s">
        <v>73</v>
      </c>
      <c r="V1979" s="72" t="str">
        <f t="shared" si="30"/>
        <v>NC_STOKES</v>
      </c>
      <c r="AJ1979" s="1" t="s">
        <v>78</v>
      </c>
      <c r="AK1979" s="1" t="s">
        <v>1138</v>
      </c>
      <c r="AL1979" s="1" t="s">
        <v>7257</v>
      </c>
      <c r="AM1979" s="1" t="s">
        <v>4445</v>
      </c>
    </row>
    <row r="1980" spans="20:39" x14ac:dyDescent="0.2">
      <c r="T1980" s="29" t="s">
        <v>1447</v>
      </c>
      <c r="U1980" s="69" t="s">
        <v>73</v>
      </c>
      <c r="V1980" s="72" t="str">
        <f t="shared" si="30"/>
        <v>NC_SURRY</v>
      </c>
      <c r="AJ1980" s="1" t="s">
        <v>78</v>
      </c>
      <c r="AK1980" s="1" t="s">
        <v>338</v>
      </c>
      <c r="AL1980" s="1" t="s">
        <v>7258</v>
      </c>
      <c r="AM1980" s="1" t="s">
        <v>4446</v>
      </c>
    </row>
    <row r="1981" spans="20:39" x14ac:dyDescent="0.2">
      <c r="T1981" s="28" t="s">
        <v>1448</v>
      </c>
      <c r="U1981" s="68" t="s">
        <v>73</v>
      </c>
      <c r="V1981" s="72" t="str">
        <f t="shared" si="30"/>
        <v>NC_SWAIN</v>
      </c>
      <c r="AJ1981" s="1" t="s">
        <v>78</v>
      </c>
      <c r="AK1981" s="1" t="s">
        <v>1303</v>
      </c>
      <c r="AL1981" s="1" t="s">
        <v>7259</v>
      </c>
      <c r="AM1981" s="1" t="s">
        <v>3438</v>
      </c>
    </row>
    <row r="1982" spans="20:39" x14ac:dyDescent="0.2">
      <c r="T1982" s="29" t="s">
        <v>1449</v>
      </c>
      <c r="U1982" s="69" t="s">
        <v>73</v>
      </c>
      <c r="V1982" s="72" t="str">
        <f t="shared" si="30"/>
        <v>NC_TRANSYLVANIA</v>
      </c>
      <c r="AJ1982" s="1" t="s">
        <v>78</v>
      </c>
      <c r="AK1982" s="1" t="s">
        <v>1304</v>
      </c>
      <c r="AL1982" s="1" t="s">
        <v>7260</v>
      </c>
      <c r="AM1982" s="1" t="s">
        <v>4447</v>
      </c>
    </row>
    <row r="1983" spans="20:39" x14ac:dyDescent="0.2">
      <c r="T1983" s="28" t="s">
        <v>1450</v>
      </c>
      <c r="U1983" s="68" t="s">
        <v>73</v>
      </c>
      <c r="V1983" s="72" t="str">
        <f t="shared" si="30"/>
        <v>NC_TYRRELL</v>
      </c>
      <c r="AJ1983" s="1" t="s">
        <v>78</v>
      </c>
      <c r="AK1983" s="1" t="s">
        <v>1305</v>
      </c>
      <c r="AL1983" s="1" t="s">
        <v>7261</v>
      </c>
      <c r="AM1983" s="1" t="s">
        <v>4448</v>
      </c>
    </row>
    <row r="1984" spans="20:39" x14ac:dyDescent="0.2">
      <c r="T1984" s="29" t="s">
        <v>345</v>
      </c>
      <c r="U1984" s="69" t="s">
        <v>73</v>
      </c>
      <c r="V1984" s="72" t="str">
        <f t="shared" si="30"/>
        <v>NC_UNION</v>
      </c>
      <c r="AJ1984" s="1" t="s">
        <v>78</v>
      </c>
      <c r="AK1984" s="1" t="s">
        <v>859</v>
      </c>
      <c r="AL1984" s="1" t="s">
        <v>7262</v>
      </c>
      <c r="AM1984" s="1" t="s">
        <v>4449</v>
      </c>
    </row>
    <row r="1985" spans="20:39" x14ac:dyDescent="0.2">
      <c r="T1985" s="28" t="s">
        <v>1451</v>
      </c>
      <c r="U1985" s="68" t="s">
        <v>73</v>
      </c>
      <c r="V1985" s="72" t="str">
        <f t="shared" si="30"/>
        <v>NC_VANCE</v>
      </c>
      <c r="AJ1985" s="1" t="s">
        <v>78</v>
      </c>
      <c r="AK1985" s="1" t="s">
        <v>861</v>
      </c>
      <c r="AL1985" s="1" t="s">
        <v>7263</v>
      </c>
      <c r="AM1985" s="1" t="s">
        <v>4450</v>
      </c>
    </row>
    <row r="1986" spans="20:39" x14ac:dyDescent="0.2">
      <c r="T1986" s="29" t="s">
        <v>1452</v>
      </c>
      <c r="U1986" s="69" t="s">
        <v>73</v>
      </c>
      <c r="V1986" s="72" t="str">
        <f t="shared" si="30"/>
        <v>NC_WAKE</v>
      </c>
      <c r="AJ1986" s="1" t="s">
        <v>78</v>
      </c>
      <c r="AK1986" s="1" t="s">
        <v>862</v>
      </c>
      <c r="AL1986" s="1" t="s">
        <v>7264</v>
      </c>
      <c r="AM1986" s="1" t="s">
        <v>4451</v>
      </c>
    </row>
    <row r="1987" spans="20:39" x14ac:dyDescent="0.2">
      <c r="T1987" s="28" t="s">
        <v>622</v>
      </c>
      <c r="U1987" s="68" t="s">
        <v>73</v>
      </c>
      <c r="V1987" s="72" t="str">
        <f t="shared" si="30"/>
        <v>NC_WARREN</v>
      </c>
      <c r="AJ1987" s="1" t="s">
        <v>78</v>
      </c>
      <c r="AK1987" s="1" t="s">
        <v>801</v>
      </c>
      <c r="AL1987" s="1" t="s">
        <v>7265</v>
      </c>
      <c r="AM1987" s="1" t="s">
        <v>4452</v>
      </c>
    </row>
    <row r="1988" spans="20:39" x14ac:dyDescent="0.2">
      <c r="T1988" s="29" t="s">
        <v>258</v>
      </c>
      <c r="U1988" s="69" t="s">
        <v>73</v>
      </c>
      <c r="V1988" s="72" t="str">
        <f t="shared" si="30"/>
        <v>NC_WASHINGTON</v>
      </c>
      <c r="AJ1988" s="1" t="s">
        <v>78</v>
      </c>
      <c r="AK1988" s="1" t="s">
        <v>865</v>
      </c>
      <c r="AL1988" s="1" t="s">
        <v>7266</v>
      </c>
      <c r="AM1988" s="1" t="s">
        <v>4453</v>
      </c>
    </row>
    <row r="1989" spans="20:39" x14ac:dyDescent="0.2">
      <c r="T1989" s="28" t="s">
        <v>1453</v>
      </c>
      <c r="U1989" s="68" t="s">
        <v>73</v>
      </c>
      <c r="V1989" s="72" t="str">
        <f t="shared" si="30"/>
        <v>NC_WATAUGA</v>
      </c>
      <c r="AJ1989" s="1" t="s">
        <v>78</v>
      </c>
      <c r="AK1989" s="1" t="s">
        <v>1306</v>
      </c>
      <c r="AL1989" s="1" t="s">
        <v>7267</v>
      </c>
      <c r="AM1989" s="1" t="s">
        <v>4454</v>
      </c>
    </row>
    <row r="1990" spans="20:39" x14ac:dyDescent="0.2">
      <c r="T1990" s="29" t="s">
        <v>623</v>
      </c>
      <c r="U1990" s="69" t="s">
        <v>73</v>
      </c>
      <c r="V1990" s="72" t="str">
        <f t="shared" si="30"/>
        <v>NC_WAYNE</v>
      </c>
      <c r="AJ1990" s="1" t="s">
        <v>78</v>
      </c>
      <c r="AK1990" s="1" t="s">
        <v>612</v>
      </c>
      <c r="AL1990" s="1" t="s">
        <v>7268</v>
      </c>
      <c r="AM1990" s="1" t="s">
        <v>4455</v>
      </c>
    </row>
    <row r="1991" spans="20:39" x14ac:dyDescent="0.2">
      <c r="T1991" s="28" t="s">
        <v>627</v>
      </c>
      <c r="U1991" s="68" t="s">
        <v>73</v>
      </c>
      <c r="V1991" s="72" t="str">
        <f t="shared" si="30"/>
        <v>NC_WILKES</v>
      </c>
      <c r="AJ1991" s="1" t="s">
        <v>78</v>
      </c>
      <c r="AK1991" s="1" t="s">
        <v>1307</v>
      </c>
      <c r="AL1991" s="1" t="s">
        <v>7269</v>
      </c>
      <c r="AM1991" s="1" t="s">
        <v>4456</v>
      </c>
    </row>
    <row r="1992" spans="20:39" x14ac:dyDescent="0.2">
      <c r="T1992" s="29" t="s">
        <v>872</v>
      </c>
      <c r="U1992" s="69" t="s">
        <v>73</v>
      </c>
      <c r="V1992" s="72" t="str">
        <f t="shared" si="30"/>
        <v>NC_WILSON</v>
      </c>
      <c r="AJ1992" s="1" t="s">
        <v>78</v>
      </c>
      <c r="AK1992" s="1" t="s">
        <v>667</v>
      </c>
      <c r="AL1992" s="1" t="s">
        <v>7270</v>
      </c>
      <c r="AM1992" s="1" t="s">
        <v>4457</v>
      </c>
    </row>
    <row r="1993" spans="20:39" x14ac:dyDescent="0.2">
      <c r="T1993" s="28" t="s">
        <v>1454</v>
      </c>
      <c r="U1993" s="68" t="s">
        <v>73</v>
      </c>
      <c r="V1993" s="72" t="str">
        <f t="shared" si="30"/>
        <v>NC_YADKIN</v>
      </c>
      <c r="AJ1993" s="1" t="s">
        <v>78</v>
      </c>
      <c r="AK1993" s="1" t="s">
        <v>258</v>
      </c>
      <c r="AL1993" s="1" t="s">
        <v>7271</v>
      </c>
      <c r="AM1993" s="1" t="s">
        <v>3438</v>
      </c>
    </row>
    <row r="1994" spans="20:39" x14ac:dyDescent="0.2">
      <c r="T1994" s="29" t="s">
        <v>1455</v>
      </c>
      <c r="U1994" s="69" t="s">
        <v>73</v>
      </c>
      <c r="V1994" s="72" t="str">
        <f t="shared" ref="V1994:V2057" si="31">UPPER(CONCATENATE(TRIM(U1994),"_",TRIM(T1994)))</f>
        <v>NC_YANCEY</v>
      </c>
      <c r="AJ1994" s="1" t="s">
        <v>78</v>
      </c>
      <c r="AK1994" s="1" t="s">
        <v>623</v>
      </c>
      <c r="AL1994" s="1" t="s">
        <v>7272</v>
      </c>
      <c r="AM1994" s="1" t="s">
        <v>4458</v>
      </c>
    </row>
    <row r="1995" spans="20:39" x14ac:dyDescent="0.2">
      <c r="T1995" s="28" t="s">
        <v>406</v>
      </c>
      <c r="U1995" s="68" t="s">
        <v>72</v>
      </c>
      <c r="V1995" s="72" t="str">
        <f t="shared" si="31"/>
        <v>ND_ADAMS</v>
      </c>
      <c r="AJ1995" s="1" t="s">
        <v>78</v>
      </c>
      <c r="AK1995" s="1" t="s">
        <v>624</v>
      </c>
      <c r="AL1995" s="1" t="s">
        <v>7273</v>
      </c>
      <c r="AM1995" s="1" t="s">
        <v>4459</v>
      </c>
    </row>
    <row r="1996" spans="20:39" x14ac:dyDescent="0.2">
      <c r="T1996" s="29" t="s">
        <v>1456</v>
      </c>
      <c r="U1996" s="69" t="s">
        <v>72</v>
      </c>
      <c r="V1996" s="72" t="str">
        <f t="shared" si="31"/>
        <v>ND_BARNES</v>
      </c>
      <c r="AJ1996" s="1" t="s">
        <v>78</v>
      </c>
      <c r="AK1996" s="1" t="s">
        <v>625</v>
      </c>
      <c r="AL1996" s="1" t="s">
        <v>7274</v>
      </c>
      <c r="AM1996" s="1" t="s">
        <v>4460</v>
      </c>
    </row>
    <row r="1997" spans="20:39" x14ac:dyDescent="0.2">
      <c r="T1997" s="28" t="s">
        <v>1457</v>
      </c>
      <c r="U1997" s="68" t="s">
        <v>72</v>
      </c>
      <c r="V1997" s="72" t="str">
        <f t="shared" si="31"/>
        <v>ND_BENSON</v>
      </c>
      <c r="AJ1997" s="1" t="s">
        <v>78</v>
      </c>
      <c r="AK1997" s="1" t="s">
        <v>1003</v>
      </c>
      <c r="AL1997" s="1" t="s">
        <v>7275</v>
      </c>
      <c r="AM1997" s="1" t="s">
        <v>4461</v>
      </c>
    </row>
    <row r="1998" spans="20:39" x14ac:dyDescent="0.2">
      <c r="T1998" s="29" t="s">
        <v>1458</v>
      </c>
      <c r="U1998" s="69" t="s">
        <v>72</v>
      </c>
      <c r="V1998" s="72" t="str">
        <f t="shared" si="31"/>
        <v>ND_BILLINGS</v>
      </c>
      <c r="AJ1998" s="1" t="s">
        <v>76</v>
      </c>
      <c r="AK1998" s="1" t="s">
        <v>1319</v>
      </c>
      <c r="AL1998" s="1" t="s">
        <v>7276</v>
      </c>
      <c r="AM1998" s="1" t="s">
        <v>4462</v>
      </c>
    </row>
    <row r="1999" spans="20:39" x14ac:dyDescent="0.2">
      <c r="T1999" s="28" t="s">
        <v>1459</v>
      </c>
      <c r="U1999" s="68" t="s">
        <v>72</v>
      </c>
      <c r="V1999" s="72" t="str">
        <f t="shared" si="31"/>
        <v>ND_BOTTINEAU</v>
      </c>
      <c r="AJ1999" s="1" t="s">
        <v>76</v>
      </c>
      <c r="AK1999" s="1" t="s">
        <v>299</v>
      </c>
      <c r="AL1999" s="1" t="s">
        <v>7277</v>
      </c>
      <c r="AM1999" s="1" t="s">
        <v>4463</v>
      </c>
    </row>
    <row r="2000" spans="20:39" x14ac:dyDescent="0.2">
      <c r="T2000" s="29" t="s">
        <v>1460</v>
      </c>
      <c r="U2000" s="69" t="s">
        <v>72</v>
      </c>
      <c r="V2000" s="72" t="str">
        <f t="shared" si="31"/>
        <v>ND_BOWMAN</v>
      </c>
      <c r="AJ2000" s="1" t="s">
        <v>76</v>
      </c>
      <c r="AK2000" s="1" t="s">
        <v>1320</v>
      </c>
      <c r="AL2000" s="1" t="s">
        <v>7278</v>
      </c>
      <c r="AM2000" s="1" t="s">
        <v>4464</v>
      </c>
    </row>
    <row r="2001" spans="20:39" x14ac:dyDescent="0.2">
      <c r="T2001" s="28" t="s">
        <v>535</v>
      </c>
      <c r="U2001" s="68" t="s">
        <v>72</v>
      </c>
      <c r="V2001" s="72" t="str">
        <f t="shared" si="31"/>
        <v>ND_BURKE</v>
      </c>
      <c r="AJ2001" s="1" t="s">
        <v>76</v>
      </c>
      <c r="AK2001" s="1" t="s">
        <v>1321</v>
      </c>
      <c r="AL2001" s="1" t="s">
        <v>7279</v>
      </c>
      <c r="AM2001" s="1" t="s">
        <v>4465</v>
      </c>
    </row>
    <row r="2002" spans="20:39" x14ac:dyDescent="0.2">
      <c r="T2002" s="29" t="s">
        <v>1461</v>
      </c>
      <c r="U2002" s="69" t="s">
        <v>72</v>
      </c>
      <c r="V2002" s="72" t="str">
        <f t="shared" si="31"/>
        <v>ND_BURLEIGH</v>
      </c>
      <c r="AJ2002" s="1" t="s">
        <v>76</v>
      </c>
      <c r="AK2002" s="1" t="s">
        <v>1322</v>
      </c>
      <c r="AL2002" s="1" t="s">
        <v>7280</v>
      </c>
      <c r="AM2002" s="1" t="s">
        <v>4466</v>
      </c>
    </row>
    <row r="2003" spans="20:39" x14ac:dyDescent="0.2">
      <c r="T2003" s="28" t="s">
        <v>672</v>
      </c>
      <c r="U2003" s="68" t="s">
        <v>72</v>
      </c>
      <c r="V2003" s="72" t="str">
        <f t="shared" si="31"/>
        <v>ND_CASS</v>
      </c>
      <c r="AJ2003" s="1" t="s">
        <v>76</v>
      </c>
      <c r="AK2003" s="1" t="s">
        <v>496</v>
      </c>
      <c r="AL2003" s="1" t="s">
        <v>7281</v>
      </c>
      <c r="AM2003" s="1" t="s">
        <v>4467</v>
      </c>
    </row>
    <row r="2004" spans="20:39" x14ac:dyDescent="0.2">
      <c r="T2004" s="29" t="s">
        <v>1462</v>
      </c>
      <c r="U2004" s="69" t="s">
        <v>72</v>
      </c>
      <c r="V2004" s="72" t="str">
        <f t="shared" si="31"/>
        <v>ND_CAVALIER</v>
      </c>
      <c r="AJ2004" s="1" t="s">
        <v>76</v>
      </c>
      <c r="AK2004" s="1" t="s">
        <v>496</v>
      </c>
      <c r="AL2004" s="1" t="s">
        <v>7281</v>
      </c>
      <c r="AM2004" s="1" t="s">
        <v>4468</v>
      </c>
    </row>
    <row r="2005" spans="20:39" x14ac:dyDescent="0.2">
      <c r="T2005" s="28" t="s">
        <v>1463</v>
      </c>
      <c r="U2005" s="68" t="s">
        <v>72</v>
      </c>
      <c r="V2005" s="72" t="str">
        <f t="shared" si="31"/>
        <v>ND_DICKEY</v>
      </c>
      <c r="AJ2005" s="1" t="s">
        <v>76</v>
      </c>
      <c r="AK2005" s="1" t="s">
        <v>496</v>
      </c>
      <c r="AL2005" s="1" t="s">
        <v>7281</v>
      </c>
      <c r="AM2005" s="1" t="s">
        <v>4470</v>
      </c>
    </row>
    <row r="2006" spans="20:39" x14ac:dyDescent="0.2">
      <c r="T2006" s="29" t="s">
        <v>1464</v>
      </c>
      <c r="U2006" s="69" t="s">
        <v>72</v>
      </c>
      <c r="V2006" s="72" t="str">
        <f t="shared" si="31"/>
        <v>ND_DIVIDE</v>
      </c>
      <c r="AJ2006" s="1" t="s">
        <v>76</v>
      </c>
      <c r="AK2006" s="1" t="s">
        <v>1323</v>
      </c>
      <c r="AL2006" s="1" t="s">
        <v>7282</v>
      </c>
      <c r="AM2006" s="1" t="s">
        <v>4469</v>
      </c>
    </row>
    <row r="2007" spans="20:39" x14ac:dyDescent="0.2">
      <c r="T2007" s="28" t="s">
        <v>1465</v>
      </c>
      <c r="U2007" s="68" t="s">
        <v>72</v>
      </c>
      <c r="V2007" s="72" t="str">
        <f t="shared" si="31"/>
        <v>ND_DUNN</v>
      </c>
      <c r="AJ2007" s="1" t="s">
        <v>76</v>
      </c>
      <c r="AK2007" s="1" t="s">
        <v>1324</v>
      </c>
      <c r="AL2007" s="1" t="s">
        <v>7283</v>
      </c>
      <c r="AM2007" s="1" t="s">
        <v>3865</v>
      </c>
    </row>
    <row r="2008" spans="20:39" x14ac:dyDescent="0.2">
      <c r="T2008" s="29" t="s">
        <v>1344</v>
      </c>
      <c r="U2008" s="69" t="s">
        <v>72</v>
      </c>
      <c r="V2008" s="72" t="str">
        <f t="shared" si="31"/>
        <v>ND_EDDY</v>
      </c>
      <c r="AJ2008" s="1" t="s">
        <v>76</v>
      </c>
      <c r="AK2008" s="1" t="s">
        <v>1324</v>
      </c>
      <c r="AL2008" s="1" t="s">
        <v>7283</v>
      </c>
      <c r="AM2008" s="1" t="s">
        <v>3871</v>
      </c>
    </row>
    <row r="2009" spans="20:39" x14ac:dyDescent="0.2">
      <c r="T2009" s="28" t="s">
        <v>1466</v>
      </c>
      <c r="U2009" s="68" t="s">
        <v>72</v>
      </c>
      <c r="V2009" s="72" t="str">
        <f t="shared" si="31"/>
        <v>ND_EMMONS</v>
      </c>
      <c r="AJ2009" s="1" t="s">
        <v>76</v>
      </c>
      <c r="AK2009" s="1" t="s">
        <v>1324</v>
      </c>
      <c r="AL2009" s="1" t="s">
        <v>7283</v>
      </c>
      <c r="AM2009" s="1" t="s">
        <v>4471</v>
      </c>
    </row>
    <row r="2010" spans="20:39" x14ac:dyDescent="0.2">
      <c r="T2010" s="29" t="s">
        <v>1467</v>
      </c>
      <c r="U2010" s="69" t="s">
        <v>72</v>
      </c>
      <c r="V2010" s="72" t="str">
        <f t="shared" si="31"/>
        <v>ND_FOSTER</v>
      </c>
      <c r="AJ2010" s="1" t="s">
        <v>76</v>
      </c>
      <c r="AK2010" s="1" t="s">
        <v>1324</v>
      </c>
      <c r="AL2010" s="1" t="s">
        <v>7283</v>
      </c>
      <c r="AM2010" s="1" t="s">
        <v>4473</v>
      </c>
    </row>
    <row r="2011" spans="20:39" x14ac:dyDescent="0.2">
      <c r="T2011" s="28" t="s">
        <v>1244</v>
      </c>
      <c r="U2011" s="68" t="s">
        <v>72</v>
      </c>
      <c r="V2011" s="72" t="str">
        <f t="shared" si="31"/>
        <v>ND_GOLDEN VALLEY</v>
      </c>
      <c r="AJ2011" s="1" t="s">
        <v>76</v>
      </c>
      <c r="AK2011" s="1" t="s">
        <v>1325</v>
      </c>
      <c r="AL2011" s="1" t="s">
        <v>7284</v>
      </c>
      <c r="AM2011" s="1" t="s">
        <v>4471</v>
      </c>
    </row>
    <row r="2012" spans="20:39" x14ac:dyDescent="0.2">
      <c r="T2012" s="29" t="s">
        <v>1468</v>
      </c>
      <c r="U2012" s="69" t="s">
        <v>72</v>
      </c>
      <c r="V2012" s="72" t="str">
        <f t="shared" si="31"/>
        <v>ND_GRAND FORKS</v>
      </c>
      <c r="AJ2012" s="1" t="s">
        <v>76</v>
      </c>
      <c r="AK2012" s="1" t="s">
        <v>753</v>
      </c>
      <c r="AL2012" s="1" t="s">
        <v>7285</v>
      </c>
      <c r="AM2012" s="1" t="s">
        <v>4472</v>
      </c>
    </row>
    <row r="2013" spans="20:39" x14ac:dyDescent="0.2">
      <c r="T2013" s="28" t="s">
        <v>314</v>
      </c>
      <c r="U2013" s="68" t="s">
        <v>72</v>
      </c>
      <c r="V2013" s="72" t="str">
        <f t="shared" si="31"/>
        <v>ND_GRANT</v>
      </c>
      <c r="AJ2013" s="1" t="s">
        <v>74</v>
      </c>
      <c r="AK2013" s="1" t="s">
        <v>1337</v>
      </c>
      <c r="AL2013" s="1" t="s">
        <v>7286</v>
      </c>
      <c r="AM2013" s="1" t="s">
        <v>4474</v>
      </c>
    </row>
    <row r="2014" spans="20:39" x14ac:dyDescent="0.2">
      <c r="T2014" s="29" t="s">
        <v>1469</v>
      </c>
      <c r="U2014" s="69" t="s">
        <v>72</v>
      </c>
      <c r="V2014" s="72" t="str">
        <f t="shared" si="31"/>
        <v>ND_GRIGGS</v>
      </c>
      <c r="AJ2014" s="1" t="s">
        <v>74</v>
      </c>
      <c r="AK2014" s="1" t="s">
        <v>1338</v>
      </c>
      <c r="AL2014" s="1" t="s">
        <v>7287</v>
      </c>
      <c r="AM2014" s="1" t="s">
        <v>4475</v>
      </c>
    </row>
    <row r="2015" spans="20:39" x14ac:dyDescent="0.2">
      <c r="T2015" s="28" t="s">
        <v>1470</v>
      </c>
      <c r="U2015" s="68" t="s">
        <v>72</v>
      </c>
      <c r="V2015" s="72" t="str">
        <f t="shared" si="31"/>
        <v>ND_HETTINGER</v>
      </c>
      <c r="AJ2015" s="1" t="s">
        <v>74</v>
      </c>
      <c r="AK2015" s="1" t="s">
        <v>1339</v>
      </c>
      <c r="AL2015" s="1" t="s">
        <v>7288</v>
      </c>
      <c r="AM2015" s="1" t="s">
        <v>4476</v>
      </c>
    </row>
    <row r="2016" spans="20:39" x14ac:dyDescent="0.2">
      <c r="T2016" s="29" t="s">
        <v>1471</v>
      </c>
      <c r="U2016" s="69" t="s">
        <v>72</v>
      </c>
      <c r="V2016" s="72" t="str">
        <f t="shared" si="31"/>
        <v>ND_KIDDER</v>
      </c>
      <c r="AJ2016" s="1" t="s">
        <v>74</v>
      </c>
      <c r="AK2016" s="1" t="s">
        <v>1340</v>
      </c>
      <c r="AL2016" s="1" t="s">
        <v>7289</v>
      </c>
      <c r="AM2016" s="1" t="s">
        <v>4477</v>
      </c>
    </row>
    <row r="2017" spans="20:39" x14ac:dyDescent="0.2">
      <c r="T2017" s="28" t="s">
        <v>1472</v>
      </c>
      <c r="U2017" s="68" t="s">
        <v>72</v>
      </c>
      <c r="V2017" s="72" t="str">
        <f t="shared" si="31"/>
        <v>ND_LAMOURE</v>
      </c>
      <c r="AJ2017" s="1" t="s">
        <v>74</v>
      </c>
      <c r="AK2017" s="1" t="s">
        <v>1275</v>
      </c>
      <c r="AL2017" s="1" t="s">
        <v>7290</v>
      </c>
      <c r="AM2017" s="1" t="s">
        <v>4478</v>
      </c>
    </row>
    <row r="2018" spans="20:39" x14ac:dyDescent="0.2">
      <c r="T2018" s="29" t="s">
        <v>324</v>
      </c>
      <c r="U2018" s="69" t="s">
        <v>72</v>
      </c>
      <c r="V2018" s="72" t="str">
        <f t="shared" si="31"/>
        <v>ND_LOGAN</v>
      </c>
      <c r="AJ2018" s="1" t="s">
        <v>74</v>
      </c>
      <c r="AK2018" s="1" t="s">
        <v>1341</v>
      </c>
      <c r="AL2018" s="1" t="s">
        <v>7291</v>
      </c>
      <c r="AM2018" s="1" t="s">
        <v>4479</v>
      </c>
    </row>
    <row r="2019" spans="20:39" x14ac:dyDescent="0.2">
      <c r="T2019" s="28" t="s">
        <v>697</v>
      </c>
      <c r="U2019" s="68" t="s">
        <v>72</v>
      </c>
      <c r="V2019" s="72" t="str">
        <f t="shared" si="31"/>
        <v>ND_MCHENRY</v>
      </c>
      <c r="AJ2019" s="1" t="s">
        <v>74</v>
      </c>
      <c r="AK2019" s="1" t="s">
        <v>1342</v>
      </c>
      <c r="AL2019" s="1" t="s">
        <v>7292</v>
      </c>
      <c r="AM2019" s="1" t="s">
        <v>4480</v>
      </c>
    </row>
    <row r="2020" spans="20:39" x14ac:dyDescent="0.2">
      <c r="T2020" s="29" t="s">
        <v>588</v>
      </c>
      <c r="U2020" s="69" t="s">
        <v>72</v>
      </c>
      <c r="V2020" s="72" t="str">
        <f t="shared" si="31"/>
        <v>ND_MCINTOSH</v>
      </c>
      <c r="AJ2020" s="1" t="s">
        <v>74</v>
      </c>
      <c r="AK2020" s="1" t="s">
        <v>1343</v>
      </c>
      <c r="AL2020" s="1" t="s">
        <v>7293</v>
      </c>
      <c r="AM2020" s="1" t="s">
        <v>4487</v>
      </c>
    </row>
    <row r="2021" spans="20:39" x14ac:dyDescent="0.2">
      <c r="T2021" s="28" t="s">
        <v>1473</v>
      </c>
      <c r="U2021" s="68" t="s">
        <v>72</v>
      </c>
      <c r="V2021" s="72" t="str">
        <f t="shared" si="31"/>
        <v>ND_MCKENZIE</v>
      </c>
      <c r="AJ2021" s="1" t="s">
        <v>74</v>
      </c>
      <c r="AK2021" s="1" t="s">
        <v>1344</v>
      </c>
      <c r="AL2021" s="1" t="s">
        <v>7294</v>
      </c>
      <c r="AM2021" s="1" t="s">
        <v>4481</v>
      </c>
    </row>
    <row r="2022" spans="20:39" x14ac:dyDescent="0.2">
      <c r="T2022" s="29" t="s">
        <v>698</v>
      </c>
      <c r="U2022" s="69" t="s">
        <v>72</v>
      </c>
      <c r="V2022" s="72" t="str">
        <f t="shared" si="31"/>
        <v>ND_MCLEAN</v>
      </c>
      <c r="AJ2022" s="1" t="s">
        <v>74</v>
      </c>
      <c r="AK2022" s="1" t="s">
        <v>314</v>
      </c>
      <c r="AL2022" s="1" t="s">
        <v>7295</v>
      </c>
      <c r="AM2022" s="1" t="s">
        <v>4483</v>
      </c>
    </row>
    <row r="2023" spans="20:39" x14ac:dyDescent="0.2">
      <c r="T2023" s="28" t="s">
        <v>703</v>
      </c>
      <c r="U2023" s="68" t="s">
        <v>72</v>
      </c>
      <c r="V2023" s="72" t="str">
        <f t="shared" si="31"/>
        <v>ND_MERCER</v>
      </c>
      <c r="AJ2023" s="1" t="s">
        <v>74</v>
      </c>
      <c r="AK2023" s="1" t="s">
        <v>1345</v>
      </c>
      <c r="AL2023" s="1" t="s">
        <v>7296</v>
      </c>
      <c r="AM2023" s="1" t="s">
        <v>4484</v>
      </c>
    </row>
    <row r="2024" spans="20:39" x14ac:dyDescent="0.2">
      <c r="T2024" s="29" t="s">
        <v>842</v>
      </c>
      <c r="U2024" s="69" t="s">
        <v>72</v>
      </c>
      <c r="V2024" s="72" t="str">
        <f t="shared" si="31"/>
        <v>ND_MORTON</v>
      </c>
      <c r="AJ2024" s="1" t="s">
        <v>74</v>
      </c>
      <c r="AK2024" s="1" t="s">
        <v>1346</v>
      </c>
      <c r="AL2024" s="1" t="s">
        <v>7297</v>
      </c>
      <c r="AM2024" s="1" t="s">
        <v>4485</v>
      </c>
    </row>
    <row r="2025" spans="20:39" x14ac:dyDescent="0.2">
      <c r="T2025" s="28" t="s">
        <v>1474</v>
      </c>
      <c r="U2025" s="68" t="s">
        <v>72</v>
      </c>
      <c r="V2025" s="72" t="str">
        <f t="shared" si="31"/>
        <v>ND_MOUNTRAIL</v>
      </c>
      <c r="AJ2025" s="1" t="s">
        <v>74</v>
      </c>
      <c r="AK2025" s="1" t="s">
        <v>1347</v>
      </c>
      <c r="AL2025" s="1" t="s">
        <v>7298</v>
      </c>
      <c r="AM2025" s="1" t="s">
        <v>4486</v>
      </c>
    </row>
    <row r="2026" spans="20:39" x14ac:dyDescent="0.2">
      <c r="T2026" s="29" t="s">
        <v>916</v>
      </c>
      <c r="U2026" s="69" t="s">
        <v>72</v>
      </c>
      <c r="V2026" s="72" t="str">
        <f t="shared" si="31"/>
        <v>ND_NELSON</v>
      </c>
      <c r="AJ2026" s="1" t="s">
        <v>74</v>
      </c>
      <c r="AK2026" s="1" t="s">
        <v>1348</v>
      </c>
      <c r="AL2026" s="1" t="s">
        <v>7299</v>
      </c>
      <c r="AM2026" s="1" t="s">
        <v>4488</v>
      </c>
    </row>
    <row r="2027" spans="20:39" x14ac:dyDescent="0.2">
      <c r="T2027" s="28" t="s">
        <v>1475</v>
      </c>
      <c r="U2027" s="68" t="s">
        <v>72</v>
      </c>
      <c r="V2027" s="72" t="str">
        <f t="shared" si="31"/>
        <v>ND_OLIVER</v>
      </c>
      <c r="AJ2027" s="1" t="s">
        <v>74</v>
      </c>
      <c r="AK2027" s="1" t="s">
        <v>322</v>
      </c>
      <c r="AL2027" s="1" t="s">
        <v>7300</v>
      </c>
      <c r="AM2027" s="1" t="s">
        <v>4489</v>
      </c>
    </row>
    <row r="2028" spans="20:39" x14ac:dyDescent="0.2">
      <c r="T2028" s="29" t="s">
        <v>1476</v>
      </c>
      <c r="U2028" s="69" t="s">
        <v>72</v>
      </c>
      <c r="V2028" s="72" t="str">
        <f t="shared" si="31"/>
        <v>ND_PEMBINA</v>
      </c>
      <c r="AJ2028" s="1" t="s">
        <v>74</v>
      </c>
      <c r="AK2028" s="1" t="s">
        <v>1349</v>
      </c>
      <c r="AL2028" s="1" t="s">
        <v>7301</v>
      </c>
      <c r="AM2028" s="1" t="s">
        <v>4490</v>
      </c>
    </row>
    <row r="2029" spans="20:39" x14ac:dyDescent="0.2">
      <c r="T2029" s="28" t="s">
        <v>597</v>
      </c>
      <c r="U2029" s="68" t="s">
        <v>72</v>
      </c>
      <c r="V2029" s="72" t="str">
        <f t="shared" si="31"/>
        <v>ND_PIERCE</v>
      </c>
      <c r="AJ2029" s="1" t="s">
        <v>74</v>
      </c>
      <c r="AK2029" s="1" t="s">
        <v>1350</v>
      </c>
      <c r="AL2029" s="1" t="s">
        <v>7302</v>
      </c>
      <c r="AM2029" s="1" t="s">
        <v>4491</v>
      </c>
    </row>
    <row r="2030" spans="20:39" x14ac:dyDescent="0.2">
      <c r="T2030" s="29" t="s">
        <v>1134</v>
      </c>
      <c r="U2030" s="69" t="s">
        <v>72</v>
      </c>
      <c r="V2030" s="72" t="str">
        <f t="shared" si="31"/>
        <v>ND_RAMSEY</v>
      </c>
      <c r="AJ2030" s="1" t="s">
        <v>74</v>
      </c>
      <c r="AK2030" s="1" t="s">
        <v>1351</v>
      </c>
      <c r="AL2030" s="1" t="s">
        <v>7303</v>
      </c>
      <c r="AM2030" s="1" t="s">
        <v>4492</v>
      </c>
    </row>
    <row r="2031" spans="20:39" x14ac:dyDescent="0.2">
      <c r="T2031" s="28" t="s">
        <v>1477</v>
      </c>
      <c r="U2031" s="68" t="s">
        <v>72</v>
      </c>
      <c r="V2031" s="72" t="str">
        <f t="shared" si="31"/>
        <v>ND_RANSOM</v>
      </c>
      <c r="AJ2031" s="1" t="s">
        <v>74</v>
      </c>
      <c r="AK2031" s="1" t="s">
        <v>1352</v>
      </c>
      <c r="AL2031" s="1" t="s">
        <v>7304</v>
      </c>
      <c r="AM2031" s="1" t="s">
        <v>4493</v>
      </c>
    </row>
    <row r="2032" spans="20:39" x14ac:dyDescent="0.2">
      <c r="T2032" s="29" t="s">
        <v>1137</v>
      </c>
      <c r="U2032" s="69" t="s">
        <v>72</v>
      </c>
      <c r="V2032" s="72" t="str">
        <f t="shared" si="31"/>
        <v>ND_RENVILLE</v>
      </c>
      <c r="AJ2032" s="1" t="s">
        <v>74</v>
      </c>
      <c r="AK2032" s="1" t="s">
        <v>444</v>
      </c>
      <c r="AL2032" s="1" t="s">
        <v>7305</v>
      </c>
      <c r="AM2032" s="1" t="s">
        <v>4494</v>
      </c>
    </row>
    <row r="2033" spans="20:39" x14ac:dyDescent="0.2">
      <c r="T2033" s="28" t="s">
        <v>708</v>
      </c>
      <c r="U2033" s="68" t="s">
        <v>72</v>
      </c>
      <c r="V2033" s="72" t="str">
        <f t="shared" si="31"/>
        <v>ND_RICHLAND</v>
      </c>
      <c r="AJ2033" s="1" t="s">
        <v>74</v>
      </c>
      <c r="AK2033" s="1" t="s">
        <v>1353</v>
      </c>
      <c r="AL2033" s="1" t="s">
        <v>7306</v>
      </c>
      <c r="AM2033" s="1" t="s">
        <v>4495</v>
      </c>
    </row>
    <row r="2034" spans="20:39" x14ac:dyDescent="0.2">
      <c r="T2034" s="29" t="s">
        <v>1478</v>
      </c>
      <c r="U2034" s="69" t="s">
        <v>72</v>
      </c>
      <c r="V2034" s="72" t="str">
        <f t="shared" si="31"/>
        <v>ND_ROLETTE</v>
      </c>
      <c r="AJ2034" s="1" t="s">
        <v>74</v>
      </c>
      <c r="AK2034" s="1" t="s">
        <v>1354</v>
      </c>
      <c r="AL2034" s="1" t="s">
        <v>7307</v>
      </c>
      <c r="AM2034" s="1" t="s">
        <v>4496</v>
      </c>
    </row>
    <row r="2035" spans="20:39" x14ac:dyDescent="0.2">
      <c r="T2035" s="28" t="s">
        <v>1479</v>
      </c>
      <c r="U2035" s="68" t="s">
        <v>72</v>
      </c>
      <c r="V2035" s="72" t="str">
        <f t="shared" si="31"/>
        <v>ND_SARGENT</v>
      </c>
      <c r="AJ2035" s="1" t="s">
        <v>74</v>
      </c>
      <c r="AK2035" s="1" t="s">
        <v>1257</v>
      </c>
      <c r="AL2035" s="1" t="s">
        <v>7308</v>
      </c>
      <c r="AM2035" s="1" t="s">
        <v>4497</v>
      </c>
    </row>
    <row r="2036" spans="20:39" x14ac:dyDescent="0.2">
      <c r="T2036" s="29" t="s">
        <v>861</v>
      </c>
      <c r="U2036" s="69" t="s">
        <v>72</v>
      </c>
      <c r="V2036" s="72" t="str">
        <f t="shared" si="31"/>
        <v>ND_SHERIDAN</v>
      </c>
      <c r="AJ2036" s="1" t="s">
        <v>74</v>
      </c>
      <c r="AK2036" s="1" t="s">
        <v>454</v>
      </c>
      <c r="AL2036" s="1" t="s">
        <v>7309</v>
      </c>
      <c r="AM2036" s="1" t="s">
        <v>4482</v>
      </c>
    </row>
    <row r="2037" spans="20:39" x14ac:dyDescent="0.2">
      <c r="T2037" s="28" t="s">
        <v>801</v>
      </c>
      <c r="U2037" s="68" t="s">
        <v>72</v>
      </c>
      <c r="V2037" s="72" t="str">
        <f t="shared" si="31"/>
        <v>ND_SIOUX</v>
      </c>
      <c r="AJ2037" s="1" t="s">
        <v>74</v>
      </c>
      <c r="AK2037" s="1" t="s">
        <v>455</v>
      </c>
      <c r="AL2037" s="1" t="s">
        <v>7310</v>
      </c>
      <c r="AM2037" s="1" t="s">
        <v>4498</v>
      </c>
    </row>
    <row r="2038" spans="20:39" x14ac:dyDescent="0.2">
      <c r="T2038" s="29" t="s">
        <v>1480</v>
      </c>
      <c r="U2038" s="69" t="s">
        <v>72</v>
      </c>
      <c r="V2038" s="72" t="str">
        <f t="shared" si="31"/>
        <v>ND_SLOPE</v>
      </c>
      <c r="AJ2038" s="1" t="s">
        <v>74</v>
      </c>
      <c r="AK2038" s="1" t="s">
        <v>1355</v>
      </c>
      <c r="AL2038" s="1" t="s">
        <v>7311</v>
      </c>
      <c r="AM2038" s="1" t="s">
        <v>4474</v>
      </c>
    </row>
    <row r="2039" spans="20:39" x14ac:dyDescent="0.2">
      <c r="T2039" s="28" t="s">
        <v>712</v>
      </c>
      <c r="U2039" s="68" t="s">
        <v>72</v>
      </c>
      <c r="V2039" s="72" t="str">
        <f t="shared" si="31"/>
        <v>ND_STARK</v>
      </c>
      <c r="AJ2039" s="1" t="s">
        <v>74</v>
      </c>
      <c r="AK2039" s="1" t="s">
        <v>1356</v>
      </c>
      <c r="AL2039" s="1" t="s">
        <v>7312</v>
      </c>
      <c r="AM2039" s="1" t="s">
        <v>4499</v>
      </c>
    </row>
    <row r="2040" spans="20:39" x14ac:dyDescent="0.2">
      <c r="T2040" s="29" t="s">
        <v>1144</v>
      </c>
      <c r="U2040" s="69" t="s">
        <v>72</v>
      </c>
      <c r="V2040" s="72" t="str">
        <f t="shared" si="31"/>
        <v>ND_STEELE</v>
      </c>
      <c r="AJ2040" s="1" t="s">
        <v>74</v>
      </c>
      <c r="AK2040" s="1" t="s">
        <v>393</v>
      </c>
      <c r="AL2040" s="1" t="s">
        <v>7313</v>
      </c>
      <c r="AM2040" s="1" t="s">
        <v>4500</v>
      </c>
    </row>
    <row r="2041" spans="20:39" x14ac:dyDescent="0.2">
      <c r="T2041" s="28" t="s">
        <v>1481</v>
      </c>
      <c r="U2041" s="68" t="s">
        <v>72</v>
      </c>
      <c r="V2041" s="72" t="str">
        <f t="shared" si="31"/>
        <v>ND_STUTSMAN</v>
      </c>
      <c r="AJ2041" s="1" t="s">
        <v>74</v>
      </c>
      <c r="AK2041" s="1" t="s">
        <v>1357</v>
      </c>
      <c r="AL2041" s="1" t="s">
        <v>7314</v>
      </c>
      <c r="AM2041" s="1" t="s">
        <v>4501</v>
      </c>
    </row>
    <row r="2042" spans="20:39" x14ac:dyDescent="0.2">
      <c r="T2042" s="29" t="s">
        <v>1482</v>
      </c>
      <c r="U2042" s="69" t="s">
        <v>72</v>
      </c>
      <c r="V2042" s="72" t="str">
        <f t="shared" si="31"/>
        <v>ND_TOWNER</v>
      </c>
      <c r="AJ2042" s="1" t="s">
        <v>74</v>
      </c>
      <c r="AK2042" s="1" t="s">
        <v>1358</v>
      </c>
      <c r="AL2042" s="1" t="s">
        <v>7315</v>
      </c>
      <c r="AM2042" s="1" t="s">
        <v>4502</v>
      </c>
    </row>
    <row r="2043" spans="20:39" x14ac:dyDescent="0.2">
      <c r="T2043" s="28" t="s">
        <v>1483</v>
      </c>
      <c r="U2043" s="68" t="s">
        <v>72</v>
      </c>
      <c r="V2043" s="72" t="str">
        <f t="shared" si="31"/>
        <v>ND_TRAILL</v>
      </c>
      <c r="AJ2043" s="1" t="s">
        <v>74</v>
      </c>
      <c r="AK2043" s="1" t="s">
        <v>1359</v>
      </c>
      <c r="AL2043" s="1" t="s">
        <v>7316</v>
      </c>
      <c r="AM2043" s="1" t="s">
        <v>4474</v>
      </c>
    </row>
    <row r="2044" spans="20:39" x14ac:dyDescent="0.2">
      <c r="T2044" s="29" t="s">
        <v>1484</v>
      </c>
      <c r="U2044" s="69" t="s">
        <v>72</v>
      </c>
      <c r="V2044" s="72" t="str">
        <f t="shared" si="31"/>
        <v>ND_WALSH</v>
      </c>
      <c r="AJ2044" s="1" t="s">
        <v>74</v>
      </c>
      <c r="AK2044" s="1" t="s">
        <v>345</v>
      </c>
      <c r="AL2044" s="1" t="s">
        <v>7317</v>
      </c>
      <c r="AM2044" s="1" t="s">
        <v>4503</v>
      </c>
    </row>
    <row r="2045" spans="20:39" x14ac:dyDescent="0.2">
      <c r="T2045" s="28" t="s">
        <v>1485</v>
      </c>
      <c r="U2045" s="68" t="s">
        <v>72</v>
      </c>
      <c r="V2045" s="72" t="str">
        <f t="shared" si="31"/>
        <v>ND_WARD</v>
      </c>
      <c r="AJ2045" s="1" t="s">
        <v>74</v>
      </c>
      <c r="AK2045" s="1" t="s">
        <v>1360</v>
      </c>
      <c r="AL2045" s="1" t="s">
        <v>7318</v>
      </c>
      <c r="AM2045" s="1" t="s">
        <v>4474</v>
      </c>
    </row>
    <row r="2046" spans="20:39" x14ac:dyDescent="0.2">
      <c r="T2046" s="29" t="s">
        <v>761</v>
      </c>
      <c r="U2046" s="69" t="s">
        <v>72</v>
      </c>
      <c r="V2046" s="72" t="str">
        <f t="shared" si="31"/>
        <v>ND_WELLS</v>
      </c>
      <c r="AJ2046" s="1" t="s">
        <v>77</v>
      </c>
      <c r="AK2046" s="1" t="s">
        <v>1318</v>
      </c>
      <c r="AL2046" s="1" t="s">
        <v>7319</v>
      </c>
      <c r="AM2046" s="1" t="s">
        <v>4504</v>
      </c>
    </row>
    <row r="2047" spans="20:39" x14ac:dyDescent="0.2">
      <c r="T2047" s="28" t="s">
        <v>1486</v>
      </c>
      <c r="U2047" s="68" t="s">
        <v>72</v>
      </c>
      <c r="V2047" s="72" t="str">
        <f t="shared" si="31"/>
        <v>ND_WILLIAMS</v>
      </c>
      <c r="AJ2047" s="1" t="s">
        <v>77</v>
      </c>
      <c r="AK2047" s="1" t="s">
        <v>1308</v>
      </c>
      <c r="AL2047" s="1" t="s">
        <v>7320</v>
      </c>
      <c r="AM2047" s="1" t="s">
        <v>4505</v>
      </c>
    </row>
    <row r="2048" spans="20:39" x14ac:dyDescent="0.2">
      <c r="T2048" s="29" t="s">
        <v>406</v>
      </c>
      <c r="U2048" s="69" t="s">
        <v>71</v>
      </c>
      <c r="V2048" s="72" t="str">
        <f t="shared" si="31"/>
        <v>OH_ADAMS</v>
      </c>
      <c r="AJ2048" s="1" t="s">
        <v>77</v>
      </c>
      <c r="AK2048" s="1" t="s">
        <v>301</v>
      </c>
      <c r="AL2048" s="1" t="s">
        <v>7321</v>
      </c>
      <c r="AM2048" s="1" t="s">
        <v>9234</v>
      </c>
    </row>
    <row r="2049" spans="20:39" x14ac:dyDescent="0.2">
      <c r="T2049" s="28" t="s">
        <v>722</v>
      </c>
      <c r="U2049" s="68" t="s">
        <v>71</v>
      </c>
      <c r="V2049" s="72" t="str">
        <f t="shared" si="31"/>
        <v>OH_ALLEN</v>
      </c>
      <c r="AJ2049" s="1" t="s">
        <v>77</v>
      </c>
      <c r="AK2049" s="1" t="s">
        <v>423</v>
      </c>
      <c r="AL2049" s="1" t="s">
        <v>7322</v>
      </c>
      <c r="AM2049" s="1" t="s">
        <v>4506</v>
      </c>
    </row>
    <row r="2050" spans="20:39" x14ac:dyDescent="0.2">
      <c r="T2050" s="29" t="s">
        <v>1487</v>
      </c>
      <c r="U2050" s="69" t="s">
        <v>71</v>
      </c>
      <c r="V2050" s="72" t="str">
        <f t="shared" si="31"/>
        <v>OH_ASHLAND</v>
      </c>
      <c r="AJ2050" s="1" t="s">
        <v>77</v>
      </c>
      <c r="AK2050" s="1" t="s">
        <v>1309</v>
      </c>
      <c r="AL2050" s="1" t="s">
        <v>7323</v>
      </c>
      <c r="AM2050" s="1" t="s">
        <v>4507</v>
      </c>
    </row>
    <row r="2051" spans="20:39" x14ac:dyDescent="0.2">
      <c r="T2051" s="28" t="s">
        <v>1488</v>
      </c>
      <c r="U2051" s="68" t="s">
        <v>71</v>
      </c>
      <c r="V2051" s="72" t="str">
        <f t="shared" si="31"/>
        <v>OH_ASHTABULA</v>
      </c>
      <c r="AJ2051" s="1" t="s">
        <v>77</v>
      </c>
      <c r="AK2051" s="1" t="s">
        <v>1310</v>
      </c>
      <c r="AL2051" s="1" t="s">
        <v>7324</v>
      </c>
      <c r="AM2051" s="1" t="s">
        <v>4508</v>
      </c>
    </row>
    <row r="2052" spans="20:39" x14ac:dyDescent="0.2">
      <c r="T2052" s="29" t="s">
        <v>1489</v>
      </c>
      <c r="U2052" s="69" t="s">
        <v>71</v>
      </c>
      <c r="V2052" s="72" t="str">
        <f t="shared" si="31"/>
        <v>OH_ATHENS</v>
      </c>
      <c r="AJ2052" s="1" t="s">
        <v>77</v>
      </c>
      <c r="AK2052" s="1" t="s">
        <v>1311</v>
      </c>
      <c r="AL2052" s="1" t="s">
        <v>7325</v>
      </c>
      <c r="AM2052" s="1" t="s">
        <v>4509</v>
      </c>
    </row>
    <row r="2053" spans="20:39" x14ac:dyDescent="0.2">
      <c r="T2053" s="28" t="s">
        <v>1490</v>
      </c>
      <c r="U2053" s="68" t="s">
        <v>71</v>
      </c>
      <c r="V2053" s="72" t="str">
        <f t="shared" si="31"/>
        <v>OH_AUGLAIZE</v>
      </c>
      <c r="AJ2053" s="1" t="s">
        <v>77</v>
      </c>
      <c r="AK2053" s="1" t="s">
        <v>361</v>
      </c>
      <c r="AL2053" s="1" t="s">
        <v>7326</v>
      </c>
      <c r="AM2053" s="1" t="s">
        <v>4510</v>
      </c>
    </row>
    <row r="2054" spans="20:39" x14ac:dyDescent="0.2">
      <c r="T2054" s="29" t="s">
        <v>1491</v>
      </c>
      <c r="U2054" s="69" t="s">
        <v>71</v>
      </c>
      <c r="V2054" s="72" t="str">
        <f t="shared" si="31"/>
        <v>OH_BELMONT</v>
      </c>
      <c r="AJ2054" s="1" t="s">
        <v>77</v>
      </c>
      <c r="AK2054" s="1" t="s">
        <v>1312</v>
      </c>
      <c r="AL2054" s="1" t="s">
        <v>7327</v>
      </c>
      <c r="AM2054" s="1" t="s">
        <v>4511</v>
      </c>
    </row>
    <row r="2055" spans="20:39" x14ac:dyDescent="0.2">
      <c r="T2055" s="28" t="s">
        <v>670</v>
      </c>
      <c r="U2055" s="68" t="s">
        <v>71</v>
      </c>
      <c r="V2055" s="72" t="str">
        <f t="shared" si="31"/>
        <v>OH_BROWN</v>
      </c>
      <c r="AJ2055" s="1" t="s">
        <v>77</v>
      </c>
      <c r="AK2055" s="1" t="s">
        <v>322</v>
      </c>
      <c r="AL2055" s="1" t="s">
        <v>7328</v>
      </c>
      <c r="AM2055" s="1" t="s">
        <v>4512</v>
      </c>
    </row>
    <row r="2056" spans="20:39" x14ac:dyDescent="0.2">
      <c r="T2056" s="29" t="s">
        <v>200</v>
      </c>
      <c r="U2056" s="69" t="s">
        <v>71</v>
      </c>
      <c r="V2056" s="72" t="str">
        <f t="shared" si="31"/>
        <v>OH_BUTLER</v>
      </c>
      <c r="AJ2056" s="1" t="s">
        <v>77</v>
      </c>
      <c r="AK2056" s="1" t="s">
        <v>787</v>
      </c>
      <c r="AL2056" s="1" t="s">
        <v>7329</v>
      </c>
      <c r="AM2056" s="1" t="s">
        <v>9235</v>
      </c>
    </row>
    <row r="2057" spans="20:39" x14ac:dyDescent="0.2">
      <c r="T2057" s="28" t="s">
        <v>299</v>
      </c>
      <c r="U2057" s="68" t="s">
        <v>71</v>
      </c>
      <c r="V2057" s="72" t="str">
        <f t="shared" si="31"/>
        <v>OH_CARROLL</v>
      </c>
      <c r="AJ2057" s="1" t="s">
        <v>77</v>
      </c>
      <c r="AK2057" s="1" t="s">
        <v>440</v>
      </c>
      <c r="AL2057" s="1" t="s">
        <v>7330</v>
      </c>
      <c r="AM2057" s="1" t="s">
        <v>4513</v>
      </c>
    </row>
    <row r="2058" spans="20:39" x14ac:dyDescent="0.2">
      <c r="T2058" s="29" t="s">
        <v>673</v>
      </c>
      <c r="U2058" s="69" t="s">
        <v>71</v>
      </c>
      <c r="V2058" s="72" t="str">
        <f t="shared" ref="V2058:V2121" si="32">UPPER(CONCATENATE(TRIM(U2058),"_",TRIM(T2058)))</f>
        <v>OH_CHAMPAIGN</v>
      </c>
      <c r="AJ2058" s="1" t="s">
        <v>77</v>
      </c>
      <c r="AK2058" s="1" t="s">
        <v>1313</v>
      </c>
      <c r="AL2058" s="1" t="s">
        <v>7331</v>
      </c>
      <c r="AM2058" s="1" t="s">
        <v>4514</v>
      </c>
    </row>
    <row r="2059" spans="20:39" x14ac:dyDescent="0.2">
      <c r="T2059" s="28" t="s">
        <v>301</v>
      </c>
      <c r="U2059" s="68" t="s">
        <v>71</v>
      </c>
      <c r="V2059" s="72" t="str">
        <f t="shared" si="32"/>
        <v>OH_CLARK</v>
      </c>
      <c r="AJ2059" s="1" t="s">
        <v>77</v>
      </c>
      <c r="AK2059" s="1" t="s">
        <v>1314</v>
      </c>
      <c r="AL2059" s="1" t="s">
        <v>7332</v>
      </c>
      <c r="AM2059" s="1" t="s">
        <v>4515</v>
      </c>
    </row>
    <row r="2060" spans="20:39" x14ac:dyDescent="0.2">
      <c r="T2060" s="29" t="s">
        <v>1492</v>
      </c>
      <c r="U2060" s="69" t="s">
        <v>71</v>
      </c>
      <c r="V2060" s="72" t="str">
        <f t="shared" si="32"/>
        <v>OH_CLERMONT</v>
      </c>
      <c r="AJ2060" s="1" t="s">
        <v>77</v>
      </c>
      <c r="AK2060" s="1" t="s">
        <v>1315</v>
      </c>
      <c r="AL2060" s="1" t="s">
        <v>7333</v>
      </c>
      <c r="AM2060" s="1" t="s">
        <v>9236</v>
      </c>
    </row>
    <row r="2061" spans="20:39" x14ac:dyDescent="0.2">
      <c r="T2061" s="28" t="s">
        <v>675</v>
      </c>
      <c r="U2061" s="68" t="s">
        <v>71</v>
      </c>
      <c r="V2061" s="72" t="str">
        <f t="shared" si="32"/>
        <v>OH_CLINTON</v>
      </c>
      <c r="AJ2061" s="1" t="s">
        <v>77</v>
      </c>
      <c r="AK2061" s="1" t="s">
        <v>1316</v>
      </c>
      <c r="AL2061" s="1" t="s">
        <v>7334</v>
      </c>
      <c r="AM2061" s="1" t="s">
        <v>9236</v>
      </c>
    </row>
    <row r="2062" spans="20:39" x14ac:dyDescent="0.2">
      <c r="T2062" s="29" t="s">
        <v>1493</v>
      </c>
      <c r="U2062" s="69" t="s">
        <v>71</v>
      </c>
      <c r="V2062" s="72" t="str">
        <f t="shared" si="32"/>
        <v>OH_COLUMBIANA</v>
      </c>
      <c r="AJ2062" s="1" t="s">
        <v>77</v>
      </c>
      <c r="AK2062" s="1" t="s">
        <v>1317</v>
      </c>
      <c r="AL2062" s="1" t="s">
        <v>7335</v>
      </c>
      <c r="AM2062" s="1" t="s">
        <v>4516</v>
      </c>
    </row>
    <row r="2063" spans="20:39" x14ac:dyDescent="0.2">
      <c r="T2063" s="28" t="s">
        <v>1494</v>
      </c>
      <c r="U2063" s="68" t="s">
        <v>71</v>
      </c>
      <c r="V2063" s="72" t="str">
        <f t="shared" si="32"/>
        <v>OH_COSHOCTON</v>
      </c>
      <c r="AJ2063" s="1" t="s">
        <v>71</v>
      </c>
      <c r="AK2063" s="1" t="s">
        <v>406</v>
      </c>
      <c r="AL2063" s="1" t="s">
        <v>7336</v>
      </c>
      <c r="AM2063" s="1" t="s">
        <v>4517</v>
      </c>
    </row>
    <row r="2064" spans="20:39" x14ac:dyDescent="0.2">
      <c r="T2064" s="29" t="s">
        <v>306</v>
      </c>
      <c r="U2064" s="69" t="s">
        <v>71</v>
      </c>
      <c r="V2064" s="72" t="str">
        <f t="shared" si="32"/>
        <v>OH_CRAWFORD</v>
      </c>
      <c r="AJ2064" s="1" t="s">
        <v>71</v>
      </c>
      <c r="AK2064" s="1" t="s">
        <v>722</v>
      </c>
      <c r="AL2064" s="1" t="s">
        <v>7337</v>
      </c>
      <c r="AM2064" s="1" t="s">
        <v>4545</v>
      </c>
    </row>
    <row r="2065" spans="20:39" x14ac:dyDescent="0.2">
      <c r="T2065" s="28" t="s">
        <v>1495</v>
      </c>
      <c r="U2065" s="68" t="s">
        <v>71</v>
      </c>
      <c r="V2065" s="72" t="str">
        <f t="shared" si="32"/>
        <v>OH_CUYAHOGA</v>
      </c>
      <c r="AJ2065" s="1" t="s">
        <v>71</v>
      </c>
      <c r="AK2065" s="1" t="s">
        <v>1487</v>
      </c>
      <c r="AL2065" s="1" t="s">
        <v>7338</v>
      </c>
      <c r="AM2065" s="1" t="s">
        <v>4519</v>
      </c>
    </row>
    <row r="2066" spans="20:39" x14ac:dyDescent="0.2">
      <c r="T2066" s="29" t="s">
        <v>1496</v>
      </c>
      <c r="U2066" s="69" t="s">
        <v>71</v>
      </c>
      <c r="V2066" s="72" t="str">
        <f t="shared" si="32"/>
        <v>OH_DARKE</v>
      </c>
      <c r="AJ2066" s="1" t="s">
        <v>71</v>
      </c>
      <c r="AK2066" s="1" t="s">
        <v>1488</v>
      </c>
      <c r="AL2066" s="1" t="s">
        <v>7339</v>
      </c>
      <c r="AM2066" s="1" t="s">
        <v>9237</v>
      </c>
    </row>
    <row r="2067" spans="20:39" x14ac:dyDescent="0.2">
      <c r="T2067" s="28" t="s">
        <v>1497</v>
      </c>
      <c r="U2067" s="68" t="s">
        <v>71</v>
      </c>
      <c r="V2067" s="72" t="str">
        <f t="shared" si="32"/>
        <v>OH_DEFIANCE</v>
      </c>
      <c r="AJ2067" s="1" t="s">
        <v>71</v>
      </c>
      <c r="AK2067" s="1" t="s">
        <v>1489</v>
      </c>
      <c r="AL2067" s="1" t="s">
        <v>7340</v>
      </c>
      <c r="AM2067" s="1" t="s">
        <v>4520</v>
      </c>
    </row>
    <row r="2068" spans="20:39" x14ac:dyDescent="0.2">
      <c r="T2068" s="29" t="s">
        <v>727</v>
      </c>
      <c r="U2068" s="69" t="s">
        <v>71</v>
      </c>
      <c r="V2068" s="72" t="str">
        <f t="shared" si="32"/>
        <v>OH_DELAWARE</v>
      </c>
      <c r="AJ2068" s="1" t="s">
        <v>71</v>
      </c>
      <c r="AK2068" s="1" t="s">
        <v>1490</v>
      </c>
      <c r="AL2068" s="1" t="s">
        <v>7341</v>
      </c>
      <c r="AM2068" s="1" t="s">
        <v>4521</v>
      </c>
    </row>
    <row r="2069" spans="20:39" x14ac:dyDescent="0.2">
      <c r="T2069" s="28" t="s">
        <v>1370</v>
      </c>
      <c r="U2069" s="68" t="s">
        <v>71</v>
      </c>
      <c r="V2069" s="72" t="str">
        <f t="shared" si="32"/>
        <v>OH_ERIE</v>
      </c>
      <c r="AJ2069" s="1" t="s">
        <v>71</v>
      </c>
      <c r="AK2069" s="1" t="s">
        <v>1491</v>
      </c>
      <c r="AL2069" s="1" t="s">
        <v>7342</v>
      </c>
      <c r="AM2069" s="1" t="s">
        <v>4575</v>
      </c>
    </row>
    <row r="2070" spans="20:39" x14ac:dyDescent="0.2">
      <c r="T2070" s="29" t="s">
        <v>460</v>
      </c>
      <c r="U2070" s="69" t="s">
        <v>71</v>
      </c>
      <c r="V2070" s="72" t="str">
        <f t="shared" si="32"/>
        <v>OH_FAIRFIELD</v>
      </c>
      <c r="AJ2070" s="1" t="s">
        <v>71</v>
      </c>
      <c r="AK2070" s="1" t="s">
        <v>670</v>
      </c>
      <c r="AL2070" s="1" t="s">
        <v>7343</v>
      </c>
      <c r="AM2070" s="1" t="s">
        <v>4522</v>
      </c>
    </row>
    <row r="2071" spans="20:39" x14ac:dyDescent="0.2">
      <c r="T2071" s="28" t="s">
        <v>222</v>
      </c>
      <c r="U2071" s="68" t="s">
        <v>71</v>
      </c>
      <c r="V2071" s="72" t="str">
        <f t="shared" si="32"/>
        <v>OH_FAYETTE</v>
      </c>
      <c r="AJ2071" s="1" t="s">
        <v>71</v>
      </c>
      <c r="AK2071" s="1" t="s">
        <v>200</v>
      </c>
      <c r="AL2071" s="1" t="s">
        <v>7344</v>
      </c>
      <c r="AM2071" s="1" t="s">
        <v>3580</v>
      </c>
    </row>
    <row r="2072" spans="20:39" x14ac:dyDescent="0.2">
      <c r="T2072" s="29" t="s">
        <v>223</v>
      </c>
      <c r="U2072" s="69" t="s">
        <v>71</v>
      </c>
      <c r="V2072" s="72" t="str">
        <f t="shared" si="32"/>
        <v>OH_FRANKLIN</v>
      </c>
      <c r="AJ2072" s="1" t="s">
        <v>71</v>
      </c>
      <c r="AK2072" s="1" t="s">
        <v>299</v>
      </c>
      <c r="AL2072" s="1" t="s">
        <v>7345</v>
      </c>
      <c r="AM2072" s="1" t="s">
        <v>4523</v>
      </c>
    </row>
    <row r="2073" spans="20:39" x14ac:dyDescent="0.2">
      <c r="T2073" s="28" t="s">
        <v>312</v>
      </c>
      <c r="U2073" s="68" t="s">
        <v>71</v>
      </c>
      <c r="V2073" s="72" t="str">
        <f t="shared" si="32"/>
        <v>OH_FULTON</v>
      </c>
      <c r="AJ2073" s="1" t="s">
        <v>71</v>
      </c>
      <c r="AK2073" s="1" t="s">
        <v>673</v>
      </c>
      <c r="AL2073" s="1" t="s">
        <v>7346</v>
      </c>
      <c r="AM2073" s="1" t="s">
        <v>4524</v>
      </c>
    </row>
    <row r="2074" spans="20:39" x14ac:dyDescent="0.2">
      <c r="T2074" s="29" t="s">
        <v>1498</v>
      </c>
      <c r="U2074" s="69" t="s">
        <v>71</v>
      </c>
      <c r="V2074" s="72" t="str">
        <f t="shared" si="32"/>
        <v>OH_GALLIA</v>
      </c>
      <c r="AJ2074" s="1" t="s">
        <v>71</v>
      </c>
      <c r="AK2074" s="1" t="s">
        <v>301</v>
      </c>
      <c r="AL2074" s="1" t="s">
        <v>7347</v>
      </c>
      <c r="AM2074" s="1" t="s">
        <v>4566</v>
      </c>
    </row>
    <row r="2075" spans="20:39" x14ac:dyDescent="0.2">
      <c r="T2075" s="28" t="s">
        <v>1499</v>
      </c>
      <c r="U2075" s="68" t="s">
        <v>71</v>
      </c>
      <c r="V2075" s="72" t="str">
        <f t="shared" si="32"/>
        <v>OH_GEAUGA</v>
      </c>
      <c r="AJ2075" s="1" t="s">
        <v>71</v>
      </c>
      <c r="AK2075" s="1" t="s">
        <v>1492</v>
      </c>
      <c r="AL2075" s="1" t="s">
        <v>7348</v>
      </c>
      <c r="AM2075" s="1" t="s">
        <v>3580</v>
      </c>
    </row>
    <row r="2076" spans="20:39" x14ac:dyDescent="0.2">
      <c r="T2076" s="29" t="s">
        <v>225</v>
      </c>
      <c r="U2076" s="69" t="s">
        <v>71</v>
      </c>
      <c r="V2076" s="72" t="str">
        <f t="shared" si="32"/>
        <v>OH_GREENE</v>
      </c>
      <c r="AJ2076" s="1" t="s">
        <v>71</v>
      </c>
      <c r="AK2076" s="1" t="s">
        <v>675</v>
      </c>
      <c r="AL2076" s="1" t="s">
        <v>7349</v>
      </c>
      <c r="AM2076" s="1" t="s">
        <v>4525</v>
      </c>
    </row>
    <row r="2077" spans="20:39" x14ac:dyDescent="0.2">
      <c r="T2077" s="28" t="s">
        <v>1500</v>
      </c>
      <c r="U2077" s="68" t="s">
        <v>71</v>
      </c>
      <c r="V2077" s="72" t="str">
        <f t="shared" si="32"/>
        <v>OH_GUERNSEY</v>
      </c>
      <c r="AJ2077" s="1" t="s">
        <v>71</v>
      </c>
      <c r="AK2077" s="1" t="s">
        <v>1493</v>
      </c>
      <c r="AL2077" s="1" t="s">
        <v>7350</v>
      </c>
      <c r="AM2077" s="1" t="s">
        <v>4526</v>
      </c>
    </row>
    <row r="2078" spans="20:39" x14ac:dyDescent="0.2">
      <c r="T2078" s="29" t="s">
        <v>491</v>
      </c>
      <c r="U2078" s="69" t="s">
        <v>71</v>
      </c>
      <c r="V2078" s="72" t="str">
        <f t="shared" si="32"/>
        <v>OH_HAMILTON</v>
      </c>
      <c r="AJ2078" s="1" t="s">
        <v>71</v>
      </c>
      <c r="AK2078" s="1" t="s">
        <v>1494</v>
      </c>
      <c r="AL2078" s="1" t="s">
        <v>7351</v>
      </c>
      <c r="AM2078" s="1" t="s">
        <v>4528</v>
      </c>
    </row>
    <row r="2079" spans="20:39" x14ac:dyDescent="0.2">
      <c r="T2079" s="28" t="s">
        <v>573</v>
      </c>
      <c r="U2079" s="68" t="s">
        <v>71</v>
      </c>
      <c r="V2079" s="72" t="str">
        <f t="shared" si="32"/>
        <v>OH_HANCOCK</v>
      </c>
      <c r="AJ2079" s="1" t="s">
        <v>71</v>
      </c>
      <c r="AK2079" s="1" t="s">
        <v>306</v>
      </c>
      <c r="AL2079" s="1" t="s">
        <v>7352</v>
      </c>
      <c r="AM2079" s="1" t="s">
        <v>4529</v>
      </c>
    </row>
    <row r="2080" spans="20:39" x14ac:dyDescent="0.2">
      <c r="T2080" s="29" t="s">
        <v>685</v>
      </c>
      <c r="U2080" s="69" t="s">
        <v>71</v>
      </c>
      <c r="V2080" s="72" t="str">
        <f t="shared" si="32"/>
        <v>OH_HARDIN</v>
      </c>
      <c r="AJ2080" s="1" t="s">
        <v>71</v>
      </c>
      <c r="AK2080" s="1" t="s">
        <v>1495</v>
      </c>
      <c r="AL2080" s="1" t="s">
        <v>7353</v>
      </c>
      <c r="AM2080" s="1" t="s">
        <v>9238</v>
      </c>
    </row>
    <row r="2081" spans="20:39" x14ac:dyDescent="0.2">
      <c r="T2081" s="28" t="s">
        <v>732</v>
      </c>
      <c r="U2081" s="68" t="s">
        <v>71</v>
      </c>
      <c r="V2081" s="72" t="str">
        <f t="shared" si="32"/>
        <v>OH_HARRISON</v>
      </c>
      <c r="AJ2081" s="1" t="s">
        <v>71</v>
      </c>
      <c r="AK2081" s="1" t="s">
        <v>1496</v>
      </c>
      <c r="AL2081" s="1" t="s">
        <v>7354</v>
      </c>
      <c r="AM2081" s="1" t="s">
        <v>4530</v>
      </c>
    </row>
    <row r="2082" spans="20:39" x14ac:dyDescent="0.2">
      <c r="T2082" s="29" t="s">
        <v>227</v>
      </c>
      <c r="U2082" s="69" t="s">
        <v>71</v>
      </c>
      <c r="V2082" s="72" t="str">
        <f t="shared" si="32"/>
        <v>OH_HENRY</v>
      </c>
      <c r="AJ2082" s="1" t="s">
        <v>71</v>
      </c>
      <c r="AK2082" s="1" t="s">
        <v>1497</v>
      </c>
      <c r="AL2082" s="1" t="s">
        <v>7355</v>
      </c>
      <c r="AM2082" s="1" t="s">
        <v>4531</v>
      </c>
    </row>
    <row r="2083" spans="20:39" x14ac:dyDescent="0.2">
      <c r="T2083" s="28" t="s">
        <v>1501</v>
      </c>
      <c r="U2083" s="68" t="s">
        <v>71</v>
      </c>
      <c r="V2083" s="72" t="str">
        <f t="shared" si="32"/>
        <v>OH_HIGHLAND</v>
      </c>
      <c r="AJ2083" s="1" t="s">
        <v>71</v>
      </c>
      <c r="AK2083" s="1" t="s">
        <v>727</v>
      </c>
      <c r="AL2083" s="1" t="s">
        <v>7356</v>
      </c>
      <c r="AM2083" s="1" t="s">
        <v>4527</v>
      </c>
    </row>
    <row r="2084" spans="20:39" x14ac:dyDescent="0.2">
      <c r="T2084" s="29" t="s">
        <v>1502</v>
      </c>
      <c r="U2084" s="69" t="s">
        <v>71</v>
      </c>
      <c r="V2084" s="72" t="str">
        <f t="shared" si="32"/>
        <v>OH_HOCKING</v>
      </c>
      <c r="AJ2084" s="1" t="s">
        <v>71</v>
      </c>
      <c r="AK2084" s="1" t="s">
        <v>1370</v>
      </c>
      <c r="AL2084" s="1" t="s">
        <v>7357</v>
      </c>
      <c r="AM2084" s="1" t="s">
        <v>9239</v>
      </c>
    </row>
    <row r="2085" spans="20:39" x14ac:dyDescent="0.2">
      <c r="T2085" s="28" t="s">
        <v>497</v>
      </c>
      <c r="U2085" s="68" t="s">
        <v>71</v>
      </c>
      <c r="V2085" s="72" t="str">
        <f t="shared" si="32"/>
        <v>OH_HOLMES</v>
      </c>
      <c r="AJ2085" s="1" t="s">
        <v>71</v>
      </c>
      <c r="AK2085" s="1" t="s">
        <v>460</v>
      </c>
      <c r="AL2085" s="1" t="s">
        <v>7358</v>
      </c>
      <c r="AM2085" s="1" t="s">
        <v>4527</v>
      </c>
    </row>
    <row r="2086" spans="20:39" x14ac:dyDescent="0.2">
      <c r="T2086" s="29" t="s">
        <v>1053</v>
      </c>
      <c r="U2086" s="69" t="s">
        <v>71</v>
      </c>
      <c r="V2086" s="72" t="str">
        <f t="shared" si="32"/>
        <v>OH_HURON</v>
      </c>
      <c r="AJ2086" s="1" t="s">
        <v>71</v>
      </c>
      <c r="AK2086" s="1" t="s">
        <v>222</v>
      </c>
      <c r="AL2086" s="1" t="s">
        <v>7359</v>
      </c>
      <c r="AM2086" s="1" t="s">
        <v>4532</v>
      </c>
    </row>
    <row r="2087" spans="20:39" x14ac:dyDescent="0.2">
      <c r="T2087" s="28" t="s">
        <v>229</v>
      </c>
      <c r="U2087" s="68" t="s">
        <v>71</v>
      </c>
      <c r="V2087" s="72" t="str">
        <f t="shared" si="32"/>
        <v>OH_JACKSON</v>
      </c>
      <c r="AJ2087" s="1" t="s">
        <v>71</v>
      </c>
      <c r="AK2087" s="1" t="s">
        <v>223</v>
      </c>
      <c r="AL2087" s="1" t="s">
        <v>7360</v>
      </c>
      <c r="AM2087" s="1" t="s">
        <v>4527</v>
      </c>
    </row>
    <row r="2088" spans="20:39" x14ac:dyDescent="0.2">
      <c r="T2088" s="29" t="s">
        <v>230</v>
      </c>
      <c r="U2088" s="69" t="s">
        <v>71</v>
      </c>
      <c r="V2088" s="72" t="str">
        <f t="shared" si="32"/>
        <v>OH_JEFFERSON</v>
      </c>
      <c r="AJ2088" s="1" t="s">
        <v>71</v>
      </c>
      <c r="AK2088" s="1" t="s">
        <v>312</v>
      </c>
      <c r="AL2088" s="1" t="s">
        <v>7361</v>
      </c>
      <c r="AM2088" s="1" t="s">
        <v>4567</v>
      </c>
    </row>
    <row r="2089" spans="20:39" x14ac:dyDescent="0.2">
      <c r="T2089" s="28" t="s">
        <v>693</v>
      </c>
      <c r="U2089" s="68" t="s">
        <v>71</v>
      </c>
      <c r="V2089" s="72" t="str">
        <f t="shared" si="32"/>
        <v>OH_KNOX</v>
      </c>
      <c r="AJ2089" s="1" t="s">
        <v>71</v>
      </c>
      <c r="AK2089" s="1" t="s">
        <v>1498</v>
      </c>
      <c r="AL2089" s="1" t="s">
        <v>7362</v>
      </c>
      <c r="AM2089" s="1" t="s">
        <v>4533</v>
      </c>
    </row>
    <row r="2090" spans="20:39" x14ac:dyDescent="0.2">
      <c r="T2090" s="29" t="s">
        <v>366</v>
      </c>
      <c r="U2090" s="69" t="s">
        <v>71</v>
      </c>
      <c r="V2090" s="72" t="str">
        <f t="shared" si="32"/>
        <v>OH_LAKE</v>
      </c>
      <c r="AJ2090" s="1" t="s">
        <v>71</v>
      </c>
      <c r="AK2090" s="1" t="s">
        <v>1499</v>
      </c>
      <c r="AL2090" s="1" t="s">
        <v>7363</v>
      </c>
      <c r="AM2090" s="1" t="s">
        <v>9238</v>
      </c>
    </row>
    <row r="2091" spans="20:39" x14ac:dyDescent="0.2">
      <c r="T2091" s="28" t="s">
        <v>233</v>
      </c>
      <c r="U2091" s="68" t="s">
        <v>71</v>
      </c>
      <c r="V2091" s="72" t="str">
        <f t="shared" si="32"/>
        <v>OH_LAWRENCE</v>
      </c>
      <c r="AJ2091" s="1" t="s">
        <v>71</v>
      </c>
      <c r="AK2091" s="1" t="s">
        <v>225</v>
      </c>
      <c r="AL2091" s="1" t="s">
        <v>7364</v>
      </c>
      <c r="AM2091" s="1" t="s">
        <v>9240</v>
      </c>
    </row>
    <row r="2092" spans="20:39" x14ac:dyDescent="0.2">
      <c r="T2092" s="29" t="s">
        <v>1503</v>
      </c>
      <c r="U2092" s="69" t="s">
        <v>71</v>
      </c>
      <c r="V2092" s="72" t="str">
        <f t="shared" si="32"/>
        <v>OH_LICKING</v>
      </c>
      <c r="AJ2092" s="1" t="s">
        <v>71</v>
      </c>
      <c r="AK2092" s="1" t="s">
        <v>1500</v>
      </c>
      <c r="AL2092" s="1" t="s">
        <v>7365</v>
      </c>
      <c r="AM2092" s="1" t="s">
        <v>4534</v>
      </c>
    </row>
    <row r="2093" spans="20:39" x14ac:dyDescent="0.2">
      <c r="T2093" s="28" t="s">
        <v>324</v>
      </c>
      <c r="U2093" s="68" t="s">
        <v>71</v>
      </c>
      <c r="V2093" s="72" t="str">
        <f t="shared" si="32"/>
        <v>OH_LOGAN</v>
      </c>
      <c r="AJ2093" s="1" t="s">
        <v>71</v>
      </c>
      <c r="AK2093" s="1" t="s">
        <v>491</v>
      </c>
      <c r="AL2093" s="1" t="s">
        <v>7366</v>
      </c>
      <c r="AM2093" s="1" t="s">
        <v>3580</v>
      </c>
    </row>
    <row r="2094" spans="20:39" x14ac:dyDescent="0.2">
      <c r="T2094" s="29" t="s">
        <v>1504</v>
      </c>
      <c r="U2094" s="69" t="s">
        <v>71</v>
      </c>
      <c r="V2094" s="72" t="str">
        <f t="shared" si="32"/>
        <v>OH_LORAIN</v>
      </c>
      <c r="AJ2094" s="1" t="s">
        <v>71</v>
      </c>
      <c r="AK2094" s="1" t="s">
        <v>573</v>
      </c>
      <c r="AL2094" s="1" t="s">
        <v>7367</v>
      </c>
      <c r="AM2094" s="1" t="s">
        <v>4535</v>
      </c>
    </row>
    <row r="2095" spans="20:39" x14ac:dyDescent="0.2">
      <c r="T2095" s="28" t="s">
        <v>786</v>
      </c>
      <c r="U2095" s="68" t="s">
        <v>71</v>
      </c>
      <c r="V2095" s="72" t="str">
        <f t="shared" si="32"/>
        <v>OH_LUCAS</v>
      </c>
      <c r="AJ2095" s="1" t="s">
        <v>71</v>
      </c>
      <c r="AK2095" s="1" t="s">
        <v>685</v>
      </c>
      <c r="AL2095" s="1" t="s">
        <v>7368</v>
      </c>
      <c r="AM2095" s="1" t="s">
        <v>4536</v>
      </c>
    </row>
    <row r="2096" spans="20:39" x14ac:dyDescent="0.2">
      <c r="T2096" s="29" t="s">
        <v>238</v>
      </c>
      <c r="U2096" s="69" t="s">
        <v>71</v>
      </c>
      <c r="V2096" s="72" t="str">
        <f t="shared" si="32"/>
        <v>OH_MADISON</v>
      </c>
      <c r="AJ2096" s="1" t="s">
        <v>71</v>
      </c>
      <c r="AK2096" s="1" t="s">
        <v>732</v>
      </c>
      <c r="AL2096" s="1" t="s">
        <v>7369</v>
      </c>
      <c r="AM2096" s="1" t="s">
        <v>4537</v>
      </c>
    </row>
    <row r="2097" spans="20:39" x14ac:dyDescent="0.2">
      <c r="T2097" s="28" t="s">
        <v>1505</v>
      </c>
      <c r="U2097" s="68" t="s">
        <v>71</v>
      </c>
      <c r="V2097" s="72" t="str">
        <f t="shared" si="32"/>
        <v>OH_MAHONING</v>
      </c>
      <c r="AJ2097" s="1" t="s">
        <v>71</v>
      </c>
      <c r="AK2097" s="1" t="s">
        <v>227</v>
      </c>
      <c r="AL2097" s="1" t="s">
        <v>7370</v>
      </c>
      <c r="AM2097" s="1" t="s">
        <v>4538</v>
      </c>
    </row>
    <row r="2098" spans="20:39" x14ac:dyDescent="0.2">
      <c r="T2098" s="29" t="s">
        <v>240</v>
      </c>
      <c r="U2098" s="69" t="s">
        <v>71</v>
      </c>
      <c r="V2098" s="72" t="str">
        <f t="shared" si="32"/>
        <v>OH_MARION</v>
      </c>
      <c r="AJ2098" s="1" t="s">
        <v>71</v>
      </c>
      <c r="AK2098" s="1" t="s">
        <v>1501</v>
      </c>
      <c r="AL2098" s="1" t="s">
        <v>7371</v>
      </c>
      <c r="AM2098" s="1" t="s">
        <v>4539</v>
      </c>
    </row>
    <row r="2099" spans="20:39" x14ac:dyDescent="0.2">
      <c r="T2099" s="28" t="s">
        <v>1506</v>
      </c>
      <c r="U2099" s="68" t="s">
        <v>71</v>
      </c>
      <c r="V2099" s="72" t="str">
        <f t="shared" si="32"/>
        <v>OH_MEDINA</v>
      </c>
      <c r="AJ2099" s="1" t="s">
        <v>71</v>
      </c>
      <c r="AK2099" s="1" t="s">
        <v>1502</v>
      </c>
      <c r="AL2099" s="1" t="s">
        <v>7372</v>
      </c>
      <c r="AM2099" s="1" t="s">
        <v>4540</v>
      </c>
    </row>
    <row r="2100" spans="20:39" x14ac:dyDescent="0.2">
      <c r="T2100" s="29" t="s">
        <v>1507</v>
      </c>
      <c r="U2100" s="69" t="s">
        <v>71</v>
      </c>
      <c r="V2100" s="72" t="str">
        <f t="shared" si="32"/>
        <v>OH_MEIGS</v>
      </c>
      <c r="AJ2100" s="1" t="s">
        <v>71</v>
      </c>
      <c r="AK2100" s="1" t="s">
        <v>497</v>
      </c>
      <c r="AL2100" s="1" t="s">
        <v>7373</v>
      </c>
      <c r="AM2100" s="1" t="s">
        <v>4541</v>
      </c>
    </row>
    <row r="2101" spans="20:39" x14ac:dyDescent="0.2">
      <c r="T2101" s="28" t="s">
        <v>703</v>
      </c>
      <c r="U2101" s="68" t="s">
        <v>71</v>
      </c>
      <c r="V2101" s="72" t="str">
        <f t="shared" si="32"/>
        <v>OH_MERCER</v>
      </c>
      <c r="AJ2101" s="1" t="s">
        <v>71</v>
      </c>
      <c r="AK2101" s="1" t="s">
        <v>1053</v>
      </c>
      <c r="AL2101" s="1" t="s">
        <v>7374</v>
      </c>
      <c r="AM2101" s="1" t="s">
        <v>4542</v>
      </c>
    </row>
    <row r="2102" spans="20:39" x14ac:dyDescent="0.2">
      <c r="T2102" s="29" t="s">
        <v>740</v>
      </c>
      <c r="U2102" s="69" t="s">
        <v>71</v>
      </c>
      <c r="V2102" s="72" t="str">
        <f t="shared" si="32"/>
        <v>OH_MIAMI</v>
      </c>
      <c r="AJ2102" s="1" t="s">
        <v>71</v>
      </c>
      <c r="AK2102" s="1" t="s">
        <v>229</v>
      </c>
      <c r="AL2102" s="1" t="s">
        <v>7375</v>
      </c>
      <c r="AM2102" s="1" t="s">
        <v>4543</v>
      </c>
    </row>
    <row r="2103" spans="20:39" x14ac:dyDescent="0.2">
      <c r="T2103" s="28" t="s">
        <v>243</v>
      </c>
      <c r="U2103" s="68" t="s">
        <v>71</v>
      </c>
      <c r="V2103" s="72" t="str">
        <f t="shared" si="32"/>
        <v>OH_MONROE</v>
      </c>
      <c r="AJ2103" s="1" t="s">
        <v>71</v>
      </c>
      <c r="AK2103" s="1" t="s">
        <v>230</v>
      </c>
      <c r="AL2103" s="1" t="s">
        <v>7376</v>
      </c>
      <c r="AM2103" s="1" t="s">
        <v>4574</v>
      </c>
    </row>
    <row r="2104" spans="20:39" x14ac:dyDescent="0.2">
      <c r="T2104" s="29" t="s">
        <v>244</v>
      </c>
      <c r="U2104" s="69" t="s">
        <v>71</v>
      </c>
      <c r="V2104" s="72" t="str">
        <f t="shared" si="32"/>
        <v>OH_MONTGOMERY</v>
      </c>
      <c r="AJ2104" s="1" t="s">
        <v>71</v>
      </c>
      <c r="AK2104" s="1" t="s">
        <v>693</v>
      </c>
      <c r="AL2104" s="1" t="s">
        <v>7377</v>
      </c>
      <c r="AM2104" s="1" t="s">
        <v>4544</v>
      </c>
    </row>
    <row r="2105" spans="20:39" x14ac:dyDescent="0.2">
      <c r="T2105" s="28" t="s">
        <v>245</v>
      </c>
      <c r="U2105" s="68" t="s">
        <v>71</v>
      </c>
      <c r="V2105" s="72" t="str">
        <f t="shared" si="32"/>
        <v>OH_MORGAN</v>
      </c>
      <c r="AJ2105" s="1" t="s">
        <v>71</v>
      </c>
      <c r="AK2105" s="1" t="s">
        <v>366</v>
      </c>
      <c r="AL2105" s="1" t="s">
        <v>7378</v>
      </c>
      <c r="AM2105" s="1" t="s">
        <v>9238</v>
      </c>
    </row>
    <row r="2106" spans="20:39" x14ac:dyDescent="0.2">
      <c r="T2106" s="29" t="s">
        <v>1508</v>
      </c>
      <c r="U2106" s="69" t="s">
        <v>71</v>
      </c>
      <c r="V2106" s="72" t="str">
        <f t="shared" si="32"/>
        <v>OH_MORROW</v>
      </c>
      <c r="AJ2106" s="1" t="s">
        <v>71</v>
      </c>
      <c r="AK2106" s="1" t="s">
        <v>233</v>
      </c>
      <c r="AL2106" s="1" t="s">
        <v>7379</v>
      </c>
      <c r="AM2106" s="1" t="s">
        <v>3771</v>
      </c>
    </row>
    <row r="2107" spans="20:39" x14ac:dyDescent="0.2">
      <c r="T2107" s="28" t="s">
        <v>1509</v>
      </c>
      <c r="U2107" s="68" t="s">
        <v>71</v>
      </c>
      <c r="V2107" s="72" t="str">
        <f t="shared" si="32"/>
        <v>OH_MUSKINGUM</v>
      </c>
      <c r="AJ2107" s="1" t="s">
        <v>71</v>
      </c>
      <c r="AK2107" s="1" t="s">
        <v>1503</v>
      </c>
      <c r="AL2107" s="1" t="s">
        <v>7380</v>
      </c>
      <c r="AM2107" s="1" t="s">
        <v>4527</v>
      </c>
    </row>
    <row r="2108" spans="20:39" x14ac:dyDescent="0.2">
      <c r="T2108" s="29" t="s">
        <v>741</v>
      </c>
      <c r="U2108" s="69" t="s">
        <v>71</v>
      </c>
      <c r="V2108" s="72" t="str">
        <f t="shared" si="32"/>
        <v>OH_NOBLE</v>
      </c>
      <c r="AJ2108" s="1" t="s">
        <v>71</v>
      </c>
      <c r="AK2108" s="1" t="s">
        <v>324</v>
      </c>
      <c r="AL2108" s="1" t="s">
        <v>7381</v>
      </c>
      <c r="AM2108" s="1" t="s">
        <v>4546</v>
      </c>
    </row>
    <row r="2109" spans="20:39" x14ac:dyDescent="0.2">
      <c r="T2109" s="28" t="s">
        <v>849</v>
      </c>
      <c r="U2109" s="68" t="s">
        <v>71</v>
      </c>
      <c r="V2109" s="72" t="str">
        <f t="shared" si="32"/>
        <v>OH_OTTAWA</v>
      </c>
      <c r="AJ2109" s="1" t="s">
        <v>71</v>
      </c>
      <c r="AK2109" s="1" t="s">
        <v>1504</v>
      </c>
      <c r="AL2109" s="1" t="s">
        <v>7382</v>
      </c>
      <c r="AM2109" s="1" t="s">
        <v>9238</v>
      </c>
    </row>
    <row r="2110" spans="20:39" x14ac:dyDescent="0.2">
      <c r="T2110" s="29" t="s">
        <v>595</v>
      </c>
      <c r="U2110" s="69" t="s">
        <v>71</v>
      </c>
      <c r="V2110" s="72" t="str">
        <f t="shared" si="32"/>
        <v>OH_PAULDING</v>
      </c>
      <c r="AJ2110" s="1" t="s">
        <v>71</v>
      </c>
      <c r="AK2110" s="1" t="s">
        <v>786</v>
      </c>
      <c r="AL2110" s="1" t="s">
        <v>7383</v>
      </c>
      <c r="AM2110" s="1" t="s">
        <v>4567</v>
      </c>
    </row>
    <row r="2111" spans="20:39" x14ac:dyDescent="0.2">
      <c r="T2111" s="28" t="s">
        <v>246</v>
      </c>
      <c r="U2111" s="68" t="s">
        <v>71</v>
      </c>
      <c r="V2111" s="72" t="str">
        <f t="shared" si="32"/>
        <v>OH_PERRY</v>
      </c>
      <c r="AJ2111" s="1" t="s">
        <v>71</v>
      </c>
      <c r="AK2111" s="1" t="s">
        <v>238</v>
      </c>
      <c r="AL2111" s="1" t="s">
        <v>7384</v>
      </c>
      <c r="AM2111" s="1" t="s">
        <v>4527</v>
      </c>
    </row>
    <row r="2112" spans="20:39" x14ac:dyDescent="0.2">
      <c r="T2112" s="29" t="s">
        <v>1510</v>
      </c>
      <c r="U2112" s="69" t="s">
        <v>71</v>
      </c>
      <c r="V2112" s="72" t="str">
        <f t="shared" si="32"/>
        <v>OH_PICKAWAY</v>
      </c>
      <c r="AJ2112" s="1" t="s">
        <v>71</v>
      </c>
      <c r="AK2112" s="1" t="s">
        <v>1505</v>
      </c>
      <c r="AL2112" s="1" t="s">
        <v>7385</v>
      </c>
      <c r="AM2112" s="1" t="s">
        <v>9241</v>
      </c>
    </row>
    <row r="2113" spans="20:39" x14ac:dyDescent="0.2">
      <c r="T2113" s="28" t="s">
        <v>248</v>
      </c>
      <c r="U2113" s="68" t="s">
        <v>71</v>
      </c>
      <c r="V2113" s="72" t="str">
        <f t="shared" si="32"/>
        <v>OH_PIKE</v>
      </c>
      <c r="AJ2113" s="1" t="s">
        <v>71</v>
      </c>
      <c r="AK2113" s="1" t="s">
        <v>240</v>
      </c>
      <c r="AL2113" s="1" t="s">
        <v>7386</v>
      </c>
      <c r="AM2113" s="1" t="s">
        <v>4548</v>
      </c>
    </row>
    <row r="2114" spans="20:39" x14ac:dyDescent="0.2">
      <c r="T2114" s="29" t="s">
        <v>1511</v>
      </c>
      <c r="U2114" s="69" t="s">
        <v>71</v>
      </c>
      <c r="V2114" s="72" t="str">
        <f t="shared" si="32"/>
        <v>OH_PORTAGE</v>
      </c>
      <c r="AJ2114" s="1" t="s">
        <v>71</v>
      </c>
      <c r="AK2114" s="1" t="s">
        <v>1506</v>
      </c>
      <c r="AL2114" s="1" t="s">
        <v>7387</v>
      </c>
      <c r="AM2114" s="1" t="s">
        <v>9238</v>
      </c>
    </row>
    <row r="2115" spans="20:39" x14ac:dyDescent="0.2">
      <c r="T2115" s="28" t="s">
        <v>1512</v>
      </c>
      <c r="U2115" s="68" t="s">
        <v>71</v>
      </c>
      <c r="V2115" s="72" t="str">
        <f t="shared" si="32"/>
        <v>OH_PREBLE</v>
      </c>
      <c r="AJ2115" s="1" t="s">
        <v>71</v>
      </c>
      <c r="AK2115" s="1" t="s">
        <v>1507</v>
      </c>
      <c r="AL2115" s="1" t="s">
        <v>7388</v>
      </c>
      <c r="AM2115" s="1" t="s">
        <v>4549</v>
      </c>
    </row>
    <row r="2116" spans="20:39" x14ac:dyDescent="0.2">
      <c r="T2116" s="29" t="s">
        <v>511</v>
      </c>
      <c r="U2116" s="69" t="s">
        <v>71</v>
      </c>
      <c r="V2116" s="72" t="str">
        <f t="shared" si="32"/>
        <v>OH_PUTNAM</v>
      </c>
      <c r="AJ2116" s="1" t="s">
        <v>71</v>
      </c>
      <c r="AK2116" s="1" t="s">
        <v>703</v>
      </c>
      <c r="AL2116" s="1" t="s">
        <v>7389</v>
      </c>
      <c r="AM2116" s="1" t="s">
        <v>4550</v>
      </c>
    </row>
    <row r="2117" spans="20:39" x14ac:dyDescent="0.2">
      <c r="T2117" s="28" t="s">
        <v>708</v>
      </c>
      <c r="U2117" s="68" t="s">
        <v>71</v>
      </c>
      <c r="V2117" s="72" t="str">
        <f t="shared" si="32"/>
        <v>OH_RICHLAND</v>
      </c>
      <c r="AJ2117" s="1" t="s">
        <v>71</v>
      </c>
      <c r="AK2117" s="1" t="s">
        <v>740</v>
      </c>
      <c r="AL2117" s="1" t="s">
        <v>7390</v>
      </c>
      <c r="AM2117" s="1" t="s">
        <v>9240</v>
      </c>
    </row>
    <row r="2118" spans="20:39" x14ac:dyDescent="0.2">
      <c r="T2118" s="29" t="s">
        <v>1513</v>
      </c>
      <c r="U2118" s="69" t="s">
        <v>71</v>
      </c>
      <c r="V2118" s="72" t="str">
        <f t="shared" si="32"/>
        <v>OH_ROSS</v>
      </c>
      <c r="AJ2118" s="1" t="s">
        <v>71</v>
      </c>
      <c r="AK2118" s="1" t="s">
        <v>243</v>
      </c>
      <c r="AL2118" s="1" t="s">
        <v>7391</v>
      </c>
      <c r="AM2118" s="1" t="s">
        <v>4551</v>
      </c>
    </row>
    <row r="2119" spans="20:39" x14ac:dyDescent="0.2">
      <c r="T2119" s="28" t="s">
        <v>1514</v>
      </c>
      <c r="U2119" s="68" t="s">
        <v>71</v>
      </c>
      <c r="V2119" s="72" t="str">
        <f t="shared" si="32"/>
        <v>OH_SANDUSKY</v>
      </c>
      <c r="AJ2119" s="1" t="s">
        <v>71</v>
      </c>
      <c r="AK2119" s="1" t="s">
        <v>244</v>
      </c>
      <c r="AL2119" s="1" t="s">
        <v>7392</v>
      </c>
      <c r="AM2119" s="1" t="s">
        <v>9240</v>
      </c>
    </row>
    <row r="2120" spans="20:39" x14ac:dyDescent="0.2">
      <c r="T2120" s="29" t="s">
        <v>1515</v>
      </c>
      <c r="U2120" s="69" t="s">
        <v>71</v>
      </c>
      <c r="V2120" s="72" t="str">
        <f t="shared" si="32"/>
        <v>OH_SCIOTO</v>
      </c>
      <c r="AJ2120" s="1" t="s">
        <v>71</v>
      </c>
      <c r="AK2120" s="1" t="s">
        <v>245</v>
      </c>
      <c r="AL2120" s="1" t="s">
        <v>7393</v>
      </c>
      <c r="AM2120" s="1" t="s">
        <v>4552</v>
      </c>
    </row>
    <row r="2121" spans="20:39" x14ac:dyDescent="0.2">
      <c r="T2121" s="28" t="s">
        <v>1385</v>
      </c>
      <c r="U2121" s="68" t="s">
        <v>71</v>
      </c>
      <c r="V2121" s="72" t="str">
        <f t="shared" si="32"/>
        <v>OH_SENECA</v>
      </c>
      <c r="AJ2121" s="1" t="s">
        <v>71</v>
      </c>
      <c r="AK2121" s="1" t="s">
        <v>1508</v>
      </c>
      <c r="AL2121" s="1" t="s">
        <v>7394</v>
      </c>
      <c r="AM2121" s="1" t="s">
        <v>4527</v>
      </c>
    </row>
    <row r="2122" spans="20:39" x14ac:dyDescent="0.2">
      <c r="T2122" s="29" t="s">
        <v>252</v>
      </c>
      <c r="U2122" s="69" t="s">
        <v>71</v>
      </c>
      <c r="V2122" s="72" t="str">
        <f t="shared" ref="V2122:V2185" si="33">UPPER(CONCATENATE(TRIM(U2122),"_",TRIM(T2122)))</f>
        <v>OH_SHELBY</v>
      </c>
      <c r="AJ2122" s="1" t="s">
        <v>71</v>
      </c>
      <c r="AK2122" s="1" t="s">
        <v>1509</v>
      </c>
      <c r="AL2122" s="1" t="s">
        <v>7395</v>
      </c>
      <c r="AM2122" s="1" t="s">
        <v>4553</v>
      </c>
    </row>
    <row r="2123" spans="20:39" x14ac:dyDescent="0.2">
      <c r="T2123" s="28" t="s">
        <v>712</v>
      </c>
      <c r="U2123" s="68" t="s">
        <v>71</v>
      </c>
      <c r="V2123" s="72" t="str">
        <f t="shared" si="33"/>
        <v>OH_STARK</v>
      </c>
      <c r="AJ2123" s="1" t="s">
        <v>71</v>
      </c>
      <c r="AK2123" s="1" t="s">
        <v>741</v>
      </c>
      <c r="AL2123" s="1" t="s">
        <v>7396</v>
      </c>
      <c r="AM2123" s="1" t="s">
        <v>4554</v>
      </c>
    </row>
    <row r="2124" spans="20:39" x14ac:dyDescent="0.2">
      <c r="T2124" s="29" t="s">
        <v>457</v>
      </c>
      <c r="U2124" s="69" t="s">
        <v>71</v>
      </c>
      <c r="V2124" s="72" t="str">
        <f t="shared" si="33"/>
        <v>OH_SUMMIT</v>
      </c>
      <c r="AJ2124" s="1" t="s">
        <v>71</v>
      </c>
      <c r="AK2124" s="1" t="s">
        <v>849</v>
      </c>
      <c r="AL2124" s="1" t="s">
        <v>7397</v>
      </c>
      <c r="AM2124" s="1" t="s">
        <v>4555</v>
      </c>
    </row>
    <row r="2125" spans="20:39" x14ac:dyDescent="0.2">
      <c r="T2125" s="28" t="s">
        <v>1516</v>
      </c>
      <c r="U2125" s="68" t="s">
        <v>71</v>
      </c>
      <c r="V2125" s="72" t="str">
        <f t="shared" si="33"/>
        <v>OH_TRUMBULL</v>
      </c>
      <c r="AJ2125" s="1" t="s">
        <v>71</v>
      </c>
      <c r="AK2125" s="1" t="s">
        <v>595</v>
      </c>
      <c r="AL2125" s="1" t="s">
        <v>7398</v>
      </c>
      <c r="AM2125" s="1" t="s">
        <v>4556</v>
      </c>
    </row>
    <row r="2126" spans="20:39" x14ac:dyDescent="0.2">
      <c r="T2126" s="29" t="s">
        <v>1517</v>
      </c>
      <c r="U2126" s="69" t="s">
        <v>71</v>
      </c>
      <c r="V2126" s="72" t="str">
        <f t="shared" si="33"/>
        <v>OH_TUSCARAWAS</v>
      </c>
      <c r="AJ2126" s="1" t="s">
        <v>71</v>
      </c>
      <c r="AK2126" s="1" t="s">
        <v>246</v>
      </c>
      <c r="AL2126" s="1" t="s">
        <v>7399</v>
      </c>
      <c r="AM2126" s="1" t="s">
        <v>4557</v>
      </c>
    </row>
    <row r="2127" spans="20:39" x14ac:dyDescent="0.2">
      <c r="T2127" s="28" t="s">
        <v>345</v>
      </c>
      <c r="U2127" s="68" t="s">
        <v>71</v>
      </c>
      <c r="V2127" s="72" t="str">
        <f t="shared" si="33"/>
        <v>OH_UNION</v>
      </c>
      <c r="AJ2127" s="1" t="s">
        <v>71</v>
      </c>
      <c r="AK2127" s="1" t="s">
        <v>1510</v>
      </c>
      <c r="AL2127" s="1" t="s">
        <v>7400</v>
      </c>
      <c r="AM2127" s="1" t="s">
        <v>4527</v>
      </c>
    </row>
    <row r="2128" spans="20:39" x14ac:dyDescent="0.2">
      <c r="T2128" s="29" t="s">
        <v>1518</v>
      </c>
      <c r="U2128" s="69" t="s">
        <v>71</v>
      </c>
      <c r="V2128" s="72" t="str">
        <f t="shared" si="33"/>
        <v>OH_VAN WERT</v>
      </c>
      <c r="AJ2128" s="1" t="s">
        <v>71</v>
      </c>
      <c r="AK2128" s="1" t="s">
        <v>248</v>
      </c>
      <c r="AL2128" s="1" t="s">
        <v>7401</v>
      </c>
      <c r="AM2128" s="1" t="s">
        <v>4558</v>
      </c>
    </row>
    <row r="2129" spans="20:39" x14ac:dyDescent="0.2">
      <c r="T2129" s="28" t="s">
        <v>1519</v>
      </c>
      <c r="U2129" s="68" t="s">
        <v>71</v>
      </c>
      <c r="V2129" s="72" t="str">
        <f t="shared" si="33"/>
        <v>OH_VINTON</v>
      </c>
      <c r="AJ2129" s="1" t="s">
        <v>71</v>
      </c>
      <c r="AK2129" s="1" t="s">
        <v>1511</v>
      </c>
      <c r="AL2129" s="1" t="s">
        <v>7402</v>
      </c>
      <c r="AM2129" s="1" t="s">
        <v>4518</v>
      </c>
    </row>
    <row r="2130" spans="20:39" x14ac:dyDescent="0.2">
      <c r="T2130" s="29" t="s">
        <v>622</v>
      </c>
      <c r="U2130" s="69" t="s">
        <v>71</v>
      </c>
      <c r="V2130" s="72" t="str">
        <f t="shared" si="33"/>
        <v>OH_WARREN</v>
      </c>
      <c r="AJ2130" s="1" t="s">
        <v>71</v>
      </c>
      <c r="AK2130" s="1" t="s">
        <v>1512</v>
      </c>
      <c r="AL2130" s="1" t="s">
        <v>7403</v>
      </c>
      <c r="AM2130" s="1" t="s">
        <v>4559</v>
      </c>
    </row>
    <row r="2131" spans="20:39" x14ac:dyDescent="0.2">
      <c r="T2131" s="28" t="s">
        <v>258</v>
      </c>
      <c r="U2131" s="68" t="s">
        <v>71</v>
      </c>
      <c r="V2131" s="72" t="str">
        <f t="shared" si="33"/>
        <v>OH_WASHINGTON</v>
      </c>
      <c r="AJ2131" s="1" t="s">
        <v>71</v>
      </c>
      <c r="AK2131" s="1" t="s">
        <v>511</v>
      </c>
      <c r="AL2131" s="1" t="s">
        <v>7404</v>
      </c>
      <c r="AM2131" s="1" t="s">
        <v>4560</v>
      </c>
    </row>
    <row r="2132" spans="20:39" x14ac:dyDescent="0.2">
      <c r="T2132" s="29" t="s">
        <v>623</v>
      </c>
      <c r="U2132" s="69" t="s">
        <v>71</v>
      </c>
      <c r="V2132" s="72" t="str">
        <f t="shared" si="33"/>
        <v>OH_WAYNE</v>
      </c>
      <c r="AJ2132" s="1" t="s">
        <v>71</v>
      </c>
      <c r="AK2132" s="1" t="s">
        <v>708</v>
      </c>
      <c r="AL2132" s="1" t="s">
        <v>7405</v>
      </c>
      <c r="AM2132" s="1" t="s">
        <v>4547</v>
      </c>
    </row>
    <row r="2133" spans="20:39" x14ac:dyDescent="0.2">
      <c r="T2133" s="28" t="s">
        <v>1486</v>
      </c>
      <c r="U2133" s="68" t="s">
        <v>71</v>
      </c>
      <c r="V2133" s="72" t="str">
        <f t="shared" si="33"/>
        <v>OH_WILLIAMS</v>
      </c>
      <c r="AJ2133" s="1" t="s">
        <v>71</v>
      </c>
      <c r="AK2133" s="1" t="s">
        <v>1513</v>
      </c>
      <c r="AL2133" s="1" t="s">
        <v>7406</v>
      </c>
      <c r="AM2133" s="1" t="s">
        <v>4561</v>
      </c>
    </row>
    <row r="2134" spans="20:39" x14ac:dyDescent="0.2">
      <c r="T2134" s="29" t="s">
        <v>1520</v>
      </c>
      <c r="U2134" s="69" t="s">
        <v>71</v>
      </c>
      <c r="V2134" s="72" t="str">
        <f t="shared" si="33"/>
        <v>OH_WOOD</v>
      </c>
      <c r="AJ2134" s="1" t="s">
        <v>71</v>
      </c>
      <c r="AK2134" s="1" t="s">
        <v>1514</v>
      </c>
      <c r="AL2134" s="1" t="s">
        <v>7407</v>
      </c>
      <c r="AM2134" s="1" t="s">
        <v>4562</v>
      </c>
    </row>
    <row r="2135" spans="20:39" x14ac:dyDescent="0.2">
      <c r="T2135" s="28" t="s">
        <v>1521</v>
      </c>
      <c r="U2135" s="68" t="s">
        <v>71</v>
      </c>
      <c r="V2135" s="72" t="str">
        <f t="shared" si="33"/>
        <v>OH_WYANDOT</v>
      </c>
      <c r="AJ2135" s="1" t="s">
        <v>71</v>
      </c>
      <c r="AK2135" s="1" t="s">
        <v>1515</v>
      </c>
      <c r="AL2135" s="1" t="s">
        <v>7408</v>
      </c>
      <c r="AM2135" s="1" t="s">
        <v>4563</v>
      </c>
    </row>
    <row r="2136" spans="20:39" x14ac:dyDescent="0.2">
      <c r="T2136" s="29" t="s">
        <v>763</v>
      </c>
      <c r="U2136" s="69" t="s">
        <v>27</v>
      </c>
      <c r="V2136" s="72" t="str">
        <f t="shared" si="33"/>
        <v>OK_ADAIR</v>
      </c>
      <c r="AJ2136" s="1" t="s">
        <v>71</v>
      </c>
      <c r="AK2136" s="1" t="s">
        <v>1385</v>
      </c>
      <c r="AL2136" s="1" t="s">
        <v>7409</v>
      </c>
      <c r="AM2136" s="1" t="s">
        <v>4564</v>
      </c>
    </row>
    <row r="2137" spans="20:39" x14ac:dyDescent="0.2">
      <c r="T2137" s="28" t="s">
        <v>1522</v>
      </c>
      <c r="U2137" s="68" t="s">
        <v>27</v>
      </c>
      <c r="V2137" s="72" t="str">
        <f t="shared" si="33"/>
        <v>OK_ALFALFA</v>
      </c>
      <c r="AJ2137" s="1" t="s">
        <v>71</v>
      </c>
      <c r="AK2137" s="1" t="s">
        <v>252</v>
      </c>
      <c r="AL2137" s="1" t="s">
        <v>7410</v>
      </c>
      <c r="AM2137" s="1" t="s">
        <v>4565</v>
      </c>
    </row>
    <row r="2138" spans="20:39" x14ac:dyDescent="0.2">
      <c r="T2138" s="29" t="s">
        <v>1523</v>
      </c>
      <c r="U2138" s="69" t="s">
        <v>27</v>
      </c>
      <c r="V2138" s="72" t="str">
        <f t="shared" si="33"/>
        <v>OK_ATOKA</v>
      </c>
      <c r="AJ2138" s="1" t="s">
        <v>71</v>
      </c>
      <c r="AK2138" s="1" t="s">
        <v>712</v>
      </c>
      <c r="AL2138" s="1" t="s">
        <v>7411</v>
      </c>
      <c r="AM2138" s="1" t="s">
        <v>4523</v>
      </c>
    </row>
    <row r="2139" spans="20:39" x14ac:dyDescent="0.2">
      <c r="T2139" s="28" t="s">
        <v>1524</v>
      </c>
      <c r="U2139" s="68" t="s">
        <v>27</v>
      </c>
      <c r="V2139" s="72" t="str">
        <f t="shared" si="33"/>
        <v>OK_BEAVER</v>
      </c>
      <c r="AJ2139" s="1" t="s">
        <v>71</v>
      </c>
      <c r="AK2139" s="1" t="s">
        <v>457</v>
      </c>
      <c r="AL2139" s="1" t="s">
        <v>7412</v>
      </c>
      <c r="AM2139" s="1" t="s">
        <v>4518</v>
      </c>
    </row>
    <row r="2140" spans="20:39" x14ac:dyDescent="0.2">
      <c r="T2140" s="29" t="s">
        <v>1525</v>
      </c>
      <c r="U2140" s="69" t="s">
        <v>27</v>
      </c>
      <c r="V2140" s="72" t="str">
        <f t="shared" si="33"/>
        <v>OK_BECKHAM</v>
      </c>
      <c r="AJ2140" s="1" t="s">
        <v>71</v>
      </c>
      <c r="AK2140" s="1" t="s">
        <v>1516</v>
      </c>
      <c r="AL2140" s="1" t="s">
        <v>7413</v>
      </c>
      <c r="AM2140" s="1" t="s">
        <v>9241</v>
      </c>
    </row>
    <row r="2141" spans="20:39" x14ac:dyDescent="0.2">
      <c r="T2141" s="28" t="s">
        <v>640</v>
      </c>
      <c r="U2141" s="68" t="s">
        <v>27</v>
      </c>
      <c r="V2141" s="72" t="str">
        <f t="shared" si="33"/>
        <v>OK_BLAINE</v>
      </c>
      <c r="AJ2141" s="1" t="s">
        <v>71</v>
      </c>
      <c r="AK2141" s="1" t="s">
        <v>1517</v>
      </c>
      <c r="AL2141" s="1" t="s">
        <v>7414</v>
      </c>
      <c r="AM2141" s="1" t="s">
        <v>4568</v>
      </c>
    </row>
    <row r="2142" spans="20:39" x14ac:dyDescent="0.2">
      <c r="T2142" s="29" t="s">
        <v>533</v>
      </c>
      <c r="U2142" s="69" t="s">
        <v>27</v>
      </c>
      <c r="V2142" s="72" t="str">
        <f t="shared" si="33"/>
        <v>OK_BRYAN</v>
      </c>
      <c r="AJ2142" s="1" t="s">
        <v>71</v>
      </c>
      <c r="AK2142" s="1" t="s">
        <v>345</v>
      </c>
      <c r="AL2142" s="1" t="s">
        <v>7415</v>
      </c>
      <c r="AM2142" s="1" t="s">
        <v>4569</v>
      </c>
    </row>
    <row r="2143" spans="20:39" x14ac:dyDescent="0.2">
      <c r="T2143" s="28" t="s">
        <v>1526</v>
      </c>
      <c r="U2143" s="68" t="s">
        <v>27</v>
      </c>
      <c r="V2143" s="72" t="str">
        <f t="shared" si="33"/>
        <v>OK_CADDO</v>
      </c>
      <c r="AJ2143" s="1" t="s">
        <v>71</v>
      </c>
      <c r="AK2143" s="1" t="s">
        <v>1518</v>
      </c>
      <c r="AL2143" s="1" t="s">
        <v>7416</v>
      </c>
      <c r="AM2143" s="1" t="s">
        <v>4570</v>
      </c>
    </row>
    <row r="2144" spans="20:39" x14ac:dyDescent="0.2">
      <c r="T2144" s="29" t="s">
        <v>1527</v>
      </c>
      <c r="U2144" s="69" t="s">
        <v>27</v>
      </c>
      <c r="V2144" s="72" t="str">
        <f t="shared" si="33"/>
        <v>OK_CANADIAN</v>
      </c>
      <c r="AJ2144" s="1" t="s">
        <v>71</v>
      </c>
      <c r="AK2144" s="1" t="s">
        <v>1519</v>
      </c>
      <c r="AL2144" s="1" t="s">
        <v>7417</v>
      </c>
      <c r="AM2144" s="1" t="s">
        <v>4571</v>
      </c>
    </row>
    <row r="2145" spans="20:39" x14ac:dyDescent="0.2">
      <c r="T2145" s="28" t="s">
        <v>889</v>
      </c>
      <c r="U2145" s="68" t="s">
        <v>27</v>
      </c>
      <c r="V2145" s="72" t="str">
        <f t="shared" si="33"/>
        <v>OK_CARTER</v>
      </c>
      <c r="AJ2145" s="1" t="s">
        <v>71</v>
      </c>
      <c r="AK2145" s="1" t="s">
        <v>622</v>
      </c>
      <c r="AL2145" s="1" t="s">
        <v>7418</v>
      </c>
      <c r="AM2145" s="1" t="s">
        <v>3580</v>
      </c>
    </row>
    <row r="2146" spans="20:39" x14ac:dyDescent="0.2">
      <c r="T2146" s="29" t="s">
        <v>203</v>
      </c>
      <c r="U2146" s="69" t="s">
        <v>27</v>
      </c>
      <c r="V2146" s="72" t="str">
        <f t="shared" si="33"/>
        <v>OK_CHEROKEE</v>
      </c>
      <c r="AJ2146" s="1" t="s">
        <v>71</v>
      </c>
      <c r="AK2146" s="1" t="s">
        <v>258</v>
      </c>
      <c r="AL2146" s="1" t="s">
        <v>7419</v>
      </c>
      <c r="AM2146" s="1" t="s">
        <v>4572</v>
      </c>
    </row>
    <row r="2147" spans="20:39" x14ac:dyDescent="0.2">
      <c r="T2147" s="28" t="s">
        <v>205</v>
      </c>
      <c r="U2147" s="68" t="s">
        <v>27</v>
      </c>
      <c r="V2147" s="72" t="str">
        <f t="shared" si="33"/>
        <v>OK_CHOCTAW</v>
      </c>
      <c r="AJ2147" s="1" t="s">
        <v>71</v>
      </c>
      <c r="AK2147" s="1" t="s">
        <v>623</v>
      </c>
      <c r="AL2147" s="1" t="s">
        <v>7420</v>
      </c>
      <c r="AM2147" s="1" t="s">
        <v>4573</v>
      </c>
    </row>
    <row r="2148" spans="20:39" x14ac:dyDescent="0.2">
      <c r="T2148" s="29" t="s">
        <v>1528</v>
      </c>
      <c r="U2148" s="69" t="s">
        <v>27</v>
      </c>
      <c r="V2148" s="72" t="str">
        <f t="shared" si="33"/>
        <v>OK_CIMARRON</v>
      </c>
      <c r="AJ2148" s="1" t="s">
        <v>71</v>
      </c>
      <c r="AK2148" s="1" t="s">
        <v>1486</v>
      </c>
      <c r="AL2148" s="1" t="s">
        <v>7421</v>
      </c>
      <c r="AM2148" s="1" t="s">
        <v>4576</v>
      </c>
    </row>
    <row r="2149" spans="20:39" x14ac:dyDescent="0.2">
      <c r="T2149" s="28" t="s">
        <v>302</v>
      </c>
      <c r="U2149" s="68" t="s">
        <v>27</v>
      </c>
      <c r="V2149" s="72" t="str">
        <f t="shared" si="33"/>
        <v>OK_CLEVELAND</v>
      </c>
      <c r="AJ2149" s="1" t="s">
        <v>71</v>
      </c>
      <c r="AK2149" s="1" t="s">
        <v>1520</v>
      </c>
      <c r="AL2149" s="1" t="s">
        <v>7422</v>
      </c>
      <c r="AM2149" s="1" t="s">
        <v>4567</v>
      </c>
    </row>
    <row r="2150" spans="20:39" x14ac:dyDescent="0.2">
      <c r="T2150" s="29" t="s">
        <v>1529</v>
      </c>
      <c r="U2150" s="69" t="s">
        <v>27</v>
      </c>
      <c r="V2150" s="72" t="str">
        <f t="shared" si="33"/>
        <v>OK_COAL</v>
      </c>
      <c r="AJ2150" s="1" t="s">
        <v>71</v>
      </c>
      <c r="AK2150" s="1" t="s">
        <v>1521</v>
      </c>
      <c r="AL2150" s="1" t="s">
        <v>7423</v>
      </c>
      <c r="AM2150" s="1" t="s">
        <v>4577</v>
      </c>
    </row>
    <row r="2151" spans="20:39" x14ac:dyDescent="0.2">
      <c r="T2151" s="28" t="s">
        <v>817</v>
      </c>
      <c r="U2151" s="68" t="s">
        <v>27</v>
      </c>
      <c r="V2151" s="72" t="str">
        <f t="shared" si="33"/>
        <v>OK_COMANCHE</v>
      </c>
      <c r="AJ2151" s="1" t="s">
        <v>27</v>
      </c>
      <c r="AK2151" s="1" t="s">
        <v>763</v>
      </c>
      <c r="AL2151" s="1" t="s">
        <v>7424</v>
      </c>
      <c r="AM2151" s="1" t="s">
        <v>4578</v>
      </c>
    </row>
    <row r="2152" spans="20:39" x14ac:dyDescent="0.2">
      <c r="T2152" s="29" t="s">
        <v>1530</v>
      </c>
      <c r="U2152" s="69" t="s">
        <v>27</v>
      </c>
      <c r="V2152" s="72" t="str">
        <f t="shared" si="33"/>
        <v>OK_COTTON</v>
      </c>
      <c r="AJ2152" s="1" t="s">
        <v>27</v>
      </c>
      <c r="AK2152" s="1" t="s">
        <v>1522</v>
      </c>
      <c r="AL2152" s="1" t="s">
        <v>7425</v>
      </c>
      <c r="AM2152" s="1" t="s">
        <v>4579</v>
      </c>
    </row>
    <row r="2153" spans="20:39" x14ac:dyDescent="0.2">
      <c r="T2153" s="28" t="s">
        <v>1531</v>
      </c>
      <c r="U2153" s="68" t="s">
        <v>27</v>
      </c>
      <c r="V2153" s="72" t="str">
        <f t="shared" si="33"/>
        <v>OK_CRAIG</v>
      </c>
      <c r="AJ2153" s="1" t="s">
        <v>27</v>
      </c>
      <c r="AK2153" s="1" t="s">
        <v>1523</v>
      </c>
      <c r="AL2153" s="1" t="s">
        <v>7426</v>
      </c>
      <c r="AM2153" s="1" t="s">
        <v>4580</v>
      </c>
    </row>
    <row r="2154" spans="20:39" x14ac:dyDescent="0.2">
      <c r="T2154" s="29" t="s">
        <v>1532</v>
      </c>
      <c r="U2154" s="69" t="s">
        <v>27</v>
      </c>
      <c r="V2154" s="72" t="str">
        <f t="shared" si="33"/>
        <v>OK_CREEK</v>
      </c>
      <c r="AJ2154" s="1" t="s">
        <v>27</v>
      </c>
      <c r="AK2154" s="1" t="s">
        <v>1524</v>
      </c>
      <c r="AL2154" s="1" t="s">
        <v>7427</v>
      </c>
      <c r="AM2154" s="1" t="s">
        <v>4581</v>
      </c>
    </row>
    <row r="2155" spans="20:39" x14ac:dyDescent="0.2">
      <c r="T2155" s="28" t="s">
        <v>419</v>
      </c>
      <c r="U2155" s="68" t="s">
        <v>27</v>
      </c>
      <c r="V2155" s="72" t="str">
        <f t="shared" si="33"/>
        <v>OK_CUSTER</v>
      </c>
      <c r="AJ2155" s="1" t="s">
        <v>27</v>
      </c>
      <c r="AK2155" s="1" t="s">
        <v>1525</v>
      </c>
      <c r="AL2155" s="1" t="s">
        <v>7428</v>
      </c>
      <c r="AM2155" s="1" t="s">
        <v>4582</v>
      </c>
    </row>
    <row r="2156" spans="20:39" x14ac:dyDescent="0.2">
      <c r="T2156" s="29" t="s">
        <v>727</v>
      </c>
      <c r="U2156" s="69" t="s">
        <v>27</v>
      </c>
      <c r="V2156" s="72" t="str">
        <f t="shared" si="33"/>
        <v>OK_DELAWARE</v>
      </c>
      <c r="AJ2156" s="1" t="s">
        <v>27</v>
      </c>
      <c r="AK2156" s="1" t="s">
        <v>640</v>
      </c>
      <c r="AL2156" s="1" t="s">
        <v>7429</v>
      </c>
      <c r="AM2156" s="1" t="s">
        <v>4583</v>
      </c>
    </row>
    <row r="2157" spans="20:39" x14ac:dyDescent="0.2">
      <c r="T2157" s="28" t="s">
        <v>1533</v>
      </c>
      <c r="U2157" s="68" t="s">
        <v>27</v>
      </c>
      <c r="V2157" s="72" t="str">
        <f t="shared" si="33"/>
        <v>OK_DEWEY</v>
      </c>
      <c r="AJ2157" s="1" t="s">
        <v>27</v>
      </c>
      <c r="AK2157" s="1" t="s">
        <v>533</v>
      </c>
      <c r="AL2157" s="1" t="s">
        <v>7430</v>
      </c>
      <c r="AM2157" s="1" t="s">
        <v>4584</v>
      </c>
    </row>
    <row r="2158" spans="20:39" x14ac:dyDescent="0.2">
      <c r="T2158" s="29" t="s">
        <v>821</v>
      </c>
      <c r="U2158" s="69" t="s">
        <v>27</v>
      </c>
      <c r="V2158" s="72" t="str">
        <f t="shared" si="33"/>
        <v>OK_ELLIS</v>
      </c>
      <c r="AJ2158" s="1" t="s">
        <v>27</v>
      </c>
      <c r="AK2158" s="1" t="s">
        <v>1526</v>
      </c>
      <c r="AL2158" s="1" t="s">
        <v>7431</v>
      </c>
      <c r="AM2158" s="1" t="s">
        <v>4585</v>
      </c>
    </row>
    <row r="2159" spans="20:39" x14ac:dyDescent="0.2">
      <c r="T2159" s="28" t="s">
        <v>428</v>
      </c>
      <c r="U2159" s="68" t="s">
        <v>27</v>
      </c>
      <c r="V2159" s="72" t="str">
        <f t="shared" si="33"/>
        <v>OK_GARFIELD</v>
      </c>
      <c r="AJ2159" s="1" t="s">
        <v>27</v>
      </c>
      <c r="AK2159" s="1" t="s">
        <v>1527</v>
      </c>
      <c r="AL2159" s="1" t="s">
        <v>7432</v>
      </c>
      <c r="AM2159" s="1" t="s">
        <v>4627</v>
      </c>
    </row>
    <row r="2160" spans="20:39" x14ac:dyDescent="0.2">
      <c r="T2160" s="29" t="s">
        <v>1534</v>
      </c>
      <c r="U2160" s="69" t="s">
        <v>27</v>
      </c>
      <c r="V2160" s="72" t="str">
        <f t="shared" si="33"/>
        <v>OK_GARVIN</v>
      </c>
      <c r="AJ2160" s="1" t="s">
        <v>27</v>
      </c>
      <c r="AK2160" s="1" t="s">
        <v>889</v>
      </c>
      <c r="AL2160" s="1" t="s">
        <v>7433</v>
      </c>
      <c r="AM2160" s="1" t="s">
        <v>4586</v>
      </c>
    </row>
    <row r="2161" spans="20:39" x14ac:dyDescent="0.2">
      <c r="T2161" s="28" t="s">
        <v>569</v>
      </c>
      <c r="U2161" s="68" t="s">
        <v>27</v>
      </c>
      <c r="V2161" s="72" t="str">
        <f t="shared" si="33"/>
        <v>OK_GRADY</v>
      </c>
      <c r="AJ2161" s="1" t="s">
        <v>27</v>
      </c>
      <c r="AK2161" s="1" t="s">
        <v>203</v>
      </c>
      <c r="AL2161" s="1" t="s">
        <v>7434</v>
      </c>
      <c r="AM2161" s="1" t="s">
        <v>4587</v>
      </c>
    </row>
    <row r="2162" spans="20:39" x14ac:dyDescent="0.2">
      <c r="T2162" s="29" t="s">
        <v>314</v>
      </c>
      <c r="U2162" s="69" t="s">
        <v>27</v>
      </c>
      <c r="V2162" s="72" t="str">
        <f t="shared" si="33"/>
        <v>OK_GRANT</v>
      </c>
      <c r="AJ2162" s="1" t="s">
        <v>27</v>
      </c>
      <c r="AK2162" s="1" t="s">
        <v>205</v>
      </c>
      <c r="AL2162" s="1" t="s">
        <v>7435</v>
      </c>
      <c r="AM2162" s="1" t="s">
        <v>4588</v>
      </c>
    </row>
    <row r="2163" spans="20:39" x14ac:dyDescent="0.2">
      <c r="T2163" s="28" t="s">
        <v>1535</v>
      </c>
      <c r="U2163" s="68" t="s">
        <v>27</v>
      </c>
      <c r="V2163" s="72" t="str">
        <f t="shared" si="33"/>
        <v>OK_GREER</v>
      </c>
      <c r="AJ2163" s="1" t="s">
        <v>27</v>
      </c>
      <c r="AK2163" s="1" t="s">
        <v>1528</v>
      </c>
      <c r="AL2163" s="1" t="s">
        <v>7436</v>
      </c>
      <c r="AM2163" s="1" t="s">
        <v>4589</v>
      </c>
    </row>
    <row r="2164" spans="20:39" x14ac:dyDescent="0.2">
      <c r="T2164" s="29" t="s">
        <v>1536</v>
      </c>
      <c r="U2164" s="69" t="s">
        <v>27</v>
      </c>
      <c r="V2164" s="72" t="str">
        <f t="shared" si="33"/>
        <v>OK_HARMON</v>
      </c>
      <c r="AJ2164" s="1" t="s">
        <v>27</v>
      </c>
      <c r="AK2164" s="1" t="s">
        <v>302</v>
      </c>
      <c r="AL2164" s="1" t="s">
        <v>7437</v>
      </c>
      <c r="AM2164" s="1" t="s">
        <v>4627</v>
      </c>
    </row>
    <row r="2165" spans="20:39" x14ac:dyDescent="0.2">
      <c r="T2165" s="28" t="s">
        <v>829</v>
      </c>
      <c r="U2165" s="68" t="s">
        <v>27</v>
      </c>
      <c r="V2165" s="72" t="str">
        <f t="shared" si="33"/>
        <v>OK_HARPER</v>
      </c>
      <c r="AJ2165" s="1" t="s">
        <v>27</v>
      </c>
      <c r="AK2165" s="1" t="s">
        <v>1529</v>
      </c>
      <c r="AL2165" s="1" t="s">
        <v>7438</v>
      </c>
      <c r="AM2165" s="1" t="s">
        <v>4590</v>
      </c>
    </row>
    <row r="2166" spans="20:39" x14ac:dyDescent="0.2">
      <c r="T2166" s="29" t="s">
        <v>831</v>
      </c>
      <c r="U2166" s="69" t="s">
        <v>27</v>
      </c>
      <c r="V2166" s="72" t="str">
        <f t="shared" si="33"/>
        <v>OK_HASKELL</v>
      </c>
      <c r="AJ2166" s="1" t="s">
        <v>27</v>
      </c>
      <c r="AK2166" s="1" t="s">
        <v>817</v>
      </c>
      <c r="AL2166" s="1" t="s">
        <v>7439</v>
      </c>
      <c r="AM2166" s="1" t="s">
        <v>4613</v>
      </c>
    </row>
    <row r="2167" spans="20:39" x14ac:dyDescent="0.2">
      <c r="T2167" s="28" t="s">
        <v>1537</v>
      </c>
      <c r="U2167" s="68" t="s">
        <v>27</v>
      </c>
      <c r="V2167" s="72" t="str">
        <f t="shared" si="33"/>
        <v>OK_HUGHES</v>
      </c>
      <c r="AJ2167" s="1" t="s">
        <v>27</v>
      </c>
      <c r="AK2167" s="1" t="s">
        <v>1530</v>
      </c>
      <c r="AL2167" s="1" t="s">
        <v>7440</v>
      </c>
      <c r="AM2167" s="1" t="s">
        <v>4591</v>
      </c>
    </row>
    <row r="2168" spans="20:39" x14ac:dyDescent="0.2">
      <c r="T2168" s="29" t="s">
        <v>229</v>
      </c>
      <c r="U2168" s="69" t="s">
        <v>27</v>
      </c>
      <c r="V2168" s="72" t="str">
        <f t="shared" si="33"/>
        <v>OK_JACKSON</v>
      </c>
      <c r="AJ2168" s="1" t="s">
        <v>27</v>
      </c>
      <c r="AK2168" s="1" t="s">
        <v>1531</v>
      </c>
      <c r="AL2168" s="1" t="s">
        <v>7441</v>
      </c>
      <c r="AM2168" s="1" t="s">
        <v>4592</v>
      </c>
    </row>
    <row r="2169" spans="20:39" x14ac:dyDescent="0.2">
      <c r="T2169" s="28" t="s">
        <v>230</v>
      </c>
      <c r="U2169" s="68" t="s">
        <v>27</v>
      </c>
      <c r="V2169" s="72" t="str">
        <f t="shared" si="33"/>
        <v>OK_JEFFERSON</v>
      </c>
      <c r="AJ2169" s="1" t="s">
        <v>27</v>
      </c>
      <c r="AK2169" s="1" t="s">
        <v>1532</v>
      </c>
      <c r="AL2169" s="1" t="s">
        <v>7442</v>
      </c>
      <c r="AM2169" s="1" t="s">
        <v>4641</v>
      </c>
    </row>
    <row r="2170" spans="20:39" x14ac:dyDescent="0.2">
      <c r="T2170" s="29" t="s">
        <v>1427</v>
      </c>
      <c r="U2170" s="69" t="s">
        <v>27</v>
      </c>
      <c r="V2170" s="72" t="str">
        <f t="shared" si="33"/>
        <v>OK_JOHNSTON</v>
      </c>
      <c r="AJ2170" s="1" t="s">
        <v>27</v>
      </c>
      <c r="AK2170" s="1" t="s">
        <v>419</v>
      </c>
      <c r="AL2170" s="1" t="s">
        <v>7443</v>
      </c>
      <c r="AM2170" s="1" t="s">
        <v>4593</v>
      </c>
    </row>
    <row r="2171" spans="20:39" x14ac:dyDescent="0.2">
      <c r="T2171" s="28" t="s">
        <v>1538</v>
      </c>
      <c r="U2171" s="68" t="s">
        <v>27</v>
      </c>
      <c r="V2171" s="72" t="str">
        <f t="shared" si="33"/>
        <v>OK_KAY</v>
      </c>
      <c r="AJ2171" s="1" t="s">
        <v>27</v>
      </c>
      <c r="AK2171" s="1" t="s">
        <v>727</v>
      </c>
      <c r="AL2171" s="1" t="s">
        <v>7444</v>
      </c>
      <c r="AM2171" s="1" t="s">
        <v>4594</v>
      </c>
    </row>
    <row r="2172" spans="20:39" x14ac:dyDescent="0.2">
      <c r="T2172" s="29" t="s">
        <v>1539</v>
      </c>
      <c r="U2172" s="69" t="s">
        <v>27</v>
      </c>
      <c r="V2172" s="72" t="str">
        <f t="shared" si="33"/>
        <v>OK_KINGFISHER</v>
      </c>
      <c r="AJ2172" s="1" t="s">
        <v>27</v>
      </c>
      <c r="AK2172" s="1" t="s">
        <v>1533</v>
      </c>
      <c r="AL2172" s="1" t="s">
        <v>7445</v>
      </c>
      <c r="AM2172" s="1" t="s">
        <v>4595</v>
      </c>
    </row>
    <row r="2173" spans="20:39" x14ac:dyDescent="0.2">
      <c r="T2173" s="28" t="s">
        <v>434</v>
      </c>
      <c r="U2173" s="68" t="s">
        <v>27</v>
      </c>
      <c r="V2173" s="72" t="str">
        <f t="shared" si="33"/>
        <v>OK_KIOWA</v>
      </c>
      <c r="AJ2173" s="1" t="s">
        <v>27</v>
      </c>
      <c r="AK2173" s="1" t="s">
        <v>821</v>
      </c>
      <c r="AL2173" s="1" t="s">
        <v>7446</v>
      </c>
      <c r="AM2173" s="1" t="s">
        <v>4596</v>
      </c>
    </row>
    <row r="2174" spans="20:39" x14ac:dyDescent="0.2">
      <c r="T2174" s="29" t="s">
        <v>1540</v>
      </c>
      <c r="U2174" s="69" t="s">
        <v>27</v>
      </c>
      <c r="V2174" s="72" t="str">
        <f t="shared" si="33"/>
        <v>OK_LATIMER</v>
      </c>
      <c r="AJ2174" s="1" t="s">
        <v>27</v>
      </c>
      <c r="AK2174" s="1" t="s">
        <v>428</v>
      </c>
      <c r="AL2174" s="1" t="s">
        <v>7447</v>
      </c>
      <c r="AM2174" s="1" t="s">
        <v>4597</v>
      </c>
    </row>
    <row r="2175" spans="20:39" x14ac:dyDescent="0.2">
      <c r="T2175" s="28" t="s">
        <v>1541</v>
      </c>
      <c r="U2175" s="68" t="s">
        <v>27</v>
      </c>
      <c r="V2175" s="72" t="str">
        <f t="shared" si="33"/>
        <v>OK_LE FLORE</v>
      </c>
      <c r="AJ2175" s="1" t="s">
        <v>27</v>
      </c>
      <c r="AK2175" s="1" t="s">
        <v>1534</v>
      </c>
      <c r="AL2175" s="1" t="s">
        <v>7448</v>
      </c>
      <c r="AM2175" s="1" t="s">
        <v>4598</v>
      </c>
    </row>
    <row r="2176" spans="20:39" x14ac:dyDescent="0.2">
      <c r="T2176" s="29" t="s">
        <v>322</v>
      </c>
      <c r="U2176" s="69" t="s">
        <v>27</v>
      </c>
      <c r="V2176" s="72" t="str">
        <f t="shared" si="33"/>
        <v>OK_LINCOLN</v>
      </c>
      <c r="AJ2176" s="1" t="s">
        <v>27</v>
      </c>
      <c r="AK2176" s="1" t="s">
        <v>569</v>
      </c>
      <c r="AL2176" s="1" t="s">
        <v>7449</v>
      </c>
      <c r="AM2176" s="1" t="s">
        <v>4599</v>
      </c>
    </row>
    <row r="2177" spans="20:39" x14ac:dyDescent="0.2">
      <c r="T2177" s="28" t="s">
        <v>324</v>
      </c>
      <c r="U2177" s="68" t="s">
        <v>27</v>
      </c>
      <c r="V2177" s="72" t="str">
        <f t="shared" si="33"/>
        <v>OK_LOGAN</v>
      </c>
      <c r="AJ2177" s="1" t="s">
        <v>27</v>
      </c>
      <c r="AK2177" s="1" t="s">
        <v>314</v>
      </c>
      <c r="AL2177" s="1" t="s">
        <v>7450</v>
      </c>
      <c r="AM2177" s="1" t="s">
        <v>4600</v>
      </c>
    </row>
    <row r="2178" spans="20:39" x14ac:dyDescent="0.2">
      <c r="T2178" s="29" t="s">
        <v>1542</v>
      </c>
      <c r="U2178" s="69" t="s">
        <v>27</v>
      </c>
      <c r="V2178" s="72" t="str">
        <f t="shared" si="33"/>
        <v>OK_LOVE</v>
      </c>
      <c r="AJ2178" s="1" t="s">
        <v>27</v>
      </c>
      <c r="AK2178" s="1" t="s">
        <v>1535</v>
      </c>
      <c r="AL2178" s="1" t="s">
        <v>7451</v>
      </c>
      <c r="AM2178" s="1" t="s">
        <v>4601</v>
      </c>
    </row>
    <row r="2179" spans="20:39" x14ac:dyDescent="0.2">
      <c r="T2179" s="28" t="s">
        <v>1543</v>
      </c>
      <c r="U2179" s="68" t="s">
        <v>27</v>
      </c>
      <c r="V2179" s="72" t="str">
        <f t="shared" si="33"/>
        <v>OK_MCCLAIN</v>
      </c>
      <c r="AJ2179" s="1" t="s">
        <v>27</v>
      </c>
      <c r="AK2179" s="1" t="s">
        <v>1536</v>
      </c>
      <c r="AL2179" s="1" t="s">
        <v>7452</v>
      </c>
      <c r="AM2179" s="1" t="s">
        <v>4602</v>
      </c>
    </row>
    <row r="2180" spans="20:39" x14ac:dyDescent="0.2">
      <c r="T2180" s="29" t="s">
        <v>1544</v>
      </c>
      <c r="U2180" s="69" t="s">
        <v>27</v>
      </c>
      <c r="V2180" s="72" t="str">
        <f t="shared" si="33"/>
        <v>OK_MCCURTAIN</v>
      </c>
      <c r="AJ2180" s="1" t="s">
        <v>27</v>
      </c>
      <c r="AK2180" s="1" t="s">
        <v>829</v>
      </c>
      <c r="AL2180" s="1" t="s">
        <v>7453</v>
      </c>
      <c r="AM2180" s="1" t="s">
        <v>4603</v>
      </c>
    </row>
    <row r="2181" spans="20:39" x14ac:dyDescent="0.2">
      <c r="T2181" s="28" t="s">
        <v>588</v>
      </c>
      <c r="U2181" s="68" t="s">
        <v>27</v>
      </c>
      <c r="V2181" s="72" t="str">
        <f t="shared" si="33"/>
        <v>OK_MCINTOSH</v>
      </c>
      <c r="AJ2181" s="1" t="s">
        <v>27</v>
      </c>
      <c r="AK2181" s="1" t="s">
        <v>831</v>
      </c>
      <c r="AL2181" s="1" t="s">
        <v>7454</v>
      </c>
      <c r="AM2181" s="1" t="s">
        <v>4604</v>
      </c>
    </row>
    <row r="2182" spans="20:39" x14ac:dyDescent="0.2">
      <c r="T2182" s="29" t="s">
        <v>1545</v>
      </c>
      <c r="U2182" s="69" t="s">
        <v>27</v>
      </c>
      <c r="V2182" s="72" t="str">
        <f t="shared" si="33"/>
        <v>OK_MAJOR</v>
      </c>
      <c r="AJ2182" s="1" t="s">
        <v>27</v>
      </c>
      <c r="AK2182" s="1" t="s">
        <v>1537</v>
      </c>
      <c r="AL2182" s="1" t="s">
        <v>7455</v>
      </c>
      <c r="AM2182" s="1" t="s">
        <v>4605</v>
      </c>
    </row>
    <row r="2183" spans="20:39" x14ac:dyDescent="0.2">
      <c r="T2183" s="28" t="s">
        <v>241</v>
      </c>
      <c r="U2183" s="68" t="s">
        <v>27</v>
      </c>
      <c r="V2183" s="72" t="str">
        <f t="shared" si="33"/>
        <v>OK_MARSHALL</v>
      </c>
      <c r="AJ2183" s="1" t="s">
        <v>27</v>
      </c>
      <c r="AK2183" s="1" t="s">
        <v>229</v>
      </c>
      <c r="AL2183" s="1" t="s">
        <v>7456</v>
      </c>
      <c r="AM2183" s="1" t="s">
        <v>4606</v>
      </c>
    </row>
    <row r="2184" spans="20:39" x14ac:dyDescent="0.2">
      <c r="T2184" s="29" t="s">
        <v>1546</v>
      </c>
      <c r="U2184" s="69" t="s">
        <v>27</v>
      </c>
      <c r="V2184" s="72" t="str">
        <f t="shared" si="33"/>
        <v>OK_MAYES</v>
      </c>
      <c r="AJ2184" s="1" t="s">
        <v>27</v>
      </c>
      <c r="AK2184" s="1" t="s">
        <v>230</v>
      </c>
      <c r="AL2184" s="1" t="s">
        <v>7457</v>
      </c>
      <c r="AM2184" s="1" t="s">
        <v>4607</v>
      </c>
    </row>
    <row r="2185" spans="20:39" x14ac:dyDescent="0.2">
      <c r="T2185" s="28" t="s">
        <v>591</v>
      </c>
      <c r="U2185" s="68" t="s">
        <v>27</v>
      </c>
      <c r="V2185" s="72" t="str">
        <f t="shared" si="33"/>
        <v>OK_MURRAY</v>
      </c>
      <c r="AJ2185" s="1" t="s">
        <v>27</v>
      </c>
      <c r="AK2185" s="1" t="s">
        <v>1427</v>
      </c>
      <c r="AL2185" s="1" t="s">
        <v>7458</v>
      </c>
      <c r="AM2185" s="1" t="s">
        <v>4608</v>
      </c>
    </row>
    <row r="2186" spans="20:39" x14ac:dyDescent="0.2">
      <c r="T2186" s="29" t="s">
        <v>1547</v>
      </c>
      <c r="U2186" s="69" t="s">
        <v>27</v>
      </c>
      <c r="V2186" s="72" t="str">
        <f t="shared" ref="V2186:V2249" si="34">UPPER(CONCATENATE(TRIM(U2186),"_",TRIM(T2186)))</f>
        <v>OK_MUSKOGEE</v>
      </c>
      <c r="AJ2186" s="1" t="s">
        <v>27</v>
      </c>
      <c r="AK2186" s="1" t="s">
        <v>1538</v>
      </c>
      <c r="AL2186" s="1" t="s">
        <v>7459</v>
      </c>
      <c r="AM2186" s="1" t="s">
        <v>4609</v>
      </c>
    </row>
    <row r="2187" spans="20:39" x14ac:dyDescent="0.2">
      <c r="T2187" s="28" t="s">
        <v>741</v>
      </c>
      <c r="U2187" s="68" t="s">
        <v>27</v>
      </c>
      <c r="V2187" s="72" t="str">
        <f t="shared" si="34"/>
        <v>OK_NOBLE</v>
      </c>
      <c r="AJ2187" s="1" t="s">
        <v>27</v>
      </c>
      <c r="AK2187" s="1" t="s">
        <v>1539</v>
      </c>
      <c r="AL2187" s="1" t="s">
        <v>7460</v>
      </c>
      <c r="AM2187" s="1" t="s">
        <v>4610</v>
      </c>
    </row>
    <row r="2188" spans="20:39" x14ac:dyDescent="0.2">
      <c r="T2188" s="29" t="s">
        <v>1548</v>
      </c>
      <c r="U2188" s="69" t="s">
        <v>27</v>
      </c>
      <c r="V2188" s="72" t="str">
        <f t="shared" si="34"/>
        <v>OK_NOWATA</v>
      </c>
      <c r="AJ2188" s="1" t="s">
        <v>27</v>
      </c>
      <c r="AK2188" s="1" t="s">
        <v>434</v>
      </c>
      <c r="AL2188" s="1" t="s">
        <v>7461</v>
      </c>
      <c r="AM2188" s="1" t="s">
        <v>4611</v>
      </c>
    </row>
    <row r="2189" spans="20:39" x14ac:dyDescent="0.2">
      <c r="T2189" s="28" t="s">
        <v>1549</v>
      </c>
      <c r="U2189" s="68" t="s">
        <v>27</v>
      </c>
      <c r="V2189" s="72" t="str">
        <f t="shared" si="34"/>
        <v>OK_OKFUSKEE</v>
      </c>
      <c r="AJ2189" s="1" t="s">
        <v>27</v>
      </c>
      <c r="AK2189" s="1" t="s">
        <v>1540</v>
      </c>
      <c r="AL2189" s="1" t="s">
        <v>7462</v>
      </c>
      <c r="AM2189" s="1" t="s">
        <v>4612</v>
      </c>
    </row>
    <row r="2190" spans="20:39" x14ac:dyDescent="0.2">
      <c r="T2190" s="29" t="s">
        <v>1550</v>
      </c>
      <c r="U2190" s="69" t="s">
        <v>27</v>
      </c>
      <c r="V2190" s="72" t="str">
        <f t="shared" si="34"/>
        <v>OK_OKLAHOMA</v>
      </c>
      <c r="AJ2190" s="1" t="s">
        <v>27</v>
      </c>
      <c r="AK2190" s="1" t="s">
        <v>1541</v>
      </c>
      <c r="AL2190" s="1" t="s">
        <v>7463</v>
      </c>
      <c r="AM2190" s="1" t="s">
        <v>4614</v>
      </c>
    </row>
    <row r="2191" spans="20:39" x14ac:dyDescent="0.2">
      <c r="T2191" s="28" t="s">
        <v>1551</v>
      </c>
      <c r="U2191" s="68" t="s">
        <v>27</v>
      </c>
      <c r="V2191" s="72" t="str">
        <f t="shared" si="34"/>
        <v>OK_OKMULGEE</v>
      </c>
      <c r="AJ2191" s="1" t="s">
        <v>27</v>
      </c>
      <c r="AK2191" s="1" t="s">
        <v>322</v>
      </c>
      <c r="AL2191" s="1" t="s">
        <v>7464</v>
      </c>
      <c r="AM2191" s="1" t="s">
        <v>4615</v>
      </c>
    </row>
    <row r="2192" spans="20:39" x14ac:dyDescent="0.2">
      <c r="T2192" s="29" t="s">
        <v>847</v>
      </c>
      <c r="U2192" s="69" t="s">
        <v>27</v>
      </c>
      <c r="V2192" s="72" t="str">
        <f t="shared" si="34"/>
        <v>OK_OSAGE</v>
      </c>
      <c r="AJ2192" s="1" t="s">
        <v>27</v>
      </c>
      <c r="AK2192" s="1" t="s">
        <v>324</v>
      </c>
      <c r="AL2192" s="1" t="s">
        <v>7465</v>
      </c>
      <c r="AM2192" s="1" t="s">
        <v>4627</v>
      </c>
    </row>
    <row r="2193" spans="20:39" x14ac:dyDescent="0.2">
      <c r="T2193" s="28" t="s">
        <v>849</v>
      </c>
      <c r="U2193" s="68" t="s">
        <v>27</v>
      </c>
      <c r="V2193" s="72" t="str">
        <f t="shared" si="34"/>
        <v>OK_OTTAWA</v>
      </c>
      <c r="AJ2193" s="1" t="s">
        <v>27</v>
      </c>
      <c r="AK2193" s="1" t="s">
        <v>1542</v>
      </c>
      <c r="AL2193" s="1" t="s">
        <v>7466</v>
      </c>
      <c r="AM2193" s="1" t="s">
        <v>4616</v>
      </c>
    </row>
    <row r="2194" spans="20:39" x14ac:dyDescent="0.2">
      <c r="T2194" s="29" t="s">
        <v>850</v>
      </c>
      <c r="U2194" s="69" t="s">
        <v>27</v>
      </c>
      <c r="V2194" s="72" t="str">
        <f t="shared" si="34"/>
        <v>OK_PAWNEE</v>
      </c>
      <c r="AJ2194" s="1" t="s">
        <v>27</v>
      </c>
      <c r="AK2194" s="1" t="s">
        <v>1545</v>
      </c>
      <c r="AL2194" s="1" t="s">
        <v>7467</v>
      </c>
      <c r="AM2194" s="1" t="s">
        <v>4617</v>
      </c>
    </row>
    <row r="2195" spans="20:39" x14ac:dyDescent="0.2">
      <c r="T2195" s="28" t="s">
        <v>1552</v>
      </c>
      <c r="U2195" s="68" t="s">
        <v>27</v>
      </c>
      <c r="V2195" s="72" t="str">
        <f t="shared" si="34"/>
        <v>OK_PAYNE</v>
      </c>
      <c r="AJ2195" s="1" t="s">
        <v>27</v>
      </c>
      <c r="AK2195" s="1" t="s">
        <v>241</v>
      </c>
      <c r="AL2195" s="1" t="s">
        <v>7468</v>
      </c>
      <c r="AM2195" s="1" t="s">
        <v>4618</v>
      </c>
    </row>
    <row r="2196" spans="20:39" x14ac:dyDescent="0.2">
      <c r="T2196" s="29" t="s">
        <v>1553</v>
      </c>
      <c r="U2196" s="69" t="s">
        <v>27</v>
      </c>
      <c r="V2196" s="72" t="str">
        <f t="shared" si="34"/>
        <v>OK_PITTSBURG</v>
      </c>
      <c r="AJ2196" s="1" t="s">
        <v>27</v>
      </c>
      <c r="AK2196" s="1" t="s">
        <v>1546</v>
      </c>
      <c r="AL2196" s="1" t="s">
        <v>7469</v>
      </c>
      <c r="AM2196" s="1" t="s">
        <v>4619</v>
      </c>
    </row>
    <row r="2197" spans="20:39" x14ac:dyDescent="0.2">
      <c r="T2197" s="28" t="s">
        <v>1178</v>
      </c>
      <c r="U2197" s="68" t="s">
        <v>27</v>
      </c>
      <c r="V2197" s="72" t="str">
        <f t="shared" si="34"/>
        <v>OK_PONTOTOC</v>
      </c>
      <c r="AJ2197" s="1" t="s">
        <v>27</v>
      </c>
      <c r="AK2197" s="1" t="s">
        <v>1543</v>
      </c>
      <c r="AL2197" s="1" t="s">
        <v>7470</v>
      </c>
      <c r="AM2197" s="1" t="s">
        <v>4627</v>
      </c>
    </row>
    <row r="2198" spans="20:39" x14ac:dyDescent="0.2">
      <c r="T2198" s="29" t="s">
        <v>851</v>
      </c>
      <c r="U2198" s="69" t="s">
        <v>27</v>
      </c>
      <c r="V2198" s="72" t="str">
        <f t="shared" si="34"/>
        <v>OK_POTTAWATOMIE</v>
      </c>
      <c r="AJ2198" s="1" t="s">
        <v>27</v>
      </c>
      <c r="AK2198" s="1" t="s">
        <v>1544</v>
      </c>
      <c r="AL2198" s="1" t="s">
        <v>7471</v>
      </c>
      <c r="AM2198" s="1" t="s">
        <v>4620</v>
      </c>
    </row>
    <row r="2199" spans="20:39" x14ac:dyDescent="0.2">
      <c r="T2199" s="28" t="s">
        <v>1554</v>
      </c>
      <c r="U2199" s="68" t="s">
        <v>27</v>
      </c>
      <c r="V2199" s="72" t="str">
        <f t="shared" si="34"/>
        <v>OK_PUSHMATAHA</v>
      </c>
      <c r="AJ2199" s="1" t="s">
        <v>27</v>
      </c>
      <c r="AK2199" s="1" t="s">
        <v>588</v>
      </c>
      <c r="AL2199" s="1" t="s">
        <v>7472</v>
      </c>
      <c r="AM2199" s="1" t="s">
        <v>4621</v>
      </c>
    </row>
    <row r="2200" spans="20:39" x14ac:dyDescent="0.2">
      <c r="T2200" s="29" t="s">
        <v>1555</v>
      </c>
      <c r="U2200" s="69" t="s">
        <v>27</v>
      </c>
      <c r="V2200" s="72" t="str">
        <f t="shared" si="34"/>
        <v>OK_ROGER MILLS</v>
      </c>
      <c r="AJ2200" s="1" t="s">
        <v>27</v>
      </c>
      <c r="AK2200" s="1" t="s">
        <v>591</v>
      </c>
      <c r="AL2200" s="1" t="s">
        <v>7473</v>
      </c>
      <c r="AM2200" s="1" t="s">
        <v>4622</v>
      </c>
    </row>
    <row r="2201" spans="20:39" x14ac:dyDescent="0.2">
      <c r="T2201" s="28" t="s">
        <v>1556</v>
      </c>
      <c r="U2201" s="68" t="s">
        <v>27</v>
      </c>
      <c r="V2201" s="72" t="str">
        <f t="shared" si="34"/>
        <v>OK_ROGERS</v>
      </c>
      <c r="AJ2201" s="1" t="s">
        <v>27</v>
      </c>
      <c r="AK2201" s="1" t="s">
        <v>1547</v>
      </c>
      <c r="AL2201" s="1" t="s">
        <v>7474</v>
      </c>
      <c r="AM2201" s="1" t="s">
        <v>4623</v>
      </c>
    </row>
    <row r="2202" spans="20:39" x14ac:dyDescent="0.2">
      <c r="T2202" s="29" t="s">
        <v>516</v>
      </c>
      <c r="U2202" s="69" t="s">
        <v>27</v>
      </c>
      <c r="V2202" s="72" t="str">
        <f t="shared" si="34"/>
        <v>OK_SEMINOLE</v>
      </c>
      <c r="AJ2202" s="1" t="s">
        <v>27</v>
      </c>
      <c r="AK2202" s="1" t="s">
        <v>741</v>
      </c>
      <c r="AL2202" s="1" t="s">
        <v>7475</v>
      </c>
      <c r="AM2202" s="1" t="s">
        <v>4624</v>
      </c>
    </row>
    <row r="2203" spans="20:39" x14ac:dyDescent="0.2">
      <c r="T2203" s="28" t="s">
        <v>1557</v>
      </c>
      <c r="U2203" s="68" t="s">
        <v>27</v>
      </c>
      <c r="V2203" s="72" t="str">
        <f t="shared" si="34"/>
        <v>OK_SEQUOYAH</v>
      </c>
      <c r="AJ2203" s="1" t="s">
        <v>27</v>
      </c>
      <c r="AK2203" s="1" t="s">
        <v>1548</v>
      </c>
      <c r="AL2203" s="1" t="s">
        <v>7476</v>
      </c>
      <c r="AM2203" s="1" t="s">
        <v>4625</v>
      </c>
    </row>
    <row r="2204" spans="20:39" x14ac:dyDescent="0.2">
      <c r="T2204" s="29" t="s">
        <v>605</v>
      </c>
      <c r="U2204" s="69" t="s">
        <v>27</v>
      </c>
      <c r="V2204" s="72" t="str">
        <f t="shared" si="34"/>
        <v>OK_STEPHENS</v>
      </c>
      <c r="AJ2204" s="1" t="s">
        <v>27</v>
      </c>
      <c r="AK2204" s="1" t="s">
        <v>1549</v>
      </c>
      <c r="AL2204" s="1" t="s">
        <v>7477</v>
      </c>
      <c r="AM2204" s="1" t="s">
        <v>4626</v>
      </c>
    </row>
    <row r="2205" spans="20:39" x14ac:dyDescent="0.2">
      <c r="T2205" s="28" t="s">
        <v>1229</v>
      </c>
      <c r="U2205" s="68" t="s">
        <v>27</v>
      </c>
      <c r="V2205" s="72" t="str">
        <f t="shared" si="34"/>
        <v>OK_TEXAS</v>
      </c>
      <c r="AJ2205" s="1" t="s">
        <v>27</v>
      </c>
      <c r="AK2205" s="1" t="s">
        <v>1550</v>
      </c>
      <c r="AL2205" s="1" t="s">
        <v>7478</v>
      </c>
      <c r="AM2205" s="1" t="s">
        <v>4627</v>
      </c>
    </row>
    <row r="2206" spans="20:39" x14ac:dyDescent="0.2">
      <c r="T2206" s="29" t="s">
        <v>1558</v>
      </c>
      <c r="U2206" s="69" t="s">
        <v>27</v>
      </c>
      <c r="V2206" s="72" t="str">
        <f t="shared" si="34"/>
        <v>OK_TILLMAN</v>
      </c>
      <c r="AJ2206" s="1" t="s">
        <v>27</v>
      </c>
      <c r="AK2206" s="1" t="s">
        <v>1551</v>
      </c>
      <c r="AL2206" s="1" t="s">
        <v>7479</v>
      </c>
      <c r="AM2206" s="1" t="s">
        <v>4628</v>
      </c>
    </row>
    <row r="2207" spans="20:39" x14ac:dyDescent="0.2">
      <c r="T2207" s="28" t="s">
        <v>1559</v>
      </c>
      <c r="U2207" s="68" t="s">
        <v>27</v>
      </c>
      <c r="V2207" s="72" t="str">
        <f t="shared" si="34"/>
        <v>OK_TULSA</v>
      </c>
      <c r="AJ2207" s="1" t="s">
        <v>27</v>
      </c>
      <c r="AK2207" s="1" t="s">
        <v>847</v>
      </c>
      <c r="AL2207" s="1" t="s">
        <v>7480</v>
      </c>
      <c r="AM2207" s="1" t="s">
        <v>4641</v>
      </c>
    </row>
    <row r="2208" spans="20:39" x14ac:dyDescent="0.2">
      <c r="T2208" s="29" t="s">
        <v>1560</v>
      </c>
      <c r="U2208" s="69" t="s">
        <v>27</v>
      </c>
      <c r="V2208" s="72" t="str">
        <f t="shared" si="34"/>
        <v>OK_WAGONER</v>
      </c>
      <c r="AJ2208" s="1" t="s">
        <v>27</v>
      </c>
      <c r="AK2208" s="1" t="s">
        <v>849</v>
      </c>
      <c r="AL2208" s="1" t="s">
        <v>7481</v>
      </c>
      <c r="AM2208" s="1" t="s">
        <v>4629</v>
      </c>
    </row>
    <row r="2209" spans="20:39" x14ac:dyDescent="0.2">
      <c r="T2209" s="28" t="s">
        <v>258</v>
      </c>
      <c r="U2209" s="68" t="s">
        <v>27</v>
      </c>
      <c r="V2209" s="72" t="str">
        <f t="shared" si="34"/>
        <v>OK_WASHINGTON</v>
      </c>
      <c r="AJ2209" s="1" t="s">
        <v>27</v>
      </c>
      <c r="AK2209" s="1" t="s">
        <v>850</v>
      </c>
      <c r="AL2209" s="1" t="s">
        <v>7482</v>
      </c>
      <c r="AM2209" s="1" t="s">
        <v>4630</v>
      </c>
    </row>
    <row r="2210" spans="20:39" x14ac:dyDescent="0.2">
      <c r="T2210" s="29" t="s">
        <v>1561</v>
      </c>
      <c r="U2210" s="69" t="s">
        <v>27</v>
      </c>
      <c r="V2210" s="72" t="str">
        <f t="shared" si="34"/>
        <v>OK_WASHITA</v>
      </c>
      <c r="AJ2210" s="1" t="s">
        <v>27</v>
      </c>
      <c r="AK2210" s="1" t="s">
        <v>1552</v>
      </c>
      <c r="AL2210" s="1" t="s">
        <v>7483</v>
      </c>
      <c r="AM2210" s="1" t="s">
        <v>4631</v>
      </c>
    </row>
    <row r="2211" spans="20:39" x14ac:dyDescent="0.2">
      <c r="T2211" s="28" t="s">
        <v>1562</v>
      </c>
      <c r="U2211" s="68" t="s">
        <v>27</v>
      </c>
      <c r="V2211" s="72" t="str">
        <f t="shared" si="34"/>
        <v>OK_WOODS</v>
      </c>
      <c r="AJ2211" s="1" t="s">
        <v>27</v>
      </c>
      <c r="AK2211" s="1" t="s">
        <v>1553</v>
      </c>
      <c r="AL2211" s="1" t="s">
        <v>7484</v>
      </c>
      <c r="AM2211" s="1" t="s">
        <v>4632</v>
      </c>
    </row>
    <row r="2212" spans="20:39" x14ac:dyDescent="0.2">
      <c r="T2212" s="29" t="s">
        <v>1563</v>
      </c>
      <c r="U2212" s="69" t="s">
        <v>27</v>
      </c>
      <c r="V2212" s="72" t="str">
        <f t="shared" si="34"/>
        <v>OK_WOODWARD</v>
      </c>
      <c r="AJ2212" s="1" t="s">
        <v>27</v>
      </c>
      <c r="AK2212" s="1" t="s">
        <v>1178</v>
      </c>
      <c r="AL2212" s="1" t="s">
        <v>7485</v>
      </c>
      <c r="AM2212" s="1" t="s">
        <v>4633</v>
      </c>
    </row>
    <row r="2213" spans="20:39" x14ac:dyDescent="0.2">
      <c r="T2213" s="28" t="s">
        <v>474</v>
      </c>
      <c r="U2213" s="68" t="s">
        <v>70</v>
      </c>
      <c r="V2213" s="72" t="str">
        <f t="shared" si="34"/>
        <v>OR_BAKER</v>
      </c>
      <c r="AJ2213" s="1" t="s">
        <v>27</v>
      </c>
      <c r="AK2213" s="1" t="s">
        <v>851</v>
      </c>
      <c r="AL2213" s="1" t="s">
        <v>7486</v>
      </c>
      <c r="AM2213" s="1" t="s">
        <v>4634</v>
      </c>
    </row>
    <row r="2214" spans="20:39" x14ac:dyDescent="0.2">
      <c r="T2214" s="29" t="s">
        <v>296</v>
      </c>
      <c r="U2214" s="69" t="s">
        <v>70</v>
      </c>
      <c r="V2214" s="72" t="str">
        <f t="shared" si="34"/>
        <v>OR_BENTON</v>
      </c>
      <c r="AJ2214" s="1" t="s">
        <v>27</v>
      </c>
      <c r="AK2214" s="1" t="s">
        <v>1554</v>
      </c>
      <c r="AL2214" s="1" t="s">
        <v>7487</v>
      </c>
      <c r="AM2214" s="1" t="s">
        <v>4635</v>
      </c>
    </row>
    <row r="2215" spans="20:39" x14ac:dyDescent="0.2">
      <c r="T2215" s="28" t="s">
        <v>1564</v>
      </c>
      <c r="U2215" s="68" t="s">
        <v>70</v>
      </c>
      <c r="V2215" s="72" t="str">
        <f t="shared" si="34"/>
        <v>OR_CLACKAMAS</v>
      </c>
      <c r="AJ2215" s="1" t="s">
        <v>27</v>
      </c>
      <c r="AK2215" s="1" t="s">
        <v>1555</v>
      </c>
      <c r="AL2215" s="1" t="s">
        <v>7488</v>
      </c>
      <c r="AM2215" s="1" t="s">
        <v>4636</v>
      </c>
    </row>
    <row r="2216" spans="20:39" x14ac:dyDescent="0.2">
      <c r="T2216" s="29" t="s">
        <v>1565</v>
      </c>
      <c r="U2216" s="69" t="s">
        <v>70</v>
      </c>
      <c r="V2216" s="72" t="str">
        <f t="shared" si="34"/>
        <v>OR_CLATSOP</v>
      </c>
      <c r="AJ2216" s="1" t="s">
        <v>27</v>
      </c>
      <c r="AK2216" s="1" t="s">
        <v>1556</v>
      </c>
      <c r="AL2216" s="1" t="s">
        <v>7489</v>
      </c>
      <c r="AM2216" s="1" t="s">
        <v>4641</v>
      </c>
    </row>
    <row r="2217" spans="20:39" x14ac:dyDescent="0.2">
      <c r="T2217" s="28" t="s">
        <v>303</v>
      </c>
      <c r="U2217" s="68" t="s">
        <v>70</v>
      </c>
      <c r="V2217" s="72" t="str">
        <f t="shared" si="34"/>
        <v>OR_COLUMBIA</v>
      </c>
      <c r="AJ2217" s="1" t="s">
        <v>27</v>
      </c>
      <c r="AK2217" s="1" t="s">
        <v>516</v>
      </c>
      <c r="AL2217" s="1" t="s">
        <v>7490</v>
      </c>
      <c r="AM2217" s="1" t="s">
        <v>4637</v>
      </c>
    </row>
    <row r="2218" spans="20:39" x14ac:dyDescent="0.2">
      <c r="T2218" s="29" t="s">
        <v>1321</v>
      </c>
      <c r="U2218" s="69" t="s">
        <v>70</v>
      </c>
      <c r="V2218" s="72" t="str">
        <f t="shared" si="34"/>
        <v>OR_COOS</v>
      </c>
      <c r="AJ2218" s="1" t="s">
        <v>27</v>
      </c>
      <c r="AK2218" s="1" t="s">
        <v>1557</v>
      </c>
      <c r="AL2218" s="1" t="s">
        <v>7491</v>
      </c>
      <c r="AM2218" s="1" t="s">
        <v>9088</v>
      </c>
    </row>
    <row r="2219" spans="20:39" x14ac:dyDescent="0.2">
      <c r="T2219" s="28" t="s">
        <v>1566</v>
      </c>
      <c r="U2219" s="68" t="s">
        <v>70</v>
      </c>
      <c r="V2219" s="72" t="str">
        <f t="shared" si="34"/>
        <v>OR_CROOK</v>
      </c>
      <c r="AJ2219" s="1" t="s">
        <v>27</v>
      </c>
      <c r="AK2219" s="1" t="s">
        <v>605</v>
      </c>
      <c r="AL2219" s="1" t="s">
        <v>7492</v>
      </c>
      <c r="AM2219" s="1" t="s">
        <v>4638</v>
      </c>
    </row>
    <row r="2220" spans="20:39" x14ac:dyDescent="0.2">
      <c r="T2220" s="29" t="s">
        <v>1341</v>
      </c>
      <c r="U2220" s="69" t="s">
        <v>70</v>
      </c>
      <c r="V2220" s="72" t="str">
        <f t="shared" si="34"/>
        <v>OR_CURRY</v>
      </c>
      <c r="AJ2220" s="1" t="s">
        <v>27</v>
      </c>
      <c r="AK2220" s="1" t="s">
        <v>1229</v>
      </c>
      <c r="AL2220" s="1" t="s">
        <v>7493</v>
      </c>
      <c r="AM2220" s="1" t="s">
        <v>4639</v>
      </c>
    </row>
    <row r="2221" spans="20:39" x14ac:dyDescent="0.2">
      <c r="T2221" s="28" t="s">
        <v>1567</v>
      </c>
      <c r="U2221" s="68" t="s">
        <v>70</v>
      </c>
      <c r="V2221" s="72" t="str">
        <f t="shared" si="34"/>
        <v>OR_DESCHUTES</v>
      </c>
      <c r="AJ2221" s="1" t="s">
        <v>27</v>
      </c>
      <c r="AK2221" s="1" t="s">
        <v>1558</v>
      </c>
      <c r="AL2221" s="1" t="s">
        <v>7494</v>
      </c>
      <c r="AM2221" s="1" t="s">
        <v>4640</v>
      </c>
    </row>
    <row r="2222" spans="20:39" x14ac:dyDescent="0.2">
      <c r="T2222" s="29" t="s">
        <v>423</v>
      </c>
      <c r="U2222" s="69" t="s">
        <v>70</v>
      </c>
      <c r="V2222" s="72" t="str">
        <f t="shared" si="34"/>
        <v>OR_DOUGLAS</v>
      </c>
      <c r="AJ2222" s="1" t="s">
        <v>27</v>
      </c>
      <c r="AK2222" s="1" t="s">
        <v>1559</v>
      </c>
      <c r="AL2222" s="1" t="s">
        <v>7495</v>
      </c>
      <c r="AM2222" s="1" t="s">
        <v>4641</v>
      </c>
    </row>
    <row r="2223" spans="20:39" x14ac:dyDescent="0.2">
      <c r="T2223" s="28" t="s">
        <v>1568</v>
      </c>
      <c r="U2223" s="68" t="s">
        <v>70</v>
      </c>
      <c r="V2223" s="72" t="str">
        <f t="shared" si="34"/>
        <v>OR_GILLIAM</v>
      </c>
      <c r="AJ2223" s="1" t="s">
        <v>27</v>
      </c>
      <c r="AK2223" s="1" t="s">
        <v>1560</v>
      </c>
      <c r="AL2223" s="1" t="s">
        <v>7496</v>
      </c>
      <c r="AM2223" s="1" t="s">
        <v>4641</v>
      </c>
    </row>
    <row r="2224" spans="20:39" x14ac:dyDescent="0.2">
      <c r="T2224" s="29" t="s">
        <v>314</v>
      </c>
      <c r="U2224" s="69" t="s">
        <v>70</v>
      </c>
      <c r="V2224" s="72" t="str">
        <f t="shared" si="34"/>
        <v>OR_GRANT</v>
      </c>
      <c r="AJ2224" s="1" t="s">
        <v>27</v>
      </c>
      <c r="AK2224" s="1" t="s">
        <v>258</v>
      </c>
      <c r="AL2224" s="1" t="s">
        <v>7497</v>
      </c>
      <c r="AM2224" s="1" t="s">
        <v>4642</v>
      </c>
    </row>
    <row r="2225" spans="20:39" x14ac:dyDescent="0.2">
      <c r="T2225" s="28" t="s">
        <v>1569</v>
      </c>
      <c r="U2225" s="68" t="s">
        <v>70</v>
      </c>
      <c r="V2225" s="72" t="str">
        <f t="shared" si="34"/>
        <v>OR_HARNEY</v>
      </c>
      <c r="AJ2225" s="1" t="s">
        <v>27</v>
      </c>
      <c r="AK2225" s="1" t="s">
        <v>1561</v>
      </c>
      <c r="AL2225" s="1" t="s">
        <v>7498</v>
      </c>
      <c r="AM2225" s="1" t="s">
        <v>4643</v>
      </c>
    </row>
    <row r="2226" spans="20:39" x14ac:dyDescent="0.2">
      <c r="T2226" s="29" t="s">
        <v>1570</v>
      </c>
      <c r="U2226" s="69" t="s">
        <v>70</v>
      </c>
      <c r="V2226" s="72" t="str">
        <f t="shared" si="34"/>
        <v>OR_HOOD RIVER</v>
      </c>
      <c r="AJ2226" s="1" t="s">
        <v>27</v>
      </c>
      <c r="AK2226" s="1" t="s">
        <v>1562</v>
      </c>
      <c r="AL2226" s="1" t="s">
        <v>7499</v>
      </c>
      <c r="AM2226" s="1" t="s">
        <v>4644</v>
      </c>
    </row>
    <row r="2227" spans="20:39" x14ac:dyDescent="0.2">
      <c r="T2227" s="28" t="s">
        <v>229</v>
      </c>
      <c r="U2227" s="68" t="s">
        <v>70</v>
      </c>
      <c r="V2227" s="72" t="str">
        <f t="shared" si="34"/>
        <v>OR_JACKSON</v>
      </c>
      <c r="AJ2227" s="1" t="s">
        <v>27</v>
      </c>
      <c r="AK2227" s="1" t="s">
        <v>1563</v>
      </c>
      <c r="AL2227" s="1" t="s">
        <v>7500</v>
      </c>
      <c r="AM2227" s="1" t="s">
        <v>4645</v>
      </c>
    </row>
    <row r="2228" spans="20:39" x14ac:dyDescent="0.2">
      <c r="T2228" s="29" t="s">
        <v>230</v>
      </c>
      <c r="U2228" s="69" t="s">
        <v>70</v>
      </c>
      <c r="V2228" s="72" t="str">
        <f t="shared" si="34"/>
        <v>OR_JEFFERSON</v>
      </c>
      <c r="AJ2228" s="1" t="s">
        <v>70</v>
      </c>
      <c r="AK2228" s="1" t="s">
        <v>474</v>
      </c>
      <c r="AL2228" s="1" t="s">
        <v>7501</v>
      </c>
      <c r="AM2228" s="1" t="s">
        <v>4647</v>
      </c>
    </row>
    <row r="2229" spans="20:39" x14ac:dyDescent="0.2">
      <c r="T2229" s="28" t="s">
        <v>1571</v>
      </c>
      <c r="U2229" s="68" t="s">
        <v>70</v>
      </c>
      <c r="V2229" s="72" t="str">
        <f t="shared" si="34"/>
        <v>OR_JOSEPHINE</v>
      </c>
      <c r="AJ2229" s="1" t="s">
        <v>70</v>
      </c>
      <c r="AK2229" s="1" t="s">
        <v>296</v>
      </c>
      <c r="AL2229" s="1" t="s">
        <v>7502</v>
      </c>
      <c r="AM2229" s="1" t="s">
        <v>4650</v>
      </c>
    </row>
    <row r="2230" spans="20:39" x14ac:dyDescent="0.2">
      <c r="T2230" s="29" t="s">
        <v>1572</v>
      </c>
      <c r="U2230" s="69" t="s">
        <v>70</v>
      </c>
      <c r="V2230" s="72" t="str">
        <f t="shared" si="34"/>
        <v>OR_KLAMATH</v>
      </c>
      <c r="AJ2230" s="1" t="s">
        <v>70</v>
      </c>
      <c r="AK2230" s="1" t="s">
        <v>1564</v>
      </c>
      <c r="AL2230" s="1" t="s">
        <v>7503</v>
      </c>
      <c r="AM2230" s="1" t="s">
        <v>4665</v>
      </c>
    </row>
    <row r="2231" spans="20:39" x14ac:dyDescent="0.2">
      <c r="T2231" s="28" t="s">
        <v>366</v>
      </c>
      <c r="U2231" s="68" t="s">
        <v>70</v>
      </c>
      <c r="V2231" s="72" t="str">
        <f t="shared" si="34"/>
        <v>OR_LAKE</v>
      </c>
      <c r="AJ2231" s="1" t="s">
        <v>70</v>
      </c>
      <c r="AK2231" s="1" t="s">
        <v>1565</v>
      </c>
      <c r="AL2231" s="1" t="s">
        <v>7504</v>
      </c>
      <c r="AM2231" s="1" t="s">
        <v>4648</v>
      </c>
    </row>
    <row r="2232" spans="20:39" x14ac:dyDescent="0.2">
      <c r="T2232" s="29" t="s">
        <v>837</v>
      </c>
      <c r="U2232" s="69" t="s">
        <v>70</v>
      </c>
      <c r="V2232" s="72" t="str">
        <f t="shared" si="34"/>
        <v>OR_LANE</v>
      </c>
      <c r="AJ2232" s="1" t="s">
        <v>70</v>
      </c>
      <c r="AK2232" s="1" t="s">
        <v>303</v>
      </c>
      <c r="AL2232" s="1" t="s">
        <v>7505</v>
      </c>
      <c r="AM2232" s="1" t="s">
        <v>4665</v>
      </c>
    </row>
    <row r="2233" spans="20:39" x14ac:dyDescent="0.2">
      <c r="T2233" s="28" t="s">
        <v>322</v>
      </c>
      <c r="U2233" s="68" t="s">
        <v>70</v>
      </c>
      <c r="V2233" s="72" t="str">
        <f t="shared" si="34"/>
        <v>OR_LINCOLN</v>
      </c>
      <c r="AJ2233" s="1" t="s">
        <v>70</v>
      </c>
      <c r="AK2233" s="1" t="s">
        <v>1321</v>
      </c>
      <c r="AL2233" s="1" t="s">
        <v>7506</v>
      </c>
      <c r="AM2233" s="1" t="s">
        <v>4649</v>
      </c>
    </row>
    <row r="2234" spans="20:39" x14ac:dyDescent="0.2">
      <c r="T2234" s="29" t="s">
        <v>784</v>
      </c>
      <c r="U2234" s="69" t="s">
        <v>70</v>
      </c>
      <c r="V2234" s="72" t="str">
        <f t="shared" si="34"/>
        <v>OR_LINN</v>
      </c>
      <c r="AJ2234" s="1" t="s">
        <v>70</v>
      </c>
      <c r="AK2234" s="1" t="s">
        <v>1566</v>
      </c>
      <c r="AL2234" s="1" t="s">
        <v>7507</v>
      </c>
      <c r="AM2234" s="1" t="s">
        <v>9242</v>
      </c>
    </row>
    <row r="2235" spans="20:39" x14ac:dyDescent="0.2">
      <c r="T2235" s="28" t="s">
        <v>1573</v>
      </c>
      <c r="U2235" s="68" t="s">
        <v>70</v>
      </c>
      <c r="V2235" s="72" t="str">
        <f t="shared" si="34"/>
        <v>OR_MALHEUR</v>
      </c>
      <c r="AJ2235" s="1" t="s">
        <v>70</v>
      </c>
      <c r="AK2235" s="1" t="s">
        <v>1341</v>
      </c>
      <c r="AL2235" s="1" t="s">
        <v>7508</v>
      </c>
      <c r="AM2235" s="1" t="s">
        <v>4651</v>
      </c>
    </row>
    <row r="2236" spans="20:39" x14ac:dyDescent="0.2">
      <c r="T2236" s="29" t="s">
        <v>240</v>
      </c>
      <c r="U2236" s="69" t="s">
        <v>70</v>
      </c>
      <c r="V2236" s="72" t="str">
        <f t="shared" si="34"/>
        <v>OR_MARION</v>
      </c>
      <c r="AJ2236" s="1" t="s">
        <v>70</v>
      </c>
      <c r="AK2236" s="1" t="s">
        <v>1567</v>
      </c>
      <c r="AL2236" s="1" t="s">
        <v>7509</v>
      </c>
      <c r="AM2236" s="1" t="s">
        <v>9243</v>
      </c>
    </row>
    <row r="2237" spans="20:39" x14ac:dyDescent="0.2">
      <c r="T2237" s="28" t="s">
        <v>1508</v>
      </c>
      <c r="U2237" s="68" t="s">
        <v>70</v>
      </c>
      <c r="V2237" s="72" t="str">
        <f t="shared" si="34"/>
        <v>OR_MORROW</v>
      </c>
      <c r="AJ2237" s="1" t="s">
        <v>70</v>
      </c>
      <c r="AK2237" s="1" t="s">
        <v>423</v>
      </c>
      <c r="AL2237" s="1" t="s">
        <v>7510</v>
      </c>
      <c r="AM2237" s="1" t="s">
        <v>4652</v>
      </c>
    </row>
    <row r="2238" spans="20:39" x14ac:dyDescent="0.2">
      <c r="T2238" s="29" t="s">
        <v>1574</v>
      </c>
      <c r="U2238" s="69" t="s">
        <v>70</v>
      </c>
      <c r="V2238" s="72" t="str">
        <f t="shared" si="34"/>
        <v>OR_MULTNOMAH</v>
      </c>
      <c r="AJ2238" s="1" t="s">
        <v>70</v>
      </c>
      <c r="AK2238" s="1" t="s">
        <v>1568</v>
      </c>
      <c r="AL2238" s="1" t="s">
        <v>7511</v>
      </c>
      <c r="AM2238" s="1" t="s">
        <v>4654</v>
      </c>
    </row>
    <row r="2239" spans="20:39" x14ac:dyDescent="0.2">
      <c r="T2239" s="28" t="s">
        <v>333</v>
      </c>
      <c r="U2239" s="68" t="s">
        <v>70</v>
      </c>
      <c r="V2239" s="72" t="str">
        <f t="shared" si="34"/>
        <v>OR_POLK</v>
      </c>
      <c r="AJ2239" s="1" t="s">
        <v>70</v>
      </c>
      <c r="AK2239" s="1" t="s">
        <v>314</v>
      </c>
      <c r="AL2239" s="1" t="s">
        <v>7512</v>
      </c>
      <c r="AM2239" s="1" t="s">
        <v>4655</v>
      </c>
    </row>
    <row r="2240" spans="20:39" x14ac:dyDescent="0.2">
      <c r="T2240" s="29" t="s">
        <v>862</v>
      </c>
      <c r="U2240" s="69" t="s">
        <v>70</v>
      </c>
      <c r="V2240" s="72" t="str">
        <f t="shared" si="34"/>
        <v>OR_SHERMAN</v>
      </c>
      <c r="AJ2240" s="1" t="s">
        <v>70</v>
      </c>
      <c r="AK2240" s="1" t="s">
        <v>1569</v>
      </c>
      <c r="AL2240" s="1" t="s">
        <v>7513</v>
      </c>
      <c r="AM2240" s="1" t="s">
        <v>4657</v>
      </c>
    </row>
    <row r="2241" spans="20:39" x14ac:dyDescent="0.2">
      <c r="T2241" s="28" t="s">
        <v>1575</v>
      </c>
      <c r="U2241" s="68" t="s">
        <v>70</v>
      </c>
      <c r="V2241" s="72" t="str">
        <f t="shared" si="34"/>
        <v>OR_TILLAMOOK</v>
      </c>
      <c r="AJ2241" s="1" t="s">
        <v>70</v>
      </c>
      <c r="AK2241" s="1" t="s">
        <v>1570</v>
      </c>
      <c r="AL2241" s="1" t="s">
        <v>7514</v>
      </c>
      <c r="AM2241" s="1" t="s">
        <v>4658</v>
      </c>
    </row>
    <row r="2242" spans="20:39" x14ac:dyDescent="0.2">
      <c r="T2242" s="29" t="s">
        <v>1576</v>
      </c>
      <c r="U2242" s="69" t="s">
        <v>70</v>
      </c>
      <c r="V2242" s="72" t="str">
        <f t="shared" si="34"/>
        <v>OR_UMATILLA</v>
      </c>
      <c r="AJ2242" s="1" t="s">
        <v>70</v>
      </c>
      <c r="AK2242" s="1" t="s">
        <v>229</v>
      </c>
      <c r="AL2242" s="1" t="s">
        <v>7515</v>
      </c>
      <c r="AM2242" s="1" t="s">
        <v>4663</v>
      </c>
    </row>
    <row r="2243" spans="20:39" x14ac:dyDescent="0.2">
      <c r="T2243" s="28" t="s">
        <v>345</v>
      </c>
      <c r="U2243" s="68" t="s">
        <v>70</v>
      </c>
      <c r="V2243" s="72" t="str">
        <f t="shared" si="34"/>
        <v>OR_UNION</v>
      </c>
      <c r="AJ2243" s="1" t="s">
        <v>70</v>
      </c>
      <c r="AK2243" s="1" t="s">
        <v>230</v>
      </c>
      <c r="AL2243" s="1" t="s">
        <v>7516</v>
      </c>
      <c r="AM2243" s="1" t="s">
        <v>9244</v>
      </c>
    </row>
    <row r="2244" spans="20:39" x14ac:dyDescent="0.2">
      <c r="T2244" s="29" t="s">
        <v>1577</v>
      </c>
      <c r="U2244" s="69" t="s">
        <v>70</v>
      </c>
      <c r="V2244" s="72" t="str">
        <f t="shared" si="34"/>
        <v>OR_WALLOWA</v>
      </c>
      <c r="AJ2244" s="1" t="s">
        <v>70</v>
      </c>
      <c r="AK2244" s="1" t="s">
        <v>1571</v>
      </c>
      <c r="AL2244" s="1" t="s">
        <v>7517</v>
      </c>
      <c r="AM2244" s="1" t="s">
        <v>4656</v>
      </c>
    </row>
    <row r="2245" spans="20:39" x14ac:dyDescent="0.2">
      <c r="T2245" s="28" t="s">
        <v>1578</v>
      </c>
      <c r="U2245" s="68" t="s">
        <v>70</v>
      </c>
      <c r="V2245" s="72" t="str">
        <f t="shared" si="34"/>
        <v>OR_WASCO</v>
      </c>
      <c r="AJ2245" s="1" t="s">
        <v>70</v>
      </c>
      <c r="AK2245" s="1" t="s">
        <v>1572</v>
      </c>
      <c r="AL2245" s="1" t="s">
        <v>7518</v>
      </c>
      <c r="AM2245" s="1" t="s">
        <v>4659</v>
      </c>
    </row>
    <row r="2246" spans="20:39" x14ac:dyDescent="0.2">
      <c r="T2246" s="29" t="s">
        <v>258</v>
      </c>
      <c r="U2246" s="69" t="s">
        <v>70</v>
      </c>
      <c r="V2246" s="72" t="str">
        <f t="shared" si="34"/>
        <v>OR_WASHINGTON</v>
      </c>
      <c r="AJ2246" s="1" t="s">
        <v>70</v>
      </c>
      <c r="AK2246" s="1" t="s">
        <v>366</v>
      </c>
      <c r="AL2246" s="1" t="s">
        <v>7519</v>
      </c>
      <c r="AM2246" s="1" t="s">
        <v>4660</v>
      </c>
    </row>
    <row r="2247" spans="20:39" x14ac:dyDescent="0.2">
      <c r="T2247" s="28" t="s">
        <v>625</v>
      </c>
      <c r="U2247" s="68" t="s">
        <v>70</v>
      </c>
      <c r="V2247" s="72" t="str">
        <f t="shared" si="34"/>
        <v>OR_WHEELER</v>
      </c>
      <c r="AJ2247" s="1" t="s">
        <v>70</v>
      </c>
      <c r="AK2247" s="1" t="s">
        <v>837</v>
      </c>
      <c r="AL2247" s="1" t="s">
        <v>7520</v>
      </c>
      <c r="AM2247" s="1" t="s">
        <v>4653</v>
      </c>
    </row>
    <row r="2248" spans="20:39" x14ac:dyDescent="0.2">
      <c r="T2248" s="29" t="s">
        <v>1579</v>
      </c>
      <c r="U2248" s="69" t="s">
        <v>70</v>
      </c>
      <c r="V2248" s="72" t="str">
        <f t="shared" si="34"/>
        <v>OR_YAMHILL</v>
      </c>
      <c r="AJ2248" s="1" t="s">
        <v>70</v>
      </c>
      <c r="AK2248" s="1" t="s">
        <v>322</v>
      </c>
      <c r="AL2248" s="1" t="s">
        <v>7521</v>
      </c>
      <c r="AM2248" s="1" t="s">
        <v>4661</v>
      </c>
    </row>
    <row r="2249" spans="20:39" x14ac:dyDescent="0.2">
      <c r="T2249" s="28" t="s">
        <v>406</v>
      </c>
      <c r="U2249" s="68" t="s">
        <v>69</v>
      </c>
      <c r="V2249" s="72" t="str">
        <f t="shared" si="34"/>
        <v>PA_ADAMS</v>
      </c>
      <c r="AJ2249" s="1" t="s">
        <v>70</v>
      </c>
      <c r="AK2249" s="1" t="s">
        <v>784</v>
      </c>
      <c r="AL2249" s="1" t="s">
        <v>7522</v>
      </c>
      <c r="AM2249" s="1" t="s">
        <v>4646</v>
      </c>
    </row>
    <row r="2250" spans="20:39" x14ac:dyDescent="0.2">
      <c r="T2250" s="29" t="s">
        <v>1580</v>
      </c>
      <c r="U2250" s="69" t="s">
        <v>69</v>
      </c>
      <c r="V2250" s="72" t="str">
        <f t="shared" ref="V2250:V2313" si="35">UPPER(CONCATENATE(TRIM(U2250),"_",TRIM(T2250)))</f>
        <v>PA_ALLEGHENY</v>
      </c>
      <c r="AJ2250" s="1" t="s">
        <v>70</v>
      </c>
      <c r="AK2250" s="1" t="s">
        <v>1573</v>
      </c>
      <c r="AL2250" s="1" t="s">
        <v>7523</v>
      </c>
      <c r="AM2250" s="1" t="s">
        <v>4662</v>
      </c>
    </row>
    <row r="2251" spans="20:39" x14ac:dyDescent="0.2">
      <c r="T2251" s="28" t="s">
        <v>1581</v>
      </c>
      <c r="U2251" s="68" t="s">
        <v>69</v>
      </c>
      <c r="V2251" s="72" t="str">
        <f t="shared" si="35"/>
        <v>PA_ARMSTRONG</v>
      </c>
      <c r="AJ2251" s="1" t="s">
        <v>70</v>
      </c>
      <c r="AK2251" s="1" t="s">
        <v>240</v>
      </c>
      <c r="AL2251" s="1" t="s">
        <v>7524</v>
      </c>
      <c r="AM2251" s="1" t="s">
        <v>4666</v>
      </c>
    </row>
    <row r="2252" spans="20:39" x14ac:dyDescent="0.2">
      <c r="T2252" s="29" t="s">
        <v>1524</v>
      </c>
      <c r="U2252" s="69" t="s">
        <v>69</v>
      </c>
      <c r="V2252" s="72" t="str">
        <f t="shared" si="35"/>
        <v>PA_BEAVER</v>
      </c>
      <c r="AJ2252" s="1" t="s">
        <v>70</v>
      </c>
      <c r="AK2252" s="1" t="s">
        <v>1508</v>
      </c>
      <c r="AL2252" s="1" t="s">
        <v>7525</v>
      </c>
      <c r="AM2252" s="1" t="s">
        <v>4664</v>
      </c>
    </row>
    <row r="2253" spans="20:39" x14ac:dyDescent="0.2">
      <c r="T2253" s="28" t="s">
        <v>1582</v>
      </c>
      <c r="U2253" s="68" t="s">
        <v>69</v>
      </c>
      <c r="V2253" s="72" t="str">
        <f t="shared" si="35"/>
        <v>PA_BEDFORD</v>
      </c>
      <c r="AJ2253" s="1" t="s">
        <v>70</v>
      </c>
      <c r="AK2253" s="1" t="s">
        <v>1574</v>
      </c>
      <c r="AL2253" s="1" t="s">
        <v>7526</v>
      </c>
      <c r="AM2253" s="1" t="s">
        <v>4665</v>
      </c>
    </row>
    <row r="2254" spans="20:39" x14ac:dyDescent="0.2">
      <c r="T2254" s="29" t="s">
        <v>1583</v>
      </c>
      <c r="U2254" s="69" t="s">
        <v>69</v>
      </c>
      <c r="V2254" s="72" t="str">
        <f t="shared" si="35"/>
        <v>PA_BERKS</v>
      </c>
      <c r="AJ2254" s="1" t="s">
        <v>70</v>
      </c>
      <c r="AK2254" s="1" t="s">
        <v>333</v>
      </c>
      <c r="AL2254" s="1" t="s">
        <v>7527</v>
      </c>
      <c r="AM2254" s="1" t="s">
        <v>4666</v>
      </c>
    </row>
    <row r="2255" spans="20:39" x14ac:dyDescent="0.2">
      <c r="T2255" s="28" t="s">
        <v>1584</v>
      </c>
      <c r="U2255" s="68" t="s">
        <v>69</v>
      </c>
      <c r="V2255" s="72" t="str">
        <f t="shared" si="35"/>
        <v>PA_BLAIR</v>
      </c>
      <c r="AJ2255" s="1" t="s">
        <v>70</v>
      </c>
      <c r="AK2255" s="1" t="s">
        <v>862</v>
      </c>
      <c r="AL2255" s="1" t="s">
        <v>7528</v>
      </c>
      <c r="AM2255" s="1" t="s">
        <v>4667</v>
      </c>
    </row>
    <row r="2256" spans="20:39" x14ac:dyDescent="0.2">
      <c r="T2256" s="29" t="s">
        <v>476</v>
      </c>
      <c r="U2256" s="69" t="s">
        <v>69</v>
      </c>
      <c r="V2256" s="72" t="str">
        <f t="shared" si="35"/>
        <v>PA_BRADFORD</v>
      </c>
      <c r="AJ2256" s="1" t="s">
        <v>70</v>
      </c>
      <c r="AK2256" s="1" t="s">
        <v>1575</v>
      </c>
      <c r="AL2256" s="1" t="s">
        <v>7529</v>
      </c>
      <c r="AM2256" s="1" t="s">
        <v>4668</v>
      </c>
    </row>
    <row r="2257" spans="20:39" x14ac:dyDescent="0.2">
      <c r="T2257" s="28" t="s">
        <v>1585</v>
      </c>
      <c r="U2257" s="68" t="s">
        <v>69</v>
      </c>
      <c r="V2257" s="72" t="str">
        <f t="shared" si="35"/>
        <v>PA_BUCKS</v>
      </c>
      <c r="AJ2257" s="1" t="s">
        <v>70</v>
      </c>
      <c r="AK2257" s="1" t="s">
        <v>1576</v>
      </c>
      <c r="AL2257" s="1" t="s">
        <v>7530</v>
      </c>
      <c r="AM2257" s="1" t="s">
        <v>4669</v>
      </c>
    </row>
    <row r="2258" spans="20:39" x14ac:dyDescent="0.2">
      <c r="T2258" s="29" t="s">
        <v>200</v>
      </c>
      <c r="U2258" s="69" t="s">
        <v>69</v>
      </c>
      <c r="V2258" s="72" t="str">
        <f t="shared" si="35"/>
        <v>PA_BUTLER</v>
      </c>
      <c r="AJ2258" s="1" t="s">
        <v>70</v>
      </c>
      <c r="AK2258" s="1" t="s">
        <v>345</v>
      </c>
      <c r="AL2258" s="1" t="s">
        <v>7531</v>
      </c>
      <c r="AM2258" s="1" t="s">
        <v>4670</v>
      </c>
    </row>
    <row r="2259" spans="20:39" x14ac:dyDescent="0.2">
      <c r="T2259" s="28" t="s">
        <v>1586</v>
      </c>
      <c r="U2259" s="68" t="s">
        <v>69</v>
      </c>
      <c r="V2259" s="72" t="str">
        <f t="shared" si="35"/>
        <v>PA_CAMBRIA</v>
      </c>
      <c r="AJ2259" s="1" t="s">
        <v>70</v>
      </c>
      <c r="AK2259" s="1" t="s">
        <v>1577</v>
      </c>
      <c r="AL2259" s="1" t="s">
        <v>7532</v>
      </c>
      <c r="AM2259" s="1" t="s">
        <v>4671</v>
      </c>
    </row>
    <row r="2260" spans="20:39" x14ac:dyDescent="0.2">
      <c r="T2260" s="29" t="s">
        <v>1587</v>
      </c>
      <c r="U2260" s="69" t="s">
        <v>69</v>
      </c>
      <c r="V2260" s="72" t="str">
        <f t="shared" si="35"/>
        <v>PA_CAMERON</v>
      </c>
      <c r="AJ2260" s="1" t="s">
        <v>70</v>
      </c>
      <c r="AK2260" s="1" t="s">
        <v>1578</v>
      </c>
      <c r="AL2260" s="1" t="s">
        <v>7533</v>
      </c>
      <c r="AM2260" s="1" t="s">
        <v>4672</v>
      </c>
    </row>
    <row r="2261" spans="20:39" x14ac:dyDescent="0.2">
      <c r="T2261" s="28" t="s">
        <v>1235</v>
      </c>
      <c r="U2261" s="68" t="s">
        <v>69</v>
      </c>
      <c r="V2261" s="72" t="str">
        <f t="shared" si="35"/>
        <v>PA_CARBON</v>
      </c>
      <c r="AJ2261" s="1" t="s">
        <v>70</v>
      </c>
      <c r="AK2261" s="1" t="s">
        <v>258</v>
      </c>
      <c r="AL2261" s="1" t="s">
        <v>7534</v>
      </c>
      <c r="AM2261" s="1" t="s">
        <v>4665</v>
      </c>
    </row>
    <row r="2262" spans="20:39" x14ac:dyDescent="0.2">
      <c r="T2262" s="29" t="s">
        <v>1588</v>
      </c>
      <c r="U2262" s="69" t="s">
        <v>69</v>
      </c>
      <c r="V2262" s="72" t="str">
        <f t="shared" si="35"/>
        <v>PA_CENTRE</v>
      </c>
      <c r="AJ2262" s="1" t="s">
        <v>70</v>
      </c>
      <c r="AK2262" s="1" t="s">
        <v>625</v>
      </c>
      <c r="AL2262" s="1" t="s">
        <v>7535</v>
      </c>
      <c r="AM2262" s="1" t="s">
        <v>4673</v>
      </c>
    </row>
    <row r="2263" spans="20:39" x14ac:dyDescent="0.2">
      <c r="T2263" s="28" t="s">
        <v>1589</v>
      </c>
      <c r="U2263" s="68" t="s">
        <v>69</v>
      </c>
      <c r="V2263" s="72" t="str">
        <f t="shared" si="35"/>
        <v>PA_CHESTER</v>
      </c>
      <c r="AJ2263" s="1" t="s">
        <v>70</v>
      </c>
      <c r="AK2263" s="1" t="s">
        <v>1579</v>
      </c>
      <c r="AL2263" s="1" t="s">
        <v>7536</v>
      </c>
      <c r="AM2263" s="1" t="s">
        <v>4665</v>
      </c>
    </row>
    <row r="2264" spans="20:39" x14ac:dyDescent="0.2">
      <c r="T2264" s="29" t="s">
        <v>1590</v>
      </c>
      <c r="U2264" s="69" t="s">
        <v>69</v>
      </c>
      <c r="V2264" s="72" t="str">
        <f t="shared" si="35"/>
        <v>PA_CLARION</v>
      </c>
      <c r="AJ2264" s="1" t="s">
        <v>69</v>
      </c>
      <c r="AK2264" s="1" t="s">
        <v>406</v>
      </c>
      <c r="AL2264" s="1" t="s">
        <v>7537</v>
      </c>
      <c r="AM2264" s="1" t="s">
        <v>4688</v>
      </c>
    </row>
    <row r="2265" spans="20:39" x14ac:dyDescent="0.2">
      <c r="T2265" s="28" t="s">
        <v>1591</v>
      </c>
      <c r="U2265" s="68" t="s">
        <v>69</v>
      </c>
      <c r="V2265" s="72" t="str">
        <f t="shared" si="35"/>
        <v>PA_CLEARFIELD</v>
      </c>
      <c r="AJ2265" s="1" t="s">
        <v>69</v>
      </c>
      <c r="AK2265" s="1" t="s">
        <v>1580</v>
      </c>
      <c r="AL2265" s="1" t="s">
        <v>7538</v>
      </c>
      <c r="AM2265" s="1" t="s">
        <v>4701</v>
      </c>
    </row>
    <row r="2266" spans="20:39" x14ac:dyDescent="0.2">
      <c r="T2266" s="29" t="s">
        <v>675</v>
      </c>
      <c r="U2266" s="69" t="s">
        <v>69</v>
      </c>
      <c r="V2266" s="72" t="str">
        <f t="shared" si="35"/>
        <v>PA_CLINTON</v>
      </c>
      <c r="AJ2266" s="1" t="s">
        <v>69</v>
      </c>
      <c r="AK2266" s="1" t="s">
        <v>1581</v>
      </c>
      <c r="AL2266" s="1" t="s">
        <v>7539</v>
      </c>
      <c r="AM2266" s="1" t="s">
        <v>4676</v>
      </c>
    </row>
    <row r="2267" spans="20:39" x14ac:dyDescent="0.2">
      <c r="T2267" s="28" t="s">
        <v>303</v>
      </c>
      <c r="U2267" s="68" t="s">
        <v>69</v>
      </c>
      <c r="V2267" s="72" t="str">
        <f t="shared" si="35"/>
        <v>PA_COLUMBIA</v>
      </c>
      <c r="AJ2267" s="1" t="s">
        <v>69</v>
      </c>
      <c r="AK2267" s="1" t="s">
        <v>1524</v>
      </c>
      <c r="AL2267" s="1" t="s">
        <v>7540</v>
      </c>
      <c r="AM2267" s="1" t="s">
        <v>4701</v>
      </c>
    </row>
    <row r="2268" spans="20:39" x14ac:dyDescent="0.2">
      <c r="T2268" s="29" t="s">
        <v>306</v>
      </c>
      <c r="U2268" s="69" t="s">
        <v>69</v>
      </c>
      <c r="V2268" s="72" t="str">
        <f t="shared" si="35"/>
        <v>PA_CRAWFORD</v>
      </c>
      <c r="AJ2268" s="1" t="s">
        <v>69</v>
      </c>
      <c r="AK2268" s="1" t="s">
        <v>1582</v>
      </c>
      <c r="AL2268" s="1" t="s">
        <v>7541</v>
      </c>
      <c r="AM2268" s="1" t="s">
        <v>4677</v>
      </c>
    </row>
    <row r="2269" spans="20:39" x14ac:dyDescent="0.2">
      <c r="T2269" s="28" t="s">
        <v>677</v>
      </c>
      <c r="U2269" s="68" t="s">
        <v>69</v>
      </c>
      <c r="V2269" s="72" t="str">
        <f t="shared" si="35"/>
        <v>PA_CUMBERLAND</v>
      </c>
      <c r="AJ2269" s="1" t="s">
        <v>69</v>
      </c>
      <c r="AK2269" s="1" t="s">
        <v>1583</v>
      </c>
      <c r="AL2269" s="1" t="s">
        <v>7542</v>
      </c>
      <c r="AM2269" s="1" t="s">
        <v>4703</v>
      </c>
    </row>
    <row r="2270" spans="20:39" x14ac:dyDescent="0.2">
      <c r="T2270" s="29" t="s">
        <v>1592</v>
      </c>
      <c r="U2270" s="69" t="s">
        <v>69</v>
      </c>
      <c r="V2270" s="72" t="str">
        <f t="shared" si="35"/>
        <v>PA_DAUPHIN</v>
      </c>
      <c r="AJ2270" s="1" t="s">
        <v>69</v>
      </c>
      <c r="AK2270" s="1" t="s">
        <v>1584</v>
      </c>
      <c r="AL2270" s="1" t="s">
        <v>7543</v>
      </c>
      <c r="AM2270" s="1" t="s">
        <v>4675</v>
      </c>
    </row>
    <row r="2271" spans="20:39" x14ac:dyDescent="0.2">
      <c r="T2271" s="28" t="s">
        <v>727</v>
      </c>
      <c r="U2271" s="68" t="s">
        <v>69</v>
      </c>
      <c r="V2271" s="72" t="str">
        <f t="shared" si="35"/>
        <v>PA_DELAWARE</v>
      </c>
      <c r="AJ2271" s="1" t="s">
        <v>69</v>
      </c>
      <c r="AK2271" s="1" t="s">
        <v>476</v>
      </c>
      <c r="AL2271" s="1" t="s">
        <v>7544</v>
      </c>
      <c r="AM2271" s="1" t="s">
        <v>4678</v>
      </c>
    </row>
    <row r="2272" spans="20:39" x14ac:dyDescent="0.2">
      <c r="T2272" s="29" t="s">
        <v>820</v>
      </c>
      <c r="U2272" s="69" t="s">
        <v>69</v>
      </c>
      <c r="V2272" s="72" t="str">
        <f t="shared" si="35"/>
        <v>PA_ELK</v>
      </c>
      <c r="AJ2272" s="1" t="s">
        <v>69</v>
      </c>
      <c r="AK2272" s="1" t="s">
        <v>1585</v>
      </c>
      <c r="AL2272" s="1" t="s">
        <v>7545</v>
      </c>
      <c r="AM2272" s="1" t="s">
        <v>3212</v>
      </c>
    </row>
    <row r="2273" spans="20:39" x14ac:dyDescent="0.2">
      <c r="T2273" s="28" t="s">
        <v>1370</v>
      </c>
      <c r="U2273" s="68" t="s">
        <v>69</v>
      </c>
      <c r="V2273" s="72" t="str">
        <f t="shared" si="35"/>
        <v>PA_ERIE</v>
      </c>
      <c r="AJ2273" s="1" t="s">
        <v>69</v>
      </c>
      <c r="AK2273" s="1" t="s">
        <v>200</v>
      </c>
      <c r="AL2273" s="1" t="s">
        <v>7546</v>
      </c>
      <c r="AM2273" s="1" t="s">
        <v>4701</v>
      </c>
    </row>
    <row r="2274" spans="20:39" x14ac:dyDescent="0.2">
      <c r="T2274" s="29" t="s">
        <v>222</v>
      </c>
      <c r="U2274" s="69" t="s">
        <v>69</v>
      </c>
      <c r="V2274" s="72" t="str">
        <f t="shared" si="35"/>
        <v>PA_FAYETTE</v>
      </c>
      <c r="AJ2274" s="1" t="s">
        <v>69</v>
      </c>
      <c r="AK2274" s="1" t="s">
        <v>1586</v>
      </c>
      <c r="AL2274" s="1" t="s">
        <v>7547</v>
      </c>
      <c r="AM2274" s="1" t="s">
        <v>4694</v>
      </c>
    </row>
    <row r="2275" spans="20:39" x14ac:dyDescent="0.2">
      <c r="T2275" s="28" t="s">
        <v>1593</v>
      </c>
      <c r="U2275" s="68" t="s">
        <v>69</v>
      </c>
      <c r="V2275" s="72" t="str">
        <f t="shared" si="35"/>
        <v>PA_FOREST</v>
      </c>
      <c r="AJ2275" s="1" t="s">
        <v>69</v>
      </c>
      <c r="AK2275" s="1" t="s">
        <v>1587</v>
      </c>
      <c r="AL2275" s="1" t="s">
        <v>7548</v>
      </c>
      <c r="AM2275" s="1" t="s">
        <v>4679</v>
      </c>
    </row>
    <row r="2276" spans="20:39" x14ac:dyDescent="0.2">
      <c r="T2276" s="29" t="s">
        <v>223</v>
      </c>
      <c r="U2276" s="69" t="s">
        <v>69</v>
      </c>
      <c r="V2276" s="72" t="str">
        <f t="shared" si="35"/>
        <v>PA_FRANKLIN</v>
      </c>
      <c r="AJ2276" s="1" t="s">
        <v>69</v>
      </c>
      <c r="AK2276" s="1" t="s">
        <v>1235</v>
      </c>
      <c r="AL2276" s="1" t="s">
        <v>7549</v>
      </c>
      <c r="AM2276" s="1" t="s">
        <v>4674</v>
      </c>
    </row>
    <row r="2277" spans="20:39" x14ac:dyDescent="0.2">
      <c r="T2277" s="28" t="s">
        <v>312</v>
      </c>
      <c r="U2277" s="68" t="s">
        <v>69</v>
      </c>
      <c r="V2277" s="72" t="str">
        <f t="shared" si="35"/>
        <v>PA_FULTON</v>
      </c>
      <c r="AJ2277" s="1" t="s">
        <v>69</v>
      </c>
      <c r="AK2277" s="1" t="s">
        <v>1588</v>
      </c>
      <c r="AL2277" s="1" t="s">
        <v>7550</v>
      </c>
      <c r="AM2277" s="1" t="s">
        <v>4708</v>
      </c>
    </row>
    <row r="2278" spans="20:39" x14ac:dyDescent="0.2">
      <c r="T2278" s="29" t="s">
        <v>225</v>
      </c>
      <c r="U2278" s="69" t="s">
        <v>69</v>
      </c>
      <c r="V2278" s="72" t="str">
        <f t="shared" si="35"/>
        <v>PA_GREENE</v>
      </c>
      <c r="AJ2278" s="1" t="s">
        <v>69</v>
      </c>
      <c r="AK2278" s="1" t="s">
        <v>1589</v>
      </c>
      <c r="AL2278" s="1" t="s">
        <v>7551</v>
      </c>
      <c r="AM2278" s="1" t="s">
        <v>3212</v>
      </c>
    </row>
    <row r="2279" spans="20:39" x14ac:dyDescent="0.2">
      <c r="T2279" s="28" t="s">
        <v>1594</v>
      </c>
      <c r="U2279" s="68" t="s">
        <v>69</v>
      </c>
      <c r="V2279" s="72" t="str">
        <f t="shared" si="35"/>
        <v>PA_HUNTINGDON</v>
      </c>
      <c r="AJ2279" s="1" t="s">
        <v>69</v>
      </c>
      <c r="AK2279" s="1" t="s">
        <v>1590</v>
      </c>
      <c r="AL2279" s="1" t="s">
        <v>7552</v>
      </c>
      <c r="AM2279" s="1" t="s">
        <v>4680</v>
      </c>
    </row>
    <row r="2280" spans="20:39" x14ac:dyDescent="0.2">
      <c r="T2280" s="29" t="s">
        <v>1595</v>
      </c>
      <c r="U2280" s="69" t="s">
        <v>69</v>
      </c>
      <c r="V2280" s="72" t="str">
        <f t="shared" si="35"/>
        <v>PA_INDIANA</v>
      </c>
      <c r="AJ2280" s="1" t="s">
        <v>69</v>
      </c>
      <c r="AK2280" s="1" t="s">
        <v>1591</v>
      </c>
      <c r="AL2280" s="1" t="s">
        <v>7553</v>
      </c>
      <c r="AM2280" s="1" t="s">
        <v>4681</v>
      </c>
    </row>
    <row r="2281" spans="20:39" x14ac:dyDescent="0.2">
      <c r="T2281" s="28" t="s">
        <v>230</v>
      </c>
      <c r="U2281" s="68" t="s">
        <v>69</v>
      </c>
      <c r="V2281" s="72" t="str">
        <f t="shared" si="35"/>
        <v>PA_JEFFERSON</v>
      </c>
      <c r="AJ2281" s="1" t="s">
        <v>69</v>
      </c>
      <c r="AK2281" s="1" t="s">
        <v>675</v>
      </c>
      <c r="AL2281" s="1" t="s">
        <v>7554</v>
      </c>
      <c r="AM2281" s="1" t="s">
        <v>4682</v>
      </c>
    </row>
    <row r="2282" spans="20:39" x14ac:dyDescent="0.2">
      <c r="T2282" s="29" t="s">
        <v>1596</v>
      </c>
      <c r="U2282" s="69" t="s">
        <v>69</v>
      </c>
      <c r="V2282" s="72" t="str">
        <f t="shared" si="35"/>
        <v>PA_JUNIATA</v>
      </c>
      <c r="AJ2282" s="1" t="s">
        <v>69</v>
      </c>
      <c r="AK2282" s="1" t="s">
        <v>303</v>
      </c>
      <c r="AL2282" s="1" t="s">
        <v>7555</v>
      </c>
      <c r="AM2282" s="1" t="s">
        <v>9245</v>
      </c>
    </row>
    <row r="2283" spans="20:39" x14ac:dyDescent="0.2">
      <c r="T2283" s="28" t="s">
        <v>1597</v>
      </c>
      <c r="U2283" s="68" t="s">
        <v>69</v>
      </c>
      <c r="V2283" s="72" t="str">
        <f t="shared" si="35"/>
        <v>PA_LACKAWANNA</v>
      </c>
      <c r="AJ2283" s="1" t="s">
        <v>69</v>
      </c>
      <c r="AK2283" s="1" t="s">
        <v>306</v>
      </c>
      <c r="AL2283" s="1" t="s">
        <v>7556</v>
      </c>
      <c r="AM2283" s="1" t="s">
        <v>4683</v>
      </c>
    </row>
    <row r="2284" spans="20:39" x14ac:dyDescent="0.2">
      <c r="T2284" s="29" t="s">
        <v>1293</v>
      </c>
      <c r="U2284" s="69" t="s">
        <v>69</v>
      </c>
      <c r="V2284" s="72" t="str">
        <f t="shared" si="35"/>
        <v>PA_LANCASTER</v>
      </c>
      <c r="AJ2284" s="1" t="s">
        <v>69</v>
      </c>
      <c r="AK2284" s="1" t="s">
        <v>677</v>
      </c>
      <c r="AL2284" s="1" t="s">
        <v>7557</v>
      </c>
      <c r="AM2284" s="1" t="s">
        <v>4690</v>
      </c>
    </row>
    <row r="2285" spans="20:39" x14ac:dyDescent="0.2">
      <c r="T2285" s="28" t="s">
        <v>233</v>
      </c>
      <c r="U2285" s="68" t="s">
        <v>69</v>
      </c>
      <c r="V2285" s="72" t="str">
        <f t="shared" si="35"/>
        <v>PA_LAWRENCE</v>
      </c>
      <c r="AJ2285" s="1" t="s">
        <v>69</v>
      </c>
      <c r="AK2285" s="1" t="s">
        <v>1592</v>
      </c>
      <c r="AL2285" s="1" t="s">
        <v>7558</v>
      </c>
      <c r="AM2285" s="1" t="s">
        <v>4690</v>
      </c>
    </row>
    <row r="2286" spans="20:39" x14ac:dyDescent="0.2">
      <c r="T2286" s="29" t="s">
        <v>1598</v>
      </c>
      <c r="U2286" s="69" t="s">
        <v>69</v>
      </c>
      <c r="V2286" s="72" t="str">
        <f t="shared" si="35"/>
        <v>PA_LEBANON</v>
      </c>
      <c r="AJ2286" s="1" t="s">
        <v>69</v>
      </c>
      <c r="AK2286" s="1" t="s">
        <v>727</v>
      </c>
      <c r="AL2286" s="1" t="s">
        <v>7559</v>
      </c>
      <c r="AM2286" s="1" t="s">
        <v>3212</v>
      </c>
    </row>
    <row r="2287" spans="20:39" x14ac:dyDescent="0.2">
      <c r="T2287" s="28" t="s">
        <v>1599</v>
      </c>
      <c r="U2287" s="68" t="s">
        <v>69</v>
      </c>
      <c r="V2287" s="72" t="str">
        <f t="shared" si="35"/>
        <v>PA_LEHIGH</v>
      </c>
      <c r="AJ2287" s="1" t="s">
        <v>69</v>
      </c>
      <c r="AK2287" s="1" t="s">
        <v>820</v>
      </c>
      <c r="AL2287" s="1" t="s">
        <v>7560</v>
      </c>
      <c r="AM2287" s="1" t="s">
        <v>4684</v>
      </c>
    </row>
    <row r="2288" spans="20:39" x14ac:dyDescent="0.2">
      <c r="T2288" s="29" t="s">
        <v>1600</v>
      </c>
      <c r="U2288" s="69" t="s">
        <v>69</v>
      </c>
      <c r="V2288" s="72" t="str">
        <f t="shared" si="35"/>
        <v>PA_LUZERNE</v>
      </c>
      <c r="AJ2288" s="1" t="s">
        <v>69</v>
      </c>
      <c r="AK2288" s="1" t="s">
        <v>1370</v>
      </c>
      <c r="AL2288" s="1" t="s">
        <v>7561</v>
      </c>
      <c r="AM2288" s="1" t="s">
        <v>4685</v>
      </c>
    </row>
    <row r="2289" spans="20:39" x14ac:dyDescent="0.2">
      <c r="T2289" s="28" t="s">
        <v>1601</v>
      </c>
      <c r="U2289" s="68" t="s">
        <v>69</v>
      </c>
      <c r="V2289" s="72" t="str">
        <f t="shared" si="35"/>
        <v>PA_LYCOMING</v>
      </c>
      <c r="AJ2289" s="1" t="s">
        <v>69</v>
      </c>
      <c r="AK2289" s="1" t="s">
        <v>222</v>
      </c>
      <c r="AL2289" s="1" t="s">
        <v>7562</v>
      </c>
      <c r="AM2289" s="1" t="s">
        <v>4701</v>
      </c>
    </row>
    <row r="2290" spans="20:39" x14ac:dyDescent="0.2">
      <c r="T2290" s="29" t="s">
        <v>1602</v>
      </c>
      <c r="U2290" s="69" t="s">
        <v>69</v>
      </c>
      <c r="V2290" s="72" t="str">
        <f t="shared" si="35"/>
        <v>PA_MC KEAN</v>
      </c>
      <c r="AJ2290" s="1" t="s">
        <v>69</v>
      </c>
      <c r="AK2290" s="1" t="s">
        <v>1593</v>
      </c>
      <c r="AL2290" s="1" t="s">
        <v>7563</v>
      </c>
      <c r="AM2290" s="1" t="s">
        <v>4686</v>
      </c>
    </row>
    <row r="2291" spans="20:39" x14ac:dyDescent="0.2">
      <c r="T2291" s="28" t="s">
        <v>703</v>
      </c>
      <c r="U2291" s="68" t="s">
        <v>69</v>
      </c>
      <c r="V2291" s="72" t="str">
        <f t="shared" si="35"/>
        <v>PA_MERCER</v>
      </c>
      <c r="AJ2291" s="1" t="s">
        <v>69</v>
      </c>
      <c r="AK2291" s="1" t="s">
        <v>223</v>
      </c>
      <c r="AL2291" s="1" t="s">
        <v>7564</v>
      </c>
      <c r="AM2291" s="1" t="s">
        <v>9246</v>
      </c>
    </row>
    <row r="2292" spans="20:39" x14ac:dyDescent="0.2">
      <c r="T2292" s="29" t="s">
        <v>1603</v>
      </c>
      <c r="U2292" s="69" t="s">
        <v>69</v>
      </c>
      <c r="V2292" s="72" t="str">
        <f t="shared" si="35"/>
        <v>PA_MIFFLIN</v>
      </c>
      <c r="AJ2292" s="1" t="s">
        <v>69</v>
      </c>
      <c r="AK2292" s="1" t="s">
        <v>312</v>
      </c>
      <c r="AL2292" s="1" t="s">
        <v>7565</v>
      </c>
      <c r="AM2292" s="1" t="s">
        <v>4687</v>
      </c>
    </row>
    <row r="2293" spans="20:39" x14ac:dyDescent="0.2">
      <c r="T2293" s="28" t="s">
        <v>243</v>
      </c>
      <c r="U2293" s="68" t="s">
        <v>69</v>
      </c>
      <c r="V2293" s="72" t="str">
        <f t="shared" si="35"/>
        <v>PA_MONROE</v>
      </c>
      <c r="AJ2293" s="1" t="s">
        <v>69</v>
      </c>
      <c r="AK2293" s="1" t="s">
        <v>225</v>
      </c>
      <c r="AL2293" s="1" t="s">
        <v>7566</v>
      </c>
      <c r="AM2293" s="1" t="s">
        <v>4689</v>
      </c>
    </row>
    <row r="2294" spans="20:39" x14ac:dyDescent="0.2">
      <c r="T2294" s="29" t="s">
        <v>244</v>
      </c>
      <c r="U2294" s="69" t="s">
        <v>69</v>
      </c>
      <c r="V2294" s="72" t="str">
        <f t="shared" si="35"/>
        <v>PA_MONTGOMERY</v>
      </c>
      <c r="AJ2294" s="1" t="s">
        <v>69</v>
      </c>
      <c r="AK2294" s="1" t="s">
        <v>1594</v>
      </c>
      <c r="AL2294" s="1" t="s">
        <v>7567</v>
      </c>
      <c r="AM2294" s="1" t="s">
        <v>4691</v>
      </c>
    </row>
    <row r="2295" spans="20:39" x14ac:dyDescent="0.2">
      <c r="T2295" s="28" t="s">
        <v>1604</v>
      </c>
      <c r="U2295" s="68" t="s">
        <v>69</v>
      </c>
      <c r="V2295" s="72" t="str">
        <f t="shared" si="35"/>
        <v>PA_MONTOUR</v>
      </c>
      <c r="AJ2295" s="1" t="s">
        <v>69</v>
      </c>
      <c r="AK2295" s="1" t="s">
        <v>1595</v>
      </c>
      <c r="AL2295" s="1" t="s">
        <v>7568</v>
      </c>
      <c r="AM2295" s="1" t="s">
        <v>4692</v>
      </c>
    </row>
    <row r="2296" spans="20:39" x14ac:dyDescent="0.2">
      <c r="T2296" s="29" t="s">
        <v>1434</v>
      </c>
      <c r="U2296" s="69" t="s">
        <v>69</v>
      </c>
      <c r="V2296" s="72" t="str">
        <f t="shared" si="35"/>
        <v>PA_NORTHAMPTON</v>
      </c>
      <c r="AJ2296" s="1" t="s">
        <v>69</v>
      </c>
      <c r="AK2296" s="1" t="s">
        <v>230</v>
      </c>
      <c r="AL2296" s="1" t="s">
        <v>7569</v>
      </c>
      <c r="AM2296" s="1" t="s">
        <v>4693</v>
      </c>
    </row>
    <row r="2297" spans="20:39" x14ac:dyDescent="0.2">
      <c r="T2297" s="28" t="s">
        <v>1605</v>
      </c>
      <c r="U2297" s="68" t="s">
        <v>69</v>
      </c>
      <c r="V2297" s="72" t="str">
        <f t="shared" si="35"/>
        <v>PA_NORTHUMBERLAND</v>
      </c>
      <c r="AJ2297" s="1" t="s">
        <v>69</v>
      </c>
      <c r="AK2297" s="1" t="s">
        <v>1596</v>
      </c>
      <c r="AL2297" s="1" t="s">
        <v>7570</v>
      </c>
      <c r="AM2297" s="1" t="s">
        <v>4695</v>
      </c>
    </row>
    <row r="2298" spans="20:39" x14ac:dyDescent="0.2">
      <c r="T2298" s="29" t="s">
        <v>246</v>
      </c>
      <c r="U2298" s="69" t="s">
        <v>69</v>
      </c>
      <c r="V2298" s="72" t="str">
        <f t="shared" si="35"/>
        <v>PA_PERRY</v>
      </c>
      <c r="AJ2298" s="1" t="s">
        <v>69</v>
      </c>
      <c r="AK2298" s="1" t="s">
        <v>1597</v>
      </c>
      <c r="AL2298" s="1" t="s">
        <v>7571</v>
      </c>
      <c r="AM2298" s="1" t="s">
        <v>4705</v>
      </c>
    </row>
    <row r="2299" spans="20:39" x14ac:dyDescent="0.2">
      <c r="T2299" s="28" t="s">
        <v>1606</v>
      </c>
      <c r="U2299" s="68" t="s">
        <v>69</v>
      </c>
      <c r="V2299" s="72" t="str">
        <f t="shared" si="35"/>
        <v>PA_PHILADELPHIA</v>
      </c>
      <c r="AJ2299" s="1" t="s">
        <v>69</v>
      </c>
      <c r="AK2299" s="1" t="s">
        <v>1293</v>
      </c>
      <c r="AL2299" s="1" t="s">
        <v>7572</v>
      </c>
      <c r="AM2299" s="1" t="s">
        <v>4696</v>
      </c>
    </row>
    <row r="2300" spans="20:39" x14ac:dyDescent="0.2">
      <c r="T2300" s="29" t="s">
        <v>248</v>
      </c>
      <c r="U2300" s="69" t="s">
        <v>69</v>
      </c>
      <c r="V2300" s="72" t="str">
        <f t="shared" si="35"/>
        <v>PA_PIKE</v>
      </c>
      <c r="AJ2300" s="1" t="s">
        <v>69</v>
      </c>
      <c r="AK2300" s="1" t="s">
        <v>233</v>
      </c>
      <c r="AL2300" s="1" t="s">
        <v>7573</v>
      </c>
      <c r="AM2300" s="1" t="s">
        <v>9247</v>
      </c>
    </row>
    <row r="2301" spans="20:39" x14ac:dyDescent="0.2">
      <c r="T2301" s="28" t="s">
        <v>1607</v>
      </c>
      <c r="U2301" s="68" t="s">
        <v>69</v>
      </c>
      <c r="V2301" s="72" t="str">
        <f t="shared" si="35"/>
        <v>PA_POTTER</v>
      </c>
      <c r="AJ2301" s="1" t="s">
        <v>69</v>
      </c>
      <c r="AK2301" s="1" t="s">
        <v>1598</v>
      </c>
      <c r="AL2301" s="1" t="s">
        <v>7574</v>
      </c>
      <c r="AM2301" s="1" t="s">
        <v>4697</v>
      </c>
    </row>
    <row r="2302" spans="20:39" x14ac:dyDescent="0.2">
      <c r="T2302" s="29" t="s">
        <v>1608</v>
      </c>
      <c r="U2302" s="69" t="s">
        <v>69</v>
      </c>
      <c r="V2302" s="72" t="str">
        <f t="shared" si="35"/>
        <v>PA_SCHUYLKILL</v>
      </c>
      <c r="AJ2302" s="1" t="s">
        <v>69</v>
      </c>
      <c r="AK2302" s="1" t="s">
        <v>1599</v>
      </c>
      <c r="AL2302" s="1" t="s">
        <v>7575</v>
      </c>
      <c r="AM2302" s="1" t="s">
        <v>4674</v>
      </c>
    </row>
    <row r="2303" spans="20:39" x14ac:dyDescent="0.2">
      <c r="T2303" s="28" t="s">
        <v>1609</v>
      </c>
      <c r="U2303" s="68" t="s">
        <v>69</v>
      </c>
      <c r="V2303" s="72" t="str">
        <f t="shared" si="35"/>
        <v>PA_SNYDER</v>
      </c>
      <c r="AJ2303" s="1" t="s">
        <v>69</v>
      </c>
      <c r="AK2303" s="1" t="s">
        <v>1600</v>
      </c>
      <c r="AL2303" s="1" t="s">
        <v>7576</v>
      </c>
      <c r="AM2303" s="1" t="s">
        <v>4705</v>
      </c>
    </row>
    <row r="2304" spans="20:39" x14ac:dyDescent="0.2">
      <c r="T2304" s="29" t="s">
        <v>1001</v>
      </c>
      <c r="U2304" s="69" t="s">
        <v>69</v>
      </c>
      <c r="V2304" s="72" t="str">
        <f t="shared" si="35"/>
        <v>PA_SOMERSET</v>
      </c>
      <c r="AJ2304" s="1" t="s">
        <v>69</v>
      </c>
      <c r="AK2304" s="1" t="s">
        <v>1601</v>
      </c>
      <c r="AL2304" s="1" t="s">
        <v>7577</v>
      </c>
      <c r="AM2304" s="1" t="s">
        <v>4716</v>
      </c>
    </row>
    <row r="2305" spans="20:39" x14ac:dyDescent="0.2">
      <c r="T2305" s="28" t="s">
        <v>753</v>
      </c>
      <c r="U2305" s="68" t="s">
        <v>69</v>
      </c>
      <c r="V2305" s="72" t="str">
        <f t="shared" si="35"/>
        <v>PA_SULLIVAN</v>
      </c>
      <c r="AJ2305" s="1" t="s">
        <v>69</v>
      </c>
      <c r="AK2305" s="1" t="s">
        <v>1602</v>
      </c>
      <c r="AL2305" s="1" t="s">
        <v>7578</v>
      </c>
      <c r="AM2305" s="1" t="s">
        <v>4698</v>
      </c>
    </row>
    <row r="2306" spans="20:39" x14ac:dyDescent="0.2">
      <c r="T2306" s="29" t="s">
        <v>1610</v>
      </c>
      <c r="U2306" s="69" t="s">
        <v>69</v>
      </c>
      <c r="V2306" s="72" t="str">
        <f t="shared" si="35"/>
        <v>PA_SUSQUEHANNA</v>
      </c>
      <c r="AJ2306" s="1" t="s">
        <v>69</v>
      </c>
      <c r="AK2306" s="1" t="s">
        <v>703</v>
      </c>
      <c r="AL2306" s="1" t="s">
        <v>7579</v>
      </c>
      <c r="AM2306" s="1" t="s">
        <v>9248</v>
      </c>
    </row>
    <row r="2307" spans="20:39" x14ac:dyDescent="0.2">
      <c r="T2307" s="28" t="s">
        <v>1386</v>
      </c>
      <c r="U2307" s="68" t="s">
        <v>69</v>
      </c>
      <c r="V2307" s="72" t="str">
        <f t="shared" si="35"/>
        <v>PA_TIOGA</v>
      </c>
      <c r="AJ2307" s="1" t="s">
        <v>69</v>
      </c>
      <c r="AK2307" s="1" t="s">
        <v>1603</v>
      </c>
      <c r="AL2307" s="1" t="s">
        <v>7580</v>
      </c>
      <c r="AM2307" s="1" t="s">
        <v>4699</v>
      </c>
    </row>
    <row r="2308" spans="20:39" x14ac:dyDescent="0.2">
      <c r="T2308" s="29" t="s">
        <v>345</v>
      </c>
      <c r="U2308" s="69" t="s">
        <v>69</v>
      </c>
      <c r="V2308" s="72" t="str">
        <f t="shared" si="35"/>
        <v>PA_UNION</v>
      </c>
      <c r="AJ2308" s="1" t="s">
        <v>69</v>
      </c>
      <c r="AK2308" s="1" t="s">
        <v>243</v>
      </c>
      <c r="AL2308" s="1" t="s">
        <v>7581</v>
      </c>
      <c r="AM2308" s="1" t="s">
        <v>9249</v>
      </c>
    </row>
    <row r="2309" spans="20:39" x14ac:dyDescent="0.2">
      <c r="T2309" s="28" t="s">
        <v>1611</v>
      </c>
      <c r="U2309" s="68" t="s">
        <v>69</v>
      </c>
      <c r="V2309" s="72" t="str">
        <f t="shared" si="35"/>
        <v>PA_VENANGO</v>
      </c>
      <c r="AJ2309" s="1" t="s">
        <v>69</v>
      </c>
      <c r="AK2309" s="1" t="s">
        <v>244</v>
      </c>
      <c r="AL2309" s="1" t="s">
        <v>7582</v>
      </c>
      <c r="AM2309" s="1" t="s">
        <v>3212</v>
      </c>
    </row>
    <row r="2310" spans="20:39" x14ac:dyDescent="0.2">
      <c r="T2310" s="29" t="s">
        <v>622</v>
      </c>
      <c r="U2310" s="69" t="s">
        <v>69</v>
      </c>
      <c r="V2310" s="72" t="str">
        <f t="shared" si="35"/>
        <v>PA_WARREN</v>
      </c>
      <c r="AJ2310" s="1" t="s">
        <v>69</v>
      </c>
      <c r="AK2310" s="1" t="s">
        <v>1604</v>
      </c>
      <c r="AL2310" s="1" t="s">
        <v>7583</v>
      </c>
      <c r="AM2310" s="1" t="s">
        <v>9250</v>
      </c>
    </row>
    <row r="2311" spans="20:39" x14ac:dyDescent="0.2">
      <c r="T2311" s="28" t="s">
        <v>258</v>
      </c>
      <c r="U2311" s="68" t="s">
        <v>69</v>
      </c>
      <c r="V2311" s="72" t="str">
        <f t="shared" si="35"/>
        <v>PA_WASHINGTON</v>
      </c>
      <c r="AJ2311" s="1" t="s">
        <v>69</v>
      </c>
      <c r="AK2311" s="1" t="s">
        <v>1434</v>
      </c>
      <c r="AL2311" s="1" t="s">
        <v>7584</v>
      </c>
      <c r="AM2311" s="1" t="s">
        <v>4674</v>
      </c>
    </row>
    <row r="2312" spans="20:39" x14ac:dyDescent="0.2">
      <c r="T2312" s="29" t="s">
        <v>623</v>
      </c>
      <c r="U2312" s="69" t="s">
        <v>69</v>
      </c>
      <c r="V2312" s="72" t="str">
        <f t="shared" si="35"/>
        <v>PA_WAYNE</v>
      </c>
      <c r="AJ2312" s="1" t="s">
        <v>69</v>
      </c>
      <c r="AK2312" s="1" t="s">
        <v>1605</v>
      </c>
      <c r="AL2312" s="1" t="s">
        <v>7585</v>
      </c>
      <c r="AM2312" s="1" t="s">
        <v>4700</v>
      </c>
    </row>
    <row r="2313" spans="20:39" x14ac:dyDescent="0.2">
      <c r="T2313" s="28" t="s">
        <v>1612</v>
      </c>
      <c r="U2313" s="68" t="s">
        <v>69</v>
      </c>
      <c r="V2313" s="72" t="str">
        <f t="shared" si="35"/>
        <v>PA_WESTMORELAND</v>
      </c>
      <c r="AJ2313" s="1" t="s">
        <v>69</v>
      </c>
      <c r="AK2313" s="1" t="s">
        <v>246</v>
      </c>
      <c r="AL2313" s="1" t="s">
        <v>7586</v>
      </c>
      <c r="AM2313" s="1" t="s">
        <v>4690</v>
      </c>
    </row>
    <row r="2314" spans="20:39" x14ac:dyDescent="0.2">
      <c r="T2314" s="29" t="s">
        <v>1390</v>
      </c>
      <c r="U2314" s="69" t="s">
        <v>69</v>
      </c>
      <c r="V2314" s="72" t="str">
        <f t="shared" ref="V2314:V2377" si="36">UPPER(CONCATENATE(TRIM(U2314),"_",TRIM(T2314)))</f>
        <v>PA_WYOMING</v>
      </c>
      <c r="AJ2314" s="1" t="s">
        <v>69</v>
      </c>
      <c r="AK2314" s="1" t="s">
        <v>1606</v>
      </c>
      <c r="AL2314" s="1" t="s">
        <v>7587</v>
      </c>
      <c r="AM2314" s="1" t="s">
        <v>3212</v>
      </c>
    </row>
    <row r="2315" spans="20:39" x14ac:dyDescent="0.2">
      <c r="T2315" s="28" t="s">
        <v>1003</v>
      </c>
      <c r="U2315" s="68" t="s">
        <v>69</v>
      </c>
      <c r="V2315" s="72" t="str">
        <f t="shared" si="36"/>
        <v>PA_YORK</v>
      </c>
      <c r="AJ2315" s="1" t="s">
        <v>69</v>
      </c>
      <c r="AK2315" s="1" t="s">
        <v>248</v>
      </c>
      <c r="AL2315" s="1" t="s">
        <v>7588</v>
      </c>
      <c r="AM2315" s="1" t="s">
        <v>9251</v>
      </c>
    </row>
    <row r="2316" spans="20:39" x14ac:dyDescent="0.2">
      <c r="T2316" s="29" t="s">
        <v>1023</v>
      </c>
      <c r="U2316" s="69" t="s">
        <v>67</v>
      </c>
      <c r="V2316" s="72" t="str">
        <f t="shared" si="36"/>
        <v>RI_BRISTOL</v>
      </c>
      <c r="AJ2316" s="1" t="s">
        <v>69</v>
      </c>
      <c r="AK2316" s="1" t="s">
        <v>1607</v>
      </c>
      <c r="AL2316" s="1" t="s">
        <v>7589</v>
      </c>
      <c r="AM2316" s="1" t="s">
        <v>4702</v>
      </c>
    </row>
    <row r="2317" spans="20:39" x14ac:dyDescent="0.2">
      <c r="T2317" s="28" t="s">
        <v>468</v>
      </c>
      <c r="U2317" s="68" t="s">
        <v>67</v>
      </c>
      <c r="V2317" s="72" t="str">
        <f t="shared" si="36"/>
        <v>RI_KENT</v>
      </c>
      <c r="AJ2317" s="1" t="s">
        <v>69</v>
      </c>
      <c r="AK2317" s="1" t="s">
        <v>1608</v>
      </c>
      <c r="AL2317" s="1" t="s">
        <v>7590</v>
      </c>
      <c r="AM2317" s="1" t="s">
        <v>4704</v>
      </c>
    </row>
    <row r="2318" spans="20:39" x14ac:dyDescent="0.2">
      <c r="T2318" s="29" t="s">
        <v>1613</v>
      </c>
      <c r="U2318" s="69" t="s">
        <v>67</v>
      </c>
      <c r="V2318" s="72" t="str">
        <f t="shared" si="36"/>
        <v>RI_NEWPORT</v>
      </c>
      <c r="AJ2318" s="1" t="s">
        <v>69</v>
      </c>
      <c r="AK2318" s="1" t="s">
        <v>1609</v>
      </c>
      <c r="AL2318" s="1" t="s">
        <v>7591</v>
      </c>
      <c r="AM2318" s="1" t="s">
        <v>4706</v>
      </c>
    </row>
    <row r="2319" spans="20:39" x14ac:dyDescent="0.2">
      <c r="T2319" s="28" t="s">
        <v>1614</v>
      </c>
      <c r="U2319" s="68" t="s">
        <v>67</v>
      </c>
      <c r="V2319" s="72" t="str">
        <f t="shared" si="36"/>
        <v>RI_PROVIDENCE</v>
      </c>
      <c r="AJ2319" s="1" t="s">
        <v>69</v>
      </c>
      <c r="AK2319" s="1" t="s">
        <v>1001</v>
      </c>
      <c r="AL2319" s="1" t="s">
        <v>7592</v>
      </c>
      <c r="AM2319" s="1" t="s">
        <v>4707</v>
      </c>
    </row>
    <row r="2320" spans="20:39" x14ac:dyDescent="0.2">
      <c r="T2320" s="29" t="s">
        <v>258</v>
      </c>
      <c r="U2320" s="69" t="s">
        <v>67</v>
      </c>
      <c r="V2320" s="72" t="str">
        <f t="shared" si="36"/>
        <v>RI_WASHINGTON</v>
      </c>
      <c r="AJ2320" s="1" t="s">
        <v>69</v>
      </c>
      <c r="AK2320" s="1" t="s">
        <v>753</v>
      </c>
      <c r="AL2320" s="1" t="s">
        <v>7593</v>
      </c>
      <c r="AM2320" s="1" t="s">
        <v>4709</v>
      </c>
    </row>
    <row r="2321" spans="20:39" x14ac:dyDescent="0.2">
      <c r="T2321" s="28" t="s">
        <v>1615</v>
      </c>
      <c r="U2321" s="68" t="s">
        <v>66</v>
      </c>
      <c r="V2321" s="72" t="str">
        <f t="shared" si="36"/>
        <v>SC_ABBEVILLE</v>
      </c>
      <c r="AJ2321" s="1" t="s">
        <v>69</v>
      </c>
      <c r="AK2321" s="1" t="s">
        <v>1610</v>
      </c>
      <c r="AL2321" s="1" t="s">
        <v>7594</v>
      </c>
      <c r="AM2321" s="1" t="s">
        <v>4710</v>
      </c>
    </row>
    <row r="2322" spans="20:39" x14ac:dyDescent="0.2">
      <c r="T2322" s="29" t="s">
        <v>1616</v>
      </c>
      <c r="U2322" s="69" t="s">
        <v>66</v>
      </c>
      <c r="V2322" s="72" t="str">
        <f t="shared" si="36"/>
        <v>SC_AIKEN</v>
      </c>
      <c r="AJ2322" s="1" t="s">
        <v>69</v>
      </c>
      <c r="AK2322" s="1" t="s">
        <v>1386</v>
      </c>
      <c r="AL2322" s="1" t="s">
        <v>7595</v>
      </c>
      <c r="AM2322" s="1" t="s">
        <v>4711</v>
      </c>
    </row>
    <row r="2323" spans="20:39" x14ac:dyDescent="0.2">
      <c r="T2323" s="28" t="s">
        <v>1617</v>
      </c>
      <c r="U2323" s="68" t="s">
        <v>66</v>
      </c>
      <c r="V2323" s="72" t="str">
        <f t="shared" si="36"/>
        <v>SC_ALLENDALE</v>
      </c>
      <c r="AJ2323" s="1" t="s">
        <v>69</v>
      </c>
      <c r="AK2323" s="1" t="s">
        <v>345</v>
      </c>
      <c r="AL2323" s="1" t="s">
        <v>7596</v>
      </c>
      <c r="AM2323" s="1" t="s">
        <v>4712</v>
      </c>
    </row>
    <row r="2324" spans="20:39" x14ac:dyDescent="0.2">
      <c r="T2324" s="29" t="s">
        <v>808</v>
      </c>
      <c r="U2324" s="69" t="s">
        <v>66</v>
      </c>
      <c r="V2324" s="72" t="str">
        <f t="shared" si="36"/>
        <v>SC_ANDERSON</v>
      </c>
      <c r="AJ2324" s="1" t="s">
        <v>69</v>
      </c>
      <c r="AK2324" s="1" t="s">
        <v>1611</v>
      </c>
      <c r="AL2324" s="1" t="s">
        <v>7597</v>
      </c>
      <c r="AM2324" s="1" t="s">
        <v>4713</v>
      </c>
    </row>
    <row r="2325" spans="20:39" x14ac:dyDescent="0.2">
      <c r="T2325" s="28" t="s">
        <v>1618</v>
      </c>
      <c r="U2325" s="68" t="s">
        <v>66</v>
      </c>
      <c r="V2325" s="72" t="str">
        <f t="shared" si="36"/>
        <v>SC_BAMBERG</v>
      </c>
      <c r="AJ2325" s="1" t="s">
        <v>69</v>
      </c>
      <c r="AK2325" s="1" t="s">
        <v>622</v>
      </c>
      <c r="AL2325" s="1" t="s">
        <v>7598</v>
      </c>
      <c r="AM2325" s="1" t="s">
        <v>4714</v>
      </c>
    </row>
    <row r="2326" spans="20:39" x14ac:dyDescent="0.2">
      <c r="T2326" s="29" t="s">
        <v>1619</v>
      </c>
      <c r="U2326" s="69" t="s">
        <v>66</v>
      </c>
      <c r="V2326" s="72" t="str">
        <f t="shared" si="36"/>
        <v>SC_BARNWELL</v>
      </c>
      <c r="AJ2326" s="1" t="s">
        <v>69</v>
      </c>
      <c r="AK2326" s="1" t="s">
        <v>258</v>
      </c>
      <c r="AL2326" s="1" t="s">
        <v>7599</v>
      </c>
      <c r="AM2326" s="1" t="s">
        <v>4701</v>
      </c>
    </row>
    <row r="2327" spans="20:39" x14ac:dyDescent="0.2">
      <c r="T2327" s="28" t="s">
        <v>1397</v>
      </c>
      <c r="U2327" s="68" t="s">
        <v>66</v>
      </c>
      <c r="V2327" s="72" t="str">
        <f t="shared" si="36"/>
        <v>SC_BEAUFORT</v>
      </c>
      <c r="AJ2327" s="1" t="s">
        <v>69</v>
      </c>
      <c r="AK2327" s="1" t="s">
        <v>623</v>
      </c>
      <c r="AL2327" s="1" t="s">
        <v>7600</v>
      </c>
      <c r="AM2327" s="1" t="s">
        <v>4715</v>
      </c>
    </row>
    <row r="2328" spans="20:39" x14ac:dyDescent="0.2">
      <c r="T2328" s="29" t="s">
        <v>1620</v>
      </c>
      <c r="U2328" s="69" t="s">
        <v>66</v>
      </c>
      <c r="V2328" s="72" t="str">
        <f t="shared" si="36"/>
        <v>SC_BERKELEY</v>
      </c>
      <c r="AJ2328" s="1" t="s">
        <v>69</v>
      </c>
      <c r="AK2328" s="1" t="s">
        <v>1612</v>
      </c>
      <c r="AL2328" s="1" t="s">
        <v>7601</v>
      </c>
      <c r="AM2328" s="1" t="s">
        <v>4701</v>
      </c>
    </row>
    <row r="2329" spans="20:39" x14ac:dyDescent="0.2">
      <c r="T2329" s="28" t="s">
        <v>201</v>
      </c>
      <c r="U2329" s="68" t="s">
        <v>66</v>
      </c>
      <c r="V2329" s="72" t="str">
        <f t="shared" si="36"/>
        <v>SC_CALHOUN</v>
      </c>
      <c r="AJ2329" s="1" t="s">
        <v>69</v>
      </c>
      <c r="AK2329" s="1" t="s">
        <v>1390</v>
      </c>
      <c r="AL2329" s="1" t="s">
        <v>7602</v>
      </c>
      <c r="AM2329" s="1" t="s">
        <v>4705</v>
      </c>
    </row>
    <row r="2330" spans="20:39" x14ac:dyDescent="0.2">
      <c r="T2330" s="29" t="s">
        <v>1621</v>
      </c>
      <c r="U2330" s="69" t="s">
        <v>66</v>
      </c>
      <c r="V2330" s="72" t="str">
        <f t="shared" si="36"/>
        <v>SC_CHARLESTON</v>
      </c>
      <c r="AJ2330" s="1" t="s">
        <v>69</v>
      </c>
      <c r="AK2330" s="1" t="s">
        <v>1003</v>
      </c>
      <c r="AL2330" s="1" t="s">
        <v>7603</v>
      </c>
      <c r="AM2330" s="1" t="s">
        <v>4717</v>
      </c>
    </row>
    <row r="2331" spans="20:39" x14ac:dyDescent="0.2">
      <c r="T2331" s="28" t="s">
        <v>203</v>
      </c>
      <c r="U2331" s="68" t="s">
        <v>66</v>
      </c>
      <c r="V2331" s="72" t="str">
        <f t="shared" si="36"/>
        <v>SC_CHEROKEE</v>
      </c>
      <c r="AJ2331" s="1" t="s">
        <v>67</v>
      </c>
      <c r="AK2331" s="1" t="s">
        <v>1023</v>
      </c>
      <c r="AL2331" s="1" t="s">
        <v>7604</v>
      </c>
      <c r="AM2331" s="1" t="s">
        <v>3876</v>
      </c>
    </row>
    <row r="2332" spans="20:39" x14ac:dyDescent="0.2">
      <c r="T2332" s="29" t="s">
        <v>1589</v>
      </c>
      <c r="U2332" s="69" t="s">
        <v>66</v>
      </c>
      <c r="V2332" s="72" t="str">
        <f t="shared" si="36"/>
        <v>SC_CHESTER</v>
      </c>
      <c r="AJ2332" s="1" t="s">
        <v>67</v>
      </c>
      <c r="AK2332" s="1" t="s">
        <v>468</v>
      </c>
      <c r="AL2332" s="1" t="s">
        <v>7605</v>
      </c>
      <c r="AM2332" s="1" t="s">
        <v>3876</v>
      </c>
    </row>
    <row r="2333" spans="20:39" x14ac:dyDescent="0.2">
      <c r="T2333" s="28" t="s">
        <v>1622</v>
      </c>
      <c r="U2333" s="68" t="s">
        <v>66</v>
      </c>
      <c r="V2333" s="72" t="str">
        <f t="shared" si="36"/>
        <v>SC_CHESTERFIELD</v>
      </c>
      <c r="AJ2333" s="1" t="s">
        <v>67</v>
      </c>
      <c r="AK2333" s="1" t="s">
        <v>1613</v>
      </c>
      <c r="AL2333" s="1" t="s">
        <v>7606</v>
      </c>
      <c r="AM2333" s="1" t="s">
        <v>4718</v>
      </c>
    </row>
    <row r="2334" spans="20:39" x14ac:dyDescent="0.2">
      <c r="T2334" s="29" t="s">
        <v>1623</v>
      </c>
      <c r="U2334" s="69" t="s">
        <v>66</v>
      </c>
      <c r="V2334" s="72" t="str">
        <f t="shared" si="36"/>
        <v>SC_CLARENDON</v>
      </c>
      <c r="AJ2334" s="1" t="s">
        <v>67</v>
      </c>
      <c r="AK2334" s="1" t="s">
        <v>1613</v>
      </c>
      <c r="AL2334" s="1" t="s">
        <v>7606</v>
      </c>
      <c r="AM2334" s="1" t="s">
        <v>3876</v>
      </c>
    </row>
    <row r="2335" spans="20:39" x14ac:dyDescent="0.2">
      <c r="T2335" s="28" t="s">
        <v>1624</v>
      </c>
      <c r="U2335" s="68" t="s">
        <v>66</v>
      </c>
      <c r="V2335" s="72" t="str">
        <f t="shared" si="36"/>
        <v>SC_COLLETON</v>
      </c>
      <c r="AJ2335" s="1" t="s">
        <v>67</v>
      </c>
      <c r="AK2335" s="1" t="s">
        <v>1614</v>
      </c>
      <c r="AL2335" s="1" t="s">
        <v>7607</v>
      </c>
      <c r="AM2335" s="1" t="s">
        <v>3876</v>
      </c>
    </row>
    <row r="2336" spans="20:39" x14ac:dyDescent="0.2">
      <c r="T2336" s="29" t="s">
        <v>1625</v>
      </c>
      <c r="U2336" s="69" t="s">
        <v>66</v>
      </c>
      <c r="V2336" s="72" t="str">
        <f t="shared" si="36"/>
        <v>SC_DARLINGTON</v>
      </c>
      <c r="AJ2336" s="1" t="s">
        <v>67</v>
      </c>
      <c r="AK2336" s="1" t="s">
        <v>258</v>
      </c>
      <c r="AL2336" s="1" t="s">
        <v>7608</v>
      </c>
      <c r="AM2336" s="1" t="s">
        <v>3876</v>
      </c>
    </row>
    <row r="2337" spans="20:39" x14ac:dyDescent="0.2">
      <c r="T2337" s="28" t="s">
        <v>1626</v>
      </c>
      <c r="U2337" s="68" t="s">
        <v>66</v>
      </c>
      <c r="V2337" s="72" t="str">
        <f t="shared" si="36"/>
        <v>SC_DILLON</v>
      </c>
      <c r="AJ2337" s="1" t="s">
        <v>67</v>
      </c>
      <c r="AK2337" s="1" t="s">
        <v>258</v>
      </c>
      <c r="AL2337" s="1" t="s">
        <v>7608</v>
      </c>
      <c r="AM2337" s="1" t="s">
        <v>4719</v>
      </c>
    </row>
    <row r="2338" spans="20:39" x14ac:dyDescent="0.2">
      <c r="T2338" s="29" t="s">
        <v>1011</v>
      </c>
      <c r="U2338" s="69" t="s">
        <v>66</v>
      </c>
      <c r="V2338" s="72" t="str">
        <f t="shared" si="36"/>
        <v>SC_DORCHESTER</v>
      </c>
      <c r="AJ2338" s="1" t="s">
        <v>66</v>
      </c>
      <c r="AK2338" s="1" t="s">
        <v>1615</v>
      </c>
      <c r="AL2338" s="1" t="s">
        <v>7609</v>
      </c>
      <c r="AM2338" s="1" t="s">
        <v>4720</v>
      </c>
    </row>
    <row r="2339" spans="20:39" x14ac:dyDescent="0.2">
      <c r="T2339" s="28" t="s">
        <v>1627</v>
      </c>
      <c r="U2339" s="68" t="s">
        <v>66</v>
      </c>
      <c r="V2339" s="72" t="str">
        <f t="shared" si="36"/>
        <v>SC_EDGEFIELD</v>
      </c>
      <c r="AJ2339" s="1" t="s">
        <v>66</v>
      </c>
      <c r="AK2339" s="1" t="s">
        <v>1616</v>
      </c>
      <c r="AL2339" s="1" t="s">
        <v>7610</v>
      </c>
      <c r="AM2339" s="1" t="s">
        <v>3264</v>
      </c>
    </row>
    <row r="2340" spans="20:39" x14ac:dyDescent="0.2">
      <c r="T2340" s="29" t="s">
        <v>460</v>
      </c>
      <c r="U2340" s="69" t="s">
        <v>66</v>
      </c>
      <c r="V2340" s="72" t="str">
        <f t="shared" si="36"/>
        <v>SC_FAIRFIELD</v>
      </c>
      <c r="AJ2340" s="1" t="s">
        <v>66</v>
      </c>
      <c r="AK2340" s="1" t="s">
        <v>1617</v>
      </c>
      <c r="AL2340" s="1" t="s">
        <v>7611</v>
      </c>
      <c r="AM2340" s="1" t="s">
        <v>4721</v>
      </c>
    </row>
    <row r="2341" spans="20:39" x14ac:dyDescent="0.2">
      <c r="T2341" s="28" t="s">
        <v>1628</v>
      </c>
      <c r="U2341" s="68" t="s">
        <v>66</v>
      </c>
      <c r="V2341" s="72" t="str">
        <f t="shared" si="36"/>
        <v>SC_FLORENCE</v>
      </c>
      <c r="AJ2341" s="1" t="s">
        <v>66</v>
      </c>
      <c r="AK2341" s="1" t="s">
        <v>808</v>
      </c>
      <c r="AL2341" s="1" t="s">
        <v>7612</v>
      </c>
      <c r="AM2341" s="1" t="s">
        <v>4722</v>
      </c>
    </row>
    <row r="2342" spans="20:39" x14ac:dyDescent="0.2">
      <c r="T2342" s="29" t="s">
        <v>1629</v>
      </c>
      <c r="U2342" s="69" t="s">
        <v>66</v>
      </c>
      <c r="V2342" s="72" t="str">
        <f t="shared" si="36"/>
        <v>SC_GEORGETOWN</v>
      </c>
      <c r="AJ2342" s="1" t="s">
        <v>66</v>
      </c>
      <c r="AK2342" s="1" t="s">
        <v>1618</v>
      </c>
      <c r="AL2342" s="1" t="s">
        <v>7613</v>
      </c>
      <c r="AM2342" s="1" t="s">
        <v>4723</v>
      </c>
    </row>
    <row r="2343" spans="20:39" x14ac:dyDescent="0.2">
      <c r="T2343" s="28" t="s">
        <v>1630</v>
      </c>
      <c r="U2343" s="68" t="s">
        <v>66</v>
      </c>
      <c r="V2343" s="72" t="str">
        <f t="shared" si="36"/>
        <v>SC_GREENVILLE</v>
      </c>
      <c r="AJ2343" s="1" t="s">
        <v>66</v>
      </c>
      <c r="AK2343" s="1" t="s">
        <v>1619</v>
      </c>
      <c r="AL2343" s="1" t="s">
        <v>7614</v>
      </c>
      <c r="AM2343" s="1" t="s">
        <v>4724</v>
      </c>
    </row>
    <row r="2344" spans="20:39" x14ac:dyDescent="0.2">
      <c r="T2344" s="29" t="s">
        <v>828</v>
      </c>
      <c r="U2344" s="69" t="s">
        <v>66</v>
      </c>
      <c r="V2344" s="72" t="str">
        <f t="shared" si="36"/>
        <v>SC_GREENWOOD</v>
      </c>
      <c r="AJ2344" s="1" t="s">
        <v>66</v>
      </c>
      <c r="AK2344" s="1" t="s">
        <v>1397</v>
      </c>
      <c r="AL2344" s="1" t="s">
        <v>7615</v>
      </c>
      <c r="AM2344" s="1" t="s">
        <v>4725</v>
      </c>
    </row>
    <row r="2345" spans="20:39" x14ac:dyDescent="0.2">
      <c r="T2345" s="28" t="s">
        <v>1631</v>
      </c>
      <c r="U2345" s="68" t="s">
        <v>66</v>
      </c>
      <c r="V2345" s="72" t="str">
        <f t="shared" si="36"/>
        <v>SC_HAMPTON</v>
      </c>
      <c r="AJ2345" s="1" t="s">
        <v>66</v>
      </c>
      <c r="AK2345" s="1" t="s">
        <v>1620</v>
      </c>
      <c r="AL2345" s="1" t="s">
        <v>7616</v>
      </c>
      <c r="AM2345" s="1" t="s">
        <v>4726</v>
      </c>
    </row>
    <row r="2346" spans="20:39" x14ac:dyDescent="0.2">
      <c r="T2346" s="29" t="s">
        <v>1632</v>
      </c>
      <c r="U2346" s="69" t="s">
        <v>66</v>
      </c>
      <c r="V2346" s="72" t="str">
        <f t="shared" si="36"/>
        <v>SC_HORRY</v>
      </c>
      <c r="AJ2346" s="1" t="s">
        <v>66</v>
      </c>
      <c r="AK2346" s="1" t="s">
        <v>201</v>
      </c>
      <c r="AL2346" s="1" t="s">
        <v>7617</v>
      </c>
      <c r="AM2346" s="1" t="s">
        <v>4731</v>
      </c>
    </row>
    <row r="2347" spans="20:39" x14ac:dyDescent="0.2">
      <c r="T2347" s="28" t="s">
        <v>579</v>
      </c>
      <c r="U2347" s="68" t="s">
        <v>66</v>
      </c>
      <c r="V2347" s="72" t="str">
        <f t="shared" si="36"/>
        <v>SC_JASPER</v>
      </c>
      <c r="AJ2347" s="1" t="s">
        <v>66</v>
      </c>
      <c r="AK2347" s="1" t="s">
        <v>1621</v>
      </c>
      <c r="AL2347" s="1" t="s">
        <v>7618</v>
      </c>
      <c r="AM2347" s="1" t="s">
        <v>4726</v>
      </c>
    </row>
    <row r="2348" spans="20:39" x14ac:dyDescent="0.2">
      <c r="T2348" s="29" t="s">
        <v>1633</v>
      </c>
      <c r="U2348" s="69" t="s">
        <v>66</v>
      </c>
      <c r="V2348" s="72" t="str">
        <f t="shared" si="36"/>
        <v>SC_KERSHAW</v>
      </c>
      <c r="AJ2348" s="1" t="s">
        <v>66</v>
      </c>
      <c r="AK2348" s="1" t="s">
        <v>203</v>
      </c>
      <c r="AL2348" s="1" t="s">
        <v>7619</v>
      </c>
      <c r="AM2348" s="1" t="s">
        <v>4727</v>
      </c>
    </row>
    <row r="2349" spans="20:39" x14ac:dyDescent="0.2">
      <c r="T2349" s="28" t="s">
        <v>1293</v>
      </c>
      <c r="U2349" s="68" t="s">
        <v>66</v>
      </c>
      <c r="V2349" s="72" t="str">
        <f t="shared" si="36"/>
        <v>SC_LANCASTER</v>
      </c>
      <c r="AJ2349" s="1" t="s">
        <v>66</v>
      </c>
      <c r="AK2349" s="1" t="s">
        <v>1589</v>
      </c>
      <c r="AL2349" s="1" t="s">
        <v>7620</v>
      </c>
      <c r="AM2349" s="1" t="s">
        <v>4728</v>
      </c>
    </row>
    <row r="2350" spans="20:39" x14ac:dyDescent="0.2">
      <c r="T2350" s="29" t="s">
        <v>584</v>
      </c>
      <c r="U2350" s="69" t="s">
        <v>66</v>
      </c>
      <c r="V2350" s="72" t="str">
        <f t="shared" si="36"/>
        <v>SC_LAURENS</v>
      </c>
      <c r="AJ2350" s="1" t="s">
        <v>66</v>
      </c>
      <c r="AK2350" s="1" t="s">
        <v>1622</v>
      </c>
      <c r="AL2350" s="1" t="s">
        <v>7621</v>
      </c>
      <c r="AM2350" s="1" t="s">
        <v>4729</v>
      </c>
    </row>
    <row r="2351" spans="20:39" x14ac:dyDescent="0.2">
      <c r="T2351" s="28" t="s">
        <v>234</v>
      </c>
      <c r="U2351" s="68" t="s">
        <v>66</v>
      </c>
      <c r="V2351" s="72" t="str">
        <f t="shared" si="36"/>
        <v>SC_LEE</v>
      </c>
      <c r="AJ2351" s="1" t="s">
        <v>66</v>
      </c>
      <c r="AK2351" s="1" t="s">
        <v>1623</v>
      </c>
      <c r="AL2351" s="1" t="s">
        <v>7622</v>
      </c>
      <c r="AM2351" s="1" t="s">
        <v>9252</v>
      </c>
    </row>
    <row r="2352" spans="20:39" x14ac:dyDescent="0.2">
      <c r="T2352" s="29" t="s">
        <v>1634</v>
      </c>
      <c r="U2352" s="69" t="s">
        <v>66</v>
      </c>
      <c r="V2352" s="72" t="str">
        <f t="shared" si="36"/>
        <v>SC_LEXINGTON</v>
      </c>
      <c r="AJ2352" s="1" t="s">
        <v>66</v>
      </c>
      <c r="AK2352" s="1" t="s">
        <v>1624</v>
      </c>
      <c r="AL2352" s="1" t="s">
        <v>7623</v>
      </c>
      <c r="AM2352" s="1" t="s">
        <v>4730</v>
      </c>
    </row>
    <row r="2353" spans="20:39" x14ac:dyDescent="0.2">
      <c r="T2353" s="28" t="s">
        <v>1635</v>
      </c>
      <c r="U2353" s="68" t="s">
        <v>66</v>
      </c>
      <c r="V2353" s="72" t="str">
        <f t="shared" si="36"/>
        <v>SC_MCCORMICK</v>
      </c>
      <c r="AJ2353" s="1" t="s">
        <v>66</v>
      </c>
      <c r="AK2353" s="1" t="s">
        <v>1625</v>
      </c>
      <c r="AL2353" s="1" t="s">
        <v>7624</v>
      </c>
      <c r="AM2353" s="1" t="s">
        <v>4732</v>
      </c>
    </row>
    <row r="2354" spans="20:39" x14ac:dyDescent="0.2">
      <c r="T2354" s="29" t="s">
        <v>240</v>
      </c>
      <c r="U2354" s="69" t="s">
        <v>66</v>
      </c>
      <c r="V2354" s="72" t="str">
        <f t="shared" si="36"/>
        <v>SC_MARION</v>
      </c>
      <c r="AJ2354" s="1" t="s">
        <v>66</v>
      </c>
      <c r="AK2354" s="1" t="s">
        <v>1626</v>
      </c>
      <c r="AL2354" s="1" t="s">
        <v>7625</v>
      </c>
      <c r="AM2354" s="1" t="s">
        <v>4733</v>
      </c>
    </row>
    <row r="2355" spans="20:39" x14ac:dyDescent="0.2">
      <c r="T2355" s="28" t="s">
        <v>1636</v>
      </c>
      <c r="U2355" s="68" t="s">
        <v>66</v>
      </c>
      <c r="V2355" s="72" t="str">
        <f t="shared" si="36"/>
        <v>SC_MARLBORO</v>
      </c>
      <c r="AJ2355" s="1" t="s">
        <v>66</v>
      </c>
      <c r="AK2355" s="1" t="s">
        <v>1011</v>
      </c>
      <c r="AL2355" s="1" t="s">
        <v>7626</v>
      </c>
      <c r="AM2355" s="1" t="s">
        <v>4726</v>
      </c>
    </row>
    <row r="2356" spans="20:39" x14ac:dyDescent="0.2">
      <c r="T2356" s="29" t="s">
        <v>1637</v>
      </c>
      <c r="U2356" s="69" t="s">
        <v>66</v>
      </c>
      <c r="V2356" s="72" t="str">
        <f t="shared" si="36"/>
        <v>SC_NEWBERRY</v>
      </c>
      <c r="AJ2356" s="1" t="s">
        <v>66</v>
      </c>
      <c r="AK2356" s="1" t="s">
        <v>1627</v>
      </c>
      <c r="AL2356" s="1" t="s">
        <v>7627</v>
      </c>
      <c r="AM2356" s="1" t="s">
        <v>3264</v>
      </c>
    </row>
    <row r="2357" spans="20:39" x14ac:dyDescent="0.2">
      <c r="T2357" s="28" t="s">
        <v>593</v>
      </c>
      <c r="U2357" s="68" t="s">
        <v>66</v>
      </c>
      <c r="V2357" s="72" t="str">
        <f t="shared" si="36"/>
        <v>SC_OCONEE</v>
      </c>
      <c r="AJ2357" s="1" t="s">
        <v>66</v>
      </c>
      <c r="AK2357" s="1" t="s">
        <v>460</v>
      </c>
      <c r="AL2357" s="1" t="s">
        <v>7628</v>
      </c>
      <c r="AM2357" s="1" t="s">
        <v>4731</v>
      </c>
    </row>
    <row r="2358" spans="20:39" x14ac:dyDescent="0.2">
      <c r="T2358" s="29" t="s">
        <v>1638</v>
      </c>
      <c r="U2358" s="69" t="s">
        <v>66</v>
      </c>
      <c r="V2358" s="72" t="str">
        <f t="shared" si="36"/>
        <v>SC_ORANGEBURG</v>
      </c>
      <c r="AJ2358" s="1" t="s">
        <v>66</v>
      </c>
      <c r="AK2358" s="1" t="s">
        <v>1628</v>
      </c>
      <c r="AL2358" s="1" t="s">
        <v>7629</v>
      </c>
      <c r="AM2358" s="1" t="s">
        <v>4734</v>
      </c>
    </row>
    <row r="2359" spans="20:39" x14ac:dyDescent="0.2">
      <c r="T2359" s="28" t="s">
        <v>247</v>
      </c>
      <c r="U2359" s="68" t="s">
        <v>66</v>
      </c>
      <c r="V2359" s="72" t="str">
        <f t="shared" si="36"/>
        <v>SC_PICKENS</v>
      </c>
      <c r="AJ2359" s="1" t="s">
        <v>66</v>
      </c>
      <c r="AK2359" s="1" t="s">
        <v>1629</v>
      </c>
      <c r="AL2359" s="1" t="s">
        <v>7630</v>
      </c>
      <c r="AM2359" s="1" t="s">
        <v>4735</v>
      </c>
    </row>
    <row r="2360" spans="20:39" x14ac:dyDescent="0.2">
      <c r="T2360" s="29" t="s">
        <v>708</v>
      </c>
      <c r="U2360" s="69" t="s">
        <v>66</v>
      </c>
      <c r="V2360" s="72" t="str">
        <f t="shared" si="36"/>
        <v>SC_RICHLAND</v>
      </c>
      <c r="AJ2360" s="1" t="s">
        <v>66</v>
      </c>
      <c r="AK2360" s="1" t="s">
        <v>1630</v>
      </c>
      <c r="AL2360" s="1" t="s">
        <v>7631</v>
      </c>
      <c r="AM2360" s="1" t="s">
        <v>4736</v>
      </c>
    </row>
    <row r="2361" spans="20:39" x14ac:dyDescent="0.2">
      <c r="T2361" s="28" t="s">
        <v>1639</v>
      </c>
      <c r="U2361" s="68" t="s">
        <v>66</v>
      </c>
      <c r="V2361" s="72" t="str">
        <f t="shared" si="36"/>
        <v>SC_SALUDA</v>
      </c>
      <c r="AJ2361" s="1" t="s">
        <v>66</v>
      </c>
      <c r="AK2361" s="1" t="s">
        <v>828</v>
      </c>
      <c r="AL2361" s="1" t="s">
        <v>7632</v>
      </c>
      <c r="AM2361" s="1" t="s">
        <v>4737</v>
      </c>
    </row>
    <row r="2362" spans="20:39" x14ac:dyDescent="0.2">
      <c r="T2362" s="29" t="s">
        <v>1640</v>
      </c>
      <c r="U2362" s="69" t="s">
        <v>66</v>
      </c>
      <c r="V2362" s="72" t="str">
        <f t="shared" si="36"/>
        <v>SC_SPARTANBURG</v>
      </c>
      <c r="AJ2362" s="1" t="s">
        <v>66</v>
      </c>
      <c r="AK2362" s="1" t="s">
        <v>1631</v>
      </c>
      <c r="AL2362" s="1" t="s">
        <v>7633</v>
      </c>
      <c r="AM2362" s="1" t="s">
        <v>4738</v>
      </c>
    </row>
    <row r="2363" spans="20:39" x14ac:dyDescent="0.2">
      <c r="T2363" s="28" t="s">
        <v>253</v>
      </c>
      <c r="U2363" s="68" t="s">
        <v>66</v>
      </c>
      <c r="V2363" s="72" t="str">
        <f t="shared" si="36"/>
        <v>SC_SUMTER</v>
      </c>
      <c r="AJ2363" s="1" t="s">
        <v>66</v>
      </c>
      <c r="AK2363" s="1" t="s">
        <v>1632</v>
      </c>
      <c r="AL2363" s="1" t="s">
        <v>7634</v>
      </c>
      <c r="AM2363" s="1" t="s">
        <v>4747</v>
      </c>
    </row>
    <row r="2364" spans="20:39" x14ac:dyDescent="0.2">
      <c r="T2364" s="29" t="s">
        <v>345</v>
      </c>
      <c r="U2364" s="69" t="s">
        <v>66</v>
      </c>
      <c r="V2364" s="72" t="str">
        <f t="shared" si="36"/>
        <v>SC_UNION</v>
      </c>
      <c r="AJ2364" s="1" t="s">
        <v>66</v>
      </c>
      <c r="AK2364" s="1" t="s">
        <v>579</v>
      </c>
      <c r="AL2364" s="1" t="s">
        <v>7635</v>
      </c>
      <c r="AM2364" s="1" t="s">
        <v>4739</v>
      </c>
    </row>
    <row r="2365" spans="20:39" x14ac:dyDescent="0.2">
      <c r="T2365" s="28" t="s">
        <v>1641</v>
      </c>
      <c r="U2365" s="68" t="s">
        <v>66</v>
      </c>
      <c r="V2365" s="72" t="str">
        <f t="shared" si="36"/>
        <v>SC_WILLIAMSBURG</v>
      </c>
      <c r="AJ2365" s="1" t="s">
        <v>66</v>
      </c>
      <c r="AK2365" s="1" t="s">
        <v>1633</v>
      </c>
      <c r="AL2365" s="1" t="s">
        <v>7636</v>
      </c>
      <c r="AM2365" s="1" t="s">
        <v>4740</v>
      </c>
    </row>
    <row r="2366" spans="20:39" x14ac:dyDescent="0.2">
      <c r="T2366" s="29" t="s">
        <v>1003</v>
      </c>
      <c r="U2366" s="69" t="s">
        <v>66</v>
      </c>
      <c r="V2366" s="72" t="str">
        <f t="shared" si="36"/>
        <v>SC_YORK</v>
      </c>
      <c r="AJ2366" s="1" t="s">
        <v>66</v>
      </c>
      <c r="AK2366" s="1" t="s">
        <v>1293</v>
      </c>
      <c r="AL2366" s="1" t="s">
        <v>7637</v>
      </c>
      <c r="AM2366" s="1" t="s">
        <v>4741</v>
      </c>
    </row>
    <row r="2367" spans="20:39" x14ac:dyDescent="0.2">
      <c r="T2367" s="28" t="s">
        <v>1642</v>
      </c>
      <c r="U2367" s="68" t="s">
        <v>65</v>
      </c>
      <c r="V2367" s="72" t="str">
        <f t="shared" si="36"/>
        <v>SD_AURORA</v>
      </c>
      <c r="AJ2367" s="1" t="s">
        <v>66</v>
      </c>
      <c r="AK2367" s="1" t="s">
        <v>584</v>
      </c>
      <c r="AL2367" s="1" t="s">
        <v>7638</v>
      </c>
      <c r="AM2367" s="1" t="s">
        <v>4742</v>
      </c>
    </row>
    <row r="2368" spans="20:39" x14ac:dyDescent="0.2">
      <c r="T2368" s="29" t="s">
        <v>1643</v>
      </c>
      <c r="U2368" s="69" t="s">
        <v>65</v>
      </c>
      <c r="V2368" s="72" t="str">
        <f t="shared" si="36"/>
        <v>SD_BEADLE</v>
      </c>
      <c r="AJ2368" s="1" t="s">
        <v>66</v>
      </c>
      <c r="AK2368" s="1" t="s">
        <v>234</v>
      </c>
      <c r="AL2368" s="1" t="s">
        <v>7639</v>
      </c>
      <c r="AM2368" s="1" t="s">
        <v>4743</v>
      </c>
    </row>
    <row r="2369" spans="20:39" x14ac:dyDescent="0.2">
      <c r="T2369" s="28" t="s">
        <v>1644</v>
      </c>
      <c r="U2369" s="68" t="s">
        <v>65</v>
      </c>
      <c r="V2369" s="72" t="str">
        <f t="shared" si="36"/>
        <v>SD_BENNETT</v>
      </c>
      <c r="AJ2369" s="1" t="s">
        <v>66</v>
      </c>
      <c r="AK2369" s="1" t="s">
        <v>1634</v>
      </c>
      <c r="AL2369" s="1" t="s">
        <v>7640</v>
      </c>
      <c r="AM2369" s="1" t="s">
        <v>4731</v>
      </c>
    </row>
    <row r="2370" spans="20:39" x14ac:dyDescent="0.2">
      <c r="T2370" s="29" t="s">
        <v>1645</v>
      </c>
      <c r="U2370" s="69" t="s">
        <v>65</v>
      </c>
      <c r="V2370" s="72" t="str">
        <f t="shared" si="36"/>
        <v>SD_BON HOMME</v>
      </c>
      <c r="AJ2370" s="1" t="s">
        <v>66</v>
      </c>
      <c r="AK2370" s="1" t="s">
        <v>240</v>
      </c>
      <c r="AL2370" s="1" t="s">
        <v>7641</v>
      </c>
      <c r="AM2370" s="1" t="s">
        <v>4744</v>
      </c>
    </row>
    <row r="2371" spans="20:39" x14ac:dyDescent="0.2">
      <c r="T2371" s="28" t="s">
        <v>1646</v>
      </c>
      <c r="U2371" s="68" t="s">
        <v>65</v>
      </c>
      <c r="V2371" s="72" t="str">
        <f t="shared" si="36"/>
        <v>SD_BROOKINGS</v>
      </c>
      <c r="AJ2371" s="1" t="s">
        <v>66</v>
      </c>
      <c r="AK2371" s="1" t="s">
        <v>1636</v>
      </c>
      <c r="AL2371" s="1" t="s">
        <v>7642</v>
      </c>
      <c r="AM2371" s="1" t="s">
        <v>4745</v>
      </c>
    </row>
    <row r="2372" spans="20:39" x14ac:dyDescent="0.2">
      <c r="T2372" s="29" t="s">
        <v>670</v>
      </c>
      <c r="U2372" s="69" t="s">
        <v>65</v>
      </c>
      <c r="V2372" s="72" t="str">
        <f t="shared" si="36"/>
        <v>SD_BROWN</v>
      </c>
      <c r="AJ2372" s="1" t="s">
        <v>66</v>
      </c>
      <c r="AK2372" s="1" t="s">
        <v>1635</v>
      </c>
      <c r="AL2372" s="1" t="s">
        <v>7643</v>
      </c>
      <c r="AM2372" s="1" t="s">
        <v>4746</v>
      </c>
    </row>
    <row r="2373" spans="20:39" x14ac:dyDescent="0.2">
      <c r="T2373" s="28" t="s">
        <v>1647</v>
      </c>
      <c r="U2373" s="68" t="s">
        <v>65</v>
      </c>
      <c r="V2373" s="72" t="str">
        <f t="shared" si="36"/>
        <v>SD_BRULE</v>
      </c>
      <c r="AJ2373" s="1" t="s">
        <v>66</v>
      </c>
      <c r="AK2373" s="1" t="s">
        <v>1637</v>
      </c>
      <c r="AL2373" s="1" t="s">
        <v>7644</v>
      </c>
      <c r="AM2373" s="1" t="s">
        <v>4748</v>
      </c>
    </row>
    <row r="2374" spans="20:39" x14ac:dyDescent="0.2">
      <c r="T2374" s="29" t="s">
        <v>1272</v>
      </c>
      <c r="U2374" s="69" t="s">
        <v>65</v>
      </c>
      <c r="V2374" s="72" t="str">
        <f t="shared" si="36"/>
        <v>SD_BUFFALO</v>
      </c>
      <c r="AJ2374" s="1" t="s">
        <v>66</v>
      </c>
      <c r="AK2374" s="1" t="s">
        <v>593</v>
      </c>
      <c r="AL2374" s="1" t="s">
        <v>7645</v>
      </c>
      <c r="AM2374" s="1" t="s">
        <v>4749</v>
      </c>
    </row>
    <row r="2375" spans="20:39" x14ac:dyDescent="0.2">
      <c r="T2375" s="28" t="s">
        <v>353</v>
      </c>
      <c r="U2375" s="68" t="s">
        <v>65</v>
      </c>
      <c r="V2375" s="72" t="str">
        <f t="shared" si="36"/>
        <v>SD_BUTTE</v>
      </c>
      <c r="AJ2375" s="1" t="s">
        <v>66</v>
      </c>
      <c r="AK2375" s="1" t="s">
        <v>1638</v>
      </c>
      <c r="AL2375" s="1" t="s">
        <v>7646</v>
      </c>
      <c r="AM2375" s="1" t="s">
        <v>4750</v>
      </c>
    </row>
    <row r="2376" spans="20:39" x14ac:dyDescent="0.2">
      <c r="T2376" s="29" t="s">
        <v>887</v>
      </c>
      <c r="U2376" s="69" t="s">
        <v>65</v>
      </c>
      <c r="V2376" s="72" t="str">
        <f t="shared" si="36"/>
        <v>SD_CAMPBELL</v>
      </c>
      <c r="AJ2376" s="1" t="s">
        <v>66</v>
      </c>
      <c r="AK2376" s="1" t="s">
        <v>247</v>
      </c>
      <c r="AL2376" s="1" t="s">
        <v>7647</v>
      </c>
      <c r="AM2376" s="1" t="s">
        <v>4736</v>
      </c>
    </row>
    <row r="2377" spans="20:39" x14ac:dyDescent="0.2">
      <c r="T2377" s="28" t="s">
        <v>1648</v>
      </c>
      <c r="U2377" s="68" t="s">
        <v>65</v>
      </c>
      <c r="V2377" s="72" t="str">
        <f t="shared" si="36"/>
        <v>SD_CHARLES MIX</v>
      </c>
      <c r="AJ2377" s="1" t="s">
        <v>66</v>
      </c>
      <c r="AK2377" s="1" t="s">
        <v>708</v>
      </c>
      <c r="AL2377" s="1" t="s">
        <v>7648</v>
      </c>
      <c r="AM2377" s="1" t="s">
        <v>4731</v>
      </c>
    </row>
    <row r="2378" spans="20:39" x14ac:dyDescent="0.2">
      <c r="T2378" s="29" t="s">
        <v>301</v>
      </c>
      <c r="U2378" s="69" t="s">
        <v>65</v>
      </c>
      <c r="V2378" s="72" t="str">
        <f t="shared" ref="V2378:V2441" si="37">UPPER(CONCATENATE(TRIM(U2378),"_",TRIM(T2378)))</f>
        <v>SD_CLARK</v>
      </c>
      <c r="AJ2378" s="1" t="s">
        <v>66</v>
      </c>
      <c r="AK2378" s="1" t="s">
        <v>1639</v>
      </c>
      <c r="AL2378" s="1" t="s">
        <v>7649</v>
      </c>
      <c r="AM2378" s="1" t="s">
        <v>4731</v>
      </c>
    </row>
    <row r="2379" spans="20:39" x14ac:dyDescent="0.2">
      <c r="T2379" s="28" t="s">
        <v>207</v>
      </c>
      <c r="U2379" s="68" t="s">
        <v>65</v>
      </c>
      <c r="V2379" s="72" t="str">
        <f t="shared" si="37"/>
        <v>SD_CLAY</v>
      </c>
      <c r="AJ2379" s="1" t="s">
        <v>66</v>
      </c>
      <c r="AK2379" s="1" t="s">
        <v>1640</v>
      </c>
      <c r="AL2379" s="1" t="s">
        <v>7650</v>
      </c>
      <c r="AM2379" s="1" t="s">
        <v>9253</v>
      </c>
    </row>
    <row r="2380" spans="20:39" x14ac:dyDescent="0.2">
      <c r="T2380" s="29" t="s">
        <v>1649</v>
      </c>
      <c r="U2380" s="69" t="s">
        <v>65</v>
      </c>
      <c r="V2380" s="72" t="str">
        <f t="shared" si="37"/>
        <v>SD_CODINGTON</v>
      </c>
      <c r="AJ2380" s="1" t="s">
        <v>66</v>
      </c>
      <c r="AK2380" s="1" t="s">
        <v>253</v>
      </c>
      <c r="AL2380" s="1" t="s">
        <v>7651</v>
      </c>
      <c r="AM2380" s="1" t="s">
        <v>9254</v>
      </c>
    </row>
    <row r="2381" spans="20:39" x14ac:dyDescent="0.2">
      <c r="T2381" s="28" t="s">
        <v>1650</v>
      </c>
      <c r="U2381" s="68" t="s">
        <v>65</v>
      </c>
      <c r="V2381" s="72" t="str">
        <f t="shared" si="37"/>
        <v>SD_CORSON</v>
      </c>
      <c r="AJ2381" s="1" t="s">
        <v>66</v>
      </c>
      <c r="AK2381" s="1" t="s">
        <v>345</v>
      </c>
      <c r="AL2381" s="1" t="s">
        <v>7652</v>
      </c>
      <c r="AM2381" s="1" t="s">
        <v>9255</v>
      </c>
    </row>
    <row r="2382" spans="20:39" x14ac:dyDescent="0.2">
      <c r="T2382" s="29" t="s">
        <v>419</v>
      </c>
      <c r="U2382" s="69" t="s">
        <v>65</v>
      </c>
      <c r="V2382" s="72" t="str">
        <f t="shared" si="37"/>
        <v>SD_CUSTER</v>
      </c>
      <c r="AJ2382" s="1" t="s">
        <v>66</v>
      </c>
      <c r="AK2382" s="1" t="s">
        <v>1641</v>
      </c>
      <c r="AL2382" s="1" t="s">
        <v>7653</v>
      </c>
      <c r="AM2382" s="1" t="s">
        <v>4751</v>
      </c>
    </row>
    <row r="2383" spans="20:39" x14ac:dyDescent="0.2">
      <c r="T2383" s="28" t="s">
        <v>1651</v>
      </c>
      <c r="U2383" s="68" t="s">
        <v>65</v>
      </c>
      <c r="V2383" s="72" t="str">
        <f t="shared" si="37"/>
        <v>SD_DAVISON</v>
      </c>
      <c r="AJ2383" s="1" t="s">
        <v>66</v>
      </c>
      <c r="AK2383" s="1" t="s">
        <v>1003</v>
      </c>
      <c r="AL2383" s="1" t="s">
        <v>7654</v>
      </c>
      <c r="AM2383" s="1" t="s">
        <v>4267</v>
      </c>
    </row>
    <row r="2384" spans="20:39" x14ac:dyDescent="0.2">
      <c r="T2384" s="29" t="s">
        <v>1652</v>
      </c>
      <c r="U2384" s="69" t="s">
        <v>65</v>
      </c>
      <c r="V2384" s="72" t="str">
        <f t="shared" si="37"/>
        <v>SD_DAY</v>
      </c>
      <c r="AJ2384" s="1" t="s">
        <v>65</v>
      </c>
      <c r="AK2384" s="1" t="s">
        <v>1642</v>
      </c>
      <c r="AL2384" s="1" t="s">
        <v>7655</v>
      </c>
      <c r="AM2384" s="1" t="s">
        <v>4752</v>
      </c>
    </row>
    <row r="2385" spans="20:39" x14ac:dyDescent="0.2">
      <c r="T2385" s="28" t="s">
        <v>1278</v>
      </c>
      <c r="U2385" s="68" t="s">
        <v>65</v>
      </c>
      <c r="V2385" s="72" t="str">
        <f t="shared" si="37"/>
        <v>SD_DEUEL</v>
      </c>
      <c r="AJ2385" s="1" t="s">
        <v>65</v>
      </c>
      <c r="AK2385" s="1" t="s">
        <v>1643</v>
      </c>
      <c r="AL2385" s="1" t="s">
        <v>7656</v>
      </c>
      <c r="AM2385" s="1" t="s">
        <v>4753</v>
      </c>
    </row>
    <row r="2386" spans="20:39" x14ac:dyDescent="0.2">
      <c r="T2386" s="29" t="s">
        <v>1533</v>
      </c>
      <c r="U2386" s="69" t="s">
        <v>65</v>
      </c>
      <c r="V2386" s="72" t="str">
        <f t="shared" si="37"/>
        <v>SD_DEWEY</v>
      </c>
      <c r="AJ2386" s="1" t="s">
        <v>65</v>
      </c>
      <c r="AK2386" s="1" t="s">
        <v>1644</v>
      </c>
      <c r="AL2386" s="1" t="s">
        <v>7657</v>
      </c>
      <c r="AM2386" s="1" t="s">
        <v>4754</v>
      </c>
    </row>
    <row r="2387" spans="20:39" x14ac:dyDescent="0.2">
      <c r="T2387" s="28" t="s">
        <v>423</v>
      </c>
      <c r="U2387" s="68" t="s">
        <v>65</v>
      </c>
      <c r="V2387" s="72" t="str">
        <f t="shared" si="37"/>
        <v>SD_DOUGLAS</v>
      </c>
      <c r="AJ2387" s="1" t="s">
        <v>65</v>
      </c>
      <c r="AK2387" s="1" t="s">
        <v>1645</v>
      </c>
      <c r="AL2387" s="1" t="s">
        <v>7658</v>
      </c>
      <c r="AM2387" s="1" t="s">
        <v>4755</v>
      </c>
    </row>
    <row r="2388" spans="20:39" x14ac:dyDescent="0.2">
      <c r="T2388" s="29" t="s">
        <v>1653</v>
      </c>
      <c r="U2388" s="69" t="s">
        <v>65</v>
      </c>
      <c r="V2388" s="72" t="str">
        <f t="shared" si="37"/>
        <v>SD_EDMUNDS</v>
      </c>
      <c r="AJ2388" s="1" t="s">
        <v>65</v>
      </c>
      <c r="AK2388" s="1" t="s">
        <v>1646</v>
      </c>
      <c r="AL2388" s="1" t="s">
        <v>7659</v>
      </c>
      <c r="AM2388" s="1" t="s">
        <v>4756</v>
      </c>
    </row>
    <row r="2389" spans="20:39" x14ac:dyDescent="0.2">
      <c r="T2389" s="28" t="s">
        <v>1654</v>
      </c>
      <c r="U2389" s="68" t="s">
        <v>65</v>
      </c>
      <c r="V2389" s="72" t="str">
        <f t="shared" si="37"/>
        <v>SD_FALL RIVER</v>
      </c>
      <c r="AJ2389" s="1" t="s">
        <v>65</v>
      </c>
      <c r="AK2389" s="1" t="s">
        <v>670</v>
      </c>
      <c r="AL2389" s="1" t="s">
        <v>7660</v>
      </c>
      <c r="AM2389" s="1" t="s">
        <v>4757</v>
      </c>
    </row>
    <row r="2390" spans="20:39" x14ac:dyDescent="0.2">
      <c r="T2390" s="29" t="s">
        <v>1655</v>
      </c>
      <c r="U2390" s="69" t="s">
        <v>65</v>
      </c>
      <c r="V2390" s="72" t="str">
        <f t="shared" si="37"/>
        <v>SD_FAULK</v>
      </c>
      <c r="AJ2390" s="1" t="s">
        <v>65</v>
      </c>
      <c r="AK2390" s="1" t="s">
        <v>1647</v>
      </c>
      <c r="AL2390" s="1" t="s">
        <v>7661</v>
      </c>
      <c r="AM2390" s="1" t="s">
        <v>4758</v>
      </c>
    </row>
    <row r="2391" spans="20:39" x14ac:dyDescent="0.2">
      <c r="T2391" s="28" t="s">
        <v>314</v>
      </c>
      <c r="U2391" s="68" t="s">
        <v>65</v>
      </c>
      <c r="V2391" s="72" t="str">
        <f t="shared" si="37"/>
        <v>SD_GRANT</v>
      </c>
      <c r="AJ2391" s="1" t="s">
        <v>65</v>
      </c>
      <c r="AK2391" s="1" t="s">
        <v>1272</v>
      </c>
      <c r="AL2391" s="1" t="s">
        <v>7662</v>
      </c>
      <c r="AM2391" s="1" t="s">
        <v>4759</v>
      </c>
    </row>
    <row r="2392" spans="20:39" x14ac:dyDescent="0.2">
      <c r="T2392" s="29" t="s">
        <v>1656</v>
      </c>
      <c r="U2392" s="69" t="s">
        <v>65</v>
      </c>
      <c r="V2392" s="72" t="str">
        <f t="shared" si="37"/>
        <v>SD_GREGORY</v>
      </c>
      <c r="AJ2392" s="1" t="s">
        <v>65</v>
      </c>
      <c r="AK2392" s="1" t="s">
        <v>353</v>
      </c>
      <c r="AL2392" s="1" t="s">
        <v>7663</v>
      </c>
      <c r="AM2392" s="1" t="s">
        <v>4760</v>
      </c>
    </row>
    <row r="2393" spans="20:39" x14ac:dyDescent="0.2">
      <c r="T2393" s="28" t="s">
        <v>1657</v>
      </c>
      <c r="U2393" s="68" t="s">
        <v>65</v>
      </c>
      <c r="V2393" s="72" t="str">
        <f t="shared" si="37"/>
        <v>SD_HAAKON</v>
      </c>
      <c r="AJ2393" s="1" t="s">
        <v>65</v>
      </c>
      <c r="AK2393" s="1" t="s">
        <v>887</v>
      </c>
      <c r="AL2393" s="1" t="s">
        <v>7664</v>
      </c>
      <c r="AM2393" s="1" t="s">
        <v>4761</v>
      </c>
    </row>
    <row r="2394" spans="20:39" x14ac:dyDescent="0.2">
      <c r="T2394" s="29" t="s">
        <v>1658</v>
      </c>
      <c r="U2394" s="69" t="s">
        <v>65</v>
      </c>
      <c r="V2394" s="72" t="str">
        <f t="shared" si="37"/>
        <v>SD_HAMLIN</v>
      </c>
      <c r="AJ2394" s="1" t="s">
        <v>65</v>
      </c>
      <c r="AK2394" s="1" t="s">
        <v>1648</v>
      </c>
      <c r="AL2394" s="1" t="s">
        <v>7665</v>
      </c>
      <c r="AM2394" s="1" t="s">
        <v>4762</v>
      </c>
    </row>
    <row r="2395" spans="20:39" x14ac:dyDescent="0.2">
      <c r="T2395" s="28" t="s">
        <v>1659</v>
      </c>
      <c r="U2395" s="68" t="s">
        <v>65</v>
      </c>
      <c r="V2395" s="72" t="str">
        <f t="shared" si="37"/>
        <v>SD_HAND</v>
      </c>
      <c r="AJ2395" s="1" t="s">
        <v>65</v>
      </c>
      <c r="AK2395" s="1" t="s">
        <v>301</v>
      </c>
      <c r="AL2395" s="1" t="s">
        <v>7666</v>
      </c>
      <c r="AM2395" s="1" t="s">
        <v>4763</v>
      </c>
    </row>
    <row r="2396" spans="20:39" x14ac:dyDescent="0.2">
      <c r="T2396" s="29" t="s">
        <v>1660</v>
      </c>
      <c r="U2396" s="69" t="s">
        <v>65</v>
      </c>
      <c r="V2396" s="72" t="str">
        <f t="shared" si="37"/>
        <v>SD_HANSON</v>
      </c>
      <c r="AJ2396" s="1" t="s">
        <v>65</v>
      </c>
      <c r="AK2396" s="1" t="s">
        <v>207</v>
      </c>
      <c r="AL2396" s="1" t="s">
        <v>7667</v>
      </c>
      <c r="AM2396" s="1" t="s">
        <v>4764</v>
      </c>
    </row>
    <row r="2397" spans="20:39" x14ac:dyDescent="0.2">
      <c r="T2397" s="28" t="s">
        <v>1346</v>
      </c>
      <c r="U2397" s="68" t="s">
        <v>65</v>
      </c>
      <c r="V2397" s="72" t="str">
        <f t="shared" si="37"/>
        <v>SD_HARDING</v>
      </c>
      <c r="AJ2397" s="1" t="s">
        <v>65</v>
      </c>
      <c r="AK2397" s="1" t="s">
        <v>1649</v>
      </c>
      <c r="AL2397" s="1" t="s">
        <v>7668</v>
      </c>
      <c r="AM2397" s="1" t="s">
        <v>4765</v>
      </c>
    </row>
    <row r="2398" spans="20:39" x14ac:dyDescent="0.2">
      <c r="T2398" s="29" t="s">
        <v>1537</v>
      </c>
      <c r="U2398" s="69" t="s">
        <v>65</v>
      </c>
      <c r="V2398" s="72" t="str">
        <f t="shared" si="37"/>
        <v>SD_HUGHES</v>
      </c>
      <c r="AJ2398" s="1" t="s">
        <v>65</v>
      </c>
      <c r="AK2398" s="1" t="s">
        <v>1650</v>
      </c>
      <c r="AL2398" s="1" t="s">
        <v>7669</v>
      </c>
      <c r="AM2398" s="1" t="s">
        <v>4766</v>
      </c>
    </row>
    <row r="2399" spans="20:39" x14ac:dyDescent="0.2">
      <c r="T2399" s="28" t="s">
        <v>1661</v>
      </c>
      <c r="U2399" s="68" t="s">
        <v>65</v>
      </c>
      <c r="V2399" s="72" t="str">
        <f t="shared" si="37"/>
        <v>SD_HUTCHINSON</v>
      </c>
      <c r="AJ2399" s="1" t="s">
        <v>65</v>
      </c>
      <c r="AK2399" s="1" t="s">
        <v>419</v>
      </c>
      <c r="AL2399" s="1" t="s">
        <v>7670</v>
      </c>
      <c r="AM2399" s="1" t="s">
        <v>9256</v>
      </c>
    </row>
    <row r="2400" spans="20:39" x14ac:dyDescent="0.2">
      <c r="T2400" s="29" t="s">
        <v>1425</v>
      </c>
      <c r="U2400" s="69" t="s">
        <v>65</v>
      </c>
      <c r="V2400" s="72" t="str">
        <f t="shared" si="37"/>
        <v>SD_HYDE</v>
      </c>
      <c r="AJ2400" s="1" t="s">
        <v>65</v>
      </c>
      <c r="AK2400" s="1" t="s">
        <v>1651</v>
      </c>
      <c r="AL2400" s="1" t="s">
        <v>7671</v>
      </c>
      <c r="AM2400" s="1" t="s">
        <v>4767</v>
      </c>
    </row>
    <row r="2401" spans="20:39" x14ac:dyDescent="0.2">
      <c r="T2401" s="28" t="s">
        <v>229</v>
      </c>
      <c r="U2401" s="68" t="s">
        <v>65</v>
      </c>
      <c r="V2401" s="72" t="str">
        <f t="shared" si="37"/>
        <v>SD_JACKSON</v>
      </c>
      <c r="AJ2401" s="1" t="s">
        <v>65</v>
      </c>
      <c r="AK2401" s="1" t="s">
        <v>1652</v>
      </c>
      <c r="AL2401" s="1" t="s">
        <v>7672</v>
      </c>
      <c r="AM2401" s="1" t="s">
        <v>4768</v>
      </c>
    </row>
    <row r="2402" spans="20:39" x14ac:dyDescent="0.2">
      <c r="T2402" s="29" t="s">
        <v>1662</v>
      </c>
      <c r="U2402" s="69" t="s">
        <v>65</v>
      </c>
      <c r="V2402" s="72" t="str">
        <f t="shared" si="37"/>
        <v>SD_JERAULD</v>
      </c>
      <c r="AJ2402" s="1" t="s">
        <v>65</v>
      </c>
      <c r="AK2402" s="1" t="s">
        <v>1278</v>
      </c>
      <c r="AL2402" s="1" t="s">
        <v>7673</v>
      </c>
      <c r="AM2402" s="1" t="s">
        <v>4769</v>
      </c>
    </row>
    <row r="2403" spans="20:39" x14ac:dyDescent="0.2">
      <c r="T2403" s="28" t="s">
        <v>582</v>
      </c>
      <c r="U2403" s="68" t="s">
        <v>65</v>
      </c>
      <c r="V2403" s="72" t="str">
        <f t="shared" si="37"/>
        <v>SD_JONES</v>
      </c>
      <c r="AJ2403" s="1" t="s">
        <v>65</v>
      </c>
      <c r="AK2403" s="1" t="s">
        <v>1533</v>
      </c>
      <c r="AL2403" s="1" t="s">
        <v>7674</v>
      </c>
      <c r="AM2403" s="1" t="s">
        <v>4770</v>
      </c>
    </row>
    <row r="2404" spans="20:39" x14ac:dyDescent="0.2">
      <c r="T2404" s="29" t="s">
        <v>1663</v>
      </c>
      <c r="U2404" s="69" t="s">
        <v>65</v>
      </c>
      <c r="V2404" s="72" t="str">
        <f t="shared" si="37"/>
        <v>SD_KINGSBURY</v>
      </c>
      <c r="AJ2404" s="1" t="s">
        <v>65</v>
      </c>
      <c r="AK2404" s="1" t="s">
        <v>423</v>
      </c>
      <c r="AL2404" s="1" t="s">
        <v>7675</v>
      </c>
      <c r="AM2404" s="1" t="s">
        <v>4771</v>
      </c>
    </row>
    <row r="2405" spans="20:39" x14ac:dyDescent="0.2">
      <c r="T2405" s="28" t="s">
        <v>366</v>
      </c>
      <c r="U2405" s="68" t="s">
        <v>65</v>
      </c>
      <c r="V2405" s="72" t="str">
        <f t="shared" si="37"/>
        <v>SD_LAKE</v>
      </c>
      <c r="AJ2405" s="1" t="s">
        <v>65</v>
      </c>
      <c r="AK2405" s="1" t="s">
        <v>1653</v>
      </c>
      <c r="AL2405" s="1" t="s">
        <v>7676</v>
      </c>
      <c r="AM2405" s="1" t="s">
        <v>4772</v>
      </c>
    </row>
    <row r="2406" spans="20:39" x14ac:dyDescent="0.2">
      <c r="T2406" s="29" t="s">
        <v>233</v>
      </c>
      <c r="U2406" s="69" t="s">
        <v>65</v>
      </c>
      <c r="V2406" s="72" t="str">
        <f t="shared" si="37"/>
        <v>SD_LAWRENCE</v>
      </c>
      <c r="AJ2406" s="1" t="s">
        <v>65</v>
      </c>
      <c r="AK2406" s="1" t="s">
        <v>1654</v>
      </c>
      <c r="AL2406" s="1" t="s">
        <v>7677</v>
      </c>
      <c r="AM2406" s="1" t="s">
        <v>4773</v>
      </c>
    </row>
    <row r="2407" spans="20:39" x14ac:dyDescent="0.2">
      <c r="T2407" s="28" t="s">
        <v>322</v>
      </c>
      <c r="U2407" s="68" t="s">
        <v>65</v>
      </c>
      <c r="V2407" s="72" t="str">
        <f t="shared" si="37"/>
        <v>SD_LINCOLN</v>
      </c>
      <c r="AJ2407" s="1" t="s">
        <v>65</v>
      </c>
      <c r="AK2407" s="1" t="s">
        <v>1655</v>
      </c>
      <c r="AL2407" s="1" t="s">
        <v>7678</v>
      </c>
      <c r="AM2407" s="1" t="s">
        <v>4774</v>
      </c>
    </row>
    <row r="2408" spans="20:39" x14ac:dyDescent="0.2">
      <c r="T2408" s="29" t="s">
        <v>1664</v>
      </c>
      <c r="U2408" s="69" t="s">
        <v>65</v>
      </c>
      <c r="V2408" s="72" t="str">
        <f t="shared" si="37"/>
        <v>SD_LYMAN</v>
      </c>
      <c r="AJ2408" s="1" t="s">
        <v>65</v>
      </c>
      <c r="AK2408" s="1" t="s">
        <v>314</v>
      </c>
      <c r="AL2408" s="1" t="s">
        <v>7679</v>
      </c>
      <c r="AM2408" s="1" t="s">
        <v>4775</v>
      </c>
    </row>
    <row r="2409" spans="20:39" x14ac:dyDescent="0.2">
      <c r="T2409" s="28" t="s">
        <v>1665</v>
      </c>
      <c r="U2409" s="68" t="s">
        <v>65</v>
      </c>
      <c r="V2409" s="72" t="str">
        <f t="shared" si="37"/>
        <v>SD_MCCOOK</v>
      </c>
      <c r="AJ2409" s="1" t="s">
        <v>65</v>
      </c>
      <c r="AK2409" s="1" t="s">
        <v>1656</v>
      </c>
      <c r="AL2409" s="1" t="s">
        <v>7680</v>
      </c>
      <c r="AM2409" s="1" t="s">
        <v>4776</v>
      </c>
    </row>
    <row r="2410" spans="20:39" x14ac:dyDescent="0.2">
      <c r="T2410" s="29" t="s">
        <v>839</v>
      </c>
      <c r="U2410" s="69" t="s">
        <v>65</v>
      </c>
      <c r="V2410" s="72" t="str">
        <f t="shared" si="37"/>
        <v>SD_MCPHERSON</v>
      </c>
      <c r="AJ2410" s="1" t="s">
        <v>65</v>
      </c>
      <c r="AK2410" s="1" t="s">
        <v>1657</v>
      </c>
      <c r="AL2410" s="1" t="s">
        <v>7681</v>
      </c>
      <c r="AM2410" s="1" t="s">
        <v>4777</v>
      </c>
    </row>
    <row r="2411" spans="20:39" x14ac:dyDescent="0.2">
      <c r="T2411" s="28" t="s">
        <v>241</v>
      </c>
      <c r="U2411" s="68" t="s">
        <v>65</v>
      </c>
      <c r="V2411" s="72" t="str">
        <f t="shared" si="37"/>
        <v>SD_MARSHALL</v>
      </c>
      <c r="AJ2411" s="1" t="s">
        <v>65</v>
      </c>
      <c r="AK2411" s="1" t="s">
        <v>1658</v>
      </c>
      <c r="AL2411" s="1" t="s">
        <v>7682</v>
      </c>
      <c r="AM2411" s="1" t="s">
        <v>4778</v>
      </c>
    </row>
    <row r="2412" spans="20:39" x14ac:dyDescent="0.2">
      <c r="T2412" s="29" t="s">
        <v>840</v>
      </c>
      <c r="U2412" s="69" t="s">
        <v>65</v>
      </c>
      <c r="V2412" s="72" t="str">
        <f t="shared" si="37"/>
        <v>SD_MEADE</v>
      </c>
      <c r="AJ2412" s="1" t="s">
        <v>65</v>
      </c>
      <c r="AK2412" s="1" t="s">
        <v>1659</v>
      </c>
      <c r="AL2412" s="1" t="s">
        <v>7683</v>
      </c>
      <c r="AM2412" s="1" t="s">
        <v>4779</v>
      </c>
    </row>
    <row r="2413" spans="20:39" x14ac:dyDescent="0.2">
      <c r="T2413" s="28" t="s">
        <v>1666</v>
      </c>
      <c r="U2413" s="68" t="s">
        <v>65</v>
      </c>
      <c r="V2413" s="72" t="str">
        <f t="shared" si="37"/>
        <v>SD_MELLETTE</v>
      </c>
      <c r="AJ2413" s="1" t="s">
        <v>65</v>
      </c>
      <c r="AK2413" s="1" t="s">
        <v>1660</v>
      </c>
      <c r="AL2413" s="1" t="s">
        <v>7684</v>
      </c>
      <c r="AM2413" s="1" t="s">
        <v>4780</v>
      </c>
    </row>
    <row r="2414" spans="20:39" x14ac:dyDescent="0.2">
      <c r="T2414" s="29" t="s">
        <v>1667</v>
      </c>
      <c r="U2414" s="69" t="s">
        <v>65</v>
      </c>
      <c r="V2414" s="72" t="str">
        <f t="shared" si="37"/>
        <v>SD_MINER</v>
      </c>
      <c r="AJ2414" s="1" t="s">
        <v>65</v>
      </c>
      <c r="AK2414" s="1" t="s">
        <v>1346</v>
      </c>
      <c r="AL2414" s="1" t="s">
        <v>7685</v>
      </c>
      <c r="AM2414" s="1" t="s">
        <v>4781</v>
      </c>
    </row>
    <row r="2415" spans="20:39" x14ac:dyDescent="0.2">
      <c r="T2415" s="28" t="s">
        <v>1668</v>
      </c>
      <c r="U2415" s="68" t="s">
        <v>65</v>
      </c>
      <c r="V2415" s="72" t="str">
        <f t="shared" si="37"/>
        <v>SD_MINNEHAHA</v>
      </c>
      <c r="AJ2415" s="1" t="s">
        <v>65</v>
      </c>
      <c r="AK2415" s="1" t="s">
        <v>1537</v>
      </c>
      <c r="AL2415" s="1" t="s">
        <v>7686</v>
      </c>
      <c r="AM2415" s="1" t="s">
        <v>4782</v>
      </c>
    </row>
    <row r="2416" spans="20:39" x14ac:dyDescent="0.2">
      <c r="T2416" s="29" t="s">
        <v>1669</v>
      </c>
      <c r="U2416" s="69" t="s">
        <v>65</v>
      </c>
      <c r="V2416" s="72" t="str">
        <f t="shared" si="37"/>
        <v>SD_MOODY</v>
      </c>
      <c r="AJ2416" s="1" t="s">
        <v>65</v>
      </c>
      <c r="AK2416" s="1" t="s">
        <v>1661</v>
      </c>
      <c r="AL2416" s="1" t="s">
        <v>7687</v>
      </c>
      <c r="AM2416" s="1" t="s">
        <v>4783</v>
      </c>
    </row>
    <row r="2417" spans="20:39" x14ac:dyDescent="0.2">
      <c r="T2417" s="29" t="s">
        <v>7705</v>
      </c>
      <c r="U2417" s="69" t="s">
        <v>65</v>
      </c>
      <c r="V2417" s="72" t="str">
        <f t="shared" si="37"/>
        <v>SD_OGLALA LAKOTA</v>
      </c>
      <c r="AJ2417" s="1" t="s">
        <v>65</v>
      </c>
      <c r="AK2417" s="1" t="s">
        <v>1425</v>
      </c>
      <c r="AL2417" s="1" t="s">
        <v>7688</v>
      </c>
      <c r="AM2417" s="1" t="s">
        <v>4784</v>
      </c>
    </row>
    <row r="2418" spans="20:39" x14ac:dyDescent="0.2">
      <c r="T2418" s="28" t="s">
        <v>1131</v>
      </c>
      <c r="U2418" s="68" t="s">
        <v>65</v>
      </c>
      <c r="V2418" s="72" t="str">
        <f t="shared" si="37"/>
        <v>SD_PENNINGTON</v>
      </c>
      <c r="AJ2418" s="1" t="s">
        <v>65</v>
      </c>
      <c r="AK2418" s="1" t="s">
        <v>229</v>
      </c>
      <c r="AL2418" s="1" t="s">
        <v>7689</v>
      </c>
      <c r="AM2418" s="1" t="s">
        <v>4785</v>
      </c>
    </row>
    <row r="2419" spans="20:39" x14ac:dyDescent="0.2">
      <c r="T2419" s="29" t="s">
        <v>1300</v>
      </c>
      <c r="U2419" s="69" t="s">
        <v>65</v>
      </c>
      <c r="V2419" s="72" t="str">
        <f t="shared" si="37"/>
        <v>SD_PERKINS</v>
      </c>
      <c r="AJ2419" s="1" t="s">
        <v>65</v>
      </c>
      <c r="AK2419" s="1" t="s">
        <v>1662</v>
      </c>
      <c r="AL2419" s="1" t="s">
        <v>7690</v>
      </c>
      <c r="AM2419" s="1" t="s">
        <v>4786</v>
      </c>
    </row>
    <row r="2420" spans="20:39" x14ac:dyDescent="0.2">
      <c r="T2420" s="28" t="s">
        <v>1607</v>
      </c>
      <c r="U2420" s="68" t="s">
        <v>65</v>
      </c>
      <c r="V2420" s="72" t="str">
        <f t="shared" si="37"/>
        <v>SD_POTTER</v>
      </c>
      <c r="AJ2420" s="1" t="s">
        <v>65</v>
      </c>
      <c r="AK2420" s="1" t="s">
        <v>582</v>
      </c>
      <c r="AL2420" s="1" t="s">
        <v>7691</v>
      </c>
      <c r="AM2420" s="1" t="s">
        <v>4787</v>
      </c>
    </row>
    <row r="2421" spans="20:39" x14ac:dyDescent="0.2">
      <c r="T2421" s="29" t="s">
        <v>1670</v>
      </c>
      <c r="U2421" s="69" t="s">
        <v>65</v>
      </c>
      <c r="V2421" s="72" t="str">
        <f t="shared" si="37"/>
        <v>SD_ROBERTS</v>
      </c>
      <c r="AJ2421" s="1" t="s">
        <v>65</v>
      </c>
      <c r="AK2421" s="1" t="s">
        <v>1663</v>
      </c>
      <c r="AL2421" s="1" t="s">
        <v>7692</v>
      </c>
      <c r="AM2421" s="1" t="s">
        <v>4788</v>
      </c>
    </row>
    <row r="2422" spans="20:39" x14ac:dyDescent="0.2">
      <c r="T2422" s="28" t="s">
        <v>1671</v>
      </c>
      <c r="U2422" s="68" t="s">
        <v>65</v>
      </c>
      <c r="V2422" s="72" t="str">
        <f t="shared" si="37"/>
        <v>SD_SANBORN</v>
      </c>
      <c r="AJ2422" s="1" t="s">
        <v>65</v>
      </c>
      <c r="AK2422" s="1" t="s">
        <v>366</v>
      </c>
      <c r="AL2422" s="1" t="s">
        <v>7693</v>
      </c>
      <c r="AM2422" s="1" t="s">
        <v>4789</v>
      </c>
    </row>
    <row r="2423" spans="20:39" x14ac:dyDescent="0.2">
      <c r="T2423" s="28" t="s">
        <v>1672</v>
      </c>
      <c r="U2423" s="68" t="s">
        <v>65</v>
      </c>
      <c r="V2423" s="72" t="str">
        <f t="shared" si="37"/>
        <v>SD_SPINK</v>
      </c>
      <c r="AJ2423" s="1" t="s">
        <v>65</v>
      </c>
      <c r="AK2423" s="1" t="s">
        <v>233</v>
      </c>
      <c r="AL2423" s="1" t="s">
        <v>7694</v>
      </c>
      <c r="AM2423" s="1" t="s">
        <v>4790</v>
      </c>
    </row>
    <row r="2424" spans="20:39" x14ac:dyDescent="0.2">
      <c r="T2424" s="29" t="s">
        <v>1673</v>
      </c>
      <c r="U2424" s="69" t="s">
        <v>65</v>
      </c>
      <c r="V2424" s="72" t="str">
        <f t="shared" si="37"/>
        <v>SD_STANLEY</v>
      </c>
      <c r="AJ2424" s="1" t="s">
        <v>65</v>
      </c>
      <c r="AK2424" s="1" t="s">
        <v>322</v>
      </c>
      <c r="AL2424" s="1" t="s">
        <v>7695</v>
      </c>
      <c r="AM2424" s="1" t="s">
        <v>9257</v>
      </c>
    </row>
    <row r="2425" spans="20:39" x14ac:dyDescent="0.2">
      <c r="T2425" s="28" t="s">
        <v>1674</v>
      </c>
      <c r="U2425" s="68" t="s">
        <v>65</v>
      </c>
      <c r="V2425" s="72" t="str">
        <f t="shared" si="37"/>
        <v>SD_SULLY</v>
      </c>
      <c r="AJ2425" s="1" t="s">
        <v>65</v>
      </c>
      <c r="AK2425" s="1" t="s">
        <v>1664</v>
      </c>
      <c r="AL2425" s="1" t="s">
        <v>7696</v>
      </c>
      <c r="AM2425" s="1" t="s">
        <v>4791</v>
      </c>
    </row>
    <row r="2426" spans="20:39" x14ac:dyDescent="0.2">
      <c r="T2426" s="29" t="s">
        <v>926</v>
      </c>
      <c r="U2426" s="69" t="s">
        <v>65</v>
      </c>
      <c r="V2426" s="72" t="str">
        <f t="shared" si="37"/>
        <v>SD_TODD</v>
      </c>
      <c r="AJ2426" s="1" t="s">
        <v>65</v>
      </c>
      <c r="AK2426" s="1" t="s">
        <v>241</v>
      </c>
      <c r="AL2426" s="1" t="s">
        <v>7697</v>
      </c>
      <c r="AM2426" s="1" t="s">
        <v>4792</v>
      </c>
    </row>
    <row r="2427" spans="20:39" x14ac:dyDescent="0.2">
      <c r="T2427" s="28" t="s">
        <v>1675</v>
      </c>
      <c r="U2427" s="68" t="s">
        <v>65</v>
      </c>
      <c r="V2427" s="72" t="str">
        <f t="shared" si="37"/>
        <v>SD_TRIPP</v>
      </c>
      <c r="AJ2427" s="1" t="s">
        <v>65</v>
      </c>
      <c r="AK2427" s="1" t="s">
        <v>1665</v>
      </c>
      <c r="AL2427" s="1" t="s">
        <v>7698</v>
      </c>
      <c r="AM2427" s="1" t="s">
        <v>9257</v>
      </c>
    </row>
    <row r="2428" spans="20:39" x14ac:dyDescent="0.2">
      <c r="T2428" s="29" t="s">
        <v>618</v>
      </c>
      <c r="U2428" s="69" t="s">
        <v>65</v>
      </c>
      <c r="V2428" s="72" t="str">
        <f t="shared" si="37"/>
        <v>SD_TURNER</v>
      </c>
      <c r="AJ2428" s="1" t="s">
        <v>65</v>
      </c>
      <c r="AK2428" s="1" t="s">
        <v>839</v>
      </c>
      <c r="AL2428" s="1" t="s">
        <v>7699</v>
      </c>
      <c r="AM2428" s="1" t="s">
        <v>4793</v>
      </c>
    </row>
    <row r="2429" spans="20:39" x14ac:dyDescent="0.2">
      <c r="T2429" s="28" t="s">
        <v>345</v>
      </c>
      <c r="U2429" s="68" t="s">
        <v>65</v>
      </c>
      <c r="V2429" s="72" t="str">
        <f t="shared" si="37"/>
        <v>SD_UNION</v>
      </c>
      <c r="AJ2429" s="1" t="s">
        <v>65</v>
      </c>
      <c r="AK2429" s="1" t="s">
        <v>840</v>
      </c>
      <c r="AL2429" s="1" t="s">
        <v>7700</v>
      </c>
      <c r="AM2429" s="1" t="s">
        <v>4794</v>
      </c>
    </row>
    <row r="2430" spans="20:39" x14ac:dyDescent="0.2">
      <c r="T2430" s="29" t="s">
        <v>1676</v>
      </c>
      <c r="U2430" s="69" t="s">
        <v>65</v>
      </c>
      <c r="V2430" s="72" t="str">
        <f t="shared" si="37"/>
        <v>SD_WALWORTH</v>
      </c>
      <c r="AJ2430" s="1" t="s">
        <v>65</v>
      </c>
      <c r="AK2430" s="1" t="s">
        <v>1666</v>
      </c>
      <c r="AL2430" s="1" t="s">
        <v>7701</v>
      </c>
      <c r="AM2430" s="1" t="s">
        <v>4795</v>
      </c>
    </row>
    <row r="2431" spans="20:39" x14ac:dyDescent="0.2">
      <c r="T2431" s="28" t="s">
        <v>1677</v>
      </c>
      <c r="U2431" s="68" t="s">
        <v>65</v>
      </c>
      <c r="V2431" s="72" t="str">
        <f t="shared" si="37"/>
        <v>SD_YANKTON</v>
      </c>
      <c r="AJ2431" s="1" t="s">
        <v>65</v>
      </c>
      <c r="AK2431" s="1" t="s">
        <v>1667</v>
      </c>
      <c r="AL2431" s="1" t="s">
        <v>7702</v>
      </c>
      <c r="AM2431" s="1" t="s">
        <v>4796</v>
      </c>
    </row>
    <row r="2432" spans="20:39" x14ac:dyDescent="0.2">
      <c r="T2432" s="29" t="s">
        <v>1678</v>
      </c>
      <c r="U2432" s="69" t="s">
        <v>65</v>
      </c>
      <c r="V2432" s="72" t="str">
        <f t="shared" si="37"/>
        <v>SD_ZIEBACH</v>
      </c>
      <c r="AJ2432" s="1" t="s">
        <v>65</v>
      </c>
      <c r="AK2432" s="1" t="s">
        <v>1668</v>
      </c>
      <c r="AL2432" s="1" t="s">
        <v>7703</v>
      </c>
      <c r="AM2432" s="1" t="s">
        <v>9257</v>
      </c>
    </row>
    <row r="2433" spans="20:39" x14ac:dyDescent="0.2">
      <c r="T2433" s="28" t="s">
        <v>808</v>
      </c>
      <c r="U2433" s="68" t="s">
        <v>64</v>
      </c>
      <c r="V2433" s="72" t="str">
        <f t="shared" si="37"/>
        <v>TN_ANDERSON</v>
      </c>
      <c r="AJ2433" s="1" t="s">
        <v>65</v>
      </c>
      <c r="AK2433" s="1" t="s">
        <v>1669</v>
      </c>
      <c r="AL2433" s="1" t="s">
        <v>7704</v>
      </c>
      <c r="AM2433" s="1" t="s">
        <v>4797</v>
      </c>
    </row>
    <row r="2434" spans="20:39" x14ac:dyDescent="0.2">
      <c r="T2434" s="29" t="s">
        <v>1582</v>
      </c>
      <c r="U2434" s="69" t="s">
        <v>64</v>
      </c>
      <c r="V2434" s="72" t="str">
        <f t="shared" si="37"/>
        <v>TN_BEDFORD</v>
      </c>
      <c r="AJ2434" s="1" t="s">
        <v>65</v>
      </c>
      <c r="AK2434" s="1" t="s">
        <v>7705</v>
      </c>
      <c r="AL2434" s="1" t="s">
        <v>7706</v>
      </c>
      <c r="AM2434" s="1" t="s">
        <v>4798</v>
      </c>
    </row>
    <row r="2435" spans="20:39" x14ac:dyDescent="0.2">
      <c r="T2435" s="28" t="s">
        <v>296</v>
      </c>
      <c r="U2435" s="68" t="s">
        <v>64</v>
      </c>
      <c r="V2435" s="72" t="str">
        <f t="shared" si="37"/>
        <v>TN_BENTON</v>
      </c>
      <c r="AJ2435" s="1" t="s">
        <v>65</v>
      </c>
      <c r="AK2435" s="1" t="s">
        <v>1131</v>
      </c>
      <c r="AL2435" s="1" t="s">
        <v>7707</v>
      </c>
      <c r="AM2435" s="1" t="s">
        <v>4801</v>
      </c>
    </row>
    <row r="2436" spans="20:39" x14ac:dyDescent="0.2">
      <c r="T2436" s="29" t="s">
        <v>1679</v>
      </c>
      <c r="U2436" s="69" t="s">
        <v>64</v>
      </c>
      <c r="V2436" s="72" t="str">
        <f t="shared" si="37"/>
        <v>TN_BLEDSOE</v>
      </c>
      <c r="AJ2436" s="1" t="s">
        <v>65</v>
      </c>
      <c r="AK2436" s="1" t="s">
        <v>1300</v>
      </c>
      <c r="AL2436" s="1" t="s">
        <v>7708</v>
      </c>
      <c r="AM2436" s="1" t="s">
        <v>4799</v>
      </c>
    </row>
    <row r="2437" spans="20:39" x14ac:dyDescent="0.2">
      <c r="T2437" s="28" t="s">
        <v>198</v>
      </c>
      <c r="U2437" s="68" t="s">
        <v>64</v>
      </c>
      <c r="V2437" s="72" t="str">
        <f t="shared" si="37"/>
        <v>TN_BLOUNT</v>
      </c>
      <c r="AJ2437" s="1" t="s">
        <v>65</v>
      </c>
      <c r="AK2437" s="1" t="s">
        <v>1607</v>
      </c>
      <c r="AL2437" s="1" t="s">
        <v>7709</v>
      </c>
      <c r="AM2437" s="1" t="s">
        <v>4800</v>
      </c>
    </row>
    <row r="2438" spans="20:39" x14ac:dyDescent="0.2">
      <c r="T2438" s="29" t="s">
        <v>298</v>
      </c>
      <c r="U2438" s="69" t="s">
        <v>64</v>
      </c>
      <c r="V2438" s="72" t="str">
        <f t="shared" si="37"/>
        <v>TN_BRADLEY</v>
      </c>
      <c r="AJ2438" s="1" t="s">
        <v>65</v>
      </c>
      <c r="AK2438" s="1" t="s">
        <v>1670</v>
      </c>
      <c r="AL2438" s="1" t="s">
        <v>7710</v>
      </c>
      <c r="AM2438" s="1" t="s">
        <v>4802</v>
      </c>
    </row>
    <row r="2439" spans="20:39" x14ac:dyDescent="0.2">
      <c r="T2439" s="28" t="s">
        <v>887</v>
      </c>
      <c r="U2439" s="68" t="s">
        <v>64</v>
      </c>
      <c r="V2439" s="72" t="str">
        <f t="shared" si="37"/>
        <v>TN_CAMPBELL</v>
      </c>
      <c r="AJ2439" s="1" t="s">
        <v>65</v>
      </c>
      <c r="AK2439" s="1" t="s">
        <v>1671</v>
      </c>
      <c r="AL2439" s="1" t="s">
        <v>7711</v>
      </c>
      <c r="AM2439" s="1" t="s">
        <v>4803</v>
      </c>
    </row>
    <row r="2440" spans="20:39" x14ac:dyDescent="0.2">
      <c r="T2440" s="29" t="s">
        <v>1680</v>
      </c>
      <c r="U2440" s="69" t="s">
        <v>64</v>
      </c>
      <c r="V2440" s="72" t="str">
        <f t="shared" si="37"/>
        <v>TN_CANNON</v>
      </c>
      <c r="AJ2440" s="1" t="s">
        <v>65</v>
      </c>
      <c r="AK2440" s="1" t="s">
        <v>1672</v>
      </c>
      <c r="AL2440" s="1" t="s">
        <v>7712</v>
      </c>
      <c r="AM2440" s="1" t="s">
        <v>4804</v>
      </c>
    </row>
    <row r="2441" spans="20:39" x14ac:dyDescent="0.2">
      <c r="T2441" s="28" t="s">
        <v>299</v>
      </c>
      <c r="U2441" s="68" t="s">
        <v>64</v>
      </c>
      <c r="V2441" s="72" t="str">
        <f t="shared" si="37"/>
        <v>TN_CARROLL</v>
      </c>
      <c r="AJ2441" s="1" t="s">
        <v>65</v>
      </c>
      <c r="AK2441" s="1" t="s">
        <v>1673</v>
      </c>
      <c r="AL2441" s="1" t="s">
        <v>7713</v>
      </c>
      <c r="AM2441" s="1" t="s">
        <v>4805</v>
      </c>
    </row>
    <row r="2442" spans="20:39" x14ac:dyDescent="0.2">
      <c r="T2442" s="29" t="s">
        <v>889</v>
      </c>
      <c r="U2442" s="69" t="s">
        <v>64</v>
      </c>
      <c r="V2442" s="72" t="str">
        <f t="shared" ref="V2442:V2505" si="38">UPPER(CONCATENATE(TRIM(U2442),"_",TRIM(T2442)))</f>
        <v>TN_CARTER</v>
      </c>
      <c r="AJ2442" s="1" t="s">
        <v>65</v>
      </c>
      <c r="AK2442" s="1" t="s">
        <v>1674</v>
      </c>
      <c r="AL2442" s="1" t="s">
        <v>7714</v>
      </c>
      <c r="AM2442" s="1" t="s">
        <v>4806</v>
      </c>
    </row>
    <row r="2443" spans="20:39" x14ac:dyDescent="0.2">
      <c r="T2443" s="28" t="s">
        <v>1681</v>
      </c>
      <c r="U2443" s="68" t="s">
        <v>64</v>
      </c>
      <c r="V2443" s="72" t="str">
        <f t="shared" si="38"/>
        <v>TN_CHEATHAM</v>
      </c>
      <c r="AJ2443" s="1" t="s">
        <v>65</v>
      </c>
      <c r="AK2443" s="1" t="s">
        <v>926</v>
      </c>
      <c r="AL2443" s="1" t="s">
        <v>7715</v>
      </c>
      <c r="AM2443" s="1" t="s">
        <v>4807</v>
      </c>
    </row>
    <row r="2444" spans="20:39" x14ac:dyDescent="0.2">
      <c r="T2444" s="29" t="s">
        <v>1589</v>
      </c>
      <c r="U2444" s="69" t="s">
        <v>64</v>
      </c>
      <c r="V2444" s="72" t="str">
        <f t="shared" si="38"/>
        <v>TN_CHESTER</v>
      </c>
      <c r="AJ2444" s="1" t="s">
        <v>65</v>
      </c>
      <c r="AK2444" s="1" t="s">
        <v>1675</v>
      </c>
      <c r="AL2444" s="1" t="s">
        <v>7716</v>
      </c>
      <c r="AM2444" s="1" t="s">
        <v>4808</v>
      </c>
    </row>
    <row r="2445" spans="20:39" x14ac:dyDescent="0.2">
      <c r="T2445" s="28" t="s">
        <v>1158</v>
      </c>
      <c r="U2445" s="68" t="s">
        <v>64</v>
      </c>
      <c r="V2445" s="72" t="str">
        <f t="shared" si="38"/>
        <v>TN_CLAIBORNE</v>
      </c>
      <c r="AJ2445" s="1" t="s">
        <v>65</v>
      </c>
      <c r="AK2445" s="1" t="s">
        <v>618</v>
      </c>
      <c r="AL2445" s="1" t="s">
        <v>7717</v>
      </c>
      <c r="AM2445" s="1" t="s">
        <v>9257</v>
      </c>
    </row>
    <row r="2446" spans="20:39" x14ac:dyDescent="0.2">
      <c r="T2446" s="29" t="s">
        <v>207</v>
      </c>
      <c r="U2446" s="69" t="s">
        <v>64</v>
      </c>
      <c r="V2446" s="72" t="str">
        <f t="shared" si="38"/>
        <v>TN_CLAY</v>
      </c>
      <c r="AJ2446" s="1" t="s">
        <v>65</v>
      </c>
      <c r="AK2446" s="1" t="s">
        <v>345</v>
      </c>
      <c r="AL2446" s="1" t="s">
        <v>7718</v>
      </c>
      <c r="AM2446" s="1" t="s">
        <v>3448</v>
      </c>
    </row>
    <row r="2447" spans="20:39" x14ac:dyDescent="0.2">
      <c r="T2447" s="28" t="s">
        <v>1682</v>
      </c>
      <c r="U2447" s="68" t="s">
        <v>64</v>
      </c>
      <c r="V2447" s="72" t="str">
        <f t="shared" si="38"/>
        <v>TN_COCKE</v>
      </c>
      <c r="AJ2447" s="1" t="s">
        <v>65</v>
      </c>
      <c r="AK2447" s="1" t="s">
        <v>1676</v>
      </c>
      <c r="AL2447" s="1" t="s">
        <v>7719</v>
      </c>
      <c r="AM2447" s="1" t="s">
        <v>4809</v>
      </c>
    </row>
    <row r="2448" spans="20:39" x14ac:dyDescent="0.2">
      <c r="T2448" s="29" t="s">
        <v>209</v>
      </c>
      <c r="U2448" s="69" t="s">
        <v>64</v>
      </c>
      <c r="V2448" s="72" t="str">
        <f t="shared" si="38"/>
        <v>TN_COFFEE</v>
      </c>
      <c r="AJ2448" s="1" t="s">
        <v>65</v>
      </c>
      <c r="AK2448" s="1" t="s">
        <v>1677</v>
      </c>
      <c r="AL2448" s="1" t="s">
        <v>7720</v>
      </c>
      <c r="AM2448" s="1" t="s">
        <v>4810</v>
      </c>
    </row>
    <row r="2449" spans="20:39" x14ac:dyDescent="0.2">
      <c r="T2449" s="28" t="s">
        <v>1683</v>
      </c>
      <c r="U2449" s="68" t="s">
        <v>64</v>
      </c>
      <c r="V2449" s="72" t="str">
        <f t="shared" si="38"/>
        <v>TN_CROCKETT</v>
      </c>
      <c r="AJ2449" s="1" t="s">
        <v>65</v>
      </c>
      <c r="AK2449" s="1" t="s">
        <v>1678</v>
      </c>
      <c r="AL2449" s="1" t="s">
        <v>7721</v>
      </c>
      <c r="AM2449" s="1" t="s">
        <v>4811</v>
      </c>
    </row>
    <row r="2450" spans="20:39" x14ac:dyDescent="0.2">
      <c r="T2450" s="29" t="s">
        <v>677</v>
      </c>
      <c r="U2450" s="69" t="s">
        <v>64</v>
      </c>
      <c r="V2450" s="72" t="str">
        <f t="shared" si="38"/>
        <v>TN_CUMBERLAND</v>
      </c>
      <c r="AJ2450" s="1" t="s">
        <v>64</v>
      </c>
      <c r="AK2450" s="1" t="s">
        <v>808</v>
      </c>
      <c r="AL2450" s="1" t="s">
        <v>7722</v>
      </c>
      <c r="AM2450" s="1" t="s">
        <v>4846</v>
      </c>
    </row>
    <row r="2451" spans="20:39" x14ac:dyDescent="0.2">
      <c r="T2451" s="28" t="s">
        <v>1411</v>
      </c>
      <c r="U2451" s="68" t="s">
        <v>64</v>
      </c>
      <c r="V2451" s="72" t="str">
        <f t="shared" si="38"/>
        <v>TN_DAVIDSON</v>
      </c>
      <c r="AJ2451" s="1" t="s">
        <v>64</v>
      </c>
      <c r="AK2451" s="1" t="s">
        <v>1582</v>
      </c>
      <c r="AL2451" s="1" t="s">
        <v>7723</v>
      </c>
      <c r="AM2451" s="1" t="s">
        <v>4812</v>
      </c>
    </row>
    <row r="2452" spans="20:39" x14ac:dyDescent="0.2">
      <c r="T2452" s="29" t="s">
        <v>552</v>
      </c>
      <c r="U2452" s="69" t="s">
        <v>64</v>
      </c>
      <c r="V2452" s="72" t="str">
        <f t="shared" si="38"/>
        <v>TN_DECATUR</v>
      </c>
      <c r="AJ2452" s="1" t="s">
        <v>64</v>
      </c>
      <c r="AK2452" s="1" t="s">
        <v>296</v>
      </c>
      <c r="AL2452" s="1" t="s">
        <v>7724</v>
      </c>
      <c r="AM2452" s="1" t="s">
        <v>4813</v>
      </c>
    </row>
    <row r="2453" spans="20:39" x14ac:dyDescent="0.2">
      <c r="T2453" s="28" t="s">
        <v>218</v>
      </c>
      <c r="U2453" s="68" t="s">
        <v>64</v>
      </c>
      <c r="V2453" s="72" t="str">
        <f t="shared" si="38"/>
        <v>TN_DEKALB</v>
      </c>
      <c r="AJ2453" s="1" t="s">
        <v>64</v>
      </c>
      <c r="AK2453" s="1" t="s">
        <v>1679</v>
      </c>
      <c r="AL2453" s="1" t="s">
        <v>7725</v>
      </c>
      <c r="AM2453" s="1" t="s">
        <v>4814</v>
      </c>
    </row>
    <row r="2454" spans="20:39" x14ac:dyDescent="0.2">
      <c r="T2454" s="29" t="s">
        <v>1684</v>
      </c>
      <c r="U2454" s="69" t="s">
        <v>64</v>
      </c>
      <c r="V2454" s="72" t="str">
        <f t="shared" si="38"/>
        <v>TN_DICKSON</v>
      </c>
      <c r="AJ2454" s="1" t="s">
        <v>64</v>
      </c>
      <c r="AK2454" s="1" t="s">
        <v>198</v>
      </c>
      <c r="AL2454" s="1" t="s">
        <v>7726</v>
      </c>
      <c r="AM2454" s="1" t="s">
        <v>4846</v>
      </c>
    </row>
    <row r="2455" spans="20:39" x14ac:dyDescent="0.2">
      <c r="T2455" s="28" t="s">
        <v>1685</v>
      </c>
      <c r="U2455" s="68" t="s">
        <v>64</v>
      </c>
      <c r="V2455" s="72" t="str">
        <f t="shared" si="38"/>
        <v>TN_DYER</v>
      </c>
      <c r="AJ2455" s="1" t="s">
        <v>64</v>
      </c>
      <c r="AK2455" s="1" t="s">
        <v>298</v>
      </c>
      <c r="AL2455" s="1" t="s">
        <v>7727</v>
      </c>
      <c r="AM2455" s="1" t="s">
        <v>4819</v>
      </c>
    </row>
    <row r="2456" spans="20:39" x14ac:dyDescent="0.2">
      <c r="T2456" s="29" t="s">
        <v>222</v>
      </c>
      <c r="U2456" s="69" t="s">
        <v>64</v>
      </c>
      <c r="V2456" s="72" t="str">
        <f t="shared" si="38"/>
        <v>TN_FAYETTE</v>
      </c>
      <c r="AJ2456" s="1" t="s">
        <v>64</v>
      </c>
      <c r="AK2456" s="1" t="s">
        <v>887</v>
      </c>
      <c r="AL2456" s="1" t="s">
        <v>7728</v>
      </c>
      <c r="AM2456" s="1" t="s">
        <v>4815</v>
      </c>
    </row>
    <row r="2457" spans="20:39" x14ac:dyDescent="0.2">
      <c r="T2457" s="28" t="s">
        <v>1686</v>
      </c>
      <c r="U2457" s="68" t="s">
        <v>64</v>
      </c>
      <c r="V2457" s="72" t="str">
        <f t="shared" si="38"/>
        <v>TN_FENTRESS</v>
      </c>
      <c r="AJ2457" s="1" t="s">
        <v>64</v>
      </c>
      <c r="AK2457" s="1" t="s">
        <v>1680</v>
      </c>
      <c r="AL2457" s="1" t="s">
        <v>7729</v>
      </c>
      <c r="AM2457" s="1" t="s">
        <v>4862</v>
      </c>
    </row>
    <row r="2458" spans="20:39" x14ac:dyDescent="0.2">
      <c r="T2458" s="29" t="s">
        <v>223</v>
      </c>
      <c r="U2458" s="69" t="s">
        <v>64</v>
      </c>
      <c r="V2458" s="72" t="str">
        <f t="shared" si="38"/>
        <v>TN_FRANKLIN</v>
      </c>
      <c r="AJ2458" s="1" t="s">
        <v>64</v>
      </c>
      <c r="AK2458" s="1" t="s">
        <v>299</v>
      </c>
      <c r="AL2458" s="1" t="s">
        <v>7730</v>
      </c>
      <c r="AM2458" s="1" t="s">
        <v>4816</v>
      </c>
    </row>
    <row r="2459" spans="20:39" x14ac:dyDescent="0.2">
      <c r="T2459" s="28" t="s">
        <v>731</v>
      </c>
      <c r="U2459" s="68" t="s">
        <v>64</v>
      </c>
      <c r="V2459" s="72" t="str">
        <f t="shared" si="38"/>
        <v>TN_GIBSON</v>
      </c>
      <c r="AJ2459" s="1" t="s">
        <v>64</v>
      </c>
      <c r="AK2459" s="1" t="s">
        <v>889</v>
      </c>
      <c r="AL2459" s="1" t="s">
        <v>7731</v>
      </c>
      <c r="AM2459" s="1" t="s">
        <v>4844</v>
      </c>
    </row>
    <row r="2460" spans="20:39" x14ac:dyDescent="0.2">
      <c r="T2460" s="29" t="s">
        <v>1687</v>
      </c>
      <c r="U2460" s="69" t="s">
        <v>64</v>
      </c>
      <c r="V2460" s="72" t="str">
        <f t="shared" si="38"/>
        <v>TN_GILES</v>
      </c>
      <c r="AJ2460" s="1" t="s">
        <v>64</v>
      </c>
      <c r="AK2460" s="1" t="s">
        <v>1681</v>
      </c>
      <c r="AL2460" s="1" t="s">
        <v>7732</v>
      </c>
      <c r="AM2460" s="1" t="s">
        <v>4862</v>
      </c>
    </row>
    <row r="2461" spans="20:39" x14ac:dyDescent="0.2">
      <c r="T2461" s="28" t="s">
        <v>1688</v>
      </c>
      <c r="U2461" s="68" t="s">
        <v>64</v>
      </c>
      <c r="V2461" s="72" t="str">
        <f t="shared" si="38"/>
        <v>TN_GRAINGER</v>
      </c>
      <c r="AJ2461" s="1" t="s">
        <v>64</v>
      </c>
      <c r="AK2461" s="1" t="s">
        <v>1589</v>
      </c>
      <c r="AL2461" s="1" t="s">
        <v>7733</v>
      </c>
      <c r="AM2461" s="1" t="s">
        <v>4843</v>
      </c>
    </row>
    <row r="2462" spans="20:39" x14ac:dyDescent="0.2">
      <c r="T2462" s="29" t="s">
        <v>225</v>
      </c>
      <c r="U2462" s="69" t="s">
        <v>64</v>
      </c>
      <c r="V2462" s="72" t="str">
        <f t="shared" si="38"/>
        <v>TN_GREENE</v>
      </c>
      <c r="AJ2462" s="1" t="s">
        <v>64</v>
      </c>
      <c r="AK2462" s="1" t="s">
        <v>1158</v>
      </c>
      <c r="AL2462" s="1" t="s">
        <v>7734</v>
      </c>
      <c r="AM2462" s="1" t="s">
        <v>4817</v>
      </c>
    </row>
    <row r="2463" spans="20:39" x14ac:dyDescent="0.2">
      <c r="T2463" s="28" t="s">
        <v>684</v>
      </c>
      <c r="U2463" s="68" t="s">
        <v>64</v>
      </c>
      <c r="V2463" s="72" t="str">
        <f t="shared" si="38"/>
        <v>TN_GRUNDY</v>
      </c>
      <c r="AJ2463" s="1" t="s">
        <v>64</v>
      </c>
      <c r="AK2463" s="1" t="s">
        <v>207</v>
      </c>
      <c r="AL2463" s="1" t="s">
        <v>7735</v>
      </c>
      <c r="AM2463" s="1" t="s">
        <v>4818</v>
      </c>
    </row>
    <row r="2464" spans="20:39" x14ac:dyDescent="0.2">
      <c r="T2464" s="29" t="s">
        <v>1689</v>
      </c>
      <c r="U2464" s="69" t="s">
        <v>64</v>
      </c>
      <c r="V2464" s="72" t="str">
        <f t="shared" si="38"/>
        <v>TN_HAMBLEN</v>
      </c>
      <c r="AJ2464" s="1" t="s">
        <v>64</v>
      </c>
      <c r="AK2464" s="1" t="s">
        <v>1682</v>
      </c>
      <c r="AL2464" s="1" t="s">
        <v>7736</v>
      </c>
      <c r="AM2464" s="1" t="s">
        <v>4820</v>
      </c>
    </row>
    <row r="2465" spans="20:39" x14ac:dyDescent="0.2">
      <c r="T2465" s="28" t="s">
        <v>491</v>
      </c>
      <c r="U2465" s="68" t="s">
        <v>64</v>
      </c>
      <c r="V2465" s="72" t="str">
        <f t="shared" si="38"/>
        <v>TN_HAMILTON</v>
      </c>
      <c r="AJ2465" s="1" t="s">
        <v>64</v>
      </c>
      <c r="AK2465" s="1" t="s">
        <v>209</v>
      </c>
      <c r="AL2465" s="1" t="s">
        <v>7737</v>
      </c>
      <c r="AM2465" s="1" t="s">
        <v>4821</v>
      </c>
    </row>
    <row r="2466" spans="20:39" x14ac:dyDescent="0.2">
      <c r="T2466" s="29" t="s">
        <v>573</v>
      </c>
      <c r="U2466" s="69" t="s">
        <v>64</v>
      </c>
      <c r="V2466" s="72" t="str">
        <f t="shared" si="38"/>
        <v>TN_HANCOCK</v>
      </c>
      <c r="AJ2466" s="1" t="s">
        <v>64</v>
      </c>
      <c r="AK2466" s="1" t="s">
        <v>1683</v>
      </c>
      <c r="AL2466" s="1" t="s">
        <v>7738</v>
      </c>
      <c r="AM2466" s="1" t="s">
        <v>4822</v>
      </c>
    </row>
    <row r="2467" spans="20:39" x14ac:dyDescent="0.2">
      <c r="T2467" s="28" t="s">
        <v>1690</v>
      </c>
      <c r="U2467" s="68" t="s">
        <v>64</v>
      </c>
      <c r="V2467" s="72" t="str">
        <f t="shared" si="38"/>
        <v>TN_HARDEMAN</v>
      </c>
      <c r="AJ2467" s="1" t="s">
        <v>64</v>
      </c>
      <c r="AK2467" s="1" t="s">
        <v>677</v>
      </c>
      <c r="AL2467" s="1" t="s">
        <v>7739</v>
      </c>
      <c r="AM2467" s="1" t="s">
        <v>4823</v>
      </c>
    </row>
    <row r="2468" spans="20:39" x14ac:dyDescent="0.2">
      <c r="T2468" s="29" t="s">
        <v>685</v>
      </c>
      <c r="U2468" s="69" t="s">
        <v>64</v>
      </c>
      <c r="V2468" s="72" t="str">
        <f t="shared" si="38"/>
        <v>TN_HARDIN</v>
      </c>
      <c r="AJ2468" s="1" t="s">
        <v>64</v>
      </c>
      <c r="AK2468" s="1" t="s">
        <v>1411</v>
      </c>
      <c r="AL2468" s="1" t="s">
        <v>7740</v>
      </c>
      <c r="AM2468" s="1" t="s">
        <v>4862</v>
      </c>
    </row>
    <row r="2469" spans="20:39" x14ac:dyDescent="0.2">
      <c r="T2469" s="28" t="s">
        <v>1691</v>
      </c>
      <c r="U2469" s="68" t="s">
        <v>64</v>
      </c>
      <c r="V2469" s="72" t="str">
        <f t="shared" si="38"/>
        <v>TN_HAWKINS</v>
      </c>
      <c r="AJ2469" s="1" t="s">
        <v>64</v>
      </c>
      <c r="AK2469" s="1" t="s">
        <v>552</v>
      </c>
      <c r="AL2469" s="1" t="s">
        <v>7741</v>
      </c>
      <c r="AM2469" s="1" t="s">
        <v>4824</v>
      </c>
    </row>
    <row r="2470" spans="20:39" x14ac:dyDescent="0.2">
      <c r="T2470" s="29" t="s">
        <v>1422</v>
      </c>
      <c r="U2470" s="69" t="s">
        <v>64</v>
      </c>
      <c r="V2470" s="72" t="str">
        <f t="shared" si="38"/>
        <v>TN_HAYWOOD</v>
      </c>
      <c r="AJ2470" s="1" t="s">
        <v>64</v>
      </c>
      <c r="AK2470" s="1" t="s">
        <v>218</v>
      </c>
      <c r="AL2470" s="1" t="s">
        <v>7742</v>
      </c>
      <c r="AM2470" s="1" t="s">
        <v>4825</v>
      </c>
    </row>
    <row r="2471" spans="20:39" x14ac:dyDescent="0.2">
      <c r="T2471" s="28" t="s">
        <v>686</v>
      </c>
      <c r="U2471" s="68" t="s">
        <v>64</v>
      </c>
      <c r="V2471" s="72" t="str">
        <f t="shared" si="38"/>
        <v>TN_HENDERSON</v>
      </c>
      <c r="AJ2471" s="1" t="s">
        <v>64</v>
      </c>
      <c r="AK2471" s="1" t="s">
        <v>1684</v>
      </c>
      <c r="AL2471" s="1" t="s">
        <v>7743</v>
      </c>
      <c r="AM2471" s="1" t="s">
        <v>4862</v>
      </c>
    </row>
    <row r="2472" spans="20:39" x14ac:dyDescent="0.2">
      <c r="T2472" s="29" t="s">
        <v>227</v>
      </c>
      <c r="U2472" s="69" t="s">
        <v>64</v>
      </c>
      <c r="V2472" s="72" t="str">
        <f t="shared" si="38"/>
        <v>TN_HENRY</v>
      </c>
      <c r="AJ2472" s="1" t="s">
        <v>64</v>
      </c>
      <c r="AK2472" s="1" t="s">
        <v>1685</v>
      </c>
      <c r="AL2472" s="1" t="s">
        <v>7744</v>
      </c>
      <c r="AM2472" s="1" t="s">
        <v>4826</v>
      </c>
    </row>
    <row r="2473" spans="20:39" x14ac:dyDescent="0.2">
      <c r="T2473" s="28" t="s">
        <v>901</v>
      </c>
      <c r="U2473" s="68" t="s">
        <v>64</v>
      </c>
      <c r="V2473" s="72" t="str">
        <f t="shared" si="38"/>
        <v>TN_HICKMAN</v>
      </c>
      <c r="AJ2473" s="1" t="s">
        <v>64</v>
      </c>
      <c r="AK2473" s="1" t="s">
        <v>222</v>
      </c>
      <c r="AL2473" s="1" t="s">
        <v>7745</v>
      </c>
      <c r="AM2473" s="1" t="s">
        <v>3074</v>
      </c>
    </row>
    <row r="2474" spans="20:39" x14ac:dyDescent="0.2">
      <c r="T2474" s="29" t="s">
        <v>228</v>
      </c>
      <c r="U2474" s="69" t="s">
        <v>64</v>
      </c>
      <c r="V2474" s="72" t="str">
        <f t="shared" si="38"/>
        <v>TN_HOUSTON</v>
      </c>
      <c r="AJ2474" s="1" t="s">
        <v>64</v>
      </c>
      <c r="AK2474" s="1" t="s">
        <v>1686</v>
      </c>
      <c r="AL2474" s="1" t="s">
        <v>7746</v>
      </c>
      <c r="AM2474" s="1" t="s">
        <v>4827</v>
      </c>
    </row>
    <row r="2475" spans="20:39" x14ac:dyDescent="0.2">
      <c r="T2475" s="28" t="s">
        <v>1166</v>
      </c>
      <c r="U2475" s="68" t="s">
        <v>64</v>
      </c>
      <c r="V2475" s="72" t="str">
        <f t="shared" si="38"/>
        <v>TN_HUMPHREYS</v>
      </c>
      <c r="AJ2475" s="1" t="s">
        <v>64</v>
      </c>
      <c r="AK2475" s="1" t="s">
        <v>223</v>
      </c>
      <c r="AL2475" s="1" t="s">
        <v>7747</v>
      </c>
      <c r="AM2475" s="1" t="s">
        <v>4828</v>
      </c>
    </row>
    <row r="2476" spans="20:39" x14ac:dyDescent="0.2">
      <c r="T2476" s="29" t="s">
        <v>229</v>
      </c>
      <c r="U2476" s="69" t="s">
        <v>64</v>
      </c>
      <c r="V2476" s="72" t="str">
        <f t="shared" si="38"/>
        <v>TN_JACKSON</v>
      </c>
      <c r="AJ2476" s="1" t="s">
        <v>64</v>
      </c>
      <c r="AK2476" s="1" t="s">
        <v>731</v>
      </c>
      <c r="AL2476" s="1" t="s">
        <v>7748</v>
      </c>
      <c r="AM2476" s="1" t="s">
        <v>4829</v>
      </c>
    </row>
    <row r="2477" spans="20:39" x14ac:dyDescent="0.2">
      <c r="T2477" s="28" t="s">
        <v>230</v>
      </c>
      <c r="U2477" s="68" t="s">
        <v>64</v>
      </c>
      <c r="V2477" s="72" t="str">
        <f t="shared" si="38"/>
        <v>TN_JEFFERSON</v>
      </c>
      <c r="AJ2477" s="1" t="s">
        <v>64</v>
      </c>
      <c r="AK2477" s="1" t="s">
        <v>1687</v>
      </c>
      <c r="AL2477" s="1" t="s">
        <v>7749</v>
      </c>
      <c r="AM2477" s="1" t="s">
        <v>4830</v>
      </c>
    </row>
    <row r="2478" spans="20:39" x14ac:dyDescent="0.2">
      <c r="T2478" s="29" t="s">
        <v>320</v>
      </c>
      <c r="U2478" s="69" t="s">
        <v>64</v>
      </c>
      <c r="V2478" s="72" t="str">
        <f t="shared" si="38"/>
        <v>TN_JOHNSON</v>
      </c>
      <c r="AJ2478" s="1" t="s">
        <v>64</v>
      </c>
      <c r="AK2478" s="1" t="s">
        <v>1688</v>
      </c>
      <c r="AL2478" s="1" t="s">
        <v>7750</v>
      </c>
      <c r="AM2478" s="1" t="s">
        <v>4831</v>
      </c>
    </row>
    <row r="2479" spans="20:39" x14ac:dyDescent="0.2">
      <c r="T2479" s="28" t="s">
        <v>693</v>
      </c>
      <c r="U2479" s="68" t="s">
        <v>64</v>
      </c>
      <c r="V2479" s="72" t="str">
        <f t="shared" si="38"/>
        <v>TN_KNOX</v>
      </c>
      <c r="AJ2479" s="1" t="s">
        <v>64</v>
      </c>
      <c r="AK2479" s="1" t="s">
        <v>225</v>
      </c>
      <c r="AL2479" s="1" t="s">
        <v>7751</v>
      </c>
      <c r="AM2479" s="1" t="s">
        <v>4832</v>
      </c>
    </row>
    <row r="2480" spans="20:39" x14ac:dyDescent="0.2">
      <c r="T2480" s="29" t="s">
        <v>366</v>
      </c>
      <c r="U2480" s="69" t="s">
        <v>64</v>
      </c>
      <c r="V2480" s="72" t="str">
        <f t="shared" si="38"/>
        <v>TN_LAKE</v>
      </c>
      <c r="AJ2480" s="1" t="s">
        <v>64</v>
      </c>
      <c r="AK2480" s="1" t="s">
        <v>684</v>
      </c>
      <c r="AL2480" s="1" t="s">
        <v>7752</v>
      </c>
      <c r="AM2480" s="1" t="s">
        <v>4833</v>
      </c>
    </row>
    <row r="2481" spans="20:39" x14ac:dyDescent="0.2">
      <c r="T2481" s="28" t="s">
        <v>232</v>
      </c>
      <c r="U2481" s="68" t="s">
        <v>64</v>
      </c>
      <c r="V2481" s="72" t="str">
        <f t="shared" si="38"/>
        <v>TN_LAUDERDALE</v>
      </c>
      <c r="AJ2481" s="1" t="s">
        <v>64</v>
      </c>
      <c r="AK2481" s="1" t="s">
        <v>1689</v>
      </c>
      <c r="AL2481" s="1" t="s">
        <v>7753</v>
      </c>
      <c r="AM2481" s="1" t="s">
        <v>4861</v>
      </c>
    </row>
    <row r="2482" spans="20:39" x14ac:dyDescent="0.2">
      <c r="T2482" s="29" t="s">
        <v>233</v>
      </c>
      <c r="U2482" s="69" t="s">
        <v>64</v>
      </c>
      <c r="V2482" s="72" t="str">
        <f t="shared" si="38"/>
        <v>TN_LAWRENCE</v>
      </c>
      <c r="AJ2482" s="1" t="s">
        <v>64</v>
      </c>
      <c r="AK2482" s="1" t="s">
        <v>491</v>
      </c>
      <c r="AL2482" s="1" t="s">
        <v>7754</v>
      </c>
      <c r="AM2482" s="1" t="s">
        <v>3278</v>
      </c>
    </row>
    <row r="2483" spans="20:39" x14ac:dyDescent="0.2">
      <c r="T2483" s="28" t="s">
        <v>657</v>
      </c>
      <c r="U2483" s="68" t="s">
        <v>64</v>
      </c>
      <c r="V2483" s="72" t="str">
        <f t="shared" si="38"/>
        <v>TN_LEWIS</v>
      </c>
      <c r="AJ2483" s="1" t="s">
        <v>64</v>
      </c>
      <c r="AK2483" s="1" t="s">
        <v>573</v>
      </c>
      <c r="AL2483" s="1" t="s">
        <v>7755</v>
      </c>
      <c r="AM2483" s="1" t="s">
        <v>4834</v>
      </c>
    </row>
    <row r="2484" spans="20:39" x14ac:dyDescent="0.2">
      <c r="T2484" s="29" t="s">
        <v>322</v>
      </c>
      <c r="U2484" s="69" t="s">
        <v>64</v>
      </c>
      <c r="V2484" s="72" t="str">
        <f t="shared" si="38"/>
        <v>TN_LINCOLN</v>
      </c>
      <c r="AJ2484" s="1" t="s">
        <v>64</v>
      </c>
      <c r="AK2484" s="1" t="s">
        <v>1690</v>
      </c>
      <c r="AL2484" s="1" t="s">
        <v>7756</v>
      </c>
      <c r="AM2484" s="1" t="s">
        <v>4835</v>
      </c>
    </row>
    <row r="2485" spans="20:39" x14ac:dyDescent="0.2">
      <c r="T2485" s="28" t="s">
        <v>1692</v>
      </c>
      <c r="U2485" s="68" t="s">
        <v>64</v>
      </c>
      <c r="V2485" s="72" t="str">
        <f t="shared" si="38"/>
        <v>TN_LOUDON</v>
      </c>
      <c r="AJ2485" s="1" t="s">
        <v>64</v>
      </c>
      <c r="AK2485" s="1" t="s">
        <v>685</v>
      </c>
      <c r="AL2485" s="1" t="s">
        <v>7757</v>
      </c>
      <c r="AM2485" s="1" t="s">
        <v>4836</v>
      </c>
    </row>
    <row r="2486" spans="20:39" x14ac:dyDescent="0.2">
      <c r="T2486" s="29" t="s">
        <v>1693</v>
      </c>
      <c r="U2486" s="69" t="s">
        <v>64</v>
      </c>
      <c r="V2486" s="72" t="str">
        <f t="shared" si="38"/>
        <v>TN_MCMINN</v>
      </c>
      <c r="AJ2486" s="1" t="s">
        <v>64</v>
      </c>
      <c r="AK2486" s="1" t="s">
        <v>1691</v>
      </c>
      <c r="AL2486" s="1" t="s">
        <v>7758</v>
      </c>
      <c r="AM2486" s="1" t="s">
        <v>9258</v>
      </c>
    </row>
    <row r="2487" spans="20:39" x14ac:dyDescent="0.2">
      <c r="T2487" s="28" t="s">
        <v>1694</v>
      </c>
      <c r="U2487" s="68" t="s">
        <v>64</v>
      </c>
      <c r="V2487" s="72" t="str">
        <f t="shared" si="38"/>
        <v>TN_MCNAIRY</v>
      </c>
      <c r="AJ2487" s="1" t="s">
        <v>64</v>
      </c>
      <c r="AK2487" s="1" t="s">
        <v>1422</v>
      </c>
      <c r="AL2487" s="1" t="s">
        <v>7759</v>
      </c>
      <c r="AM2487" s="1" t="s">
        <v>4837</v>
      </c>
    </row>
    <row r="2488" spans="20:39" x14ac:dyDescent="0.2">
      <c r="T2488" s="29" t="s">
        <v>237</v>
      </c>
      <c r="U2488" s="69" t="s">
        <v>64</v>
      </c>
      <c r="V2488" s="72" t="str">
        <f t="shared" si="38"/>
        <v>TN_MACON</v>
      </c>
      <c r="AJ2488" s="1" t="s">
        <v>64</v>
      </c>
      <c r="AK2488" s="1" t="s">
        <v>686</v>
      </c>
      <c r="AL2488" s="1" t="s">
        <v>7760</v>
      </c>
      <c r="AM2488" s="1" t="s">
        <v>4838</v>
      </c>
    </row>
    <row r="2489" spans="20:39" x14ac:dyDescent="0.2">
      <c r="T2489" s="28" t="s">
        <v>238</v>
      </c>
      <c r="U2489" s="68" t="s">
        <v>64</v>
      </c>
      <c r="V2489" s="72" t="str">
        <f t="shared" si="38"/>
        <v>TN_MADISON</v>
      </c>
      <c r="AJ2489" s="1" t="s">
        <v>64</v>
      </c>
      <c r="AK2489" s="1" t="s">
        <v>227</v>
      </c>
      <c r="AL2489" s="1" t="s">
        <v>7761</v>
      </c>
      <c r="AM2489" s="1" t="s">
        <v>4839</v>
      </c>
    </row>
    <row r="2490" spans="20:39" x14ac:dyDescent="0.2">
      <c r="T2490" s="29" t="s">
        <v>240</v>
      </c>
      <c r="U2490" s="69" t="s">
        <v>64</v>
      </c>
      <c r="V2490" s="72" t="str">
        <f t="shared" si="38"/>
        <v>TN_MARION</v>
      </c>
      <c r="AJ2490" s="1" t="s">
        <v>64</v>
      </c>
      <c r="AK2490" s="1" t="s">
        <v>901</v>
      </c>
      <c r="AL2490" s="1" t="s">
        <v>7762</v>
      </c>
      <c r="AM2490" s="1" t="s">
        <v>9259</v>
      </c>
    </row>
    <row r="2491" spans="20:39" x14ac:dyDescent="0.2">
      <c r="T2491" s="28" t="s">
        <v>241</v>
      </c>
      <c r="U2491" s="68" t="s">
        <v>64</v>
      </c>
      <c r="V2491" s="72" t="str">
        <f t="shared" si="38"/>
        <v>TN_MARSHALL</v>
      </c>
      <c r="AJ2491" s="1" t="s">
        <v>64</v>
      </c>
      <c r="AK2491" s="1" t="s">
        <v>228</v>
      </c>
      <c r="AL2491" s="1" t="s">
        <v>7763</v>
      </c>
      <c r="AM2491" s="1" t="s">
        <v>4840</v>
      </c>
    </row>
    <row r="2492" spans="20:39" x14ac:dyDescent="0.2">
      <c r="T2492" s="29" t="s">
        <v>1695</v>
      </c>
      <c r="U2492" s="69" t="s">
        <v>64</v>
      </c>
      <c r="V2492" s="72" t="str">
        <f t="shared" si="38"/>
        <v>TN_MAURY</v>
      </c>
      <c r="AJ2492" s="1" t="s">
        <v>64</v>
      </c>
      <c r="AK2492" s="1" t="s">
        <v>1166</v>
      </c>
      <c r="AL2492" s="1" t="s">
        <v>7764</v>
      </c>
      <c r="AM2492" s="1" t="s">
        <v>4841</v>
      </c>
    </row>
    <row r="2493" spans="20:39" x14ac:dyDescent="0.2">
      <c r="T2493" s="28" t="s">
        <v>1507</v>
      </c>
      <c r="U2493" s="68" t="s">
        <v>64</v>
      </c>
      <c r="V2493" s="72" t="str">
        <f t="shared" si="38"/>
        <v>TN_MEIGS</v>
      </c>
      <c r="AJ2493" s="1" t="s">
        <v>64</v>
      </c>
      <c r="AK2493" s="1" t="s">
        <v>229</v>
      </c>
      <c r="AL2493" s="1" t="s">
        <v>7765</v>
      </c>
      <c r="AM2493" s="1" t="s">
        <v>4842</v>
      </c>
    </row>
    <row r="2494" spans="20:39" x14ac:dyDescent="0.2">
      <c r="T2494" s="29" t="s">
        <v>243</v>
      </c>
      <c r="U2494" s="69" t="s">
        <v>64</v>
      </c>
      <c r="V2494" s="72" t="str">
        <f t="shared" si="38"/>
        <v>TN_MONROE</v>
      </c>
      <c r="AJ2494" s="1" t="s">
        <v>64</v>
      </c>
      <c r="AK2494" s="1" t="s">
        <v>230</v>
      </c>
      <c r="AL2494" s="1" t="s">
        <v>7766</v>
      </c>
      <c r="AM2494" s="1" t="s">
        <v>4861</v>
      </c>
    </row>
    <row r="2495" spans="20:39" x14ac:dyDescent="0.2">
      <c r="T2495" s="28" t="s">
        <v>244</v>
      </c>
      <c r="U2495" s="68" t="s">
        <v>64</v>
      </c>
      <c r="V2495" s="72" t="str">
        <f t="shared" si="38"/>
        <v>TN_MONTGOMERY</v>
      </c>
      <c r="AJ2495" s="1" t="s">
        <v>64</v>
      </c>
      <c r="AK2495" s="1" t="s">
        <v>320</v>
      </c>
      <c r="AL2495" s="1" t="s">
        <v>7767</v>
      </c>
      <c r="AM2495" s="1" t="s">
        <v>4845</v>
      </c>
    </row>
    <row r="2496" spans="20:39" x14ac:dyDescent="0.2">
      <c r="T2496" s="29" t="s">
        <v>1431</v>
      </c>
      <c r="U2496" s="69" t="s">
        <v>64</v>
      </c>
      <c r="V2496" s="72" t="str">
        <f t="shared" si="38"/>
        <v>TN_MOORE</v>
      </c>
      <c r="AJ2496" s="1" t="s">
        <v>64</v>
      </c>
      <c r="AK2496" s="1" t="s">
        <v>693</v>
      </c>
      <c r="AL2496" s="1" t="s">
        <v>7768</v>
      </c>
      <c r="AM2496" s="1" t="s">
        <v>4846</v>
      </c>
    </row>
    <row r="2497" spans="20:39" x14ac:dyDescent="0.2">
      <c r="T2497" s="28" t="s">
        <v>245</v>
      </c>
      <c r="U2497" s="68" t="s">
        <v>64</v>
      </c>
      <c r="V2497" s="72" t="str">
        <f t="shared" si="38"/>
        <v>TN_MORGAN</v>
      </c>
      <c r="AJ2497" s="1" t="s">
        <v>64</v>
      </c>
      <c r="AK2497" s="1" t="s">
        <v>366</v>
      </c>
      <c r="AL2497" s="1" t="s">
        <v>7769</v>
      </c>
      <c r="AM2497" s="1" t="s">
        <v>4847</v>
      </c>
    </row>
    <row r="2498" spans="20:39" x14ac:dyDescent="0.2">
      <c r="T2498" s="29" t="s">
        <v>1696</v>
      </c>
      <c r="U2498" s="69" t="s">
        <v>64</v>
      </c>
      <c r="V2498" s="72" t="str">
        <f t="shared" si="38"/>
        <v>TN_OBION</v>
      </c>
      <c r="AJ2498" s="1" t="s">
        <v>64</v>
      </c>
      <c r="AK2498" s="1" t="s">
        <v>232</v>
      </c>
      <c r="AL2498" s="1" t="s">
        <v>7770</v>
      </c>
      <c r="AM2498" s="1" t="s">
        <v>4848</v>
      </c>
    </row>
    <row r="2499" spans="20:39" x14ac:dyDescent="0.2">
      <c r="T2499" s="28" t="s">
        <v>1697</v>
      </c>
      <c r="U2499" s="68" t="s">
        <v>64</v>
      </c>
      <c r="V2499" s="72" t="str">
        <f t="shared" si="38"/>
        <v>TN_OVERTON</v>
      </c>
      <c r="AJ2499" s="1" t="s">
        <v>64</v>
      </c>
      <c r="AK2499" s="1" t="s">
        <v>233</v>
      </c>
      <c r="AL2499" s="1" t="s">
        <v>7771</v>
      </c>
      <c r="AM2499" s="1" t="s">
        <v>4849</v>
      </c>
    </row>
    <row r="2500" spans="20:39" x14ac:dyDescent="0.2">
      <c r="T2500" s="29" t="s">
        <v>246</v>
      </c>
      <c r="U2500" s="69" t="s">
        <v>64</v>
      </c>
      <c r="V2500" s="72" t="str">
        <f t="shared" si="38"/>
        <v>TN_PERRY</v>
      </c>
      <c r="AJ2500" s="1" t="s">
        <v>64</v>
      </c>
      <c r="AK2500" s="1" t="s">
        <v>657</v>
      </c>
      <c r="AL2500" s="1" t="s">
        <v>7772</v>
      </c>
      <c r="AM2500" s="1" t="s">
        <v>4850</v>
      </c>
    </row>
    <row r="2501" spans="20:39" x14ac:dyDescent="0.2">
      <c r="T2501" s="28" t="s">
        <v>1698</v>
      </c>
      <c r="U2501" s="68" t="s">
        <v>64</v>
      </c>
      <c r="V2501" s="72" t="str">
        <f t="shared" si="38"/>
        <v>TN_PICKETT</v>
      </c>
      <c r="AJ2501" s="1" t="s">
        <v>64</v>
      </c>
      <c r="AK2501" s="1" t="s">
        <v>322</v>
      </c>
      <c r="AL2501" s="1" t="s">
        <v>7773</v>
      </c>
      <c r="AM2501" s="1" t="s">
        <v>4851</v>
      </c>
    </row>
    <row r="2502" spans="20:39" x14ac:dyDescent="0.2">
      <c r="T2502" s="29" t="s">
        <v>333</v>
      </c>
      <c r="U2502" s="69" t="s">
        <v>64</v>
      </c>
      <c r="V2502" s="72" t="str">
        <f t="shared" si="38"/>
        <v>TN_POLK</v>
      </c>
      <c r="AJ2502" s="1" t="s">
        <v>64</v>
      </c>
      <c r="AK2502" s="1" t="s">
        <v>1692</v>
      </c>
      <c r="AL2502" s="1" t="s">
        <v>7774</v>
      </c>
      <c r="AM2502" s="1" t="s">
        <v>4846</v>
      </c>
    </row>
    <row r="2503" spans="20:39" x14ac:dyDescent="0.2">
      <c r="T2503" s="28" t="s">
        <v>511</v>
      </c>
      <c r="U2503" s="68" t="s">
        <v>64</v>
      </c>
      <c r="V2503" s="72" t="str">
        <f t="shared" si="38"/>
        <v>TN_PUTNAM</v>
      </c>
      <c r="AJ2503" s="1" t="s">
        <v>64</v>
      </c>
      <c r="AK2503" s="1" t="s">
        <v>237</v>
      </c>
      <c r="AL2503" s="1" t="s">
        <v>7775</v>
      </c>
      <c r="AM2503" s="1" t="s">
        <v>4852</v>
      </c>
    </row>
    <row r="2504" spans="20:39" x14ac:dyDescent="0.2">
      <c r="T2504" s="29" t="s">
        <v>1699</v>
      </c>
      <c r="U2504" s="69" t="s">
        <v>64</v>
      </c>
      <c r="V2504" s="72" t="str">
        <f t="shared" si="38"/>
        <v>TN_RHEA</v>
      </c>
      <c r="AJ2504" s="1" t="s">
        <v>64</v>
      </c>
      <c r="AK2504" s="1" t="s">
        <v>238</v>
      </c>
      <c r="AL2504" s="1" t="s">
        <v>7776</v>
      </c>
      <c r="AM2504" s="1" t="s">
        <v>4843</v>
      </c>
    </row>
    <row r="2505" spans="20:39" x14ac:dyDescent="0.2">
      <c r="T2505" s="28" t="s">
        <v>1700</v>
      </c>
      <c r="U2505" s="68" t="s">
        <v>64</v>
      </c>
      <c r="V2505" s="72" t="str">
        <f t="shared" si="38"/>
        <v>TN_ROANE</v>
      </c>
      <c r="AJ2505" s="1" t="s">
        <v>64</v>
      </c>
      <c r="AK2505" s="1" t="s">
        <v>240</v>
      </c>
      <c r="AL2505" s="1" t="s">
        <v>7777</v>
      </c>
      <c r="AM2505" s="1" t="s">
        <v>3278</v>
      </c>
    </row>
    <row r="2506" spans="20:39" x14ac:dyDescent="0.2">
      <c r="T2506" s="29" t="s">
        <v>922</v>
      </c>
      <c r="U2506" s="69" t="s">
        <v>64</v>
      </c>
      <c r="V2506" s="72" t="str">
        <f t="shared" ref="V2506:V2569" si="39">UPPER(CONCATENATE(TRIM(U2506),"_",TRIM(T2506)))</f>
        <v>TN_ROBERTSON</v>
      </c>
      <c r="AJ2506" s="1" t="s">
        <v>64</v>
      </c>
      <c r="AK2506" s="1" t="s">
        <v>241</v>
      </c>
      <c r="AL2506" s="1" t="s">
        <v>7778</v>
      </c>
      <c r="AM2506" s="1" t="s">
        <v>4853</v>
      </c>
    </row>
    <row r="2507" spans="20:39" x14ac:dyDescent="0.2">
      <c r="T2507" s="28" t="s">
        <v>1443</v>
      </c>
      <c r="U2507" s="68" t="s">
        <v>64</v>
      </c>
      <c r="V2507" s="72" t="str">
        <f t="shared" si="39"/>
        <v>TN_RUTHERFORD</v>
      </c>
      <c r="AJ2507" s="1" t="s">
        <v>64</v>
      </c>
      <c r="AK2507" s="1" t="s">
        <v>1695</v>
      </c>
      <c r="AL2507" s="1" t="s">
        <v>7779</v>
      </c>
      <c r="AM2507" s="1" t="s">
        <v>4854</v>
      </c>
    </row>
    <row r="2508" spans="20:39" x14ac:dyDescent="0.2">
      <c r="T2508" s="29" t="s">
        <v>339</v>
      </c>
      <c r="U2508" s="69" t="s">
        <v>64</v>
      </c>
      <c r="V2508" s="72" t="str">
        <f t="shared" si="39"/>
        <v>TN_SCOTT</v>
      </c>
      <c r="AJ2508" s="1" t="s">
        <v>64</v>
      </c>
      <c r="AK2508" s="1" t="s">
        <v>1693</v>
      </c>
      <c r="AL2508" s="1" t="s">
        <v>7780</v>
      </c>
      <c r="AM2508" s="1" t="s">
        <v>4855</v>
      </c>
    </row>
    <row r="2509" spans="20:39" x14ac:dyDescent="0.2">
      <c r="T2509" s="28" t="s">
        <v>1701</v>
      </c>
      <c r="U2509" s="68" t="s">
        <v>64</v>
      </c>
      <c r="V2509" s="72" t="str">
        <f t="shared" si="39"/>
        <v>TN_SEQUATCHIE</v>
      </c>
      <c r="AJ2509" s="1" t="s">
        <v>64</v>
      </c>
      <c r="AK2509" s="1" t="s">
        <v>1694</v>
      </c>
      <c r="AL2509" s="1" t="s">
        <v>7781</v>
      </c>
      <c r="AM2509" s="1" t="s">
        <v>4856</v>
      </c>
    </row>
    <row r="2510" spans="20:39" x14ac:dyDescent="0.2">
      <c r="T2510" s="29" t="s">
        <v>342</v>
      </c>
      <c r="U2510" s="69" t="s">
        <v>64</v>
      </c>
      <c r="V2510" s="72" t="str">
        <f t="shared" si="39"/>
        <v>TN_SEVIER</v>
      </c>
      <c r="AJ2510" s="1" t="s">
        <v>64</v>
      </c>
      <c r="AK2510" s="1" t="s">
        <v>1507</v>
      </c>
      <c r="AL2510" s="1" t="s">
        <v>7782</v>
      </c>
      <c r="AM2510" s="1" t="s">
        <v>4857</v>
      </c>
    </row>
    <row r="2511" spans="20:39" x14ac:dyDescent="0.2">
      <c r="T2511" s="28" t="s">
        <v>252</v>
      </c>
      <c r="U2511" s="68" t="s">
        <v>64</v>
      </c>
      <c r="V2511" s="72" t="str">
        <f t="shared" si="39"/>
        <v>TN_SHELBY</v>
      </c>
      <c r="AJ2511" s="1" t="s">
        <v>64</v>
      </c>
      <c r="AK2511" s="1" t="s">
        <v>243</v>
      </c>
      <c r="AL2511" s="1" t="s">
        <v>7783</v>
      </c>
      <c r="AM2511" s="1" t="s">
        <v>4858</v>
      </c>
    </row>
    <row r="2512" spans="20:39" x14ac:dyDescent="0.2">
      <c r="T2512" s="29" t="s">
        <v>863</v>
      </c>
      <c r="U2512" s="69" t="s">
        <v>64</v>
      </c>
      <c r="V2512" s="72" t="str">
        <f t="shared" si="39"/>
        <v>TN_SMITH</v>
      </c>
      <c r="AJ2512" s="1" t="s">
        <v>64</v>
      </c>
      <c r="AK2512" s="1" t="s">
        <v>244</v>
      </c>
      <c r="AL2512" s="1" t="s">
        <v>7784</v>
      </c>
      <c r="AM2512" s="1" t="s">
        <v>3749</v>
      </c>
    </row>
    <row r="2513" spans="20:39" x14ac:dyDescent="0.2">
      <c r="T2513" s="28" t="s">
        <v>606</v>
      </c>
      <c r="U2513" s="68" t="s">
        <v>64</v>
      </c>
      <c r="V2513" s="72" t="str">
        <f t="shared" si="39"/>
        <v>TN_STEWART</v>
      </c>
      <c r="AJ2513" s="1" t="s">
        <v>64</v>
      </c>
      <c r="AK2513" s="1" t="s">
        <v>1431</v>
      </c>
      <c r="AL2513" s="1" t="s">
        <v>7785</v>
      </c>
      <c r="AM2513" s="1" t="s">
        <v>4859</v>
      </c>
    </row>
    <row r="2514" spans="20:39" x14ac:dyDescent="0.2">
      <c r="T2514" s="29" t="s">
        <v>753</v>
      </c>
      <c r="U2514" s="69" t="s">
        <v>64</v>
      </c>
      <c r="V2514" s="72" t="str">
        <f t="shared" si="39"/>
        <v>TN_SULLIVAN</v>
      </c>
      <c r="AJ2514" s="1" t="s">
        <v>64</v>
      </c>
      <c r="AK2514" s="1" t="s">
        <v>245</v>
      </c>
      <c r="AL2514" s="1" t="s">
        <v>7786</v>
      </c>
      <c r="AM2514" s="1" t="s">
        <v>4860</v>
      </c>
    </row>
    <row r="2515" spans="20:39" x14ac:dyDescent="0.2">
      <c r="T2515" s="28" t="s">
        <v>867</v>
      </c>
      <c r="U2515" s="68" t="s">
        <v>64</v>
      </c>
      <c r="V2515" s="72" t="str">
        <f t="shared" si="39"/>
        <v>TN_SUMNER</v>
      </c>
      <c r="AJ2515" s="1" t="s">
        <v>64</v>
      </c>
      <c r="AK2515" s="1" t="s">
        <v>1696</v>
      </c>
      <c r="AL2515" s="1" t="s">
        <v>7787</v>
      </c>
      <c r="AM2515" s="1" t="s">
        <v>4863</v>
      </c>
    </row>
    <row r="2516" spans="20:39" x14ac:dyDescent="0.2">
      <c r="T2516" s="29" t="s">
        <v>756</v>
      </c>
      <c r="U2516" s="69" t="s">
        <v>64</v>
      </c>
      <c r="V2516" s="72" t="str">
        <f t="shared" si="39"/>
        <v>TN_TIPTON</v>
      </c>
      <c r="AJ2516" s="1" t="s">
        <v>64</v>
      </c>
      <c r="AK2516" s="1" t="s">
        <v>1697</v>
      </c>
      <c r="AL2516" s="1" t="s">
        <v>7788</v>
      </c>
      <c r="AM2516" s="1" t="s">
        <v>4864</v>
      </c>
    </row>
    <row r="2517" spans="20:39" x14ac:dyDescent="0.2">
      <c r="T2517" s="28" t="s">
        <v>1702</v>
      </c>
      <c r="U2517" s="68" t="s">
        <v>64</v>
      </c>
      <c r="V2517" s="72" t="str">
        <f t="shared" si="39"/>
        <v>TN_TROUSDALE</v>
      </c>
      <c r="AJ2517" s="1" t="s">
        <v>64</v>
      </c>
      <c r="AK2517" s="1" t="s">
        <v>246</v>
      </c>
      <c r="AL2517" s="1" t="s">
        <v>7789</v>
      </c>
      <c r="AM2517" s="1" t="s">
        <v>4865</v>
      </c>
    </row>
    <row r="2518" spans="20:39" x14ac:dyDescent="0.2">
      <c r="T2518" s="29" t="s">
        <v>1703</v>
      </c>
      <c r="U2518" s="69" t="s">
        <v>64</v>
      </c>
      <c r="V2518" s="72" t="str">
        <f t="shared" si="39"/>
        <v>TN_UNICOI</v>
      </c>
      <c r="AJ2518" s="1" t="s">
        <v>64</v>
      </c>
      <c r="AK2518" s="1" t="s">
        <v>1698</v>
      </c>
      <c r="AL2518" s="1" t="s">
        <v>7790</v>
      </c>
      <c r="AM2518" s="1" t="s">
        <v>4866</v>
      </c>
    </row>
    <row r="2519" spans="20:39" x14ac:dyDescent="0.2">
      <c r="T2519" s="28" t="s">
        <v>345</v>
      </c>
      <c r="U2519" s="68" t="s">
        <v>64</v>
      </c>
      <c r="V2519" s="72" t="str">
        <f t="shared" si="39"/>
        <v>TN_UNION</v>
      </c>
      <c r="AJ2519" s="1" t="s">
        <v>64</v>
      </c>
      <c r="AK2519" s="1" t="s">
        <v>333</v>
      </c>
      <c r="AL2519" s="1" t="s">
        <v>7791</v>
      </c>
      <c r="AM2519" s="1" t="s">
        <v>4819</v>
      </c>
    </row>
    <row r="2520" spans="20:39" x14ac:dyDescent="0.2">
      <c r="T2520" s="29" t="s">
        <v>346</v>
      </c>
      <c r="U2520" s="69" t="s">
        <v>64</v>
      </c>
      <c r="V2520" s="72" t="str">
        <f t="shared" si="39"/>
        <v>TN_VAN BUREN</v>
      </c>
      <c r="AJ2520" s="1" t="s">
        <v>64</v>
      </c>
      <c r="AK2520" s="1" t="s">
        <v>511</v>
      </c>
      <c r="AL2520" s="1" t="s">
        <v>7792</v>
      </c>
      <c r="AM2520" s="1" t="s">
        <v>4867</v>
      </c>
    </row>
    <row r="2521" spans="20:39" x14ac:dyDescent="0.2">
      <c r="T2521" s="28" t="s">
        <v>622</v>
      </c>
      <c r="U2521" s="68" t="s">
        <v>64</v>
      </c>
      <c r="V2521" s="72" t="str">
        <f t="shared" si="39"/>
        <v>TN_WARREN</v>
      </c>
      <c r="AJ2521" s="1" t="s">
        <v>64</v>
      </c>
      <c r="AK2521" s="1" t="s">
        <v>1699</v>
      </c>
      <c r="AL2521" s="1" t="s">
        <v>7793</v>
      </c>
      <c r="AM2521" s="1" t="s">
        <v>4868</v>
      </c>
    </row>
    <row r="2522" spans="20:39" x14ac:dyDescent="0.2">
      <c r="T2522" s="29" t="s">
        <v>258</v>
      </c>
      <c r="U2522" s="69" t="s">
        <v>64</v>
      </c>
      <c r="V2522" s="72" t="str">
        <f t="shared" si="39"/>
        <v>TN_WASHINGTON</v>
      </c>
      <c r="AJ2522" s="1" t="s">
        <v>64</v>
      </c>
      <c r="AK2522" s="1" t="s">
        <v>1700</v>
      </c>
      <c r="AL2522" s="1" t="s">
        <v>7794</v>
      </c>
      <c r="AM2522" s="1" t="s">
        <v>4869</v>
      </c>
    </row>
    <row r="2523" spans="20:39" x14ac:dyDescent="0.2">
      <c r="T2523" s="28" t="s">
        <v>623</v>
      </c>
      <c r="U2523" s="68" t="s">
        <v>64</v>
      </c>
      <c r="V2523" s="72" t="str">
        <f t="shared" si="39"/>
        <v>TN_WAYNE</v>
      </c>
      <c r="AJ2523" s="1" t="s">
        <v>64</v>
      </c>
      <c r="AK2523" s="1" t="s">
        <v>922</v>
      </c>
      <c r="AL2523" s="1" t="s">
        <v>7795</v>
      </c>
      <c r="AM2523" s="1" t="s">
        <v>4862</v>
      </c>
    </row>
    <row r="2524" spans="20:39" x14ac:dyDescent="0.2">
      <c r="T2524" s="29" t="s">
        <v>1704</v>
      </c>
      <c r="U2524" s="69" t="s">
        <v>64</v>
      </c>
      <c r="V2524" s="72" t="str">
        <f t="shared" si="39"/>
        <v>TN_WEAKLEY</v>
      </c>
      <c r="AJ2524" s="1" t="s">
        <v>64</v>
      </c>
      <c r="AK2524" s="1" t="s">
        <v>1443</v>
      </c>
      <c r="AL2524" s="1" t="s">
        <v>7796</v>
      </c>
      <c r="AM2524" s="1" t="s">
        <v>4862</v>
      </c>
    </row>
    <row r="2525" spans="20:39" x14ac:dyDescent="0.2">
      <c r="T2525" s="28" t="s">
        <v>347</v>
      </c>
      <c r="U2525" s="68" t="s">
        <v>64</v>
      </c>
      <c r="V2525" s="72" t="str">
        <f t="shared" si="39"/>
        <v>TN_WHITE</v>
      </c>
      <c r="AJ2525" s="1" t="s">
        <v>64</v>
      </c>
      <c r="AK2525" s="1" t="s">
        <v>339</v>
      </c>
      <c r="AL2525" s="1" t="s">
        <v>7797</v>
      </c>
      <c r="AM2525" s="1" t="s">
        <v>4870</v>
      </c>
    </row>
    <row r="2526" spans="20:39" x14ac:dyDescent="0.2">
      <c r="T2526" s="29" t="s">
        <v>719</v>
      </c>
      <c r="U2526" s="69" t="s">
        <v>64</v>
      </c>
      <c r="V2526" s="72" t="str">
        <f t="shared" si="39"/>
        <v>TN_WILLIAMSON</v>
      </c>
      <c r="AJ2526" s="1" t="s">
        <v>64</v>
      </c>
      <c r="AK2526" s="1" t="s">
        <v>1701</v>
      </c>
      <c r="AL2526" s="1" t="s">
        <v>7798</v>
      </c>
      <c r="AM2526" s="1" t="s">
        <v>3278</v>
      </c>
    </row>
    <row r="2527" spans="20:39" x14ac:dyDescent="0.2">
      <c r="T2527" s="28" t="s">
        <v>872</v>
      </c>
      <c r="U2527" s="68" t="s">
        <v>64</v>
      </c>
      <c r="V2527" s="72" t="str">
        <f t="shared" si="39"/>
        <v>TN_WILSON</v>
      </c>
      <c r="AJ2527" s="1" t="s">
        <v>64</v>
      </c>
      <c r="AK2527" s="1" t="s">
        <v>342</v>
      </c>
      <c r="AL2527" s="1" t="s">
        <v>7799</v>
      </c>
      <c r="AM2527" s="1" t="s">
        <v>4871</v>
      </c>
    </row>
    <row r="2528" spans="20:39" x14ac:dyDescent="0.2">
      <c r="T2528" s="29" t="s">
        <v>808</v>
      </c>
      <c r="U2528" s="69" t="s">
        <v>63</v>
      </c>
      <c r="V2528" s="72" t="str">
        <f t="shared" si="39"/>
        <v>TX_ANDERSON</v>
      </c>
      <c r="AJ2528" s="1" t="s">
        <v>64</v>
      </c>
      <c r="AK2528" s="1" t="s">
        <v>252</v>
      </c>
      <c r="AL2528" s="1" t="s">
        <v>7800</v>
      </c>
      <c r="AM2528" s="1" t="s">
        <v>3074</v>
      </c>
    </row>
    <row r="2529" spans="20:39" x14ac:dyDescent="0.2">
      <c r="T2529" s="28" t="s">
        <v>1705</v>
      </c>
      <c r="U2529" s="68" t="s">
        <v>63</v>
      </c>
      <c r="V2529" s="72" t="str">
        <f t="shared" si="39"/>
        <v>TX_ANDREWS</v>
      </c>
      <c r="AJ2529" s="1" t="s">
        <v>64</v>
      </c>
      <c r="AK2529" s="1" t="s">
        <v>863</v>
      </c>
      <c r="AL2529" s="1" t="s">
        <v>7801</v>
      </c>
      <c r="AM2529" s="1" t="s">
        <v>4872</v>
      </c>
    </row>
    <row r="2530" spans="20:39" x14ac:dyDescent="0.2">
      <c r="T2530" s="29" t="s">
        <v>1706</v>
      </c>
      <c r="U2530" s="69" t="s">
        <v>63</v>
      </c>
      <c r="V2530" s="72" t="str">
        <f t="shared" si="39"/>
        <v>TX_ANGELINA</v>
      </c>
      <c r="AJ2530" s="1" t="s">
        <v>64</v>
      </c>
      <c r="AK2530" s="1" t="s">
        <v>606</v>
      </c>
      <c r="AL2530" s="1" t="s">
        <v>7802</v>
      </c>
      <c r="AM2530" s="1" t="s">
        <v>4873</v>
      </c>
    </row>
    <row r="2531" spans="20:39" x14ac:dyDescent="0.2">
      <c r="T2531" s="28" t="s">
        <v>1707</v>
      </c>
      <c r="U2531" s="68" t="s">
        <v>63</v>
      </c>
      <c r="V2531" s="72" t="str">
        <f t="shared" si="39"/>
        <v>TX_ARANSAS</v>
      </c>
      <c r="AJ2531" s="1" t="s">
        <v>64</v>
      </c>
      <c r="AK2531" s="1" t="s">
        <v>753</v>
      </c>
      <c r="AL2531" s="1" t="s">
        <v>7803</v>
      </c>
      <c r="AM2531" s="1" t="s">
        <v>9258</v>
      </c>
    </row>
    <row r="2532" spans="20:39" x14ac:dyDescent="0.2">
      <c r="T2532" s="29" t="s">
        <v>1708</v>
      </c>
      <c r="U2532" s="69" t="s">
        <v>63</v>
      </c>
      <c r="V2532" s="72" t="str">
        <f t="shared" si="39"/>
        <v>TX_ARCHER</v>
      </c>
      <c r="AJ2532" s="1" t="s">
        <v>64</v>
      </c>
      <c r="AK2532" s="1" t="s">
        <v>867</v>
      </c>
      <c r="AL2532" s="1" t="s">
        <v>7804</v>
      </c>
      <c r="AM2532" s="1" t="s">
        <v>4862</v>
      </c>
    </row>
    <row r="2533" spans="20:39" x14ac:dyDescent="0.2">
      <c r="T2533" s="28" t="s">
        <v>1581</v>
      </c>
      <c r="U2533" s="68" t="s">
        <v>63</v>
      </c>
      <c r="V2533" s="72" t="str">
        <f t="shared" si="39"/>
        <v>TX_ARMSTRONG</v>
      </c>
      <c r="AJ2533" s="1" t="s">
        <v>64</v>
      </c>
      <c r="AK2533" s="1" t="s">
        <v>756</v>
      </c>
      <c r="AL2533" s="1" t="s">
        <v>7805</v>
      </c>
      <c r="AM2533" s="1" t="s">
        <v>3074</v>
      </c>
    </row>
    <row r="2534" spans="20:39" x14ac:dyDescent="0.2">
      <c r="T2534" s="29" t="s">
        <v>1709</v>
      </c>
      <c r="U2534" s="69" t="s">
        <v>63</v>
      </c>
      <c r="V2534" s="72" t="str">
        <f t="shared" si="39"/>
        <v>TX_ATASCOSA</v>
      </c>
      <c r="AJ2534" s="1" t="s">
        <v>64</v>
      </c>
      <c r="AK2534" s="1" t="s">
        <v>1702</v>
      </c>
      <c r="AL2534" s="1" t="s">
        <v>7806</v>
      </c>
      <c r="AM2534" s="1" t="s">
        <v>4862</v>
      </c>
    </row>
    <row r="2535" spans="20:39" x14ac:dyDescent="0.2">
      <c r="T2535" s="28" t="s">
        <v>1710</v>
      </c>
      <c r="U2535" s="68" t="s">
        <v>63</v>
      </c>
      <c r="V2535" s="72" t="str">
        <f t="shared" si="39"/>
        <v>TX_AUSTIN</v>
      </c>
      <c r="AJ2535" s="1" t="s">
        <v>64</v>
      </c>
      <c r="AK2535" s="1" t="s">
        <v>1703</v>
      </c>
      <c r="AL2535" s="1" t="s">
        <v>7807</v>
      </c>
      <c r="AM2535" s="1" t="s">
        <v>4844</v>
      </c>
    </row>
    <row r="2536" spans="20:39" x14ac:dyDescent="0.2">
      <c r="T2536" s="29" t="s">
        <v>1711</v>
      </c>
      <c r="U2536" s="69" t="s">
        <v>63</v>
      </c>
      <c r="V2536" s="72" t="str">
        <f t="shared" si="39"/>
        <v>TX_BAILEY</v>
      </c>
      <c r="AJ2536" s="1" t="s">
        <v>64</v>
      </c>
      <c r="AK2536" s="1" t="s">
        <v>345</v>
      </c>
      <c r="AL2536" s="1" t="s">
        <v>7808</v>
      </c>
      <c r="AM2536" s="1" t="s">
        <v>4846</v>
      </c>
    </row>
    <row r="2537" spans="20:39" x14ac:dyDescent="0.2">
      <c r="T2537" s="28" t="s">
        <v>1712</v>
      </c>
      <c r="U2537" s="68" t="s">
        <v>63</v>
      </c>
      <c r="V2537" s="72" t="str">
        <f t="shared" si="39"/>
        <v>TX_BANDERA</v>
      </c>
      <c r="AJ2537" s="1" t="s">
        <v>64</v>
      </c>
      <c r="AK2537" s="1" t="s">
        <v>346</v>
      </c>
      <c r="AL2537" s="1" t="s">
        <v>7809</v>
      </c>
      <c r="AM2537" s="1" t="s">
        <v>4874</v>
      </c>
    </row>
    <row r="2538" spans="20:39" x14ac:dyDescent="0.2">
      <c r="T2538" s="29" t="s">
        <v>1713</v>
      </c>
      <c r="U2538" s="69" t="s">
        <v>63</v>
      </c>
      <c r="V2538" s="72" t="str">
        <f t="shared" si="39"/>
        <v>TX_BASTROP</v>
      </c>
      <c r="AJ2538" s="1" t="s">
        <v>64</v>
      </c>
      <c r="AK2538" s="1" t="s">
        <v>622</v>
      </c>
      <c r="AL2538" s="1" t="s">
        <v>7810</v>
      </c>
      <c r="AM2538" s="1" t="s">
        <v>4875</v>
      </c>
    </row>
    <row r="2539" spans="20:39" x14ac:dyDescent="0.2">
      <c r="T2539" s="28" t="s">
        <v>1714</v>
      </c>
      <c r="U2539" s="68" t="s">
        <v>63</v>
      </c>
      <c r="V2539" s="72" t="str">
        <f t="shared" si="39"/>
        <v>TX_BAYLOR</v>
      </c>
      <c r="AJ2539" s="1" t="s">
        <v>64</v>
      </c>
      <c r="AK2539" s="1" t="s">
        <v>258</v>
      </c>
      <c r="AL2539" s="1" t="s">
        <v>7811</v>
      </c>
      <c r="AM2539" s="1" t="s">
        <v>4844</v>
      </c>
    </row>
    <row r="2540" spans="20:39" x14ac:dyDescent="0.2">
      <c r="T2540" s="29" t="s">
        <v>1715</v>
      </c>
      <c r="U2540" s="69" t="s">
        <v>63</v>
      </c>
      <c r="V2540" s="72" t="str">
        <f t="shared" si="39"/>
        <v>TX_BEE</v>
      </c>
      <c r="AJ2540" s="1" t="s">
        <v>64</v>
      </c>
      <c r="AK2540" s="1" t="s">
        <v>623</v>
      </c>
      <c r="AL2540" s="1" t="s">
        <v>7812</v>
      </c>
      <c r="AM2540" s="1" t="s">
        <v>4876</v>
      </c>
    </row>
    <row r="2541" spans="20:39" x14ac:dyDescent="0.2">
      <c r="T2541" s="28" t="s">
        <v>878</v>
      </c>
      <c r="U2541" s="68" t="s">
        <v>63</v>
      </c>
      <c r="V2541" s="72" t="str">
        <f t="shared" si="39"/>
        <v>TX_BELL</v>
      </c>
      <c r="AJ2541" s="1" t="s">
        <v>64</v>
      </c>
      <c r="AK2541" s="1" t="s">
        <v>1704</v>
      </c>
      <c r="AL2541" s="1" t="s">
        <v>7813</v>
      </c>
      <c r="AM2541" s="1" t="s">
        <v>4877</v>
      </c>
    </row>
    <row r="2542" spans="20:39" x14ac:dyDescent="0.2">
      <c r="T2542" s="29" t="s">
        <v>1716</v>
      </c>
      <c r="U2542" s="69" t="s">
        <v>63</v>
      </c>
      <c r="V2542" s="72" t="str">
        <f t="shared" si="39"/>
        <v>TX_BEXAR</v>
      </c>
      <c r="AJ2542" s="1" t="s">
        <v>64</v>
      </c>
      <c r="AK2542" s="1" t="s">
        <v>347</v>
      </c>
      <c r="AL2542" s="1" t="s">
        <v>7814</v>
      </c>
      <c r="AM2542" s="1" t="s">
        <v>4878</v>
      </c>
    </row>
    <row r="2543" spans="20:39" x14ac:dyDescent="0.2">
      <c r="T2543" s="28" t="s">
        <v>1717</v>
      </c>
      <c r="U2543" s="68" t="s">
        <v>63</v>
      </c>
      <c r="V2543" s="72" t="str">
        <f t="shared" si="39"/>
        <v>TX_BLANCO</v>
      </c>
      <c r="AJ2543" s="1" t="s">
        <v>64</v>
      </c>
      <c r="AK2543" s="1" t="s">
        <v>719</v>
      </c>
      <c r="AL2543" s="1" t="s">
        <v>7815</v>
      </c>
      <c r="AM2543" s="1" t="s">
        <v>4862</v>
      </c>
    </row>
    <row r="2544" spans="20:39" x14ac:dyDescent="0.2">
      <c r="T2544" s="29" t="s">
        <v>1718</v>
      </c>
      <c r="U2544" s="69" t="s">
        <v>63</v>
      </c>
      <c r="V2544" s="72" t="str">
        <f t="shared" si="39"/>
        <v>TX_BORDEN</v>
      </c>
      <c r="AJ2544" s="1" t="s">
        <v>64</v>
      </c>
      <c r="AK2544" s="1" t="s">
        <v>872</v>
      </c>
      <c r="AL2544" s="1" t="s">
        <v>7816</v>
      </c>
      <c r="AM2544" s="1" t="s">
        <v>4862</v>
      </c>
    </row>
    <row r="2545" spans="20:39" x14ac:dyDescent="0.2">
      <c r="T2545" s="28" t="s">
        <v>1719</v>
      </c>
      <c r="U2545" s="68" t="s">
        <v>63</v>
      </c>
      <c r="V2545" s="72" t="str">
        <f t="shared" si="39"/>
        <v>TX_BOSQUE</v>
      </c>
      <c r="AJ2545" s="1" t="s">
        <v>63</v>
      </c>
      <c r="AK2545" s="1" t="s">
        <v>808</v>
      </c>
      <c r="AL2545" s="1" t="s">
        <v>7817</v>
      </c>
      <c r="AM2545" s="1" t="s">
        <v>4881</v>
      </c>
    </row>
    <row r="2546" spans="20:39" x14ac:dyDescent="0.2">
      <c r="T2546" s="29" t="s">
        <v>1720</v>
      </c>
      <c r="U2546" s="69" t="s">
        <v>63</v>
      </c>
      <c r="V2546" s="72" t="str">
        <f t="shared" si="39"/>
        <v>TX_BOWIE</v>
      </c>
      <c r="AJ2546" s="1" t="s">
        <v>63</v>
      </c>
      <c r="AK2546" s="1" t="s">
        <v>1705</v>
      </c>
      <c r="AL2546" s="1" t="s">
        <v>7818</v>
      </c>
      <c r="AM2546" s="1" t="s">
        <v>4882</v>
      </c>
    </row>
    <row r="2547" spans="20:39" x14ac:dyDescent="0.2">
      <c r="T2547" s="28" t="s">
        <v>1721</v>
      </c>
      <c r="U2547" s="68" t="s">
        <v>63</v>
      </c>
      <c r="V2547" s="72" t="str">
        <f t="shared" si="39"/>
        <v>TX_BRAZORIA</v>
      </c>
      <c r="AJ2547" s="1" t="s">
        <v>63</v>
      </c>
      <c r="AK2547" s="1" t="s">
        <v>1706</v>
      </c>
      <c r="AL2547" s="1" t="s">
        <v>7819</v>
      </c>
      <c r="AM2547" s="1" t="s">
        <v>4883</v>
      </c>
    </row>
    <row r="2548" spans="20:39" x14ac:dyDescent="0.2">
      <c r="T2548" s="29" t="s">
        <v>1722</v>
      </c>
      <c r="U2548" s="69" t="s">
        <v>63</v>
      </c>
      <c r="V2548" s="72" t="str">
        <f t="shared" si="39"/>
        <v>TX_BRAZOS</v>
      </c>
      <c r="AJ2548" s="1" t="s">
        <v>63</v>
      </c>
      <c r="AK2548" s="1" t="s">
        <v>1707</v>
      </c>
      <c r="AL2548" s="1" t="s">
        <v>7820</v>
      </c>
      <c r="AM2548" s="1" t="s">
        <v>9260</v>
      </c>
    </row>
    <row r="2549" spans="20:39" x14ac:dyDescent="0.2">
      <c r="T2549" s="28" t="s">
        <v>1723</v>
      </c>
      <c r="U2549" s="68" t="s">
        <v>63</v>
      </c>
      <c r="V2549" s="72" t="str">
        <f t="shared" si="39"/>
        <v>TX_BREWSTER</v>
      </c>
      <c r="AJ2549" s="1" t="s">
        <v>63</v>
      </c>
      <c r="AK2549" s="1" t="s">
        <v>1708</v>
      </c>
      <c r="AL2549" s="1" t="s">
        <v>7821</v>
      </c>
      <c r="AM2549" s="1" t="s">
        <v>5072</v>
      </c>
    </row>
    <row r="2550" spans="20:39" x14ac:dyDescent="0.2">
      <c r="T2550" s="29" t="s">
        <v>1724</v>
      </c>
      <c r="U2550" s="69" t="s">
        <v>63</v>
      </c>
      <c r="V2550" s="72" t="str">
        <f t="shared" si="39"/>
        <v>TX_BRISCOE</v>
      </c>
      <c r="AJ2550" s="1" t="s">
        <v>63</v>
      </c>
      <c r="AK2550" s="1" t="s">
        <v>1581</v>
      </c>
      <c r="AL2550" s="1" t="s">
        <v>7822</v>
      </c>
      <c r="AM2550" s="1" t="s">
        <v>4880</v>
      </c>
    </row>
    <row r="2551" spans="20:39" x14ac:dyDescent="0.2">
      <c r="T2551" s="28" t="s">
        <v>532</v>
      </c>
      <c r="U2551" s="68" t="s">
        <v>63</v>
      </c>
      <c r="V2551" s="72" t="str">
        <f t="shared" si="39"/>
        <v>TX_BROOKS</v>
      </c>
      <c r="AJ2551" s="1" t="s">
        <v>63</v>
      </c>
      <c r="AK2551" s="1" t="s">
        <v>1709</v>
      </c>
      <c r="AL2551" s="1" t="s">
        <v>7823</v>
      </c>
      <c r="AM2551" s="1" t="s">
        <v>4884</v>
      </c>
    </row>
    <row r="2552" spans="20:39" x14ac:dyDescent="0.2">
      <c r="T2552" s="29" t="s">
        <v>670</v>
      </c>
      <c r="U2552" s="69" t="s">
        <v>63</v>
      </c>
      <c r="V2552" s="72" t="str">
        <f t="shared" si="39"/>
        <v>TX_BROWN</v>
      </c>
      <c r="AJ2552" s="1" t="s">
        <v>63</v>
      </c>
      <c r="AK2552" s="1" t="s">
        <v>1710</v>
      </c>
      <c r="AL2552" s="1" t="s">
        <v>7824</v>
      </c>
      <c r="AM2552" s="1" t="s">
        <v>4885</v>
      </c>
    </row>
    <row r="2553" spans="20:39" x14ac:dyDescent="0.2">
      <c r="T2553" s="28" t="s">
        <v>1725</v>
      </c>
      <c r="U2553" s="68" t="s">
        <v>63</v>
      </c>
      <c r="V2553" s="72" t="str">
        <f t="shared" si="39"/>
        <v>TX_BURLESON</v>
      </c>
      <c r="AJ2553" s="1" t="s">
        <v>63</v>
      </c>
      <c r="AK2553" s="1" t="s">
        <v>1711</v>
      </c>
      <c r="AL2553" s="1" t="s">
        <v>7825</v>
      </c>
      <c r="AM2553" s="1" t="s">
        <v>4886</v>
      </c>
    </row>
    <row r="2554" spans="20:39" x14ac:dyDescent="0.2">
      <c r="T2554" s="29" t="s">
        <v>1726</v>
      </c>
      <c r="U2554" s="69" t="s">
        <v>63</v>
      </c>
      <c r="V2554" s="72" t="str">
        <f t="shared" si="39"/>
        <v>TX_BURNET</v>
      </c>
      <c r="AJ2554" s="1" t="s">
        <v>63</v>
      </c>
      <c r="AK2554" s="1" t="s">
        <v>1712</v>
      </c>
      <c r="AL2554" s="1" t="s">
        <v>7826</v>
      </c>
      <c r="AM2554" s="1" t="s">
        <v>5039</v>
      </c>
    </row>
    <row r="2555" spans="20:39" x14ac:dyDescent="0.2">
      <c r="T2555" s="28" t="s">
        <v>885</v>
      </c>
      <c r="U2555" s="68" t="s">
        <v>63</v>
      </c>
      <c r="V2555" s="72" t="str">
        <f t="shared" si="39"/>
        <v>TX_CALDWELL</v>
      </c>
      <c r="AJ2555" s="1" t="s">
        <v>63</v>
      </c>
      <c r="AK2555" s="1" t="s">
        <v>1713</v>
      </c>
      <c r="AL2555" s="1" t="s">
        <v>7827</v>
      </c>
      <c r="AM2555" s="1" t="s">
        <v>9261</v>
      </c>
    </row>
    <row r="2556" spans="20:39" x14ac:dyDescent="0.2">
      <c r="T2556" s="29" t="s">
        <v>201</v>
      </c>
      <c r="U2556" s="69" t="s">
        <v>63</v>
      </c>
      <c r="V2556" s="72" t="str">
        <f t="shared" si="39"/>
        <v>TX_CALHOUN</v>
      </c>
      <c r="AJ2556" s="1" t="s">
        <v>63</v>
      </c>
      <c r="AK2556" s="1" t="s">
        <v>1714</v>
      </c>
      <c r="AL2556" s="1" t="s">
        <v>7828</v>
      </c>
      <c r="AM2556" s="1" t="s">
        <v>4887</v>
      </c>
    </row>
    <row r="2557" spans="20:39" x14ac:dyDescent="0.2">
      <c r="T2557" s="28" t="s">
        <v>1727</v>
      </c>
      <c r="U2557" s="68" t="s">
        <v>63</v>
      </c>
      <c r="V2557" s="72" t="str">
        <f t="shared" si="39"/>
        <v>TX_CALLAHAN</v>
      </c>
      <c r="AJ2557" s="1" t="s">
        <v>63</v>
      </c>
      <c r="AK2557" s="1" t="s">
        <v>1715</v>
      </c>
      <c r="AL2557" s="1" t="s">
        <v>7829</v>
      </c>
      <c r="AM2557" s="1" t="s">
        <v>4889</v>
      </c>
    </row>
    <row r="2558" spans="20:39" x14ac:dyDescent="0.2">
      <c r="T2558" s="29" t="s">
        <v>1587</v>
      </c>
      <c r="U2558" s="69" t="s">
        <v>63</v>
      </c>
      <c r="V2558" s="72" t="str">
        <f t="shared" si="39"/>
        <v>TX_CAMERON</v>
      </c>
      <c r="AJ2558" s="1" t="s">
        <v>63</v>
      </c>
      <c r="AK2558" s="1" t="s">
        <v>878</v>
      </c>
      <c r="AL2558" s="1" t="s">
        <v>7830</v>
      </c>
      <c r="AM2558" s="1" t="s">
        <v>4976</v>
      </c>
    </row>
    <row r="2559" spans="20:39" x14ac:dyDescent="0.2">
      <c r="T2559" s="28" t="s">
        <v>1728</v>
      </c>
      <c r="U2559" s="68" t="s">
        <v>63</v>
      </c>
      <c r="V2559" s="72" t="str">
        <f t="shared" si="39"/>
        <v>TX_CAMP</v>
      </c>
      <c r="AJ2559" s="1" t="s">
        <v>63</v>
      </c>
      <c r="AK2559" s="1" t="s">
        <v>1716</v>
      </c>
      <c r="AL2559" s="1" t="s">
        <v>7831</v>
      </c>
      <c r="AM2559" s="1" t="s">
        <v>5039</v>
      </c>
    </row>
    <row r="2560" spans="20:39" x14ac:dyDescent="0.2">
      <c r="T2560" s="29" t="s">
        <v>1729</v>
      </c>
      <c r="U2560" s="69" t="s">
        <v>63</v>
      </c>
      <c r="V2560" s="72" t="str">
        <f t="shared" si="39"/>
        <v>TX_CARSON</v>
      </c>
      <c r="AJ2560" s="1" t="s">
        <v>63</v>
      </c>
      <c r="AK2560" s="1" t="s">
        <v>1717</v>
      </c>
      <c r="AL2560" s="1" t="s">
        <v>7832</v>
      </c>
      <c r="AM2560" s="1" t="s">
        <v>4890</v>
      </c>
    </row>
    <row r="2561" spans="20:39" x14ac:dyDescent="0.2">
      <c r="T2561" s="28" t="s">
        <v>672</v>
      </c>
      <c r="U2561" s="68" t="s">
        <v>63</v>
      </c>
      <c r="V2561" s="72" t="str">
        <f t="shared" si="39"/>
        <v>TX_CASS</v>
      </c>
      <c r="AJ2561" s="1" t="s">
        <v>63</v>
      </c>
      <c r="AK2561" s="1" t="s">
        <v>1718</v>
      </c>
      <c r="AL2561" s="1" t="s">
        <v>7833</v>
      </c>
      <c r="AM2561" s="1" t="s">
        <v>4891</v>
      </c>
    </row>
    <row r="2562" spans="20:39" x14ac:dyDescent="0.2">
      <c r="T2562" s="29" t="s">
        <v>1730</v>
      </c>
      <c r="U2562" s="69" t="s">
        <v>63</v>
      </c>
      <c r="V2562" s="72" t="str">
        <f t="shared" si="39"/>
        <v>TX_CASTRO</v>
      </c>
      <c r="AJ2562" s="1" t="s">
        <v>63</v>
      </c>
      <c r="AK2562" s="1" t="s">
        <v>1719</v>
      </c>
      <c r="AL2562" s="1" t="s">
        <v>7834</v>
      </c>
      <c r="AM2562" s="1" t="s">
        <v>9262</v>
      </c>
    </row>
    <row r="2563" spans="20:39" x14ac:dyDescent="0.2">
      <c r="T2563" s="28" t="s">
        <v>202</v>
      </c>
      <c r="U2563" s="68" t="s">
        <v>63</v>
      </c>
      <c r="V2563" s="72" t="str">
        <f t="shared" si="39"/>
        <v>TX_CHAMBERS</v>
      </c>
      <c r="AJ2563" s="1" t="s">
        <v>63</v>
      </c>
      <c r="AK2563" s="1" t="s">
        <v>1720</v>
      </c>
      <c r="AL2563" s="1" t="s">
        <v>7835</v>
      </c>
      <c r="AM2563" s="1" t="s">
        <v>3094</v>
      </c>
    </row>
    <row r="2564" spans="20:39" x14ac:dyDescent="0.2">
      <c r="T2564" s="29" t="s">
        <v>203</v>
      </c>
      <c r="U2564" s="69" t="s">
        <v>63</v>
      </c>
      <c r="V2564" s="72" t="str">
        <f t="shared" si="39"/>
        <v>TX_CHEROKEE</v>
      </c>
      <c r="AJ2564" s="1" t="s">
        <v>63</v>
      </c>
      <c r="AK2564" s="1" t="s">
        <v>1721</v>
      </c>
      <c r="AL2564" s="1" t="s">
        <v>7836</v>
      </c>
      <c r="AM2564" s="1" t="s">
        <v>4892</v>
      </c>
    </row>
    <row r="2565" spans="20:39" x14ac:dyDescent="0.2">
      <c r="T2565" s="28" t="s">
        <v>1731</v>
      </c>
      <c r="U2565" s="68" t="s">
        <v>63</v>
      </c>
      <c r="V2565" s="72" t="str">
        <f t="shared" si="39"/>
        <v>TX_CHILDRESS</v>
      </c>
      <c r="AJ2565" s="1" t="s">
        <v>63</v>
      </c>
      <c r="AK2565" s="1" t="s">
        <v>1722</v>
      </c>
      <c r="AL2565" s="1" t="s">
        <v>7837</v>
      </c>
      <c r="AM2565" s="1" t="s">
        <v>4907</v>
      </c>
    </row>
    <row r="2566" spans="20:39" x14ac:dyDescent="0.2">
      <c r="T2566" s="29" t="s">
        <v>207</v>
      </c>
      <c r="U2566" s="69" t="s">
        <v>63</v>
      </c>
      <c r="V2566" s="72" t="str">
        <f t="shared" si="39"/>
        <v>TX_CLAY</v>
      </c>
      <c r="AJ2566" s="1" t="s">
        <v>63</v>
      </c>
      <c r="AK2566" s="1" t="s">
        <v>1723</v>
      </c>
      <c r="AL2566" s="1" t="s">
        <v>7838</v>
      </c>
      <c r="AM2566" s="1" t="s">
        <v>4893</v>
      </c>
    </row>
    <row r="2567" spans="20:39" x14ac:dyDescent="0.2">
      <c r="T2567" s="28" t="s">
        <v>1732</v>
      </c>
      <c r="U2567" s="68" t="s">
        <v>63</v>
      </c>
      <c r="V2567" s="72" t="str">
        <f t="shared" si="39"/>
        <v>TX_COCHRAN</v>
      </c>
      <c r="AJ2567" s="1" t="s">
        <v>63</v>
      </c>
      <c r="AK2567" s="1" t="s">
        <v>1724</v>
      </c>
      <c r="AL2567" s="1" t="s">
        <v>7839</v>
      </c>
      <c r="AM2567" s="1" t="s">
        <v>4894</v>
      </c>
    </row>
    <row r="2568" spans="20:39" x14ac:dyDescent="0.2">
      <c r="T2568" s="29" t="s">
        <v>1733</v>
      </c>
      <c r="U2568" s="69" t="s">
        <v>63</v>
      </c>
      <c r="V2568" s="72" t="str">
        <f t="shared" si="39"/>
        <v>TX_COKE</v>
      </c>
      <c r="AJ2568" s="1" t="s">
        <v>63</v>
      </c>
      <c r="AK2568" s="1" t="s">
        <v>532</v>
      </c>
      <c r="AL2568" s="1" t="s">
        <v>7840</v>
      </c>
      <c r="AM2568" s="1" t="s">
        <v>4895</v>
      </c>
    </row>
    <row r="2569" spans="20:39" x14ac:dyDescent="0.2">
      <c r="T2569" s="28" t="s">
        <v>1734</v>
      </c>
      <c r="U2569" s="68" t="s">
        <v>63</v>
      </c>
      <c r="V2569" s="72" t="str">
        <f t="shared" si="39"/>
        <v>TX_COLEMAN</v>
      </c>
      <c r="AJ2569" s="1" t="s">
        <v>63</v>
      </c>
      <c r="AK2569" s="1" t="s">
        <v>670</v>
      </c>
      <c r="AL2569" s="1" t="s">
        <v>7841</v>
      </c>
      <c r="AM2569" s="1" t="s">
        <v>4896</v>
      </c>
    </row>
    <row r="2570" spans="20:39" x14ac:dyDescent="0.2">
      <c r="T2570" s="29" t="s">
        <v>1735</v>
      </c>
      <c r="U2570" s="69" t="s">
        <v>63</v>
      </c>
      <c r="V2570" s="72" t="str">
        <f t="shared" ref="V2570:V2633" si="40">UPPER(CONCATENATE(TRIM(U2570),"_",TRIM(T2570)))</f>
        <v>TX_COLLIN</v>
      </c>
      <c r="AJ2570" s="1" t="s">
        <v>63</v>
      </c>
      <c r="AK2570" s="1" t="s">
        <v>1725</v>
      </c>
      <c r="AL2570" s="1" t="s">
        <v>7842</v>
      </c>
      <c r="AM2570" s="1" t="s">
        <v>4907</v>
      </c>
    </row>
    <row r="2571" spans="20:39" x14ac:dyDescent="0.2">
      <c r="T2571" s="28" t="s">
        <v>1736</v>
      </c>
      <c r="U2571" s="68" t="s">
        <v>63</v>
      </c>
      <c r="V2571" s="72" t="str">
        <f t="shared" si="40"/>
        <v>TX_COLLINGSWORTH</v>
      </c>
      <c r="AJ2571" s="1" t="s">
        <v>63</v>
      </c>
      <c r="AK2571" s="1" t="s">
        <v>1726</v>
      </c>
      <c r="AL2571" s="1" t="s">
        <v>7843</v>
      </c>
      <c r="AM2571" s="1" t="s">
        <v>4898</v>
      </c>
    </row>
    <row r="2572" spans="20:39" x14ac:dyDescent="0.2">
      <c r="T2572" s="29" t="s">
        <v>1737</v>
      </c>
      <c r="U2572" s="69" t="s">
        <v>63</v>
      </c>
      <c r="V2572" s="72" t="str">
        <f t="shared" si="40"/>
        <v>TX_COLORADO</v>
      </c>
      <c r="AJ2572" s="1" t="s">
        <v>63</v>
      </c>
      <c r="AK2572" s="1" t="s">
        <v>885</v>
      </c>
      <c r="AL2572" s="1" t="s">
        <v>7844</v>
      </c>
      <c r="AM2572" s="1" t="s">
        <v>9261</v>
      </c>
    </row>
    <row r="2573" spans="20:39" x14ac:dyDescent="0.2">
      <c r="T2573" s="28" t="s">
        <v>1738</v>
      </c>
      <c r="U2573" s="68" t="s">
        <v>63</v>
      </c>
      <c r="V2573" s="72" t="str">
        <f t="shared" si="40"/>
        <v>TX_COMAL</v>
      </c>
      <c r="AJ2573" s="1" t="s">
        <v>63</v>
      </c>
      <c r="AK2573" s="1" t="s">
        <v>201</v>
      </c>
      <c r="AL2573" s="1" t="s">
        <v>7845</v>
      </c>
      <c r="AM2573" s="1" t="s">
        <v>4899</v>
      </c>
    </row>
    <row r="2574" spans="20:39" x14ac:dyDescent="0.2">
      <c r="T2574" s="29" t="s">
        <v>817</v>
      </c>
      <c r="U2574" s="69" t="s">
        <v>63</v>
      </c>
      <c r="V2574" s="72" t="str">
        <f t="shared" si="40"/>
        <v>TX_COMANCHE</v>
      </c>
      <c r="AJ2574" s="1" t="s">
        <v>63</v>
      </c>
      <c r="AK2574" s="1" t="s">
        <v>1727</v>
      </c>
      <c r="AL2574" s="1" t="s">
        <v>7846</v>
      </c>
      <c r="AM2574" s="1" t="s">
        <v>4879</v>
      </c>
    </row>
    <row r="2575" spans="20:39" x14ac:dyDescent="0.2">
      <c r="T2575" s="28" t="s">
        <v>1739</v>
      </c>
      <c r="U2575" s="68" t="s">
        <v>63</v>
      </c>
      <c r="V2575" s="72" t="str">
        <f t="shared" si="40"/>
        <v>TX_CONCHO</v>
      </c>
      <c r="AJ2575" s="1" t="s">
        <v>63</v>
      </c>
      <c r="AK2575" s="1" t="s">
        <v>1587</v>
      </c>
      <c r="AL2575" s="1" t="s">
        <v>7847</v>
      </c>
      <c r="AM2575" s="1" t="s">
        <v>4897</v>
      </c>
    </row>
    <row r="2576" spans="20:39" x14ac:dyDescent="0.2">
      <c r="T2576" s="29" t="s">
        <v>1740</v>
      </c>
      <c r="U2576" s="69" t="s">
        <v>63</v>
      </c>
      <c r="V2576" s="72" t="str">
        <f t="shared" si="40"/>
        <v>TX_COOKE</v>
      </c>
      <c r="AJ2576" s="1" t="s">
        <v>63</v>
      </c>
      <c r="AK2576" s="1" t="s">
        <v>1728</v>
      </c>
      <c r="AL2576" s="1" t="s">
        <v>7848</v>
      </c>
      <c r="AM2576" s="1" t="s">
        <v>4900</v>
      </c>
    </row>
    <row r="2577" spans="20:39" x14ac:dyDescent="0.2">
      <c r="T2577" s="28" t="s">
        <v>1741</v>
      </c>
      <c r="U2577" s="68" t="s">
        <v>63</v>
      </c>
      <c r="V2577" s="72" t="str">
        <f t="shared" si="40"/>
        <v>TX_CORYELL</v>
      </c>
      <c r="AJ2577" s="1" t="s">
        <v>63</v>
      </c>
      <c r="AK2577" s="1" t="s">
        <v>1729</v>
      </c>
      <c r="AL2577" s="1" t="s">
        <v>7849</v>
      </c>
      <c r="AM2577" s="1" t="s">
        <v>4880</v>
      </c>
    </row>
    <row r="2578" spans="20:39" x14ac:dyDescent="0.2">
      <c r="T2578" s="29" t="s">
        <v>1742</v>
      </c>
      <c r="U2578" s="69" t="s">
        <v>63</v>
      </c>
      <c r="V2578" s="72" t="str">
        <f t="shared" si="40"/>
        <v>TX_COTTLE</v>
      </c>
      <c r="AJ2578" s="1" t="s">
        <v>63</v>
      </c>
      <c r="AK2578" s="1" t="s">
        <v>672</v>
      </c>
      <c r="AL2578" s="1" t="s">
        <v>7850</v>
      </c>
      <c r="AM2578" s="1" t="s">
        <v>4901</v>
      </c>
    </row>
    <row r="2579" spans="20:39" x14ac:dyDescent="0.2">
      <c r="T2579" s="28" t="s">
        <v>1743</v>
      </c>
      <c r="U2579" s="68" t="s">
        <v>63</v>
      </c>
      <c r="V2579" s="72" t="str">
        <f t="shared" si="40"/>
        <v>TX_CRANE</v>
      </c>
      <c r="AJ2579" s="1" t="s">
        <v>63</v>
      </c>
      <c r="AK2579" s="1" t="s">
        <v>1730</v>
      </c>
      <c r="AL2579" s="1" t="s">
        <v>7851</v>
      </c>
      <c r="AM2579" s="1" t="s">
        <v>4902</v>
      </c>
    </row>
    <row r="2580" spans="20:39" x14ac:dyDescent="0.2">
      <c r="T2580" s="29" t="s">
        <v>1683</v>
      </c>
      <c r="U2580" s="69" t="s">
        <v>63</v>
      </c>
      <c r="V2580" s="72" t="str">
        <f t="shared" si="40"/>
        <v>TX_CROCKETT</v>
      </c>
      <c r="AJ2580" s="1" t="s">
        <v>63</v>
      </c>
      <c r="AK2580" s="1" t="s">
        <v>202</v>
      </c>
      <c r="AL2580" s="1" t="s">
        <v>7852</v>
      </c>
      <c r="AM2580" s="1" t="s">
        <v>4961</v>
      </c>
    </row>
    <row r="2581" spans="20:39" x14ac:dyDescent="0.2">
      <c r="T2581" s="28" t="s">
        <v>1744</v>
      </c>
      <c r="U2581" s="68" t="s">
        <v>63</v>
      </c>
      <c r="V2581" s="72" t="str">
        <f t="shared" si="40"/>
        <v>TX_CROSBY</v>
      </c>
      <c r="AJ2581" s="1" t="s">
        <v>63</v>
      </c>
      <c r="AK2581" s="1" t="s">
        <v>203</v>
      </c>
      <c r="AL2581" s="1" t="s">
        <v>7853</v>
      </c>
      <c r="AM2581" s="1" t="s">
        <v>4903</v>
      </c>
    </row>
    <row r="2582" spans="20:39" x14ac:dyDescent="0.2">
      <c r="T2582" s="29" t="s">
        <v>1745</v>
      </c>
      <c r="U2582" s="69" t="s">
        <v>63</v>
      </c>
      <c r="V2582" s="72" t="str">
        <f t="shared" si="40"/>
        <v>TX_CULBERSON</v>
      </c>
      <c r="AJ2582" s="1" t="s">
        <v>63</v>
      </c>
      <c r="AK2582" s="1" t="s">
        <v>1731</v>
      </c>
      <c r="AL2582" s="1" t="s">
        <v>7854</v>
      </c>
      <c r="AM2582" s="1" t="s">
        <v>4904</v>
      </c>
    </row>
    <row r="2583" spans="20:39" x14ac:dyDescent="0.2">
      <c r="T2583" s="28" t="s">
        <v>1746</v>
      </c>
      <c r="U2583" s="68" t="s">
        <v>63</v>
      </c>
      <c r="V2583" s="72" t="str">
        <f t="shared" si="40"/>
        <v>TX_DALLAM</v>
      </c>
      <c r="AJ2583" s="1" t="s">
        <v>63</v>
      </c>
      <c r="AK2583" s="1" t="s">
        <v>207</v>
      </c>
      <c r="AL2583" s="1" t="s">
        <v>7855</v>
      </c>
      <c r="AM2583" s="1" t="s">
        <v>5072</v>
      </c>
    </row>
    <row r="2584" spans="20:39" x14ac:dyDescent="0.2">
      <c r="T2584" s="29" t="s">
        <v>217</v>
      </c>
      <c r="U2584" s="69" t="s">
        <v>63</v>
      </c>
      <c r="V2584" s="72" t="str">
        <f t="shared" si="40"/>
        <v>TX_DALLAS</v>
      </c>
      <c r="AJ2584" s="1" t="s">
        <v>63</v>
      </c>
      <c r="AK2584" s="1" t="s">
        <v>1732</v>
      </c>
      <c r="AL2584" s="1" t="s">
        <v>7856</v>
      </c>
      <c r="AM2584" s="1" t="s">
        <v>9263</v>
      </c>
    </row>
    <row r="2585" spans="20:39" x14ac:dyDescent="0.2">
      <c r="T2585" s="28" t="s">
        <v>551</v>
      </c>
      <c r="U2585" s="68" t="s">
        <v>63</v>
      </c>
      <c r="V2585" s="72" t="str">
        <f t="shared" si="40"/>
        <v>TX_DAWSON</v>
      </c>
      <c r="AJ2585" s="1" t="s">
        <v>63</v>
      </c>
      <c r="AK2585" s="1" t="s">
        <v>1733</v>
      </c>
      <c r="AL2585" s="1" t="s">
        <v>7857</v>
      </c>
      <c r="AM2585" s="1" t="s">
        <v>4905</v>
      </c>
    </row>
    <row r="2586" spans="20:39" x14ac:dyDescent="0.2">
      <c r="T2586" s="29" t="s">
        <v>1747</v>
      </c>
      <c r="U2586" s="69" t="s">
        <v>63</v>
      </c>
      <c r="V2586" s="72" t="str">
        <f t="shared" si="40"/>
        <v>TX_DEAF SMITH</v>
      </c>
      <c r="AJ2586" s="1" t="s">
        <v>63</v>
      </c>
      <c r="AK2586" s="1" t="s">
        <v>1734</v>
      </c>
      <c r="AL2586" s="1" t="s">
        <v>7858</v>
      </c>
      <c r="AM2586" s="1" t="s">
        <v>4906</v>
      </c>
    </row>
    <row r="2587" spans="20:39" x14ac:dyDescent="0.2">
      <c r="T2587" s="28" t="s">
        <v>420</v>
      </c>
      <c r="U2587" s="68" t="s">
        <v>63</v>
      </c>
      <c r="V2587" s="72" t="str">
        <f t="shared" si="40"/>
        <v>TX_DELTA</v>
      </c>
      <c r="AJ2587" s="1" t="s">
        <v>63</v>
      </c>
      <c r="AK2587" s="1" t="s">
        <v>1735</v>
      </c>
      <c r="AL2587" s="1" t="s">
        <v>7859</v>
      </c>
      <c r="AM2587" s="1" t="s">
        <v>4918</v>
      </c>
    </row>
    <row r="2588" spans="20:39" x14ac:dyDescent="0.2">
      <c r="T2588" s="29" t="s">
        <v>1748</v>
      </c>
      <c r="U2588" s="69" t="s">
        <v>63</v>
      </c>
      <c r="V2588" s="72" t="str">
        <f t="shared" si="40"/>
        <v>TX_DENTON</v>
      </c>
      <c r="AJ2588" s="1" t="s">
        <v>63</v>
      </c>
      <c r="AK2588" s="1" t="s">
        <v>1736</v>
      </c>
      <c r="AL2588" s="1" t="s">
        <v>7860</v>
      </c>
      <c r="AM2588" s="1" t="s">
        <v>4908</v>
      </c>
    </row>
    <row r="2589" spans="20:39" x14ac:dyDescent="0.2">
      <c r="T2589" s="28" t="s">
        <v>1749</v>
      </c>
      <c r="U2589" s="68" t="s">
        <v>63</v>
      </c>
      <c r="V2589" s="72" t="str">
        <f t="shared" si="40"/>
        <v>TX_DEWITT</v>
      </c>
      <c r="AJ2589" s="1" t="s">
        <v>63</v>
      </c>
      <c r="AK2589" s="1" t="s">
        <v>1737</v>
      </c>
      <c r="AL2589" s="1" t="s">
        <v>7861</v>
      </c>
      <c r="AM2589" s="1" t="s">
        <v>4909</v>
      </c>
    </row>
    <row r="2590" spans="20:39" x14ac:dyDescent="0.2">
      <c r="T2590" s="29" t="s">
        <v>1750</v>
      </c>
      <c r="U2590" s="69" t="s">
        <v>63</v>
      </c>
      <c r="V2590" s="72" t="str">
        <f t="shared" si="40"/>
        <v>TX_DICKENS</v>
      </c>
      <c r="AJ2590" s="1" t="s">
        <v>63</v>
      </c>
      <c r="AK2590" s="1" t="s">
        <v>1738</v>
      </c>
      <c r="AL2590" s="1" t="s">
        <v>7862</v>
      </c>
      <c r="AM2590" s="1" t="s">
        <v>5039</v>
      </c>
    </row>
    <row r="2591" spans="20:39" x14ac:dyDescent="0.2">
      <c r="T2591" s="28" t="s">
        <v>1751</v>
      </c>
      <c r="U2591" s="68" t="s">
        <v>63</v>
      </c>
      <c r="V2591" s="72" t="str">
        <f t="shared" si="40"/>
        <v>TX_DIMMIT</v>
      </c>
      <c r="AJ2591" s="1" t="s">
        <v>63</v>
      </c>
      <c r="AK2591" s="1" t="s">
        <v>817</v>
      </c>
      <c r="AL2591" s="1" t="s">
        <v>7863</v>
      </c>
      <c r="AM2591" s="1" t="s">
        <v>4910</v>
      </c>
    </row>
    <row r="2592" spans="20:39" x14ac:dyDescent="0.2">
      <c r="T2592" s="29" t="s">
        <v>1752</v>
      </c>
      <c r="U2592" s="69" t="s">
        <v>63</v>
      </c>
      <c r="V2592" s="72" t="str">
        <f t="shared" si="40"/>
        <v>TX_DONLEY</v>
      </c>
      <c r="AJ2592" s="1" t="s">
        <v>63</v>
      </c>
      <c r="AK2592" s="1" t="s">
        <v>1739</v>
      </c>
      <c r="AL2592" s="1" t="s">
        <v>7864</v>
      </c>
      <c r="AM2592" s="1" t="s">
        <v>4911</v>
      </c>
    </row>
    <row r="2593" spans="20:39" x14ac:dyDescent="0.2">
      <c r="T2593" s="28" t="s">
        <v>485</v>
      </c>
      <c r="U2593" s="68" t="s">
        <v>63</v>
      </c>
      <c r="V2593" s="72" t="str">
        <f t="shared" si="40"/>
        <v>TX_DUVAL</v>
      </c>
      <c r="AJ2593" s="1" t="s">
        <v>63</v>
      </c>
      <c r="AK2593" s="1" t="s">
        <v>1740</v>
      </c>
      <c r="AL2593" s="1" t="s">
        <v>7865</v>
      </c>
      <c r="AM2593" s="1" t="s">
        <v>4912</v>
      </c>
    </row>
    <row r="2594" spans="20:39" x14ac:dyDescent="0.2">
      <c r="T2594" s="29" t="s">
        <v>1753</v>
      </c>
      <c r="U2594" s="69" t="s">
        <v>63</v>
      </c>
      <c r="V2594" s="72" t="str">
        <f t="shared" si="40"/>
        <v>TX_EASTLAND</v>
      </c>
      <c r="AJ2594" s="1" t="s">
        <v>63</v>
      </c>
      <c r="AK2594" s="1" t="s">
        <v>1741</v>
      </c>
      <c r="AL2594" s="1" t="s">
        <v>7866</v>
      </c>
      <c r="AM2594" s="1" t="s">
        <v>4976</v>
      </c>
    </row>
    <row r="2595" spans="20:39" x14ac:dyDescent="0.2">
      <c r="T2595" s="28" t="s">
        <v>1754</v>
      </c>
      <c r="U2595" s="68" t="s">
        <v>63</v>
      </c>
      <c r="V2595" s="72" t="str">
        <f t="shared" si="40"/>
        <v>TX_ECTOR</v>
      </c>
      <c r="AJ2595" s="1" t="s">
        <v>63</v>
      </c>
      <c r="AK2595" s="1" t="s">
        <v>1742</v>
      </c>
      <c r="AL2595" s="1" t="s">
        <v>7867</v>
      </c>
      <c r="AM2595" s="1" t="s">
        <v>4913</v>
      </c>
    </row>
    <row r="2596" spans="20:39" x14ac:dyDescent="0.2">
      <c r="T2596" s="29" t="s">
        <v>681</v>
      </c>
      <c r="U2596" s="69" t="s">
        <v>63</v>
      </c>
      <c r="V2596" s="72" t="str">
        <f t="shared" si="40"/>
        <v>TX_EDWARDS</v>
      </c>
      <c r="AJ2596" s="1" t="s">
        <v>63</v>
      </c>
      <c r="AK2596" s="1" t="s">
        <v>1743</v>
      </c>
      <c r="AL2596" s="1" t="s">
        <v>7868</v>
      </c>
      <c r="AM2596" s="1" t="s">
        <v>4914</v>
      </c>
    </row>
    <row r="2597" spans="20:39" x14ac:dyDescent="0.2">
      <c r="T2597" s="28" t="s">
        <v>821</v>
      </c>
      <c r="U2597" s="68" t="s">
        <v>63</v>
      </c>
      <c r="V2597" s="72" t="str">
        <f t="shared" si="40"/>
        <v>TX_ELLIS</v>
      </c>
      <c r="AJ2597" s="1" t="s">
        <v>63</v>
      </c>
      <c r="AK2597" s="1" t="s">
        <v>1683</v>
      </c>
      <c r="AL2597" s="1" t="s">
        <v>7869</v>
      </c>
      <c r="AM2597" s="1" t="s">
        <v>4915</v>
      </c>
    </row>
    <row r="2598" spans="20:39" x14ac:dyDescent="0.2">
      <c r="T2598" s="29" t="s">
        <v>426</v>
      </c>
      <c r="U2598" s="69" t="s">
        <v>63</v>
      </c>
      <c r="V2598" s="72" t="str">
        <f t="shared" si="40"/>
        <v>TX_EL PASO</v>
      </c>
      <c r="AJ2598" s="1" t="s">
        <v>63</v>
      </c>
      <c r="AK2598" s="1" t="s">
        <v>1744</v>
      </c>
      <c r="AL2598" s="1" t="s">
        <v>7870</v>
      </c>
      <c r="AM2598" s="1" t="s">
        <v>4996</v>
      </c>
    </row>
    <row r="2599" spans="20:39" x14ac:dyDescent="0.2">
      <c r="T2599" s="28" t="s">
        <v>1755</v>
      </c>
      <c r="U2599" s="68" t="s">
        <v>63</v>
      </c>
      <c r="V2599" s="72" t="str">
        <f t="shared" si="40"/>
        <v>TX_ERATH</v>
      </c>
      <c r="AJ2599" s="1" t="s">
        <v>63</v>
      </c>
      <c r="AK2599" s="1" t="s">
        <v>1745</v>
      </c>
      <c r="AL2599" s="1" t="s">
        <v>7871</v>
      </c>
      <c r="AM2599" s="1" t="s">
        <v>4916</v>
      </c>
    </row>
    <row r="2600" spans="20:39" x14ac:dyDescent="0.2">
      <c r="T2600" s="29" t="s">
        <v>1756</v>
      </c>
      <c r="U2600" s="69" t="s">
        <v>63</v>
      </c>
      <c r="V2600" s="72" t="str">
        <f t="shared" si="40"/>
        <v>TX_FALLS</v>
      </c>
      <c r="AJ2600" s="1" t="s">
        <v>63</v>
      </c>
      <c r="AK2600" s="1" t="s">
        <v>1746</v>
      </c>
      <c r="AL2600" s="1" t="s">
        <v>7872</v>
      </c>
      <c r="AM2600" s="1" t="s">
        <v>4917</v>
      </c>
    </row>
    <row r="2601" spans="20:39" x14ac:dyDescent="0.2">
      <c r="T2601" s="28" t="s">
        <v>562</v>
      </c>
      <c r="U2601" s="68" t="s">
        <v>63</v>
      </c>
      <c r="V2601" s="72" t="str">
        <f t="shared" si="40"/>
        <v>TX_FANNIN</v>
      </c>
      <c r="AJ2601" s="1" t="s">
        <v>63</v>
      </c>
      <c r="AK2601" s="1" t="s">
        <v>217</v>
      </c>
      <c r="AL2601" s="1" t="s">
        <v>7873</v>
      </c>
      <c r="AM2601" s="1" t="s">
        <v>4918</v>
      </c>
    </row>
    <row r="2602" spans="20:39" x14ac:dyDescent="0.2">
      <c r="T2602" s="29" t="s">
        <v>222</v>
      </c>
      <c r="U2602" s="69" t="s">
        <v>63</v>
      </c>
      <c r="V2602" s="72" t="str">
        <f t="shared" si="40"/>
        <v>TX_FAYETTE</v>
      </c>
      <c r="AJ2602" s="1" t="s">
        <v>63</v>
      </c>
      <c r="AK2602" s="1" t="s">
        <v>551</v>
      </c>
      <c r="AL2602" s="1" t="s">
        <v>7874</v>
      </c>
      <c r="AM2602" s="1" t="s">
        <v>4919</v>
      </c>
    </row>
    <row r="2603" spans="20:39" x14ac:dyDescent="0.2">
      <c r="T2603" s="28" t="s">
        <v>1757</v>
      </c>
      <c r="U2603" s="68" t="s">
        <v>63</v>
      </c>
      <c r="V2603" s="72" t="str">
        <f t="shared" si="40"/>
        <v>TX_FISHER</v>
      </c>
      <c r="AJ2603" s="1" t="s">
        <v>63</v>
      </c>
      <c r="AK2603" s="1" t="s">
        <v>1747</v>
      </c>
      <c r="AL2603" s="1" t="s">
        <v>7875</v>
      </c>
      <c r="AM2603" s="1" t="s">
        <v>4920</v>
      </c>
    </row>
    <row r="2604" spans="20:39" x14ac:dyDescent="0.2">
      <c r="T2604" s="29" t="s">
        <v>563</v>
      </c>
      <c r="U2604" s="69" t="s">
        <v>63</v>
      </c>
      <c r="V2604" s="72" t="str">
        <f t="shared" si="40"/>
        <v>TX_FLOYD</v>
      </c>
      <c r="AJ2604" s="1" t="s">
        <v>63</v>
      </c>
      <c r="AK2604" s="1" t="s">
        <v>420</v>
      </c>
      <c r="AL2604" s="1" t="s">
        <v>7876</v>
      </c>
      <c r="AM2604" s="1" t="s">
        <v>4921</v>
      </c>
    </row>
    <row r="2605" spans="20:39" x14ac:dyDescent="0.2">
      <c r="T2605" s="28" t="s">
        <v>1758</v>
      </c>
      <c r="U2605" s="68" t="s">
        <v>63</v>
      </c>
      <c r="V2605" s="72" t="str">
        <f t="shared" si="40"/>
        <v>TX_FOARD</v>
      </c>
      <c r="AJ2605" s="1" t="s">
        <v>63</v>
      </c>
      <c r="AK2605" s="1" t="s">
        <v>1748</v>
      </c>
      <c r="AL2605" s="1" t="s">
        <v>7877</v>
      </c>
      <c r="AM2605" s="1" t="s">
        <v>4918</v>
      </c>
    </row>
    <row r="2606" spans="20:39" x14ac:dyDescent="0.2">
      <c r="T2606" s="29" t="s">
        <v>1759</v>
      </c>
      <c r="U2606" s="69" t="s">
        <v>63</v>
      </c>
      <c r="V2606" s="72" t="str">
        <f t="shared" si="40"/>
        <v>TX_FORT BEND</v>
      </c>
      <c r="AJ2606" s="1" t="s">
        <v>63</v>
      </c>
      <c r="AK2606" s="1" t="s">
        <v>1749</v>
      </c>
      <c r="AL2606" s="1" t="s">
        <v>7878</v>
      </c>
      <c r="AM2606" s="1" t="s">
        <v>4922</v>
      </c>
    </row>
    <row r="2607" spans="20:39" x14ac:dyDescent="0.2">
      <c r="T2607" s="28" t="s">
        <v>223</v>
      </c>
      <c r="U2607" s="68" t="s">
        <v>63</v>
      </c>
      <c r="V2607" s="72" t="str">
        <f t="shared" si="40"/>
        <v>TX_FRANKLIN</v>
      </c>
      <c r="AJ2607" s="1" t="s">
        <v>63</v>
      </c>
      <c r="AK2607" s="1" t="s">
        <v>1750</v>
      </c>
      <c r="AL2607" s="1" t="s">
        <v>7879</v>
      </c>
      <c r="AM2607" s="1" t="s">
        <v>4923</v>
      </c>
    </row>
    <row r="2608" spans="20:39" x14ac:dyDescent="0.2">
      <c r="T2608" s="29" t="s">
        <v>1760</v>
      </c>
      <c r="U2608" s="69" t="s">
        <v>63</v>
      </c>
      <c r="V2608" s="72" t="str">
        <f t="shared" si="40"/>
        <v>TX_FREESTONE</v>
      </c>
      <c r="AJ2608" s="1" t="s">
        <v>63</v>
      </c>
      <c r="AK2608" s="1" t="s">
        <v>1751</v>
      </c>
      <c r="AL2608" s="1" t="s">
        <v>7880</v>
      </c>
      <c r="AM2608" s="1" t="s">
        <v>4924</v>
      </c>
    </row>
    <row r="2609" spans="20:39" x14ac:dyDescent="0.2">
      <c r="T2609" s="28" t="s">
        <v>1761</v>
      </c>
      <c r="U2609" s="68" t="s">
        <v>63</v>
      </c>
      <c r="V2609" s="72" t="str">
        <f t="shared" si="40"/>
        <v>TX_FRIO</v>
      </c>
      <c r="AJ2609" s="1" t="s">
        <v>63</v>
      </c>
      <c r="AK2609" s="1" t="s">
        <v>1752</v>
      </c>
      <c r="AL2609" s="1" t="s">
        <v>7881</v>
      </c>
      <c r="AM2609" s="1" t="s">
        <v>4925</v>
      </c>
    </row>
    <row r="2610" spans="20:39" x14ac:dyDescent="0.2">
      <c r="T2610" s="29" t="s">
        <v>1762</v>
      </c>
      <c r="U2610" s="69" t="s">
        <v>63</v>
      </c>
      <c r="V2610" s="72" t="str">
        <f t="shared" si="40"/>
        <v>TX_GAINES</v>
      </c>
      <c r="AJ2610" s="1" t="s">
        <v>63</v>
      </c>
      <c r="AK2610" s="1" t="s">
        <v>485</v>
      </c>
      <c r="AL2610" s="1" t="s">
        <v>7882</v>
      </c>
      <c r="AM2610" s="1" t="s">
        <v>4926</v>
      </c>
    </row>
    <row r="2611" spans="20:39" x14ac:dyDescent="0.2">
      <c r="T2611" s="28" t="s">
        <v>1763</v>
      </c>
      <c r="U2611" s="68" t="s">
        <v>63</v>
      </c>
      <c r="V2611" s="72" t="str">
        <f t="shared" si="40"/>
        <v>TX_GALVESTON</v>
      </c>
      <c r="AJ2611" s="1" t="s">
        <v>63</v>
      </c>
      <c r="AK2611" s="1" t="s">
        <v>1753</v>
      </c>
      <c r="AL2611" s="1" t="s">
        <v>7883</v>
      </c>
      <c r="AM2611" s="1" t="s">
        <v>4927</v>
      </c>
    </row>
    <row r="2612" spans="20:39" x14ac:dyDescent="0.2">
      <c r="T2612" s="29" t="s">
        <v>1764</v>
      </c>
      <c r="U2612" s="69" t="s">
        <v>63</v>
      </c>
      <c r="V2612" s="72" t="str">
        <f t="shared" si="40"/>
        <v>TX_GARZA</v>
      </c>
      <c r="AJ2612" s="1" t="s">
        <v>63</v>
      </c>
      <c r="AK2612" s="1" t="s">
        <v>1754</v>
      </c>
      <c r="AL2612" s="1" t="s">
        <v>7884</v>
      </c>
      <c r="AM2612" s="1" t="s">
        <v>5021</v>
      </c>
    </row>
    <row r="2613" spans="20:39" x14ac:dyDescent="0.2">
      <c r="T2613" s="28" t="s">
        <v>1765</v>
      </c>
      <c r="U2613" s="68" t="s">
        <v>63</v>
      </c>
      <c r="V2613" s="72" t="str">
        <f t="shared" si="40"/>
        <v>TX_GILLESPIE</v>
      </c>
      <c r="AJ2613" s="1" t="s">
        <v>63</v>
      </c>
      <c r="AK2613" s="1" t="s">
        <v>681</v>
      </c>
      <c r="AL2613" s="1" t="s">
        <v>7885</v>
      </c>
      <c r="AM2613" s="1" t="s">
        <v>4928</v>
      </c>
    </row>
    <row r="2614" spans="20:39" x14ac:dyDescent="0.2">
      <c r="T2614" s="29" t="s">
        <v>1766</v>
      </c>
      <c r="U2614" s="69" t="s">
        <v>63</v>
      </c>
      <c r="V2614" s="72" t="str">
        <f t="shared" si="40"/>
        <v>TX_GLASSCOCK</v>
      </c>
      <c r="AJ2614" s="1" t="s">
        <v>63</v>
      </c>
      <c r="AK2614" s="1" t="s">
        <v>426</v>
      </c>
      <c r="AL2614" s="1" t="s">
        <v>7886</v>
      </c>
      <c r="AM2614" s="1" t="s">
        <v>4929</v>
      </c>
    </row>
    <row r="2615" spans="20:39" x14ac:dyDescent="0.2">
      <c r="T2615" s="28" t="s">
        <v>1767</v>
      </c>
      <c r="U2615" s="68" t="s">
        <v>63</v>
      </c>
      <c r="V2615" s="72" t="str">
        <f t="shared" si="40"/>
        <v>TX_GOLIAD</v>
      </c>
      <c r="AJ2615" s="1" t="s">
        <v>63</v>
      </c>
      <c r="AK2615" s="1" t="s">
        <v>821</v>
      </c>
      <c r="AL2615" s="1" t="s">
        <v>7887</v>
      </c>
      <c r="AM2615" s="1" t="s">
        <v>4918</v>
      </c>
    </row>
    <row r="2616" spans="20:39" x14ac:dyDescent="0.2">
      <c r="T2616" s="29" t="s">
        <v>1768</v>
      </c>
      <c r="U2616" s="69" t="s">
        <v>63</v>
      </c>
      <c r="V2616" s="72" t="str">
        <f t="shared" si="40"/>
        <v>TX_GONZALES</v>
      </c>
      <c r="AJ2616" s="1" t="s">
        <v>63</v>
      </c>
      <c r="AK2616" s="1" t="s">
        <v>1755</v>
      </c>
      <c r="AL2616" s="1" t="s">
        <v>7888</v>
      </c>
      <c r="AM2616" s="1" t="s">
        <v>4930</v>
      </c>
    </row>
    <row r="2617" spans="20:39" x14ac:dyDescent="0.2">
      <c r="T2617" s="28" t="s">
        <v>826</v>
      </c>
      <c r="U2617" s="68" t="s">
        <v>63</v>
      </c>
      <c r="V2617" s="72" t="str">
        <f t="shared" si="40"/>
        <v>TX_GRAY</v>
      </c>
      <c r="AJ2617" s="1" t="s">
        <v>63</v>
      </c>
      <c r="AK2617" s="1" t="s">
        <v>1756</v>
      </c>
      <c r="AL2617" s="1" t="s">
        <v>7889</v>
      </c>
      <c r="AM2617" s="1" t="s">
        <v>4931</v>
      </c>
    </row>
    <row r="2618" spans="20:39" x14ac:dyDescent="0.2">
      <c r="T2618" s="29" t="s">
        <v>897</v>
      </c>
      <c r="U2618" s="69" t="s">
        <v>63</v>
      </c>
      <c r="V2618" s="72" t="str">
        <f t="shared" si="40"/>
        <v>TX_GRAYSON</v>
      </c>
      <c r="AJ2618" s="1" t="s">
        <v>63</v>
      </c>
      <c r="AK2618" s="1" t="s">
        <v>562</v>
      </c>
      <c r="AL2618" s="1" t="s">
        <v>7890</v>
      </c>
      <c r="AM2618" s="1" t="s">
        <v>4932</v>
      </c>
    </row>
    <row r="2619" spans="20:39" x14ac:dyDescent="0.2">
      <c r="T2619" s="28" t="s">
        <v>1769</v>
      </c>
      <c r="U2619" s="68" t="s">
        <v>63</v>
      </c>
      <c r="V2619" s="72" t="str">
        <f t="shared" si="40"/>
        <v>TX_GREGG</v>
      </c>
      <c r="AJ2619" s="1" t="s">
        <v>63</v>
      </c>
      <c r="AK2619" s="1" t="s">
        <v>222</v>
      </c>
      <c r="AL2619" s="1" t="s">
        <v>7891</v>
      </c>
      <c r="AM2619" s="1" t="s">
        <v>4933</v>
      </c>
    </row>
    <row r="2620" spans="20:39" x14ac:dyDescent="0.2">
      <c r="T2620" s="29" t="s">
        <v>1770</v>
      </c>
      <c r="U2620" s="69" t="s">
        <v>63</v>
      </c>
      <c r="V2620" s="72" t="str">
        <f t="shared" si="40"/>
        <v>TX_GRIMES</v>
      </c>
      <c r="AJ2620" s="1" t="s">
        <v>63</v>
      </c>
      <c r="AK2620" s="1" t="s">
        <v>1757</v>
      </c>
      <c r="AL2620" s="1" t="s">
        <v>7892</v>
      </c>
      <c r="AM2620" s="1" t="s">
        <v>4934</v>
      </c>
    </row>
    <row r="2621" spans="20:39" x14ac:dyDescent="0.2">
      <c r="T2621" s="28" t="s">
        <v>1345</v>
      </c>
      <c r="U2621" s="68" t="s">
        <v>63</v>
      </c>
      <c r="V2621" s="72" t="str">
        <f t="shared" si="40"/>
        <v>TX_GUADALUPE</v>
      </c>
      <c r="AJ2621" s="1" t="s">
        <v>63</v>
      </c>
      <c r="AK2621" s="1" t="s">
        <v>563</v>
      </c>
      <c r="AL2621" s="1" t="s">
        <v>7893</v>
      </c>
      <c r="AM2621" s="1" t="s">
        <v>4935</v>
      </c>
    </row>
    <row r="2622" spans="20:39" x14ac:dyDescent="0.2">
      <c r="T2622" s="29" t="s">
        <v>226</v>
      </c>
      <c r="U2622" s="69" t="s">
        <v>63</v>
      </c>
      <c r="V2622" s="72" t="str">
        <f t="shared" si="40"/>
        <v>TX_HALE</v>
      </c>
      <c r="AJ2622" s="1" t="s">
        <v>63</v>
      </c>
      <c r="AK2622" s="1" t="s">
        <v>1758</v>
      </c>
      <c r="AL2622" s="1" t="s">
        <v>7894</v>
      </c>
      <c r="AM2622" s="1" t="s">
        <v>4936</v>
      </c>
    </row>
    <row r="2623" spans="20:39" x14ac:dyDescent="0.2">
      <c r="T2623" s="28" t="s">
        <v>572</v>
      </c>
      <c r="U2623" s="68" t="s">
        <v>63</v>
      </c>
      <c r="V2623" s="72" t="str">
        <f t="shared" si="40"/>
        <v>TX_HALL</v>
      </c>
      <c r="AJ2623" s="1" t="s">
        <v>63</v>
      </c>
      <c r="AK2623" s="1" t="s">
        <v>1759</v>
      </c>
      <c r="AL2623" s="1" t="s">
        <v>7895</v>
      </c>
      <c r="AM2623" s="1" t="s">
        <v>4961</v>
      </c>
    </row>
    <row r="2624" spans="20:39" x14ac:dyDescent="0.2">
      <c r="T2624" s="29" t="s">
        <v>491</v>
      </c>
      <c r="U2624" s="69" t="s">
        <v>63</v>
      </c>
      <c r="V2624" s="72" t="str">
        <f t="shared" si="40"/>
        <v>TX_HAMILTON</v>
      </c>
      <c r="AJ2624" s="1" t="s">
        <v>63</v>
      </c>
      <c r="AK2624" s="1" t="s">
        <v>223</v>
      </c>
      <c r="AL2624" s="1" t="s">
        <v>7896</v>
      </c>
      <c r="AM2624" s="1" t="s">
        <v>4938</v>
      </c>
    </row>
    <row r="2625" spans="20:39" x14ac:dyDescent="0.2">
      <c r="T2625" s="28" t="s">
        <v>1771</v>
      </c>
      <c r="U2625" s="68" t="s">
        <v>63</v>
      </c>
      <c r="V2625" s="72" t="str">
        <f t="shared" si="40"/>
        <v>TX_HANSFORD</v>
      </c>
      <c r="AJ2625" s="1" t="s">
        <v>63</v>
      </c>
      <c r="AK2625" s="1" t="s">
        <v>1760</v>
      </c>
      <c r="AL2625" s="1" t="s">
        <v>7897</v>
      </c>
      <c r="AM2625" s="1" t="s">
        <v>4939</v>
      </c>
    </row>
    <row r="2626" spans="20:39" x14ac:dyDescent="0.2">
      <c r="T2626" s="29" t="s">
        <v>1690</v>
      </c>
      <c r="U2626" s="69" t="s">
        <v>63</v>
      </c>
      <c r="V2626" s="72" t="str">
        <f t="shared" si="40"/>
        <v>TX_HARDEMAN</v>
      </c>
      <c r="AJ2626" s="1" t="s">
        <v>63</v>
      </c>
      <c r="AK2626" s="1" t="s">
        <v>1761</v>
      </c>
      <c r="AL2626" s="1" t="s">
        <v>7898</v>
      </c>
      <c r="AM2626" s="1" t="s">
        <v>4940</v>
      </c>
    </row>
    <row r="2627" spans="20:39" x14ac:dyDescent="0.2">
      <c r="T2627" s="28" t="s">
        <v>685</v>
      </c>
      <c r="U2627" s="68" t="s">
        <v>63</v>
      </c>
      <c r="V2627" s="72" t="str">
        <f t="shared" si="40"/>
        <v>TX_HARDIN</v>
      </c>
      <c r="AJ2627" s="1" t="s">
        <v>63</v>
      </c>
      <c r="AK2627" s="1" t="s">
        <v>1762</v>
      </c>
      <c r="AL2627" s="1" t="s">
        <v>7899</v>
      </c>
      <c r="AM2627" s="1" t="s">
        <v>4941</v>
      </c>
    </row>
    <row r="2628" spans="20:39" x14ac:dyDescent="0.2">
      <c r="T2628" s="29" t="s">
        <v>575</v>
      </c>
      <c r="U2628" s="69" t="s">
        <v>63</v>
      </c>
      <c r="V2628" s="72" t="str">
        <f t="shared" si="40"/>
        <v>TX_HARRIS</v>
      </c>
      <c r="AJ2628" s="1" t="s">
        <v>63</v>
      </c>
      <c r="AK2628" s="1" t="s">
        <v>1763</v>
      </c>
      <c r="AL2628" s="1" t="s">
        <v>7900</v>
      </c>
      <c r="AM2628" s="1" t="s">
        <v>4961</v>
      </c>
    </row>
    <row r="2629" spans="20:39" x14ac:dyDescent="0.2">
      <c r="T2629" s="28" t="s">
        <v>732</v>
      </c>
      <c r="U2629" s="68" t="s">
        <v>63</v>
      </c>
      <c r="V2629" s="72" t="str">
        <f t="shared" si="40"/>
        <v>TX_HARRISON</v>
      </c>
      <c r="AJ2629" s="1" t="s">
        <v>63</v>
      </c>
      <c r="AK2629" s="1" t="s">
        <v>1764</v>
      </c>
      <c r="AL2629" s="1" t="s">
        <v>7901</v>
      </c>
      <c r="AM2629" s="1" t="s">
        <v>9264</v>
      </c>
    </row>
    <row r="2630" spans="20:39" x14ac:dyDescent="0.2">
      <c r="T2630" s="29" t="s">
        <v>1772</v>
      </c>
      <c r="U2630" s="69" t="s">
        <v>63</v>
      </c>
      <c r="V2630" s="72" t="str">
        <f t="shared" si="40"/>
        <v>TX_HARTLEY</v>
      </c>
      <c r="AJ2630" s="1" t="s">
        <v>63</v>
      </c>
      <c r="AK2630" s="1" t="s">
        <v>1765</v>
      </c>
      <c r="AL2630" s="1" t="s">
        <v>7902</v>
      </c>
      <c r="AM2630" s="1" t="s">
        <v>4942</v>
      </c>
    </row>
    <row r="2631" spans="20:39" x14ac:dyDescent="0.2">
      <c r="T2631" s="28" t="s">
        <v>831</v>
      </c>
      <c r="U2631" s="68" t="s">
        <v>63</v>
      </c>
      <c r="V2631" s="72" t="str">
        <f t="shared" si="40"/>
        <v>TX_HASKELL</v>
      </c>
      <c r="AJ2631" s="1" t="s">
        <v>63</v>
      </c>
      <c r="AK2631" s="1" t="s">
        <v>1766</v>
      </c>
      <c r="AL2631" s="1" t="s">
        <v>7903</v>
      </c>
      <c r="AM2631" s="1" t="s">
        <v>4943</v>
      </c>
    </row>
    <row r="2632" spans="20:39" x14ac:dyDescent="0.2">
      <c r="T2632" s="29" t="s">
        <v>1773</v>
      </c>
      <c r="U2632" s="69" t="s">
        <v>63</v>
      </c>
      <c r="V2632" s="72" t="str">
        <f t="shared" si="40"/>
        <v>TX_HAYS</v>
      </c>
      <c r="AJ2632" s="1" t="s">
        <v>63</v>
      </c>
      <c r="AK2632" s="1" t="s">
        <v>1767</v>
      </c>
      <c r="AL2632" s="1" t="s">
        <v>7904</v>
      </c>
      <c r="AM2632" s="1" t="s">
        <v>5065</v>
      </c>
    </row>
    <row r="2633" spans="20:39" x14ac:dyDescent="0.2">
      <c r="T2633" s="28" t="s">
        <v>1774</v>
      </c>
      <c r="U2633" s="68" t="s">
        <v>63</v>
      </c>
      <c r="V2633" s="72" t="str">
        <f t="shared" si="40"/>
        <v>TX_HEMPHILL</v>
      </c>
      <c r="AJ2633" s="1" t="s">
        <v>63</v>
      </c>
      <c r="AK2633" s="1" t="s">
        <v>1768</v>
      </c>
      <c r="AL2633" s="1" t="s">
        <v>7905</v>
      </c>
      <c r="AM2633" s="1" t="s">
        <v>4944</v>
      </c>
    </row>
    <row r="2634" spans="20:39" x14ac:dyDescent="0.2">
      <c r="T2634" s="29" t="s">
        <v>686</v>
      </c>
      <c r="U2634" s="69" t="s">
        <v>63</v>
      </c>
      <c r="V2634" s="72" t="str">
        <f t="shared" ref="V2634:V2697" si="41">UPPER(CONCATENATE(TRIM(U2634),"_",TRIM(T2634)))</f>
        <v>TX_HENDERSON</v>
      </c>
      <c r="AJ2634" s="1" t="s">
        <v>63</v>
      </c>
      <c r="AK2634" s="1" t="s">
        <v>826</v>
      </c>
      <c r="AL2634" s="1" t="s">
        <v>7906</v>
      </c>
      <c r="AM2634" s="1" t="s">
        <v>4945</v>
      </c>
    </row>
    <row r="2635" spans="20:39" x14ac:dyDescent="0.2">
      <c r="T2635" s="28" t="s">
        <v>1347</v>
      </c>
      <c r="U2635" s="68" t="s">
        <v>63</v>
      </c>
      <c r="V2635" s="72" t="str">
        <f t="shared" si="41"/>
        <v>TX_HIDALGO</v>
      </c>
      <c r="AJ2635" s="1" t="s">
        <v>63</v>
      </c>
      <c r="AK2635" s="1" t="s">
        <v>897</v>
      </c>
      <c r="AL2635" s="1" t="s">
        <v>7907</v>
      </c>
      <c r="AM2635" s="1" t="s">
        <v>5047</v>
      </c>
    </row>
    <row r="2636" spans="20:39" x14ac:dyDescent="0.2">
      <c r="T2636" s="29" t="s">
        <v>1246</v>
      </c>
      <c r="U2636" s="69" t="s">
        <v>63</v>
      </c>
      <c r="V2636" s="72" t="str">
        <f t="shared" si="41"/>
        <v>TX_HILL</v>
      </c>
      <c r="AJ2636" s="1" t="s">
        <v>63</v>
      </c>
      <c r="AK2636" s="1" t="s">
        <v>1769</v>
      </c>
      <c r="AL2636" s="1" t="s">
        <v>7908</v>
      </c>
      <c r="AM2636" s="1" t="s">
        <v>4994</v>
      </c>
    </row>
    <row r="2637" spans="20:39" x14ac:dyDescent="0.2">
      <c r="T2637" s="28" t="s">
        <v>1775</v>
      </c>
      <c r="U2637" s="68" t="s">
        <v>63</v>
      </c>
      <c r="V2637" s="72" t="str">
        <f t="shared" si="41"/>
        <v>TX_HOCKLEY</v>
      </c>
      <c r="AJ2637" s="1" t="s">
        <v>63</v>
      </c>
      <c r="AK2637" s="1" t="s">
        <v>1770</v>
      </c>
      <c r="AL2637" s="1" t="s">
        <v>7909</v>
      </c>
      <c r="AM2637" s="1" t="s">
        <v>4946</v>
      </c>
    </row>
    <row r="2638" spans="20:39" x14ac:dyDescent="0.2">
      <c r="T2638" s="29" t="s">
        <v>1776</v>
      </c>
      <c r="U2638" s="69" t="s">
        <v>63</v>
      </c>
      <c r="V2638" s="72" t="str">
        <f t="shared" si="41"/>
        <v>TX_HOOD</v>
      </c>
      <c r="AJ2638" s="1" t="s">
        <v>63</v>
      </c>
      <c r="AK2638" s="1" t="s">
        <v>1345</v>
      </c>
      <c r="AL2638" s="1" t="s">
        <v>7910</v>
      </c>
      <c r="AM2638" s="1" t="s">
        <v>5039</v>
      </c>
    </row>
    <row r="2639" spans="20:39" x14ac:dyDescent="0.2">
      <c r="T2639" s="28" t="s">
        <v>902</v>
      </c>
      <c r="U2639" s="68" t="s">
        <v>63</v>
      </c>
      <c r="V2639" s="72" t="str">
        <f t="shared" si="41"/>
        <v>TX_HOPKINS</v>
      </c>
      <c r="AJ2639" s="1" t="s">
        <v>63</v>
      </c>
      <c r="AK2639" s="1" t="s">
        <v>226</v>
      </c>
      <c r="AL2639" s="1" t="s">
        <v>7911</v>
      </c>
      <c r="AM2639" s="1" t="s">
        <v>4947</v>
      </c>
    </row>
    <row r="2640" spans="20:39" x14ac:dyDescent="0.2">
      <c r="T2640" s="29" t="s">
        <v>228</v>
      </c>
      <c r="U2640" s="69" t="s">
        <v>63</v>
      </c>
      <c r="V2640" s="72" t="str">
        <f t="shared" si="41"/>
        <v>TX_HOUSTON</v>
      </c>
      <c r="AJ2640" s="1" t="s">
        <v>63</v>
      </c>
      <c r="AK2640" s="1" t="s">
        <v>572</v>
      </c>
      <c r="AL2640" s="1" t="s">
        <v>7912</v>
      </c>
      <c r="AM2640" s="1" t="s">
        <v>4948</v>
      </c>
    </row>
    <row r="2641" spans="20:39" x14ac:dyDescent="0.2">
      <c r="T2641" s="28" t="s">
        <v>317</v>
      </c>
      <c r="U2641" s="68" t="s">
        <v>63</v>
      </c>
      <c r="V2641" s="72" t="str">
        <f t="shared" si="41"/>
        <v>TX_HOWARD</v>
      </c>
      <c r="AJ2641" s="1" t="s">
        <v>63</v>
      </c>
      <c r="AK2641" s="1" t="s">
        <v>491</v>
      </c>
      <c r="AL2641" s="1" t="s">
        <v>7913</v>
      </c>
      <c r="AM2641" s="1" t="s">
        <v>4949</v>
      </c>
    </row>
    <row r="2642" spans="20:39" x14ac:dyDescent="0.2">
      <c r="T2642" s="29" t="s">
        <v>1777</v>
      </c>
      <c r="U2642" s="69" t="s">
        <v>63</v>
      </c>
      <c r="V2642" s="72" t="str">
        <f t="shared" si="41"/>
        <v>TX_HUDSPETH</v>
      </c>
      <c r="AJ2642" s="1" t="s">
        <v>63</v>
      </c>
      <c r="AK2642" s="1" t="s">
        <v>1771</v>
      </c>
      <c r="AL2642" s="1" t="s">
        <v>7914</v>
      </c>
      <c r="AM2642" s="1" t="s">
        <v>4950</v>
      </c>
    </row>
    <row r="2643" spans="20:39" x14ac:dyDescent="0.2">
      <c r="T2643" s="28" t="s">
        <v>1778</v>
      </c>
      <c r="U2643" s="68" t="s">
        <v>63</v>
      </c>
      <c r="V2643" s="72" t="str">
        <f t="shared" si="41"/>
        <v>TX_HUNT</v>
      </c>
      <c r="AJ2643" s="1" t="s">
        <v>63</v>
      </c>
      <c r="AK2643" s="1" t="s">
        <v>1690</v>
      </c>
      <c r="AL2643" s="1" t="s">
        <v>7915</v>
      </c>
      <c r="AM2643" s="1" t="s">
        <v>4951</v>
      </c>
    </row>
    <row r="2644" spans="20:39" x14ac:dyDescent="0.2">
      <c r="T2644" s="29" t="s">
        <v>1661</v>
      </c>
      <c r="U2644" s="69" t="s">
        <v>63</v>
      </c>
      <c r="V2644" s="72" t="str">
        <f t="shared" si="41"/>
        <v>TX_HUTCHINSON</v>
      </c>
      <c r="AJ2644" s="1" t="s">
        <v>63</v>
      </c>
      <c r="AK2644" s="1" t="s">
        <v>685</v>
      </c>
      <c r="AL2644" s="1" t="s">
        <v>7916</v>
      </c>
      <c r="AM2644" s="1" t="s">
        <v>4888</v>
      </c>
    </row>
    <row r="2645" spans="20:39" x14ac:dyDescent="0.2">
      <c r="T2645" s="28" t="s">
        <v>1779</v>
      </c>
      <c r="U2645" s="68" t="s">
        <v>63</v>
      </c>
      <c r="V2645" s="72" t="str">
        <f t="shared" si="41"/>
        <v>TX_IRION</v>
      </c>
      <c r="AJ2645" s="1" t="s">
        <v>63</v>
      </c>
      <c r="AK2645" s="1" t="s">
        <v>575</v>
      </c>
      <c r="AL2645" s="1" t="s">
        <v>7917</v>
      </c>
      <c r="AM2645" s="1" t="s">
        <v>4961</v>
      </c>
    </row>
    <row r="2646" spans="20:39" x14ac:dyDescent="0.2">
      <c r="T2646" s="29" t="s">
        <v>1780</v>
      </c>
      <c r="U2646" s="69" t="s">
        <v>63</v>
      </c>
      <c r="V2646" s="72" t="str">
        <f t="shared" si="41"/>
        <v>TX_JACK</v>
      </c>
      <c r="AJ2646" s="1" t="s">
        <v>63</v>
      </c>
      <c r="AK2646" s="1" t="s">
        <v>732</v>
      </c>
      <c r="AL2646" s="1" t="s">
        <v>7918</v>
      </c>
      <c r="AM2646" s="1" t="s">
        <v>4952</v>
      </c>
    </row>
    <row r="2647" spans="20:39" x14ac:dyDescent="0.2">
      <c r="T2647" s="28" t="s">
        <v>229</v>
      </c>
      <c r="U2647" s="68" t="s">
        <v>63</v>
      </c>
      <c r="V2647" s="72" t="str">
        <f t="shared" si="41"/>
        <v>TX_JACKSON</v>
      </c>
      <c r="AJ2647" s="1" t="s">
        <v>63</v>
      </c>
      <c r="AK2647" s="1" t="s">
        <v>1772</v>
      </c>
      <c r="AL2647" s="1" t="s">
        <v>7919</v>
      </c>
      <c r="AM2647" s="1" t="s">
        <v>4953</v>
      </c>
    </row>
    <row r="2648" spans="20:39" x14ac:dyDescent="0.2">
      <c r="T2648" s="29" t="s">
        <v>579</v>
      </c>
      <c r="U2648" s="69" t="s">
        <v>63</v>
      </c>
      <c r="V2648" s="72" t="str">
        <f t="shared" si="41"/>
        <v>TX_JASPER</v>
      </c>
      <c r="AJ2648" s="1" t="s">
        <v>63</v>
      </c>
      <c r="AK2648" s="1" t="s">
        <v>831</v>
      </c>
      <c r="AL2648" s="1" t="s">
        <v>7920</v>
      </c>
      <c r="AM2648" s="1" t="s">
        <v>4954</v>
      </c>
    </row>
    <row r="2649" spans="20:39" x14ac:dyDescent="0.2">
      <c r="T2649" s="28" t="s">
        <v>580</v>
      </c>
      <c r="U2649" s="68" t="s">
        <v>63</v>
      </c>
      <c r="V2649" s="72" t="str">
        <f t="shared" si="41"/>
        <v>TX_JEFF DAVIS</v>
      </c>
      <c r="AJ2649" s="1" t="s">
        <v>63</v>
      </c>
      <c r="AK2649" s="1" t="s">
        <v>1773</v>
      </c>
      <c r="AL2649" s="1" t="s">
        <v>7921</v>
      </c>
      <c r="AM2649" s="1" t="s">
        <v>9261</v>
      </c>
    </row>
    <row r="2650" spans="20:39" x14ac:dyDescent="0.2">
      <c r="T2650" s="29" t="s">
        <v>230</v>
      </c>
      <c r="U2650" s="69" t="s">
        <v>63</v>
      </c>
      <c r="V2650" s="72" t="str">
        <f t="shared" si="41"/>
        <v>TX_JEFFERSON</v>
      </c>
      <c r="AJ2650" s="1" t="s">
        <v>63</v>
      </c>
      <c r="AK2650" s="1" t="s">
        <v>1774</v>
      </c>
      <c r="AL2650" s="1" t="s">
        <v>7922</v>
      </c>
      <c r="AM2650" s="1" t="s">
        <v>4955</v>
      </c>
    </row>
    <row r="2651" spans="20:39" x14ac:dyDescent="0.2">
      <c r="T2651" s="28" t="s">
        <v>1781</v>
      </c>
      <c r="U2651" s="68" t="s">
        <v>63</v>
      </c>
      <c r="V2651" s="72" t="str">
        <f t="shared" si="41"/>
        <v>TX_JIM HOGG</v>
      </c>
      <c r="AJ2651" s="1" t="s">
        <v>63</v>
      </c>
      <c r="AK2651" s="1" t="s">
        <v>686</v>
      </c>
      <c r="AL2651" s="1" t="s">
        <v>7923</v>
      </c>
      <c r="AM2651" s="1" t="s">
        <v>4956</v>
      </c>
    </row>
    <row r="2652" spans="20:39" x14ac:dyDescent="0.2">
      <c r="T2652" s="29" t="s">
        <v>1782</v>
      </c>
      <c r="U2652" s="69" t="s">
        <v>63</v>
      </c>
      <c r="V2652" s="72" t="str">
        <f t="shared" si="41"/>
        <v>TX_JIM WELLS</v>
      </c>
      <c r="AJ2652" s="1" t="s">
        <v>63</v>
      </c>
      <c r="AK2652" s="1" t="s">
        <v>1347</v>
      </c>
      <c r="AL2652" s="1" t="s">
        <v>7924</v>
      </c>
      <c r="AM2652" s="1" t="s">
        <v>5003</v>
      </c>
    </row>
    <row r="2653" spans="20:39" x14ac:dyDescent="0.2">
      <c r="T2653" s="28" t="s">
        <v>320</v>
      </c>
      <c r="U2653" s="68" t="s">
        <v>63</v>
      </c>
      <c r="V2653" s="72" t="str">
        <f t="shared" si="41"/>
        <v>TX_JOHNSON</v>
      </c>
      <c r="AJ2653" s="1" t="s">
        <v>63</v>
      </c>
      <c r="AK2653" s="1" t="s">
        <v>1246</v>
      </c>
      <c r="AL2653" s="1" t="s">
        <v>7925</v>
      </c>
      <c r="AM2653" s="1" t="s">
        <v>4957</v>
      </c>
    </row>
    <row r="2654" spans="20:39" x14ac:dyDescent="0.2">
      <c r="T2654" s="29" t="s">
        <v>582</v>
      </c>
      <c r="U2654" s="69" t="s">
        <v>63</v>
      </c>
      <c r="V2654" s="72" t="str">
        <f t="shared" si="41"/>
        <v>TX_JONES</v>
      </c>
      <c r="AJ2654" s="1" t="s">
        <v>63</v>
      </c>
      <c r="AK2654" s="1" t="s">
        <v>1775</v>
      </c>
      <c r="AL2654" s="1" t="s">
        <v>7926</v>
      </c>
      <c r="AM2654" s="1" t="s">
        <v>9265</v>
      </c>
    </row>
    <row r="2655" spans="20:39" x14ac:dyDescent="0.2">
      <c r="T2655" s="28" t="s">
        <v>1783</v>
      </c>
      <c r="U2655" s="68" t="s">
        <v>63</v>
      </c>
      <c r="V2655" s="72" t="str">
        <f t="shared" si="41"/>
        <v>TX_KARNES</v>
      </c>
      <c r="AJ2655" s="1" t="s">
        <v>63</v>
      </c>
      <c r="AK2655" s="1" t="s">
        <v>1776</v>
      </c>
      <c r="AL2655" s="1" t="s">
        <v>7927</v>
      </c>
      <c r="AM2655" s="1" t="s">
        <v>4958</v>
      </c>
    </row>
    <row r="2656" spans="20:39" x14ac:dyDescent="0.2">
      <c r="T2656" s="29" t="s">
        <v>1784</v>
      </c>
      <c r="U2656" s="69" t="s">
        <v>63</v>
      </c>
      <c r="V2656" s="72" t="str">
        <f t="shared" si="41"/>
        <v>TX_KAUFMAN</v>
      </c>
      <c r="AJ2656" s="1" t="s">
        <v>63</v>
      </c>
      <c r="AK2656" s="1" t="s">
        <v>902</v>
      </c>
      <c r="AL2656" s="1" t="s">
        <v>7928</v>
      </c>
      <c r="AM2656" s="1" t="s">
        <v>4959</v>
      </c>
    </row>
    <row r="2657" spans="20:39" x14ac:dyDescent="0.2">
      <c r="T2657" s="28" t="s">
        <v>692</v>
      </c>
      <c r="U2657" s="68" t="s">
        <v>63</v>
      </c>
      <c r="V2657" s="72" t="str">
        <f t="shared" si="41"/>
        <v>TX_KENDALL</v>
      </c>
      <c r="AJ2657" s="1" t="s">
        <v>63</v>
      </c>
      <c r="AK2657" s="1" t="s">
        <v>228</v>
      </c>
      <c r="AL2657" s="1" t="s">
        <v>7929</v>
      </c>
      <c r="AM2657" s="1" t="s">
        <v>4960</v>
      </c>
    </row>
    <row r="2658" spans="20:39" x14ac:dyDescent="0.2">
      <c r="T2658" s="29" t="s">
        <v>1785</v>
      </c>
      <c r="U2658" s="69" t="s">
        <v>63</v>
      </c>
      <c r="V2658" s="72" t="str">
        <f t="shared" si="41"/>
        <v>TX_KENEDY</v>
      </c>
      <c r="AJ2658" s="1" t="s">
        <v>63</v>
      </c>
      <c r="AK2658" s="1" t="s">
        <v>317</v>
      </c>
      <c r="AL2658" s="1" t="s">
        <v>7930</v>
      </c>
      <c r="AM2658" s="1" t="s">
        <v>4962</v>
      </c>
    </row>
    <row r="2659" spans="20:39" x14ac:dyDescent="0.2">
      <c r="T2659" s="28" t="s">
        <v>468</v>
      </c>
      <c r="U2659" s="68" t="s">
        <v>63</v>
      </c>
      <c r="V2659" s="72" t="str">
        <f t="shared" si="41"/>
        <v>TX_KENT</v>
      </c>
      <c r="AJ2659" s="1" t="s">
        <v>63</v>
      </c>
      <c r="AK2659" s="1" t="s">
        <v>1777</v>
      </c>
      <c r="AL2659" s="1" t="s">
        <v>7931</v>
      </c>
      <c r="AM2659" s="1" t="s">
        <v>4963</v>
      </c>
    </row>
    <row r="2660" spans="20:39" x14ac:dyDescent="0.2">
      <c r="T2660" s="29" t="s">
        <v>1786</v>
      </c>
      <c r="U2660" s="69" t="s">
        <v>63</v>
      </c>
      <c r="V2660" s="72" t="str">
        <f t="shared" si="41"/>
        <v>TX_KERR</v>
      </c>
      <c r="AJ2660" s="1" t="s">
        <v>63</v>
      </c>
      <c r="AK2660" s="1" t="s">
        <v>1778</v>
      </c>
      <c r="AL2660" s="1" t="s">
        <v>7932</v>
      </c>
      <c r="AM2660" s="1" t="s">
        <v>4918</v>
      </c>
    </row>
    <row r="2661" spans="20:39" x14ac:dyDescent="0.2">
      <c r="T2661" s="28" t="s">
        <v>1787</v>
      </c>
      <c r="U2661" s="68" t="s">
        <v>63</v>
      </c>
      <c r="V2661" s="72" t="str">
        <f t="shared" si="41"/>
        <v>TX_KIMBLE</v>
      </c>
      <c r="AJ2661" s="1" t="s">
        <v>63</v>
      </c>
      <c r="AK2661" s="1" t="s">
        <v>1661</v>
      </c>
      <c r="AL2661" s="1" t="s">
        <v>7933</v>
      </c>
      <c r="AM2661" s="1" t="s">
        <v>4964</v>
      </c>
    </row>
    <row r="2662" spans="20:39" x14ac:dyDescent="0.2">
      <c r="T2662" s="29" t="s">
        <v>1788</v>
      </c>
      <c r="U2662" s="69" t="s">
        <v>63</v>
      </c>
      <c r="V2662" s="72" t="str">
        <f t="shared" si="41"/>
        <v>TX_KING</v>
      </c>
      <c r="AJ2662" s="1" t="s">
        <v>63</v>
      </c>
      <c r="AK2662" s="1" t="s">
        <v>1779</v>
      </c>
      <c r="AL2662" s="1" t="s">
        <v>7934</v>
      </c>
      <c r="AM2662" s="1" t="s">
        <v>9266</v>
      </c>
    </row>
    <row r="2663" spans="20:39" x14ac:dyDescent="0.2">
      <c r="T2663" s="28" t="s">
        <v>1789</v>
      </c>
      <c r="U2663" s="68" t="s">
        <v>63</v>
      </c>
      <c r="V2663" s="72" t="str">
        <f t="shared" si="41"/>
        <v>TX_KINNEY</v>
      </c>
      <c r="AJ2663" s="1" t="s">
        <v>63</v>
      </c>
      <c r="AK2663" s="1" t="s">
        <v>1780</v>
      </c>
      <c r="AL2663" s="1" t="s">
        <v>7935</v>
      </c>
      <c r="AM2663" s="1" t="s">
        <v>4965</v>
      </c>
    </row>
    <row r="2664" spans="20:39" x14ac:dyDescent="0.2">
      <c r="T2664" s="29" t="s">
        <v>1790</v>
      </c>
      <c r="U2664" s="69" t="s">
        <v>63</v>
      </c>
      <c r="V2664" s="72" t="str">
        <f t="shared" si="41"/>
        <v>TX_KLEBERG</v>
      </c>
      <c r="AJ2664" s="1" t="s">
        <v>63</v>
      </c>
      <c r="AK2664" s="1" t="s">
        <v>229</v>
      </c>
      <c r="AL2664" s="1" t="s">
        <v>7936</v>
      </c>
      <c r="AM2664" s="1" t="s">
        <v>4966</v>
      </c>
    </row>
    <row r="2665" spans="20:39" x14ac:dyDescent="0.2">
      <c r="T2665" s="28" t="s">
        <v>693</v>
      </c>
      <c r="U2665" s="68" t="s">
        <v>63</v>
      </c>
      <c r="V2665" s="72" t="str">
        <f t="shared" si="41"/>
        <v>TX_KNOX</v>
      </c>
      <c r="AJ2665" s="1" t="s">
        <v>63</v>
      </c>
      <c r="AK2665" s="1" t="s">
        <v>579</v>
      </c>
      <c r="AL2665" s="1" t="s">
        <v>7937</v>
      </c>
      <c r="AM2665" s="1" t="s">
        <v>4967</v>
      </c>
    </row>
    <row r="2666" spans="20:39" x14ac:dyDescent="0.2">
      <c r="T2666" s="29" t="s">
        <v>231</v>
      </c>
      <c r="U2666" s="69" t="s">
        <v>63</v>
      </c>
      <c r="V2666" s="72" t="str">
        <f t="shared" si="41"/>
        <v>TX_LAMAR</v>
      </c>
      <c r="AJ2666" s="1" t="s">
        <v>63</v>
      </c>
      <c r="AK2666" s="1" t="s">
        <v>580</v>
      </c>
      <c r="AL2666" s="1" t="s">
        <v>7938</v>
      </c>
      <c r="AM2666" s="1" t="s">
        <v>4968</v>
      </c>
    </row>
    <row r="2667" spans="20:39" x14ac:dyDescent="0.2">
      <c r="T2667" s="28" t="s">
        <v>1791</v>
      </c>
      <c r="U2667" s="68" t="s">
        <v>63</v>
      </c>
      <c r="V2667" s="72" t="str">
        <f t="shared" si="41"/>
        <v>TX_LAMB</v>
      </c>
      <c r="AJ2667" s="1" t="s">
        <v>63</v>
      </c>
      <c r="AK2667" s="1" t="s">
        <v>230</v>
      </c>
      <c r="AL2667" s="1" t="s">
        <v>7939</v>
      </c>
      <c r="AM2667" s="1" t="s">
        <v>4888</v>
      </c>
    </row>
    <row r="2668" spans="20:39" x14ac:dyDescent="0.2">
      <c r="T2668" s="29" t="s">
        <v>1792</v>
      </c>
      <c r="U2668" s="69" t="s">
        <v>63</v>
      </c>
      <c r="V2668" s="72" t="str">
        <f t="shared" si="41"/>
        <v>TX_LAMPASAS</v>
      </c>
      <c r="AJ2668" s="1" t="s">
        <v>63</v>
      </c>
      <c r="AK2668" s="1" t="s">
        <v>1781</v>
      </c>
      <c r="AL2668" s="1" t="s">
        <v>7940</v>
      </c>
      <c r="AM2668" s="1" t="s">
        <v>4969</v>
      </c>
    </row>
    <row r="2669" spans="20:39" x14ac:dyDescent="0.2">
      <c r="T2669" s="28" t="s">
        <v>694</v>
      </c>
      <c r="U2669" s="68" t="s">
        <v>63</v>
      </c>
      <c r="V2669" s="72" t="str">
        <f t="shared" si="41"/>
        <v>TX_LA SALLE</v>
      </c>
      <c r="AJ2669" s="1" t="s">
        <v>63</v>
      </c>
      <c r="AK2669" s="1" t="s">
        <v>1782</v>
      </c>
      <c r="AL2669" s="1" t="s">
        <v>7941</v>
      </c>
      <c r="AM2669" s="1" t="s">
        <v>4970</v>
      </c>
    </row>
    <row r="2670" spans="20:39" x14ac:dyDescent="0.2">
      <c r="T2670" s="29" t="s">
        <v>1793</v>
      </c>
      <c r="U2670" s="69" t="s">
        <v>63</v>
      </c>
      <c r="V2670" s="72" t="str">
        <f t="shared" si="41"/>
        <v>TX_LAVACA</v>
      </c>
      <c r="AJ2670" s="1" t="s">
        <v>63</v>
      </c>
      <c r="AK2670" s="1" t="s">
        <v>320</v>
      </c>
      <c r="AL2670" s="1" t="s">
        <v>7942</v>
      </c>
      <c r="AM2670" s="1" t="s">
        <v>4937</v>
      </c>
    </row>
    <row r="2671" spans="20:39" x14ac:dyDescent="0.2">
      <c r="T2671" s="28" t="s">
        <v>234</v>
      </c>
      <c r="U2671" s="68" t="s">
        <v>63</v>
      </c>
      <c r="V2671" s="72" t="str">
        <f t="shared" si="41"/>
        <v>TX_LEE</v>
      </c>
      <c r="AJ2671" s="1" t="s">
        <v>63</v>
      </c>
      <c r="AK2671" s="1" t="s">
        <v>582</v>
      </c>
      <c r="AL2671" s="1" t="s">
        <v>7943</v>
      </c>
      <c r="AM2671" s="1" t="s">
        <v>4879</v>
      </c>
    </row>
    <row r="2672" spans="20:39" x14ac:dyDescent="0.2">
      <c r="T2672" s="29" t="s">
        <v>499</v>
      </c>
      <c r="U2672" s="69" t="s">
        <v>63</v>
      </c>
      <c r="V2672" s="72" t="str">
        <f t="shared" si="41"/>
        <v>TX_LEON</v>
      </c>
      <c r="AJ2672" s="1" t="s">
        <v>63</v>
      </c>
      <c r="AK2672" s="1" t="s">
        <v>1783</v>
      </c>
      <c r="AL2672" s="1" t="s">
        <v>7944</v>
      </c>
      <c r="AM2672" s="1" t="s">
        <v>4971</v>
      </c>
    </row>
    <row r="2673" spans="20:39" x14ac:dyDescent="0.2">
      <c r="T2673" s="28" t="s">
        <v>501</v>
      </c>
      <c r="U2673" s="68" t="s">
        <v>63</v>
      </c>
      <c r="V2673" s="72" t="str">
        <f t="shared" si="41"/>
        <v>TX_LIBERTY</v>
      </c>
      <c r="AJ2673" s="1" t="s">
        <v>63</v>
      </c>
      <c r="AK2673" s="1" t="s">
        <v>1784</v>
      </c>
      <c r="AL2673" s="1" t="s">
        <v>7945</v>
      </c>
      <c r="AM2673" s="1" t="s">
        <v>4918</v>
      </c>
    </row>
    <row r="2674" spans="20:39" x14ac:dyDescent="0.2">
      <c r="T2674" s="29" t="s">
        <v>235</v>
      </c>
      <c r="U2674" s="69" t="s">
        <v>63</v>
      </c>
      <c r="V2674" s="72" t="str">
        <f t="shared" si="41"/>
        <v>TX_LIMESTONE</v>
      </c>
      <c r="AJ2674" s="1" t="s">
        <v>63</v>
      </c>
      <c r="AK2674" s="1" t="s">
        <v>692</v>
      </c>
      <c r="AL2674" s="1" t="s">
        <v>7946</v>
      </c>
      <c r="AM2674" s="1" t="s">
        <v>4972</v>
      </c>
    </row>
    <row r="2675" spans="20:39" x14ac:dyDescent="0.2">
      <c r="T2675" s="28" t="s">
        <v>1794</v>
      </c>
      <c r="U2675" s="68" t="s">
        <v>63</v>
      </c>
      <c r="V2675" s="72" t="str">
        <f t="shared" si="41"/>
        <v>TX_LIPSCOMB</v>
      </c>
      <c r="AJ2675" s="1" t="s">
        <v>63</v>
      </c>
      <c r="AK2675" s="1" t="s">
        <v>1785</v>
      </c>
      <c r="AL2675" s="1" t="s">
        <v>7947</v>
      </c>
      <c r="AM2675" s="1" t="s">
        <v>4973</v>
      </c>
    </row>
    <row r="2676" spans="20:39" x14ac:dyDescent="0.2">
      <c r="T2676" s="29" t="s">
        <v>1795</v>
      </c>
      <c r="U2676" s="69" t="s">
        <v>63</v>
      </c>
      <c r="V2676" s="72" t="str">
        <f t="shared" si="41"/>
        <v>TX_LIVE OAK</v>
      </c>
      <c r="AJ2676" s="1" t="s">
        <v>63</v>
      </c>
      <c r="AK2676" s="1" t="s">
        <v>468</v>
      </c>
      <c r="AL2676" s="1" t="s">
        <v>7948</v>
      </c>
      <c r="AM2676" s="1" t="s">
        <v>4974</v>
      </c>
    </row>
    <row r="2677" spans="20:39" x14ac:dyDescent="0.2">
      <c r="T2677" s="28" t="s">
        <v>1796</v>
      </c>
      <c r="U2677" s="68" t="s">
        <v>63</v>
      </c>
      <c r="V2677" s="72" t="str">
        <f t="shared" si="41"/>
        <v>TX_LLANO</v>
      </c>
      <c r="AJ2677" s="1" t="s">
        <v>63</v>
      </c>
      <c r="AK2677" s="1" t="s">
        <v>1786</v>
      </c>
      <c r="AL2677" s="1" t="s">
        <v>7949</v>
      </c>
      <c r="AM2677" s="1" t="s">
        <v>4975</v>
      </c>
    </row>
    <row r="2678" spans="20:39" x14ac:dyDescent="0.2">
      <c r="T2678" s="29" t="s">
        <v>1797</v>
      </c>
      <c r="U2678" s="69" t="s">
        <v>63</v>
      </c>
      <c r="V2678" s="72" t="str">
        <f t="shared" si="41"/>
        <v>TX_LOVING</v>
      </c>
      <c r="AJ2678" s="1" t="s">
        <v>63</v>
      </c>
      <c r="AK2678" s="1" t="s">
        <v>1787</v>
      </c>
      <c r="AL2678" s="1" t="s">
        <v>7950</v>
      </c>
      <c r="AM2678" s="1" t="s">
        <v>4977</v>
      </c>
    </row>
    <row r="2679" spans="20:39" x14ac:dyDescent="0.2">
      <c r="T2679" s="28" t="s">
        <v>1798</v>
      </c>
      <c r="U2679" s="68" t="s">
        <v>63</v>
      </c>
      <c r="V2679" s="72" t="str">
        <f t="shared" si="41"/>
        <v>TX_LUBBOCK</v>
      </c>
      <c r="AJ2679" s="1" t="s">
        <v>63</v>
      </c>
      <c r="AK2679" s="1" t="s">
        <v>1788</v>
      </c>
      <c r="AL2679" s="1" t="s">
        <v>7951</v>
      </c>
      <c r="AM2679" s="1" t="s">
        <v>4978</v>
      </c>
    </row>
    <row r="2680" spans="20:39" x14ac:dyDescent="0.2">
      <c r="T2680" s="29" t="s">
        <v>1799</v>
      </c>
      <c r="U2680" s="69" t="s">
        <v>63</v>
      </c>
      <c r="V2680" s="72" t="str">
        <f t="shared" si="41"/>
        <v>TX_LYNN</v>
      </c>
      <c r="AJ2680" s="1" t="s">
        <v>63</v>
      </c>
      <c r="AK2680" s="1" t="s">
        <v>1789</v>
      </c>
      <c r="AL2680" s="1" t="s">
        <v>7952</v>
      </c>
      <c r="AM2680" s="1" t="s">
        <v>4979</v>
      </c>
    </row>
    <row r="2681" spans="20:39" x14ac:dyDescent="0.2">
      <c r="T2681" s="28" t="s">
        <v>1800</v>
      </c>
      <c r="U2681" s="68" t="s">
        <v>63</v>
      </c>
      <c r="V2681" s="72" t="str">
        <f t="shared" si="41"/>
        <v>TX_MCCULLOCH</v>
      </c>
      <c r="AJ2681" s="1" t="s">
        <v>63</v>
      </c>
      <c r="AK2681" s="1" t="s">
        <v>1790</v>
      </c>
      <c r="AL2681" s="1" t="s">
        <v>7953</v>
      </c>
      <c r="AM2681" s="1" t="s">
        <v>4980</v>
      </c>
    </row>
    <row r="2682" spans="20:39" x14ac:dyDescent="0.2">
      <c r="T2682" s="29" t="s">
        <v>1801</v>
      </c>
      <c r="U2682" s="69" t="s">
        <v>63</v>
      </c>
      <c r="V2682" s="72" t="str">
        <f t="shared" si="41"/>
        <v>TX_MCLENNAN</v>
      </c>
      <c r="AJ2682" s="1" t="s">
        <v>63</v>
      </c>
      <c r="AK2682" s="1" t="s">
        <v>693</v>
      </c>
      <c r="AL2682" s="1" t="s">
        <v>7954</v>
      </c>
      <c r="AM2682" s="1" t="s">
        <v>4981</v>
      </c>
    </row>
    <row r="2683" spans="20:39" x14ac:dyDescent="0.2">
      <c r="T2683" s="28" t="s">
        <v>1802</v>
      </c>
      <c r="U2683" s="68" t="s">
        <v>63</v>
      </c>
      <c r="V2683" s="72" t="str">
        <f t="shared" si="41"/>
        <v>TX_MCMULLEN</v>
      </c>
      <c r="AJ2683" s="1" t="s">
        <v>63</v>
      </c>
      <c r="AK2683" s="1" t="s">
        <v>694</v>
      </c>
      <c r="AL2683" s="1" t="s">
        <v>7955</v>
      </c>
      <c r="AM2683" s="1" t="s">
        <v>4982</v>
      </c>
    </row>
    <row r="2684" spans="20:39" x14ac:dyDescent="0.2">
      <c r="T2684" s="29" t="s">
        <v>238</v>
      </c>
      <c r="U2684" s="69" t="s">
        <v>63</v>
      </c>
      <c r="V2684" s="72" t="str">
        <f t="shared" si="41"/>
        <v>TX_MADISON</v>
      </c>
      <c r="AJ2684" s="1" t="s">
        <v>63</v>
      </c>
      <c r="AK2684" s="1" t="s">
        <v>231</v>
      </c>
      <c r="AL2684" s="1" t="s">
        <v>7956</v>
      </c>
      <c r="AM2684" s="1" t="s">
        <v>4983</v>
      </c>
    </row>
    <row r="2685" spans="20:39" x14ac:dyDescent="0.2">
      <c r="T2685" s="28" t="s">
        <v>240</v>
      </c>
      <c r="U2685" s="68" t="s">
        <v>63</v>
      </c>
      <c r="V2685" s="72" t="str">
        <f t="shared" si="41"/>
        <v>TX_MARION</v>
      </c>
      <c r="AJ2685" s="1" t="s">
        <v>63</v>
      </c>
      <c r="AK2685" s="1" t="s">
        <v>1791</v>
      </c>
      <c r="AL2685" s="1" t="s">
        <v>7957</v>
      </c>
      <c r="AM2685" s="1" t="s">
        <v>4984</v>
      </c>
    </row>
    <row r="2686" spans="20:39" x14ac:dyDescent="0.2">
      <c r="T2686" s="29" t="s">
        <v>503</v>
      </c>
      <c r="U2686" s="69" t="s">
        <v>63</v>
      </c>
      <c r="V2686" s="72" t="str">
        <f t="shared" si="41"/>
        <v>TX_MARTIN</v>
      </c>
      <c r="AJ2686" s="1" t="s">
        <v>63</v>
      </c>
      <c r="AK2686" s="1" t="s">
        <v>1792</v>
      </c>
      <c r="AL2686" s="1" t="s">
        <v>7958</v>
      </c>
      <c r="AM2686" s="1" t="s">
        <v>4985</v>
      </c>
    </row>
    <row r="2687" spans="20:39" x14ac:dyDescent="0.2">
      <c r="T2687" s="28" t="s">
        <v>700</v>
      </c>
      <c r="U2687" s="68" t="s">
        <v>63</v>
      </c>
      <c r="V2687" s="72" t="str">
        <f t="shared" si="41"/>
        <v>TX_MASON</v>
      </c>
      <c r="AJ2687" s="1" t="s">
        <v>63</v>
      </c>
      <c r="AK2687" s="1" t="s">
        <v>1793</v>
      </c>
      <c r="AL2687" s="1" t="s">
        <v>7959</v>
      </c>
      <c r="AM2687" s="1" t="s">
        <v>4987</v>
      </c>
    </row>
    <row r="2688" spans="20:39" x14ac:dyDescent="0.2">
      <c r="T2688" s="29" t="s">
        <v>1803</v>
      </c>
      <c r="U2688" s="69" t="s">
        <v>63</v>
      </c>
      <c r="V2688" s="72" t="str">
        <f t="shared" si="41"/>
        <v>TX_MATAGORDA</v>
      </c>
      <c r="AJ2688" s="1" t="s">
        <v>63</v>
      </c>
      <c r="AK2688" s="1" t="s">
        <v>234</v>
      </c>
      <c r="AL2688" s="1" t="s">
        <v>7960</v>
      </c>
      <c r="AM2688" s="1" t="s">
        <v>4988</v>
      </c>
    </row>
    <row r="2689" spans="20:39" x14ac:dyDescent="0.2">
      <c r="T2689" s="28" t="s">
        <v>1804</v>
      </c>
      <c r="U2689" s="68" t="s">
        <v>63</v>
      </c>
      <c r="V2689" s="72" t="str">
        <f t="shared" si="41"/>
        <v>TX_MAVERICK</v>
      </c>
      <c r="AJ2689" s="1" t="s">
        <v>63</v>
      </c>
      <c r="AK2689" s="1" t="s">
        <v>499</v>
      </c>
      <c r="AL2689" s="1" t="s">
        <v>7961</v>
      </c>
      <c r="AM2689" s="1" t="s">
        <v>4989</v>
      </c>
    </row>
    <row r="2690" spans="20:39" x14ac:dyDescent="0.2">
      <c r="T2690" s="29" t="s">
        <v>1506</v>
      </c>
      <c r="U2690" s="69" t="s">
        <v>63</v>
      </c>
      <c r="V2690" s="72" t="str">
        <f t="shared" si="41"/>
        <v>TX_MEDINA</v>
      </c>
      <c r="AJ2690" s="1" t="s">
        <v>63</v>
      </c>
      <c r="AK2690" s="1" t="s">
        <v>501</v>
      </c>
      <c r="AL2690" s="1" t="s">
        <v>7962</v>
      </c>
      <c r="AM2690" s="1" t="s">
        <v>4961</v>
      </c>
    </row>
    <row r="2691" spans="20:39" x14ac:dyDescent="0.2">
      <c r="T2691" s="28" t="s">
        <v>702</v>
      </c>
      <c r="U2691" s="68" t="s">
        <v>63</v>
      </c>
      <c r="V2691" s="72" t="str">
        <f t="shared" si="41"/>
        <v>TX_MENARD</v>
      </c>
      <c r="AJ2691" s="1" t="s">
        <v>63</v>
      </c>
      <c r="AK2691" s="1" t="s">
        <v>235</v>
      </c>
      <c r="AL2691" s="1" t="s">
        <v>7963</v>
      </c>
      <c r="AM2691" s="1" t="s">
        <v>4990</v>
      </c>
    </row>
    <row r="2692" spans="20:39" x14ac:dyDescent="0.2">
      <c r="T2692" s="29" t="s">
        <v>1072</v>
      </c>
      <c r="U2692" s="69" t="s">
        <v>63</v>
      </c>
      <c r="V2692" s="72" t="str">
        <f t="shared" si="41"/>
        <v>TX_MIDLAND</v>
      </c>
      <c r="AJ2692" s="1" t="s">
        <v>63</v>
      </c>
      <c r="AK2692" s="1" t="s">
        <v>1794</v>
      </c>
      <c r="AL2692" s="1" t="s">
        <v>7964</v>
      </c>
      <c r="AM2692" s="1" t="s">
        <v>4991</v>
      </c>
    </row>
    <row r="2693" spans="20:39" x14ac:dyDescent="0.2">
      <c r="T2693" s="28" t="s">
        <v>1805</v>
      </c>
      <c r="U2693" s="68" t="s">
        <v>63</v>
      </c>
      <c r="V2693" s="72" t="str">
        <f t="shared" si="41"/>
        <v>TX_MILAM</v>
      </c>
      <c r="AJ2693" s="1" t="s">
        <v>63</v>
      </c>
      <c r="AK2693" s="1" t="s">
        <v>1795</v>
      </c>
      <c r="AL2693" s="1" t="s">
        <v>7965</v>
      </c>
      <c r="AM2693" s="1" t="s">
        <v>4992</v>
      </c>
    </row>
    <row r="2694" spans="20:39" x14ac:dyDescent="0.2">
      <c r="T2694" s="29" t="s">
        <v>789</v>
      </c>
      <c r="U2694" s="69" t="s">
        <v>63</v>
      </c>
      <c r="V2694" s="72" t="str">
        <f t="shared" si="41"/>
        <v>TX_MILLS</v>
      </c>
      <c r="AJ2694" s="1" t="s">
        <v>63</v>
      </c>
      <c r="AK2694" s="1" t="s">
        <v>1796</v>
      </c>
      <c r="AL2694" s="1" t="s">
        <v>7966</v>
      </c>
      <c r="AM2694" s="1" t="s">
        <v>4993</v>
      </c>
    </row>
    <row r="2695" spans="20:39" x14ac:dyDescent="0.2">
      <c r="T2695" s="28" t="s">
        <v>590</v>
      </c>
      <c r="U2695" s="68" t="s">
        <v>63</v>
      </c>
      <c r="V2695" s="72" t="str">
        <f t="shared" si="41"/>
        <v>TX_MITCHELL</v>
      </c>
      <c r="AJ2695" s="1" t="s">
        <v>63</v>
      </c>
      <c r="AK2695" s="1" t="s">
        <v>1797</v>
      </c>
      <c r="AL2695" s="1" t="s">
        <v>7967</v>
      </c>
      <c r="AM2695" s="1" t="s">
        <v>4995</v>
      </c>
    </row>
    <row r="2696" spans="20:39" x14ac:dyDescent="0.2">
      <c r="T2696" s="29" t="s">
        <v>1806</v>
      </c>
      <c r="U2696" s="69" t="s">
        <v>63</v>
      </c>
      <c r="V2696" s="72" t="str">
        <f t="shared" si="41"/>
        <v>TX_MONTAGUE</v>
      </c>
      <c r="AJ2696" s="1" t="s">
        <v>63</v>
      </c>
      <c r="AK2696" s="1" t="s">
        <v>1798</v>
      </c>
      <c r="AL2696" s="1" t="s">
        <v>7968</v>
      </c>
      <c r="AM2696" s="1" t="s">
        <v>4996</v>
      </c>
    </row>
    <row r="2697" spans="20:39" x14ac:dyDescent="0.2">
      <c r="T2697" s="28" t="s">
        <v>244</v>
      </c>
      <c r="U2697" s="68" t="s">
        <v>63</v>
      </c>
      <c r="V2697" s="72" t="str">
        <f t="shared" si="41"/>
        <v>TX_MONTGOMERY</v>
      </c>
      <c r="AJ2697" s="1" t="s">
        <v>63</v>
      </c>
      <c r="AK2697" s="1" t="s">
        <v>1799</v>
      </c>
      <c r="AL2697" s="1" t="s">
        <v>7969</v>
      </c>
      <c r="AM2697" s="1" t="s">
        <v>4997</v>
      </c>
    </row>
    <row r="2698" spans="20:39" x14ac:dyDescent="0.2">
      <c r="T2698" s="29" t="s">
        <v>1431</v>
      </c>
      <c r="U2698" s="69" t="s">
        <v>63</v>
      </c>
      <c r="V2698" s="72" t="str">
        <f t="shared" ref="V2698:V2761" si="42">UPPER(CONCATENATE(TRIM(U2698),"_",TRIM(T2698)))</f>
        <v>TX_MOORE</v>
      </c>
      <c r="AJ2698" s="1" t="s">
        <v>63</v>
      </c>
      <c r="AK2698" s="1" t="s">
        <v>238</v>
      </c>
      <c r="AL2698" s="1" t="s">
        <v>7970</v>
      </c>
      <c r="AM2698" s="1" t="s">
        <v>4998</v>
      </c>
    </row>
    <row r="2699" spans="20:39" x14ac:dyDescent="0.2">
      <c r="T2699" s="28" t="s">
        <v>841</v>
      </c>
      <c r="U2699" s="68" t="s">
        <v>63</v>
      </c>
      <c r="V2699" s="72" t="str">
        <f t="shared" si="42"/>
        <v>TX_MORRIS</v>
      </c>
      <c r="AJ2699" s="1" t="s">
        <v>63</v>
      </c>
      <c r="AK2699" s="1" t="s">
        <v>240</v>
      </c>
      <c r="AL2699" s="1" t="s">
        <v>7971</v>
      </c>
      <c r="AM2699" s="1" t="s">
        <v>4999</v>
      </c>
    </row>
    <row r="2700" spans="20:39" x14ac:dyDescent="0.2">
      <c r="T2700" s="29" t="s">
        <v>1807</v>
      </c>
      <c r="U2700" s="69" t="s">
        <v>63</v>
      </c>
      <c r="V2700" s="72" t="str">
        <f t="shared" si="42"/>
        <v>TX_MOTLEY</v>
      </c>
      <c r="AJ2700" s="1" t="s">
        <v>63</v>
      </c>
      <c r="AK2700" s="1" t="s">
        <v>503</v>
      </c>
      <c r="AL2700" s="1" t="s">
        <v>7972</v>
      </c>
      <c r="AM2700" s="1" t="s">
        <v>5000</v>
      </c>
    </row>
    <row r="2701" spans="20:39" x14ac:dyDescent="0.2">
      <c r="T2701" s="28" t="s">
        <v>1808</v>
      </c>
      <c r="U2701" s="68" t="s">
        <v>63</v>
      </c>
      <c r="V2701" s="72" t="str">
        <f t="shared" si="42"/>
        <v>TX_NACOGDOCHES</v>
      </c>
      <c r="AJ2701" s="1" t="s">
        <v>63</v>
      </c>
      <c r="AK2701" s="1" t="s">
        <v>700</v>
      </c>
      <c r="AL2701" s="1" t="s">
        <v>7973</v>
      </c>
      <c r="AM2701" s="1" t="s">
        <v>5001</v>
      </c>
    </row>
    <row r="2702" spans="20:39" x14ac:dyDescent="0.2">
      <c r="T2702" s="29" t="s">
        <v>1809</v>
      </c>
      <c r="U2702" s="69" t="s">
        <v>63</v>
      </c>
      <c r="V2702" s="72" t="str">
        <f t="shared" si="42"/>
        <v>TX_NAVARRO</v>
      </c>
      <c r="AJ2702" s="1" t="s">
        <v>63</v>
      </c>
      <c r="AK2702" s="1" t="s">
        <v>1803</v>
      </c>
      <c r="AL2702" s="1" t="s">
        <v>7974</v>
      </c>
      <c r="AM2702" s="1" t="s">
        <v>5002</v>
      </c>
    </row>
    <row r="2703" spans="20:39" x14ac:dyDescent="0.2">
      <c r="T2703" s="28" t="s">
        <v>329</v>
      </c>
      <c r="U2703" s="68" t="s">
        <v>63</v>
      </c>
      <c r="V2703" s="72" t="str">
        <f t="shared" si="42"/>
        <v>TX_NEWTON</v>
      </c>
      <c r="AJ2703" s="1" t="s">
        <v>63</v>
      </c>
      <c r="AK2703" s="1" t="s">
        <v>1804</v>
      </c>
      <c r="AL2703" s="1" t="s">
        <v>7975</v>
      </c>
      <c r="AM2703" s="1" t="s">
        <v>9267</v>
      </c>
    </row>
    <row r="2704" spans="20:39" x14ac:dyDescent="0.2">
      <c r="T2704" s="29" t="s">
        <v>1810</v>
      </c>
      <c r="U2704" s="69" t="s">
        <v>63</v>
      </c>
      <c r="V2704" s="72" t="str">
        <f t="shared" si="42"/>
        <v>TX_NOLAN</v>
      </c>
      <c r="AJ2704" s="1" t="s">
        <v>63</v>
      </c>
      <c r="AK2704" s="1" t="s">
        <v>1800</v>
      </c>
      <c r="AL2704" s="1" t="s">
        <v>7976</v>
      </c>
      <c r="AM2704" s="1" t="s">
        <v>5004</v>
      </c>
    </row>
    <row r="2705" spans="20:39" x14ac:dyDescent="0.2">
      <c r="T2705" s="28" t="s">
        <v>1811</v>
      </c>
      <c r="U2705" s="68" t="s">
        <v>63</v>
      </c>
      <c r="V2705" s="72" t="str">
        <f t="shared" si="42"/>
        <v>TX_NUECES</v>
      </c>
      <c r="AJ2705" s="1" t="s">
        <v>63</v>
      </c>
      <c r="AK2705" s="1" t="s">
        <v>1801</v>
      </c>
      <c r="AL2705" s="1" t="s">
        <v>7977</v>
      </c>
      <c r="AM2705" s="1" t="s">
        <v>5066</v>
      </c>
    </row>
    <row r="2706" spans="20:39" x14ac:dyDescent="0.2">
      <c r="T2706" s="29" t="s">
        <v>1812</v>
      </c>
      <c r="U2706" s="69" t="s">
        <v>63</v>
      </c>
      <c r="V2706" s="72" t="str">
        <f t="shared" si="42"/>
        <v>TX_OCHILTREE</v>
      </c>
      <c r="AJ2706" s="1" t="s">
        <v>63</v>
      </c>
      <c r="AK2706" s="1" t="s">
        <v>1802</v>
      </c>
      <c r="AL2706" s="1" t="s">
        <v>7978</v>
      </c>
      <c r="AM2706" s="1" t="s">
        <v>5005</v>
      </c>
    </row>
    <row r="2707" spans="20:39" x14ac:dyDescent="0.2">
      <c r="T2707" s="28" t="s">
        <v>918</v>
      </c>
      <c r="U2707" s="68" t="s">
        <v>63</v>
      </c>
      <c r="V2707" s="72" t="str">
        <f t="shared" si="42"/>
        <v>TX_OLDHAM</v>
      </c>
      <c r="AJ2707" s="1" t="s">
        <v>63</v>
      </c>
      <c r="AK2707" s="1" t="s">
        <v>1506</v>
      </c>
      <c r="AL2707" s="1" t="s">
        <v>7979</v>
      </c>
      <c r="AM2707" s="1" t="s">
        <v>5006</v>
      </c>
    </row>
    <row r="2708" spans="20:39" x14ac:dyDescent="0.2">
      <c r="T2708" s="29" t="s">
        <v>378</v>
      </c>
      <c r="U2708" s="69" t="s">
        <v>63</v>
      </c>
      <c r="V2708" s="72" t="str">
        <f t="shared" si="42"/>
        <v>TX_ORANGE</v>
      </c>
      <c r="AJ2708" s="1" t="s">
        <v>63</v>
      </c>
      <c r="AK2708" s="1" t="s">
        <v>702</v>
      </c>
      <c r="AL2708" s="1" t="s">
        <v>7980</v>
      </c>
      <c r="AM2708" s="1" t="s">
        <v>5007</v>
      </c>
    </row>
    <row r="2709" spans="20:39" x14ac:dyDescent="0.2">
      <c r="T2709" s="28" t="s">
        <v>1813</v>
      </c>
      <c r="U2709" s="68" t="s">
        <v>63</v>
      </c>
      <c r="V2709" s="72" t="str">
        <f t="shared" si="42"/>
        <v>TX_PALO PINTO</v>
      </c>
      <c r="AJ2709" s="1" t="s">
        <v>63</v>
      </c>
      <c r="AK2709" s="1" t="s">
        <v>1072</v>
      </c>
      <c r="AL2709" s="1" t="s">
        <v>7981</v>
      </c>
      <c r="AM2709" s="1" t="s">
        <v>5008</v>
      </c>
    </row>
    <row r="2710" spans="20:39" x14ac:dyDescent="0.2">
      <c r="T2710" s="29" t="s">
        <v>1176</v>
      </c>
      <c r="U2710" s="69" t="s">
        <v>63</v>
      </c>
      <c r="V2710" s="72" t="str">
        <f t="shared" si="42"/>
        <v>TX_PANOLA</v>
      </c>
      <c r="AJ2710" s="1" t="s">
        <v>63</v>
      </c>
      <c r="AK2710" s="1" t="s">
        <v>1805</v>
      </c>
      <c r="AL2710" s="1" t="s">
        <v>7982</v>
      </c>
      <c r="AM2710" s="1" t="s">
        <v>5009</v>
      </c>
    </row>
    <row r="2711" spans="20:39" x14ac:dyDescent="0.2">
      <c r="T2711" s="28" t="s">
        <v>1814</v>
      </c>
      <c r="U2711" s="68" t="s">
        <v>63</v>
      </c>
      <c r="V2711" s="72" t="str">
        <f t="shared" si="42"/>
        <v>TX_PARKER</v>
      </c>
      <c r="AJ2711" s="1" t="s">
        <v>63</v>
      </c>
      <c r="AK2711" s="1" t="s">
        <v>789</v>
      </c>
      <c r="AL2711" s="1" t="s">
        <v>7983</v>
      </c>
      <c r="AM2711" s="1" t="s">
        <v>5010</v>
      </c>
    </row>
    <row r="2712" spans="20:39" x14ac:dyDescent="0.2">
      <c r="T2712" s="29" t="s">
        <v>1815</v>
      </c>
      <c r="U2712" s="69" t="s">
        <v>63</v>
      </c>
      <c r="V2712" s="72" t="str">
        <f t="shared" si="42"/>
        <v>TX_PARMER</v>
      </c>
      <c r="AJ2712" s="1" t="s">
        <v>63</v>
      </c>
      <c r="AK2712" s="1" t="s">
        <v>590</v>
      </c>
      <c r="AL2712" s="1" t="s">
        <v>7984</v>
      </c>
      <c r="AM2712" s="1" t="s">
        <v>5011</v>
      </c>
    </row>
    <row r="2713" spans="20:39" x14ac:dyDescent="0.2">
      <c r="T2713" s="28" t="s">
        <v>1816</v>
      </c>
      <c r="U2713" s="68" t="s">
        <v>63</v>
      </c>
      <c r="V2713" s="72" t="str">
        <f t="shared" si="42"/>
        <v>TX_PECOS</v>
      </c>
      <c r="AJ2713" s="1" t="s">
        <v>63</v>
      </c>
      <c r="AK2713" s="1" t="s">
        <v>1806</v>
      </c>
      <c r="AL2713" s="1" t="s">
        <v>7985</v>
      </c>
      <c r="AM2713" s="1" t="s">
        <v>5012</v>
      </c>
    </row>
    <row r="2714" spans="20:39" x14ac:dyDescent="0.2">
      <c r="T2714" s="29" t="s">
        <v>333</v>
      </c>
      <c r="U2714" s="69" t="s">
        <v>63</v>
      </c>
      <c r="V2714" s="72" t="str">
        <f t="shared" si="42"/>
        <v>TX_POLK</v>
      </c>
      <c r="AJ2714" s="1" t="s">
        <v>63</v>
      </c>
      <c r="AK2714" s="1" t="s">
        <v>244</v>
      </c>
      <c r="AL2714" s="1" t="s">
        <v>7986</v>
      </c>
      <c r="AM2714" s="1" t="s">
        <v>4961</v>
      </c>
    </row>
    <row r="2715" spans="20:39" x14ac:dyDescent="0.2">
      <c r="T2715" s="28" t="s">
        <v>1607</v>
      </c>
      <c r="U2715" s="68" t="s">
        <v>63</v>
      </c>
      <c r="V2715" s="72" t="str">
        <f t="shared" si="42"/>
        <v>TX_POTTER</v>
      </c>
      <c r="AJ2715" s="1" t="s">
        <v>63</v>
      </c>
      <c r="AK2715" s="1" t="s">
        <v>1431</v>
      </c>
      <c r="AL2715" s="1" t="s">
        <v>7987</v>
      </c>
      <c r="AM2715" s="1" t="s">
        <v>5013</v>
      </c>
    </row>
    <row r="2716" spans="20:39" x14ac:dyDescent="0.2">
      <c r="T2716" s="29" t="s">
        <v>1817</v>
      </c>
      <c r="U2716" s="69" t="s">
        <v>63</v>
      </c>
      <c r="V2716" s="72" t="str">
        <f t="shared" si="42"/>
        <v>TX_PRESIDIO</v>
      </c>
      <c r="AJ2716" s="1" t="s">
        <v>63</v>
      </c>
      <c r="AK2716" s="1" t="s">
        <v>841</v>
      </c>
      <c r="AL2716" s="1" t="s">
        <v>7988</v>
      </c>
      <c r="AM2716" s="1" t="s">
        <v>5014</v>
      </c>
    </row>
    <row r="2717" spans="20:39" x14ac:dyDescent="0.2">
      <c r="T2717" s="28" t="s">
        <v>1818</v>
      </c>
      <c r="U2717" s="68" t="s">
        <v>63</v>
      </c>
      <c r="V2717" s="72" t="str">
        <f t="shared" si="42"/>
        <v>TX_RAINS</v>
      </c>
      <c r="AJ2717" s="1" t="s">
        <v>63</v>
      </c>
      <c r="AK2717" s="1" t="s">
        <v>1807</v>
      </c>
      <c r="AL2717" s="1" t="s">
        <v>7989</v>
      </c>
      <c r="AM2717" s="1" t="s">
        <v>5015</v>
      </c>
    </row>
    <row r="2718" spans="20:39" x14ac:dyDescent="0.2">
      <c r="T2718" s="29" t="s">
        <v>1819</v>
      </c>
      <c r="U2718" s="69" t="s">
        <v>63</v>
      </c>
      <c r="V2718" s="72" t="str">
        <f t="shared" si="42"/>
        <v>TX_RANDALL</v>
      </c>
      <c r="AJ2718" s="1" t="s">
        <v>63</v>
      </c>
      <c r="AK2718" s="1" t="s">
        <v>1808</v>
      </c>
      <c r="AL2718" s="1" t="s">
        <v>7990</v>
      </c>
      <c r="AM2718" s="1" t="s">
        <v>5016</v>
      </c>
    </row>
    <row r="2719" spans="20:39" x14ac:dyDescent="0.2">
      <c r="T2719" s="28" t="s">
        <v>1820</v>
      </c>
      <c r="U2719" s="68" t="s">
        <v>63</v>
      </c>
      <c r="V2719" s="72" t="str">
        <f t="shared" si="42"/>
        <v>TX_REAGAN</v>
      </c>
      <c r="AJ2719" s="1" t="s">
        <v>63</v>
      </c>
      <c r="AK2719" s="1" t="s">
        <v>1809</v>
      </c>
      <c r="AL2719" s="1" t="s">
        <v>7991</v>
      </c>
      <c r="AM2719" s="1" t="s">
        <v>5017</v>
      </c>
    </row>
    <row r="2720" spans="20:39" x14ac:dyDescent="0.2">
      <c r="T2720" s="29" t="s">
        <v>1821</v>
      </c>
      <c r="U2720" s="69" t="s">
        <v>63</v>
      </c>
      <c r="V2720" s="72" t="str">
        <f t="shared" si="42"/>
        <v>TX_REAL</v>
      </c>
      <c r="AJ2720" s="1" t="s">
        <v>63</v>
      </c>
      <c r="AK2720" s="1" t="s">
        <v>329</v>
      </c>
      <c r="AL2720" s="1" t="s">
        <v>7992</v>
      </c>
      <c r="AM2720" s="1" t="s">
        <v>5018</v>
      </c>
    </row>
    <row r="2721" spans="20:39" x14ac:dyDescent="0.2">
      <c r="T2721" s="28" t="s">
        <v>1822</v>
      </c>
      <c r="U2721" s="68" t="s">
        <v>63</v>
      </c>
      <c r="V2721" s="72" t="str">
        <f t="shared" si="42"/>
        <v>TX_RED RIVER</v>
      </c>
      <c r="AJ2721" s="1" t="s">
        <v>63</v>
      </c>
      <c r="AK2721" s="1" t="s">
        <v>1810</v>
      </c>
      <c r="AL2721" s="1" t="s">
        <v>7993</v>
      </c>
      <c r="AM2721" s="1" t="s">
        <v>5019</v>
      </c>
    </row>
    <row r="2722" spans="20:39" x14ac:dyDescent="0.2">
      <c r="T2722" s="29" t="s">
        <v>1823</v>
      </c>
      <c r="U2722" s="69" t="s">
        <v>63</v>
      </c>
      <c r="V2722" s="72" t="str">
        <f t="shared" si="42"/>
        <v>TX_REEVES</v>
      </c>
      <c r="AJ2722" s="1" t="s">
        <v>63</v>
      </c>
      <c r="AK2722" s="1" t="s">
        <v>1811</v>
      </c>
      <c r="AL2722" s="1" t="s">
        <v>7994</v>
      </c>
      <c r="AM2722" s="1" t="s">
        <v>9268</v>
      </c>
    </row>
    <row r="2723" spans="20:39" x14ac:dyDescent="0.2">
      <c r="T2723" s="28" t="s">
        <v>1824</v>
      </c>
      <c r="U2723" s="68" t="s">
        <v>63</v>
      </c>
      <c r="V2723" s="72" t="str">
        <f t="shared" si="42"/>
        <v>TX_REFUGIO</v>
      </c>
      <c r="AJ2723" s="1" t="s">
        <v>63</v>
      </c>
      <c r="AK2723" s="1" t="s">
        <v>1812</v>
      </c>
      <c r="AL2723" s="1" t="s">
        <v>7995</v>
      </c>
      <c r="AM2723" s="1" t="s">
        <v>5020</v>
      </c>
    </row>
    <row r="2724" spans="20:39" x14ac:dyDescent="0.2">
      <c r="T2724" s="29" t="s">
        <v>1670</v>
      </c>
      <c r="U2724" s="69" t="s">
        <v>63</v>
      </c>
      <c r="V2724" s="72" t="str">
        <f t="shared" si="42"/>
        <v>TX_ROBERTS</v>
      </c>
      <c r="AJ2724" s="1" t="s">
        <v>63</v>
      </c>
      <c r="AK2724" s="1" t="s">
        <v>918</v>
      </c>
      <c r="AL2724" s="1" t="s">
        <v>7996</v>
      </c>
      <c r="AM2724" s="1" t="s">
        <v>5022</v>
      </c>
    </row>
    <row r="2725" spans="20:39" x14ac:dyDescent="0.2">
      <c r="T2725" s="28" t="s">
        <v>922</v>
      </c>
      <c r="U2725" s="68" t="s">
        <v>63</v>
      </c>
      <c r="V2725" s="72" t="str">
        <f t="shared" si="42"/>
        <v>TX_ROBERTSON</v>
      </c>
      <c r="AJ2725" s="1" t="s">
        <v>63</v>
      </c>
      <c r="AK2725" s="1" t="s">
        <v>378</v>
      </c>
      <c r="AL2725" s="1" t="s">
        <v>7997</v>
      </c>
      <c r="AM2725" s="1" t="s">
        <v>4888</v>
      </c>
    </row>
    <row r="2726" spans="20:39" x14ac:dyDescent="0.2">
      <c r="T2726" s="29" t="s">
        <v>1825</v>
      </c>
      <c r="U2726" s="69" t="s">
        <v>63</v>
      </c>
      <c r="V2726" s="72" t="str">
        <f t="shared" si="42"/>
        <v>TX_ROCKWALL</v>
      </c>
      <c r="AJ2726" s="1" t="s">
        <v>63</v>
      </c>
      <c r="AK2726" s="1" t="s">
        <v>1813</v>
      </c>
      <c r="AL2726" s="1" t="s">
        <v>7998</v>
      </c>
      <c r="AM2726" s="1" t="s">
        <v>5023</v>
      </c>
    </row>
    <row r="2727" spans="20:39" x14ac:dyDescent="0.2">
      <c r="T2727" s="28" t="s">
        <v>1826</v>
      </c>
      <c r="U2727" s="68" t="s">
        <v>63</v>
      </c>
      <c r="V2727" s="72" t="str">
        <f t="shared" si="42"/>
        <v>TX_RUNNELS</v>
      </c>
      <c r="AJ2727" s="1" t="s">
        <v>63</v>
      </c>
      <c r="AK2727" s="1" t="s">
        <v>1176</v>
      </c>
      <c r="AL2727" s="1" t="s">
        <v>7999</v>
      </c>
      <c r="AM2727" s="1" t="s">
        <v>5024</v>
      </c>
    </row>
    <row r="2728" spans="20:39" x14ac:dyDescent="0.2">
      <c r="T2728" s="29" t="s">
        <v>1827</v>
      </c>
      <c r="U2728" s="69" t="s">
        <v>63</v>
      </c>
      <c r="V2728" s="72" t="str">
        <f t="shared" si="42"/>
        <v>TX_RUSK</v>
      </c>
      <c r="AJ2728" s="1" t="s">
        <v>63</v>
      </c>
      <c r="AK2728" s="1" t="s">
        <v>1814</v>
      </c>
      <c r="AL2728" s="1" t="s">
        <v>8000</v>
      </c>
      <c r="AM2728" s="1" t="s">
        <v>4937</v>
      </c>
    </row>
    <row r="2729" spans="20:39" x14ac:dyDescent="0.2">
      <c r="T2729" s="28" t="s">
        <v>1828</v>
      </c>
      <c r="U2729" s="68" t="s">
        <v>63</v>
      </c>
      <c r="V2729" s="72" t="str">
        <f t="shared" si="42"/>
        <v>TX_SABINE</v>
      </c>
      <c r="AJ2729" s="1" t="s">
        <v>63</v>
      </c>
      <c r="AK2729" s="1" t="s">
        <v>1815</v>
      </c>
      <c r="AL2729" s="1" t="s">
        <v>8001</v>
      </c>
      <c r="AM2729" s="1" t="s">
        <v>5025</v>
      </c>
    </row>
    <row r="2730" spans="20:39" x14ac:dyDescent="0.2">
      <c r="T2730" s="29" t="s">
        <v>1829</v>
      </c>
      <c r="U2730" s="69" t="s">
        <v>63</v>
      </c>
      <c r="V2730" s="72" t="str">
        <f t="shared" si="42"/>
        <v>TX_SAN AUGUSTINE</v>
      </c>
      <c r="AJ2730" s="1" t="s">
        <v>63</v>
      </c>
      <c r="AK2730" s="1" t="s">
        <v>1816</v>
      </c>
      <c r="AL2730" s="1" t="s">
        <v>8002</v>
      </c>
      <c r="AM2730" s="1" t="s">
        <v>5026</v>
      </c>
    </row>
    <row r="2731" spans="20:39" x14ac:dyDescent="0.2">
      <c r="T2731" s="28" t="s">
        <v>1830</v>
      </c>
      <c r="U2731" s="68" t="s">
        <v>63</v>
      </c>
      <c r="V2731" s="72" t="str">
        <f t="shared" si="42"/>
        <v>TX_SAN JACINTO</v>
      </c>
      <c r="AJ2731" s="1" t="s">
        <v>63</v>
      </c>
      <c r="AK2731" s="1" t="s">
        <v>333</v>
      </c>
      <c r="AL2731" s="1" t="s">
        <v>8003</v>
      </c>
      <c r="AM2731" s="1" t="s">
        <v>5027</v>
      </c>
    </row>
    <row r="2732" spans="20:39" x14ac:dyDescent="0.2">
      <c r="T2732" s="29" t="s">
        <v>1831</v>
      </c>
      <c r="U2732" s="69" t="s">
        <v>63</v>
      </c>
      <c r="V2732" s="72" t="str">
        <f t="shared" si="42"/>
        <v>TX_SAN PATRICIO</v>
      </c>
      <c r="AJ2732" s="1" t="s">
        <v>63</v>
      </c>
      <c r="AK2732" s="1" t="s">
        <v>1607</v>
      </c>
      <c r="AL2732" s="1" t="s">
        <v>8004</v>
      </c>
      <c r="AM2732" s="1" t="s">
        <v>4880</v>
      </c>
    </row>
    <row r="2733" spans="20:39" x14ac:dyDescent="0.2">
      <c r="T2733" s="28" t="s">
        <v>1832</v>
      </c>
      <c r="U2733" s="68" t="s">
        <v>63</v>
      </c>
      <c r="V2733" s="72" t="str">
        <f t="shared" si="42"/>
        <v>TX_SAN SABA</v>
      </c>
      <c r="AJ2733" s="1" t="s">
        <v>63</v>
      </c>
      <c r="AK2733" s="1" t="s">
        <v>1817</v>
      </c>
      <c r="AL2733" s="1" t="s">
        <v>8005</v>
      </c>
      <c r="AM2733" s="1" t="s">
        <v>5028</v>
      </c>
    </row>
    <row r="2734" spans="20:39" x14ac:dyDescent="0.2">
      <c r="T2734" s="29" t="s">
        <v>1833</v>
      </c>
      <c r="U2734" s="69" t="s">
        <v>63</v>
      </c>
      <c r="V2734" s="72" t="str">
        <f t="shared" si="42"/>
        <v>TX_SCHLEICHER</v>
      </c>
      <c r="AJ2734" s="1" t="s">
        <v>63</v>
      </c>
      <c r="AK2734" s="1" t="s">
        <v>1818</v>
      </c>
      <c r="AL2734" s="1" t="s">
        <v>8006</v>
      </c>
      <c r="AM2734" s="1" t="s">
        <v>5029</v>
      </c>
    </row>
    <row r="2735" spans="20:39" x14ac:dyDescent="0.2">
      <c r="T2735" s="28" t="s">
        <v>1834</v>
      </c>
      <c r="U2735" s="68" t="s">
        <v>63</v>
      </c>
      <c r="V2735" s="72" t="str">
        <f t="shared" si="42"/>
        <v>TX_SCURRY</v>
      </c>
      <c r="AJ2735" s="1" t="s">
        <v>63</v>
      </c>
      <c r="AK2735" s="1" t="s">
        <v>1819</v>
      </c>
      <c r="AL2735" s="1" t="s">
        <v>8007</v>
      </c>
      <c r="AM2735" s="1" t="s">
        <v>4880</v>
      </c>
    </row>
    <row r="2736" spans="20:39" x14ac:dyDescent="0.2">
      <c r="T2736" s="29" t="s">
        <v>1835</v>
      </c>
      <c r="U2736" s="69" t="s">
        <v>63</v>
      </c>
      <c r="V2736" s="72" t="str">
        <f t="shared" si="42"/>
        <v>TX_SHACKELFORD</v>
      </c>
      <c r="AJ2736" s="1" t="s">
        <v>63</v>
      </c>
      <c r="AK2736" s="1" t="s">
        <v>1820</v>
      </c>
      <c r="AL2736" s="1" t="s">
        <v>8008</v>
      </c>
      <c r="AM2736" s="1" t="s">
        <v>5030</v>
      </c>
    </row>
    <row r="2737" spans="20:39" x14ac:dyDescent="0.2">
      <c r="T2737" s="28" t="s">
        <v>252</v>
      </c>
      <c r="U2737" s="68" t="s">
        <v>63</v>
      </c>
      <c r="V2737" s="72" t="str">
        <f t="shared" si="42"/>
        <v>TX_SHELBY</v>
      </c>
      <c r="AJ2737" s="1" t="s">
        <v>63</v>
      </c>
      <c r="AK2737" s="1" t="s">
        <v>1821</v>
      </c>
      <c r="AL2737" s="1" t="s">
        <v>8009</v>
      </c>
      <c r="AM2737" s="1" t="s">
        <v>5031</v>
      </c>
    </row>
    <row r="2738" spans="20:39" x14ac:dyDescent="0.2">
      <c r="T2738" s="29" t="s">
        <v>862</v>
      </c>
      <c r="U2738" s="69" t="s">
        <v>63</v>
      </c>
      <c r="V2738" s="72" t="str">
        <f t="shared" si="42"/>
        <v>TX_SHERMAN</v>
      </c>
      <c r="AJ2738" s="1" t="s">
        <v>63</v>
      </c>
      <c r="AK2738" s="1" t="s">
        <v>1822</v>
      </c>
      <c r="AL2738" s="1" t="s">
        <v>8010</v>
      </c>
      <c r="AM2738" s="1" t="s">
        <v>5032</v>
      </c>
    </row>
    <row r="2739" spans="20:39" x14ac:dyDescent="0.2">
      <c r="T2739" s="28" t="s">
        <v>863</v>
      </c>
      <c r="U2739" s="68" t="s">
        <v>63</v>
      </c>
      <c r="V2739" s="72" t="str">
        <f t="shared" si="42"/>
        <v>TX_SMITH</v>
      </c>
      <c r="AJ2739" s="1" t="s">
        <v>63</v>
      </c>
      <c r="AK2739" s="1" t="s">
        <v>1823</v>
      </c>
      <c r="AL2739" s="1" t="s">
        <v>8011</v>
      </c>
      <c r="AM2739" s="1" t="s">
        <v>5033</v>
      </c>
    </row>
    <row r="2740" spans="20:39" x14ac:dyDescent="0.2">
      <c r="T2740" s="29" t="s">
        <v>1836</v>
      </c>
      <c r="U2740" s="69" t="s">
        <v>63</v>
      </c>
      <c r="V2740" s="72" t="str">
        <f t="shared" si="42"/>
        <v>TX_SOMERVELL</v>
      </c>
      <c r="AJ2740" s="1" t="s">
        <v>63</v>
      </c>
      <c r="AK2740" s="1" t="s">
        <v>1824</v>
      </c>
      <c r="AL2740" s="1" t="s">
        <v>8012</v>
      </c>
      <c r="AM2740" s="1" t="s">
        <v>5034</v>
      </c>
    </row>
    <row r="2741" spans="20:39" x14ac:dyDescent="0.2">
      <c r="T2741" s="28" t="s">
        <v>1837</v>
      </c>
      <c r="U2741" s="68" t="s">
        <v>63</v>
      </c>
      <c r="V2741" s="72" t="str">
        <f t="shared" si="42"/>
        <v>TX_STARR</v>
      </c>
      <c r="AJ2741" s="1" t="s">
        <v>63</v>
      </c>
      <c r="AK2741" s="1" t="s">
        <v>1670</v>
      </c>
      <c r="AL2741" s="1" t="s">
        <v>8013</v>
      </c>
      <c r="AM2741" s="1" t="s">
        <v>5035</v>
      </c>
    </row>
    <row r="2742" spans="20:39" x14ac:dyDescent="0.2">
      <c r="T2742" s="29" t="s">
        <v>605</v>
      </c>
      <c r="U2742" s="69" t="s">
        <v>63</v>
      </c>
      <c r="V2742" s="72" t="str">
        <f t="shared" si="42"/>
        <v>TX_STEPHENS</v>
      </c>
      <c r="AJ2742" s="1" t="s">
        <v>63</v>
      </c>
      <c r="AK2742" s="1" t="s">
        <v>922</v>
      </c>
      <c r="AL2742" s="1" t="s">
        <v>8014</v>
      </c>
      <c r="AM2742" s="1" t="s">
        <v>4907</v>
      </c>
    </row>
    <row r="2743" spans="20:39" x14ac:dyDescent="0.2">
      <c r="T2743" s="28" t="s">
        <v>1838</v>
      </c>
      <c r="U2743" s="68" t="s">
        <v>63</v>
      </c>
      <c r="V2743" s="72" t="str">
        <f t="shared" si="42"/>
        <v>TX_STERLING</v>
      </c>
      <c r="AJ2743" s="1" t="s">
        <v>63</v>
      </c>
      <c r="AK2743" s="1" t="s">
        <v>1825</v>
      </c>
      <c r="AL2743" s="1" t="s">
        <v>8015</v>
      </c>
      <c r="AM2743" s="1" t="s">
        <v>4918</v>
      </c>
    </row>
    <row r="2744" spans="20:39" x14ac:dyDescent="0.2">
      <c r="T2744" s="29" t="s">
        <v>1839</v>
      </c>
      <c r="U2744" s="69" t="s">
        <v>63</v>
      </c>
      <c r="V2744" s="72" t="str">
        <f t="shared" si="42"/>
        <v>TX_STONEWALL</v>
      </c>
      <c r="AJ2744" s="1" t="s">
        <v>63</v>
      </c>
      <c r="AK2744" s="1" t="s">
        <v>1826</v>
      </c>
      <c r="AL2744" s="1" t="s">
        <v>8016</v>
      </c>
      <c r="AM2744" s="1" t="s">
        <v>5036</v>
      </c>
    </row>
    <row r="2745" spans="20:39" x14ac:dyDescent="0.2">
      <c r="T2745" s="28" t="s">
        <v>1840</v>
      </c>
      <c r="U2745" s="68" t="s">
        <v>63</v>
      </c>
      <c r="V2745" s="72" t="str">
        <f t="shared" si="42"/>
        <v>TX_SUTTON</v>
      </c>
      <c r="AJ2745" s="1" t="s">
        <v>63</v>
      </c>
      <c r="AK2745" s="1" t="s">
        <v>1827</v>
      </c>
      <c r="AL2745" s="1" t="s">
        <v>8017</v>
      </c>
      <c r="AM2745" s="1" t="s">
        <v>5037</v>
      </c>
    </row>
    <row r="2746" spans="20:39" x14ac:dyDescent="0.2">
      <c r="T2746" s="29" t="s">
        <v>1841</v>
      </c>
      <c r="U2746" s="69" t="s">
        <v>63</v>
      </c>
      <c r="V2746" s="72" t="str">
        <f t="shared" si="42"/>
        <v>TX_SWISHER</v>
      </c>
      <c r="AJ2746" s="1" t="s">
        <v>63</v>
      </c>
      <c r="AK2746" s="1" t="s">
        <v>1828</v>
      </c>
      <c r="AL2746" s="1" t="s">
        <v>8018</v>
      </c>
      <c r="AM2746" s="1" t="s">
        <v>5038</v>
      </c>
    </row>
    <row r="2747" spans="20:39" x14ac:dyDescent="0.2">
      <c r="T2747" s="28" t="s">
        <v>1842</v>
      </c>
      <c r="U2747" s="68" t="s">
        <v>63</v>
      </c>
      <c r="V2747" s="72" t="str">
        <f t="shared" si="42"/>
        <v>TX_TARRANT</v>
      </c>
      <c r="AJ2747" s="1" t="s">
        <v>63</v>
      </c>
      <c r="AK2747" s="1" t="s">
        <v>1829</v>
      </c>
      <c r="AL2747" s="1" t="s">
        <v>8019</v>
      </c>
      <c r="AM2747" s="1" t="s">
        <v>5040</v>
      </c>
    </row>
    <row r="2748" spans="20:39" x14ac:dyDescent="0.2">
      <c r="T2748" s="29" t="s">
        <v>518</v>
      </c>
      <c r="U2748" s="69" t="s">
        <v>63</v>
      </c>
      <c r="V2748" s="72" t="str">
        <f t="shared" si="42"/>
        <v>TX_TAYLOR</v>
      </c>
      <c r="AJ2748" s="1" t="s">
        <v>63</v>
      </c>
      <c r="AK2748" s="1" t="s">
        <v>1830</v>
      </c>
      <c r="AL2748" s="1" t="s">
        <v>8020</v>
      </c>
      <c r="AM2748" s="1" t="s">
        <v>9269</v>
      </c>
    </row>
    <row r="2749" spans="20:39" x14ac:dyDescent="0.2">
      <c r="T2749" s="28" t="s">
        <v>611</v>
      </c>
      <c r="U2749" s="68" t="s">
        <v>63</v>
      </c>
      <c r="V2749" s="72" t="str">
        <f t="shared" si="42"/>
        <v>TX_TERRELL</v>
      </c>
      <c r="AJ2749" s="1" t="s">
        <v>63</v>
      </c>
      <c r="AK2749" s="1" t="s">
        <v>1831</v>
      </c>
      <c r="AL2749" s="1" t="s">
        <v>8021</v>
      </c>
      <c r="AM2749" s="1" t="s">
        <v>9268</v>
      </c>
    </row>
    <row r="2750" spans="20:39" x14ac:dyDescent="0.2">
      <c r="T2750" s="29" t="s">
        <v>1843</v>
      </c>
      <c r="U2750" s="69" t="s">
        <v>63</v>
      </c>
      <c r="V2750" s="72" t="str">
        <f t="shared" si="42"/>
        <v>TX_TERRY</v>
      </c>
      <c r="AJ2750" s="1" t="s">
        <v>63</v>
      </c>
      <c r="AK2750" s="1" t="s">
        <v>1832</v>
      </c>
      <c r="AL2750" s="1" t="s">
        <v>8022</v>
      </c>
      <c r="AM2750" s="1" t="s">
        <v>5041</v>
      </c>
    </row>
    <row r="2751" spans="20:39" x14ac:dyDescent="0.2">
      <c r="T2751" s="28" t="s">
        <v>1844</v>
      </c>
      <c r="U2751" s="68" t="s">
        <v>63</v>
      </c>
      <c r="V2751" s="72" t="str">
        <f t="shared" si="42"/>
        <v>TX_THROCKMORTON</v>
      </c>
      <c r="AJ2751" s="1" t="s">
        <v>63</v>
      </c>
      <c r="AK2751" s="1" t="s">
        <v>1833</v>
      </c>
      <c r="AL2751" s="1" t="s">
        <v>8023</v>
      </c>
      <c r="AM2751" s="1" t="s">
        <v>5042</v>
      </c>
    </row>
    <row r="2752" spans="20:39" x14ac:dyDescent="0.2">
      <c r="T2752" s="29" t="s">
        <v>1845</v>
      </c>
      <c r="U2752" s="69" t="s">
        <v>63</v>
      </c>
      <c r="V2752" s="72" t="str">
        <f t="shared" si="42"/>
        <v>TX_TITUS</v>
      </c>
      <c r="AJ2752" s="1" t="s">
        <v>63</v>
      </c>
      <c r="AK2752" s="1" t="s">
        <v>1834</v>
      </c>
      <c r="AL2752" s="1" t="s">
        <v>8024</v>
      </c>
      <c r="AM2752" s="1" t="s">
        <v>5043</v>
      </c>
    </row>
    <row r="2753" spans="20:39" x14ac:dyDescent="0.2">
      <c r="T2753" s="28" t="s">
        <v>1846</v>
      </c>
      <c r="U2753" s="68" t="s">
        <v>63</v>
      </c>
      <c r="V2753" s="72" t="str">
        <f t="shared" si="42"/>
        <v>TX_TOM GREEN</v>
      </c>
      <c r="AJ2753" s="1" t="s">
        <v>63</v>
      </c>
      <c r="AK2753" s="1" t="s">
        <v>1835</v>
      </c>
      <c r="AL2753" s="1" t="s">
        <v>8025</v>
      </c>
      <c r="AM2753" s="1" t="s">
        <v>5044</v>
      </c>
    </row>
    <row r="2754" spans="20:39" x14ac:dyDescent="0.2">
      <c r="T2754" s="29" t="s">
        <v>1847</v>
      </c>
      <c r="U2754" s="69" t="s">
        <v>63</v>
      </c>
      <c r="V2754" s="72" t="str">
        <f t="shared" si="42"/>
        <v>TX_TRAVIS</v>
      </c>
      <c r="AJ2754" s="1" t="s">
        <v>63</v>
      </c>
      <c r="AK2754" s="1" t="s">
        <v>252</v>
      </c>
      <c r="AL2754" s="1" t="s">
        <v>8026</v>
      </c>
      <c r="AM2754" s="1" t="s">
        <v>5045</v>
      </c>
    </row>
    <row r="2755" spans="20:39" x14ac:dyDescent="0.2">
      <c r="T2755" s="28" t="s">
        <v>400</v>
      </c>
      <c r="U2755" s="68" t="s">
        <v>63</v>
      </c>
      <c r="V2755" s="72" t="str">
        <f t="shared" si="42"/>
        <v>TX_TRINITY</v>
      </c>
      <c r="AJ2755" s="1" t="s">
        <v>63</v>
      </c>
      <c r="AK2755" s="1" t="s">
        <v>862</v>
      </c>
      <c r="AL2755" s="1" t="s">
        <v>8027</v>
      </c>
      <c r="AM2755" s="1" t="s">
        <v>5046</v>
      </c>
    </row>
    <row r="2756" spans="20:39" x14ac:dyDescent="0.2">
      <c r="T2756" s="29" t="s">
        <v>1848</v>
      </c>
      <c r="U2756" s="69" t="s">
        <v>63</v>
      </c>
      <c r="V2756" s="72" t="str">
        <f t="shared" si="42"/>
        <v>TX_TYLER</v>
      </c>
      <c r="AJ2756" s="1" t="s">
        <v>63</v>
      </c>
      <c r="AK2756" s="1" t="s">
        <v>863</v>
      </c>
      <c r="AL2756" s="1" t="s">
        <v>8028</v>
      </c>
      <c r="AM2756" s="1" t="s">
        <v>5060</v>
      </c>
    </row>
    <row r="2757" spans="20:39" x14ac:dyDescent="0.2">
      <c r="T2757" s="28" t="s">
        <v>1849</v>
      </c>
      <c r="U2757" s="68" t="s">
        <v>63</v>
      </c>
      <c r="V2757" s="72" t="str">
        <f t="shared" si="42"/>
        <v>TX_UPSHUR</v>
      </c>
      <c r="AJ2757" s="1" t="s">
        <v>63</v>
      </c>
      <c r="AK2757" s="1" t="s">
        <v>1836</v>
      </c>
      <c r="AL2757" s="1" t="s">
        <v>8029</v>
      </c>
      <c r="AM2757" s="1" t="s">
        <v>5048</v>
      </c>
    </row>
    <row r="2758" spans="20:39" x14ac:dyDescent="0.2">
      <c r="T2758" s="29" t="s">
        <v>1850</v>
      </c>
      <c r="U2758" s="69" t="s">
        <v>63</v>
      </c>
      <c r="V2758" s="72" t="str">
        <f t="shared" si="42"/>
        <v>TX_UPTON</v>
      </c>
      <c r="AJ2758" s="1" t="s">
        <v>63</v>
      </c>
      <c r="AK2758" s="1" t="s">
        <v>1837</v>
      </c>
      <c r="AL2758" s="1" t="s">
        <v>8030</v>
      </c>
      <c r="AM2758" s="1" t="s">
        <v>5049</v>
      </c>
    </row>
    <row r="2759" spans="20:39" x14ac:dyDescent="0.2">
      <c r="T2759" s="28" t="s">
        <v>1851</v>
      </c>
      <c r="U2759" s="68" t="s">
        <v>63</v>
      </c>
      <c r="V2759" s="72" t="str">
        <f t="shared" si="42"/>
        <v>TX_UVALDE</v>
      </c>
      <c r="AJ2759" s="1" t="s">
        <v>63</v>
      </c>
      <c r="AK2759" s="1" t="s">
        <v>605</v>
      </c>
      <c r="AL2759" s="1" t="s">
        <v>8031</v>
      </c>
      <c r="AM2759" s="1" t="s">
        <v>5050</v>
      </c>
    </row>
    <row r="2760" spans="20:39" x14ac:dyDescent="0.2">
      <c r="T2760" s="29" t="s">
        <v>1852</v>
      </c>
      <c r="U2760" s="69" t="s">
        <v>63</v>
      </c>
      <c r="V2760" s="72" t="str">
        <f t="shared" si="42"/>
        <v>TX_VAL VERDE</v>
      </c>
      <c r="AJ2760" s="1" t="s">
        <v>63</v>
      </c>
      <c r="AK2760" s="1" t="s">
        <v>1838</v>
      </c>
      <c r="AL2760" s="1" t="s">
        <v>8032</v>
      </c>
      <c r="AM2760" s="1" t="s">
        <v>9270</v>
      </c>
    </row>
    <row r="2761" spans="20:39" x14ac:dyDescent="0.2">
      <c r="T2761" s="28" t="s">
        <v>1853</v>
      </c>
      <c r="U2761" s="68" t="s">
        <v>63</v>
      </c>
      <c r="V2761" s="72" t="str">
        <f t="shared" si="42"/>
        <v>TX_VAN ZANDT</v>
      </c>
      <c r="AJ2761" s="1" t="s">
        <v>63</v>
      </c>
      <c r="AK2761" s="1" t="s">
        <v>1839</v>
      </c>
      <c r="AL2761" s="1" t="s">
        <v>8033</v>
      </c>
      <c r="AM2761" s="1" t="s">
        <v>5051</v>
      </c>
    </row>
    <row r="2762" spans="20:39" x14ac:dyDescent="0.2">
      <c r="T2762" s="29" t="s">
        <v>1854</v>
      </c>
      <c r="U2762" s="69" t="s">
        <v>63</v>
      </c>
      <c r="V2762" s="72" t="str">
        <f t="shared" ref="V2762:V2825" si="43">UPPER(CONCATENATE(TRIM(U2762),"_",TRIM(T2762)))</f>
        <v>TX_VICTORIA</v>
      </c>
      <c r="AJ2762" s="1" t="s">
        <v>63</v>
      </c>
      <c r="AK2762" s="1" t="s">
        <v>1840</v>
      </c>
      <c r="AL2762" s="1" t="s">
        <v>8034</v>
      </c>
      <c r="AM2762" s="1" t="s">
        <v>5052</v>
      </c>
    </row>
    <row r="2763" spans="20:39" x14ac:dyDescent="0.2">
      <c r="T2763" s="28" t="s">
        <v>257</v>
      </c>
      <c r="U2763" s="68" t="s">
        <v>63</v>
      </c>
      <c r="V2763" s="72" t="str">
        <f t="shared" si="43"/>
        <v>TX_WALKER</v>
      </c>
      <c r="AJ2763" s="1" t="s">
        <v>63</v>
      </c>
      <c r="AK2763" s="1" t="s">
        <v>1841</v>
      </c>
      <c r="AL2763" s="1" t="s">
        <v>8035</v>
      </c>
      <c r="AM2763" s="1" t="s">
        <v>5053</v>
      </c>
    </row>
    <row r="2764" spans="20:39" x14ac:dyDescent="0.2">
      <c r="T2764" s="29" t="s">
        <v>1855</v>
      </c>
      <c r="U2764" s="69" t="s">
        <v>63</v>
      </c>
      <c r="V2764" s="72" t="str">
        <f t="shared" si="43"/>
        <v>TX_WALLER</v>
      </c>
      <c r="AJ2764" s="1" t="s">
        <v>63</v>
      </c>
      <c r="AK2764" s="1" t="s">
        <v>1842</v>
      </c>
      <c r="AL2764" s="1" t="s">
        <v>8036</v>
      </c>
      <c r="AM2764" s="1" t="s">
        <v>4937</v>
      </c>
    </row>
    <row r="2765" spans="20:39" x14ac:dyDescent="0.2">
      <c r="T2765" s="28" t="s">
        <v>1485</v>
      </c>
      <c r="U2765" s="68" t="s">
        <v>63</v>
      </c>
      <c r="V2765" s="72" t="str">
        <f t="shared" si="43"/>
        <v>TX_WARD</v>
      </c>
      <c r="AJ2765" s="1" t="s">
        <v>63</v>
      </c>
      <c r="AK2765" s="1" t="s">
        <v>518</v>
      </c>
      <c r="AL2765" s="1" t="s">
        <v>8037</v>
      </c>
      <c r="AM2765" s="1" t="s">
        <v>4879</v>
      </c>
    </row>
    <row r="2766" spans="20:39" x14ac:dyDescent="0.2">
      <c r="T2766" s="29" t="s">
        <v>258</v>
      </c>
      <c r="U2766" s="69" t="s">
        <v>63</v>
      </c>
      <c r="V2766" s="72" t="str">
        <f t="shared" si="43"/>
        <v>TX_WASHINGTON</v>
      </c>
      <c r="AJ2766" s="1" t="s">
        <v>63</v>
      </c>
      <c r="AK2766" s="1" t="s">
        <v>611</v>
      </c>
      <c r="AL2766" s="1" t="s">
        <v>8038</v>
      </c>
      <c r="AM2766" s="1" t="s">
        <v>5054</v>
      </c>
    </row>
    <row r="2767" spans="20:39" x14ac:dyDescent="0.2">
      <c r="T2767" s="28" t="s">
        <v>1856</v>
      </c>
      <c r="U2767" s="68" t="s">
        <v>63</v>
      </c>
      <c r="V2767" s="72" t="str">
        <f t="shared" si="43"/>
        <v>TX_WEBB</v>
      </c>
      <c r="AJ2767" s="1" t="s">
        <v>63</v>
      </c>
      <c r="AK2767" s="1" t="s">
        <v>1843</v>
      </c>
      <c r="AL2767" s="1" t="s">
        <v>8039</v>
      </c>
      <c r="AM2767" s="1" t="s">
        <v>5055</v>
      </c>
    </row>
    <row r="2768" spans="20:39" x14ac:dyDescent="0.2">
      <c r="T2768" s="29" t="s">
        <v>1857</v>
      </c>
      <c r="U2768" s="69" t="s">
        <v>63</v>
      </c>
      <c r="V2768" s="72" t="str">
        <f t="shared" si="43"/>
        <v>TX_WHARTON</v>
      </c>
      <c r="AJ2768" s="1" t="s">
        <v>63</v>
      </c>
      <c r="AK2768" s="1" t="s">
        <v>1844</v>
      </c>
      <c r="AL2768" s="1" t="s">
        <v>8040</v>
      </c>
      <c r="AM2768" s="1" t="s">
        <v>5056</v>
      </c>
    </row>
    <row r="2769" spans="20:39" x14ac:dyDescent="0.2">
      <c r="T2769" s="28" t="s">
        <v>625</v>
      </c>
      <c r="U2769" s="68" t="s">
        <v>63</v>
      </c>
      <c r="V2769" s="72" t="str">
        <f t="shared" si="43"/>
        <v>TX_WHEELER</v>
      </c>
      <c r="AJ2769" s="1" t="s">
        <v>63</v>
      </c>
      <c r="AK2769" s="1" t="s">
        <v>1845</v>
      </c>
      <c r="AL2769" s="1" t="s">
        <v>8041</v>
      </c>
      <c r="AM2769" s="1" t="s">
        <v>5057</v>
      </c>
    </row>
    <row r="2770" spans="20:39" x14ac:dyDescent="0.2">
      <c r="T2770" s="29" t="s">
        <v>871</v>
      </c>
      <c r="U2770" s="69" t="s">
        <v>63</v>
      </c>
      <c r="V2770" s="72" t="str">
        <f t="shared" si="43"/>
        <v>TX_WICHITA</v>
      </c>
      <c r="AJ2770" s="1" t="s">
        <v>63</v>
      </c>
      <c r="AK2770" s="1" t="s">
        <v>1846</v>
      </c>
      <c r="AL2770" s="1" t="s">
        <v>8042</v>
      </c>
      <c r="AM2770" s="1" t="s">
        <v>9266</v>
      </c>
    </row>
    <row r="2771" spans="20:39" x14ac:dyDescent="0.2">
      <c r="T2771" s="28" t="s">
        <v>1858</v>
      </c>
      <c r="U2771" s="68" t="s">
        <v>63</v>
      </c>
      <c r="V2771" s="72" t="str">
        <f t="shared" si="43"/>
        <v>TX_WILBARGER</v>
      </c>
      <c r="AJ2771" s="1" t="s">
        <v>63</v>
      </c>
      <c r="AK2771" s="1" t="s">
        <v>1847</v>
      </c>
      <c r="AL2771" s="1" t="s">
        <v>8043</v>
      </c>
      <c r="AM2771" s="1" t="s">
        <v>9261</v>
      </c>
    </row>
    <row r="2772" spans="20:39" x14ac:dyDescent="0.2">
      <c r="T2772" s="29" t="s">
        <v>1859</v>
      </c>
      <c r="U2772" s="69" t="s">
        <v>63</v>
      </c>
      <c r="V2772" s="72" t="str">
        <f t="shared" si="43"/>
        <v>TX_WILLACY</v>
      </c>
      <c r="AJ2772" s="1" t="s">
        <v>63</v>
      </c>
      <c r="AK2772" s="1" t="s">
        <v>400</v>
      </c>
      <c r="AL2772" s="1" t="s">
        <v>8044</v>
      </c>
      <c r="AM2772" s="1" t="s">
        <v>5058</v>
      </c>
    </row>
    <row r="2773" spans="20:39" x14ac:dyDescent="0.2">
      <c r="T2773" s="28" t="s">
        <v>719</v>
      </c>
      <c r="U2773" s="68" t="s">
        <v>63</v>
      </c>
      <c r="V2773" s="72" t="str">
        <f t="shared" si="43"/>
        <v>TX_WILLIAMSON</v>
      </c>
      <c r="AJ2773" s="1" t="s">
        <v>63</v>
      </c>
      <c r="AK2773" s="1" t="s">
        <v>1848</v>
      </c>
      <c r="AL2773" s="1" t="s">
        <v>8045</v>
      </c>
      <c r="AM2773" s="1" t="s">
        <v>5059</v>
      </c>
    </row>
    <row r="2774" spans="20:39" x14ac:dyDescent="0.2">
      <c r="T2774" s="29" t="s">
        <v>872</v>
      </c>
      <c r="U2774" s="69" t="s">
        <v>63</v>
      </c>
      <c r="V2774" s="72" t="str">
        <f t="shared" si="43"/>
        <v>TX_WILSON</v>
      </c>
      <c r="AJ2774" s="1" t="s">
        <v>63</v>
      </c>
      <c r="AK2774" s="1" t="s">
        <v>1849</v>
      </c>
      <c r="AL2774" s="1" t="s">
        <v>8046</v>
      </c>
      <c r="AM2774" s="1" t="s">
        <v>4994</v>
      </c>
    </row>
    <row r="2775" spans="20:39" x14ac:dyDescent="0.2">
      <c r="T2775" s="28" t="s">
        <v>1860</v>
      </c>
      <c r="U2775" s="68" t="s">
        <v>63</v>
      </c>
      <c r="V2775" s="72" t="str">
        <f t="shared" si="43"/>
        <v>TX_WINKLER</v>
      </c>
      <c r="AJ2775" s="1" t="s">
        <v>63</v>
      </c>
      <c r="AK2775" s="1" t="s">
        <v>1850</v>
      </c>
      <c r="AL2775" s="1" t="s">
        <v>8047</v>
      </c>
      <c r="AM2775" s="1" t="s">
        <v>5061</v>
      </c>
    </row>
    <row r="2776" spans="20:39" x14ac:dyDescent="0.2">
      <c r="T2776" s="29" t="s">
        <v>1861</v>
      </c>
      <c r="U2776" s="69" t="s">
        <v>63</v>
      </c>
      <c r="V2776" s="72" t="str">
        <f t="shared" si="43"/>
        <v>TX_WISE</v>
      </c>
      <c r="AJ2776" s="1" t="s">
        <v>63</v>
      </c>
      <c r="AK2776" s="1" t="s">
        <v>1851</v>
      </c>
      <c r="AL2776" s="1" t="s">
        <v>8048</v>
      </c>
      <c r="AM2776" s="1" t="s">
        <v>5062</v>
      </c>
    </row>
    <row r="2777" spans="20:39" x14ac:dyDescent="0.2">
      <c r="T2777" s="28" t="s">
        <v>1520</v>
      </c>
      <c r="U2777" s="68" t="s">
        <v>63</v>
      </c>
      <c r="V2777" s="72" t="str">
        <f t="shared" si="43"/>
        <v>TX_WOOD</v>
      </c>
      <c r="AJ2777" s="1" t="s">
        <v>63</v>
      </c>
      <c r="AK2777" s="1" t="s">
        <v>1852</v>
      </c>
      <c r="AL2777" s="1" t="s">
        <v>8049</v>
      </c>
      <c r="AM2777" s="1" t="s">
        <v>5063</v>
      </c>
    </row>
    <row r="2778" spans="20:39" x14ac:dyDescent="0.2">
      <c r="T2778" s="29" t="s">
        <v>1862</v>
      </c>
      <c r="U2778" s="69" t="s">
        <v>63</v>
      </c>
      <c r="V2778" s="72" t="str">
        <f t="shared" si="43"/>
        <v>TX_YOAKUM</v>
      </c>
      <c r="AJ2778" s="1" t="s">
        <v>63</v>
      </c>
      <c r="AK2778" s="1" t="s">
        <v>1853</v>
      </c>
      <c r="AL2778" s="1" t="s">
        <v>8050</v>
      </c>
      <c r="AM2778" s="1" t="s">
        <v>5064</v>
      </c>
    </row>
    <row r="2779" spans="20:39" x14ac:dyDescent="0.2">
      <c r="T2779" s="28" t="s">
        <v>1863</v>
      </c>
      <c r="U2779" s="68" t="s">
        <v>63</v>
      </c>
      <c r="V2779" s="72" t="str">
        <f t="shared" si="43"/>
        <v>TX_YOUNG</v>
      </c>
      <c r="AJ2779" s="1" t="s">
        <v>63</v>
      </c>
      <c r="AK2779" s="1" t="s">
        <v>1854</v>
      </c>
      <c r="AL2779" s="1" t="s">
        <v>8051</v>
      </c>
      <c r="AM2779" s="1" t="s">
        <v>5065</v>
      </c>
    </row>
    <row r="2780" spans="20:39" x14ac:dyDescent="0.2">
      <c r="T2780" s="29" t="s">
        <v>1864</v>
      </c>
      <c r="U2780" s="69" t="s">
        <v>63</v>
      </c>
      <c r="V2780" s="72" t="str">
        <f t="shared" si="43"/>
        <v>TX_ZAPATA</v>
      </c>
      <c r="AJ2780" s="1" t="s">
        <v>63</v>
      </c>
      <c r="AK2780" s="1" t="s">
        <v>257</v>
      </c>
      <c r="AL2780" s="1" t="s">
        <v>8052</v>
      </c>
      <c r="AM2780" s="1" t="s">
        <v>5067</v>
      </c>
    </row>
    <row r="2781" spans="20:39" x14ac:dyDescent="0.2">
      <c r="T2781" s="28" t="s">
        <v>1865</v>
      </c>
      <c r="U2781" s="68" t="s">
        <v>63</v>
      </c>
      <c r="V2781" s="72" t="str">
        <f t="shared" si="43"/>
        <v>TX_ZAVALA</v>
      </c>
      <c r="AJ2781" s="1" t="s">
        <v>63</v>
      </c>
      <c r="AK2781" s="1" t="s">
        <v>1855</v>
      </c>
      <c r="AL2781" s="1" t="s">
        <v>8053</v>
      </c>
      <c r="AM2781" s="1" t="s">
        <v>4961</v>
      </c>
    </row>
    <row r="2782" spans="20:39" x14ac:dyDescent="0.2">
      <c r="T2782" s="29" t="s">
        <v>1524</v>
      </c>
      <c r="U2782" s="69" t="s">
        <v>62</v>
      </c>
      <c r="V2782" s="72" t="str">
        <f t="shared" si="43"/>
        <v>UT_BEAVER</v>
      </c>
      <c r="AJ2782" s="1" t="s">
        <v>63</v>
      </c>
      <c r="AK2782" s="1" t="s">
        <v>1485</v>
      </c>
      <c r="AL2782" s="1" t="s">
        <v>8054</v>
      </c>
      <c r="AM2782" s="1" t="s">
        <v>5068</v>
      </c>
    </row>
    <row r="2783" spans="20:39" x14ac:dyDescent="0.2">
      <c r="T2783" s="28" t="s">
        <v>1866</v>
      </c>
      <c r="U2783" s="68" t="s">
        <v>62</v>
      </c>
      <c r="V2783" s="72" t="str">
        <f t="shared" si="43"/>
        <v>UT_BOX ELDER</v>
      </c>
      <c r="AJ2783" s="1" t="s">
        <v>63</v>
      </c>
      <c r="AK2783" s="1" t="s">
        <v>258</v>
      </c>
      <c r="AL2783" s="1" t="s">
        <v>8055</v>
      </c>
      <c r="AM2783" s="1" t="s">
        <v>5069</v>
      </c>
    </row>
    <row r="2784" spans="20:39" x14ac:dyDescent="0.2">
      <c r="T2784" s="29" t="s">
        <v>1867</v>
      </c>
      <c r="U2784" s="69" t="s">
        <v>62</v>
      </c>
      <c r="V2784" s="72" t="str">
        <f t="shared" si="43"/>
        <v>UT_CACHE</v>
      </c>
      <c r="AJ2784" s="1" t="s">
        <v>63</v>
      </c>
      <c r="AK2784" s="1" t="s">
        <v>1856</v>
      </c>
      <c r="AL2784" s="1" t="s">
        <v>8056</v>
      </c>
      <c r="AM2784" s="1" t="s">
        <v>4986</v>
      </c>
    </row>
    <row r="2785" spans="20:39" x14ac:dyDescent="0.2">
      <c r="T2785" s="28" t="s">
        <v>1235</v>
      </c>
      <c r="U2785" s="68" t="s">
        <v>62</v>
      </c>
      <c r="V2785" s="72" t="str">
        <f t="shared" si="43"/>
        <v>UT_CARBON</v>
      </c>
      <c r="AJ2785" s="1" t="s">
        <v>63</v>
      </c>
      <c r="AK2785" s="1" t="s">
        <v>1857</v>
      </c>
      <c r="AL2785" s="1" t="s">
        <v>8057</v>
      </c>
      <c r="AM2785" s="1" t="s">
        <v>5070</v>
      </c>
    </row>
    <row r="2786" spans="20:39" x14ac:dyDescent="0.2">
      <c r="T2786" s="29" t="s">
        <v>1868</v>
      </c>
      <c r="U2786" s="69" t="s">
        <v>62</v>
      </c>
      <c r="V2786" s="72" t="str">
        <f t="shared" si="43"/>
        <v>UT_DAGGETT</v>
      </c>
      <c r="AJ2786" s="1" t="s">
        <v>63</v>
      </c>
      <c r="AK2786" s="1" t="s">
        <v>625</v>
      </c>
      <c r="AL2786" s="1" t="s">
        <v>8058</v>
      </c>
      <c r="AM2786" s="1" t="s">
        <v>5071</v>
      </c>
    </row>
    <row r="2787" spans="20:39" x14ac:dyDescent="0.2">
      <c r="T2787" s="28" t="s">
        <v>774</v>
      </c>
      <c r="U2787" s="68" t="s">
        <v>62</v>
      </c>
      <c r="V2787" s="72" t="str">
        <f t="shared" si="43"/>
        <v>UT_DAVIS</v>
      </c>
      <c r="AJ2787" s="1" t="s">
        <v>63</v>
      </c>
      <c r="AK2787" s="1" t="s">
        <v>871</v>
      </c>
      <c r="AL2787" s="1" t="s">
        <v>8059</v>
      </c>
      <c r="AM2787" s="1" t="s">
        <v>5072</v>
      </c>
    </row>
    <row r="2788" spans="20:39" x14ac:dyDescent="0.2">
      <c r="T2788" s="29" t="s">
        <v>1869</v>
      </c>
      <c r="U2788" s="69" t="s">
        <v>62</v>
      </c>
      <c r="V2788" s="72" t="str">
        <f t="shared" si="43"/>
        <v>UT_DUCHESNE</v>
      </c>
      <c r="AJ2788" s="1" t="s">
        <v>63</v>
      </c>
      <c r="AK2788" s="1" t="s">
        <v>1858</v>
      </c>
      <c r="AL2788" s="1" t="s">
        <v>8060</v>
      </c>
      <c r="AM2788" s="1" t="s">
        <v>5073</v>
      </c>
    </row>
    <row r="2789" spans="20:39" x14ac:dyDescent="0.2">
      <c r="T2789" s="28" t="s">
        <v>1870</v>
      </c>
      <c r="U2789" s="68" t="s">
        <v>62</v>
      </c>
      <c r="V2789" s="72" t="str">
        <f t="shared" si="43"/>
        <v>UT_EMERY</v>
      </c>
      <c r="AJ2789" s="1" t="s">
        <v>63</v>
      </c>
      <c r="AK2789" s="1" t="s">
        <v>1859</v>
      </c>
      <c r="AL2789" s="1" t="s">
        <v>8061</v>
      </c>
      <c r="AM2789" s="1" t="s">
        <v>5074</v>
      </c>
    </row>
    <row r="2790" spans="20:39" x14ac:dyDescent="0.2">
      <c r="T2790" s="29" t="s">
        <v>428</v>
      </c>
      <c r="U2790" s="69" t="s">
        <v>62</v>
      </c>
      <c r="V2790" s="72" t="str">
        <f t="shared" si="43"/>
        <v>UT_GARFIELD</v>
      </c>
      <c r="AJ2790" s="1" t="s">
        <v>63</v>
      </c>
      <c r="AK2790" s="1" t="s">
        <v>719</v>
      </c>
      <c r="AL2790" s="1" t="s">
        <v>8062</v>
      </c>
      <c r="AM2790" s="1" t="s">
        <v>9261</v>
      </c>
    </row>
    <row r="2791" spans="20:39" x14ac:dyDescent="0.2">
      <c r="T2791" s="28" t="s">
        <v>430</v>
      </c>
      <c r="U2791" s="68" t="s">
        <v>62</v>
      </c>
      <c r="V2791" s="72" t="str">
        <f t="shared" si="43"/>
        <v>UT_GRAND</v>
      </c>
      <c r="AJ2791" s="1" t="s">
        <v>63</v>
      </c>
      <c r="AK2791" s="1" t="s">
        <v>872</v>
      </c>
      <c r="AL2791" s="1" t="s">
        <v>8063</v>
      </c>
      <c r="AM2791" s="1" t="s">
        <v>5039</v>
      </c>
    </row>
    <row r="2792" spans="20:39" x14ac:dyDescent="0.2">
      <c r="T2792" s="29" t="s">
        <v>1057</v>
      </c>
      <c r="U2792" s="69" t="s">
        <v>62</v>
      </c>
      <c r="V2792" s="72" t="str">
        <f t="shared" si="43"/>
        <v>UT_IRON</v>
      </c>
      <c r="AJ2792" s="1" t="s">
        <v>63</v>
      </c>
      <c r="AK2792" s="1" t="s">
        <v>1860</v>
      </c>
      <c r="AL2792" s="1" t="s">
        <v>8064</v>
      </c>
      <c r="AM2792" s="1" t="s">
        <v>5075</v>
      </c>
    </row>
    <row r="2793" spans="20:39" x14ac:dyDescent="0.2">
      <c r="T2793" s="28" t="s">
        <v>1871</v>
      </c>
      <c r="U2793" s="68" t="s">
        <v>62</v>
      </c>
      <c r="V2793" s="72" t="str">
        <f t="shared" si="43"/>
        <v>UT_JUAB</v>
      </c>
      <c r="AJ2793" s="1" t="s">
        <v>63</v>
      </c>
      <c r="AK2793" s="1" t="s">
        <v>1861</v>
      </c>
      <c r="AL2793" s="1" t="s">
        <v>8065</v>
      </c>
      <c r="AM2793" s="1" t="s">
        <v>5076</v>
      </c>
    </row>
    <row r="2794" spans="20:39" x14ac:dyDescent="0.2">
      <c r="T2794" s="29" t="s">
        <v>690</v>
      </c>
      <c r="U2794" s="69" t="s">
        <v>62</v>
      </c>
      <c r="V2794" s="72" t="str">
        <f t="shared" si="43"/>
        <v>UT_KANE</v>
      </c>
      <c r="AJ2794" s="1" t="s">
        <v>63</v>
      </c>
      <c r="AK2794" s="1" t="s">
        <v>1520</v>
      </c>
      <c r="AL2794" s="1" t="s">
        <v>8066</v>
      </c>
      <c r="AM2794" s="1" t="s">
        <v>5077</v>
      </c>
    </row>
    <row r="2795" spans="20:39" x14ac:dyDescent="0.2">
      <c r="T2795" s="28" t="s">
        <v>1872</v>
      </c>
      <c r="U2795" s="68" t="s">
        <v>62</v>
      </c>
      <c r="V2795" s="72" t="str">
        <f t="shared" si="43"/>
        <v>UT_MILLARD</v>
      </c>
      <c r="AJ2795" s="1" t="s">
        <v>63</v>
      </c>
      <c r="AK2795" s="1" t="s">
        <v>1862</v>
      </c>
      <c r="AL2795" s="1" t="s">
        <v>8067</v>
      </c>
      <c r="AM2795" s="1" t="s">
        <v>5078</v>
      </c>
    </row>
    <row r="2796" spans="20:39" x14ac:dyDescent="0.2">
      <c r="T2796" s="29" t="s">
        <v>245</v>
      </c>
      <c r="U2796" s="69" t="s">
        <v>62</v>
      </c>
      <c r="V2796" s="72" t="str">
        <f t="shared" si="43"/>
        <v>UT_MORGAN</v>
      </c>
      <c r="AJ2796" s="1" t="s">
        <v>63</v>
      </c>
      <c r="AK2796" s="1" t="s">
        <v>1863</v>
      </c>
      <c r="AL2796" s="1" t="s">
        <v>8068</v>
      </c>
      <c r="AM2796" s="1" t="s">
        <v>5079</v>
      </c>
    </row>
    <row r="2797" spans="20:39" x14ac:dyDescent="0.2">
      <c r="T2797" s="28" t="s">
        <v>1873</v>
      </c>
      <c r="U2797" s="68" t="s">
        <v>62</v>
      </c>
      <c r="V2797" s="72" t="str">
        <f t="shared" si="43"/>
        <v>UT_PIUTE</v>
      </c>
      <c r="AJ2797" s="1" t="s">
        <v>63</v>
      </c>
      <c r="AK2797" s="1" t="s">
        <v>1864</v>
      </c>
      <c r="AL2797" s="1" t="s">
        <v>8069</v>
      </c>
      <c r="AM2797" s="1" t="s">
        <v>5080</v>
      </c>
    </row>
    <row r="2798" spans="20:39" x14ac:dyDescent="0.2">
      <c r="T2798" s="29" t="s">
        <v>1874</v>
      </c>
      <c r="U2798" s="69" t="s">
        <v>62</v>
      </c>
      <c r="V2798" s="72" t="str">
        <f t="shared" si="43"/>
        <v>UT_RICH</v>
      </c>
      <c r="AJ2798" s="1" t="s">
        <v>63</v>
      </c>
      <c r="AK2798" s="1" t="s">
        <v>1865</v>
      </c>
      <c r="AL2798" s="1" t="s">
        <v>8070</v>
      </c>
      <c r="AM2798" s="1" t="s">
        <v>5081</v>
      </c>
    </row>
    <row r="2799" spans="20:39" x14ac:dyDescent="0.2">
      <c r="T2799" s="28" t="s">
        <v>1875</v>
      </c>
      <c r="U2799" s="68" t="s">
        <v>62</v>
      </c>
      <c r="V2799" s="72" t="str">
        <f t="shared" si="43"/>
        <v>UT_SALT LAKE</v>
      </c>
      <c r="AJ2799" s="1" t="s">
        <v>62</v>
      </c>
      <c r="AK2799" s="1" t="s">
        <v>1524</v>
      </c>
      <c r="AL2799" s="1" t="s">
        <v>8071</v>
      </c>
      <c r="AM2799" s="1" t="s">
        <v>5082</v>
      </c>
    </row>
    <row r="2800" spans="20:39" x14ac:dyDescent="0.2">
      <c r="T2800" s="29" t="s">
        <v>454</v>
      </c>
      <c r="U2800" s="69" t="s">
        <v>62</v>
      </c>
      <c r="V2800" s="72" t="str">
        <f t="shared" si="43"/>
        <v>UT_SAN JUAN</v>
      </c>
      <c r="AJ2800" s="1" t="s">
        <v>62</v>
      </c>
      <c r="AK2800" s="1" t="s">
        <v>1866</v>
      </c>
      <c r="AL2800" s="1" t="s">
        <v>8072</v>
      </c>
      <c r="AM2800" s="1" t="s">
        <v>9271</v>
      </c>
    </row>
    <row r="2801" spans="20:39" x14ac:dyDescent="0.2">
      <c r="T2801" s="28" t="s">
        <v>1876</v>
      </c>
      <c r="U2801" s="68" t="s">
        <v>62</v>
      </c>
      <c r="V2801" s="72" t="str">
        <f t="shared" si="43"/>
        <v>UT_SANPETE</v>
      </c>
      <c r="AJ2801" s="1" t="s">
        <v>62</v>
      </c>
      <c r="AK2801" s="1" t="s">
        <v>1867</v>
      </c>
      <c r="AL2801" s="1" t="s">
        <v>8073</v>
      </c>
      <c r="AM2801" s="1" t="s">
        <v>3491</v>
      </c>
    </row>
    <row r="2802" spans="20:39" x14ac:dyDescent="0.2">
      <c r="T2802" s="29" t="s">
        <v>342</v>
      </c>
      <c r="U2802" s="69" t="s">
        <v>62</v>
      </c>
      <c r="V2802" s="72" t="str">
        <f t="shared" si="43"/>
        <v>UT_SEVIER</v>
      </c>
      <c r="AJ2802" s="1" t="s">
        <v>62</v>
      </c>
      <c r="AK2802" s="1" t="s">
        <v>1235</v>
      </c>
      <c r="AL2802" s="1" t="s">
        <v>8074</v>
      </c>
      <c r="AM2802" s="1" t="s">
        <v>5083</v>
      </c>
    </row>
    <row r="2803" spans="20:39" x14ac:dyDescent="0.2">
      <c r="T2803" s="28" t="s">
        <v>457</v>
      </c>
      <c r="U2803" s="68" t="s">
        <v>62</v>
      </c>
      <c r="V2803" s="72" t="str">
        <f t="shared" si="43"/>
        <v>UT_SUMMIT</v>
      </c>
      <c r="AJ2803" s="1" t="s">
        <v>62</v>
      </c>
      <c r="AK2803" s="1" t="s">
        <v>1868</v>
      </c>
      <c r="AL2803" s="1" t="s">
        <v>8075</v>
      </c>
      <c r="AM2803" s="1" t="s">
        <v>5084</v>
      </c>
    </row>
    <row r="2804" spans="20:39" x14ac:dyDescent="0.2">
      <c r="T2804" s="29" t="s">
        <v>1877</v>
      </c>
      <c r="U2804" s="69" t="s">
        <v>62</v>
      </c>
      <c r="V2804" s="72" t="str">
        <f t="shared" si="43"/>
        <v>UT_TOOELE</v>
      </c>
      <c r="AJ2804" s="1" t="s">
        <v>62</v>
      </c>
      <c r="AK2804" s="1" t="s">
        <v>774</v>
      </c>
      <c r="AL2804" s="1" t="s">
        <v>8076</v>
      </c>
      <c r="AM2804" s="1" t="s">
        <v>9272</v>
      </c>
    </row>
    <row r="2805" spans="20:39" x14ac:dyDescent="0.2">
      <c r="T2805" s="28" t="s">
        <v>1878</v>
      </c>
      <c r="U2805" s="68" t="s">
        <v>62</v>
      </c>
      <c r="V2805" s="72" t="str">
        <f t="shared" si="43"/>
        <v>UT_UINTAH</v>
      </c>
      <c r="AJ2805" s="1" t="s">
        <v>62</v>
      </c>
      <c r="AK2805" s="1" t="s">
        <v>1869</v>
      </c>
      <c r="AL2805" s="1" t="s">
        <v>8077</v>
      </c>
      <c r="AM2805" s="1" t="s">
        <v>5085</v>
      </c>
    </row>
    <row r="2806" spans="20:39" x14ac:dyDescent="0.2">
      <c r="T2806" s="29" t="s">
        <v>1879</v>
      </c>
      <c r="U2806" s="69" t="s">
        <v>62</v>
      </c>
      <c r="V2806" s="72" t="str">
        <f t="shared" si="43"/>
        <v>UT_UTAH</v>
      </c>
      <c r="AJ2806" s="1" t="s">
        <v>62</v>
      </c>
      <c r="AK2806" s="1" t="s">
        <v>1870</v>
      </c>
      <c r="AL2806" s="1" t="s">
        <v>8078</v>
      </c>
      <c r="AM2806" s="1" t="s">
        <v>5086</v>
      </c>
    </row>
    <row r="2807" spans="20:39" x14ac:dyDescent="0.2">
      <c r="T2807" s="28" t="s">
        <v>1880</v>
      </c>
      <c r="U2807" s="68" t="s">
        <v>62</v>
      </c>
      <c r="V2807" s="72" t="str">
        <f t="shared" si="43"/>
        <v>UT_WASATCH</v>
      </c>
      <c r="AJ2807" s="1" t="s">
        <v>62</v>
      </c>
      <c r="AK2807" s="1" t="s">
        <v>428</v>
      </c>
      <c r="AL2807" s="1" t="s">
        <v>8079</v>
      </c>
      <c r="AM2807" s="1" t="s">
        <v>5087</v>
      </c>
    </row>
    <row r="2808" spans="20:39" x14ac:dyDescent="0.2">
      <c r="T2808" s="29" t="s">
        <v>258</v>
      </c>
      <c r="U2808" s="69" t="s">
        <v>62</v>
      </c>
      <c r="V2808" s="72" t="str">
        <f t="shared" si="43"/>
        <v>UT_WASHINGTON</v>
      </c>
      <c r="AJ2808" s="1" t="s">
        <v>62</v>
      </c>
      <c r="AK2808" s="1" t="s">
        <v>430</v>
      </c>
      <c r="AL2808" s="1" t="s">
        <v>8080</v>
      </c>
      <c r="AM2808" s="1" t="s">
        <v>5088</v>
      </c>
    </row>
    <row r="2809" spans="20:39" x14ac:dyDescent="0.2">
      <c r="T2809" s="28" t="s">
        <v>623</v>
      </c>
      <c r="U2809" s="68" t="s">
        <v>62</v>
      </c>
      <c r="V2809" s="72" t="str">
        <f t="shared" si="43"/>
        <v>UT_WAYNE</v>
      </c>
      <c r="AJ2809" s="1" t="s">
        <v>62</v>
      </c>
      <c r="AK2809" s="1" t="s">
        <v>1057</v>
      </c>
      <c r="AL2809" s="1" t="s">
        <v>8081</v>
      </c>
      <c r="AM2809" s="1" t="s">
        <v>5089</v>
      </c>
    </row>
    <row r="2810" spans="20:39" x14ac:dyDescent="0.2">
      <c r="T2810" s="29" t="s">
        <v>1881</v>
      </c>
      <c r="U2810" s="69" t="s">
        <v>62</v>
      </c>
      <c r="V2810" s="72" t="str">
        <f t="shared" si="43"/>
        <v>UT_WEBER</v>
      </c>
      <c r="AJ2810" s="1" t="s">
        <v>62</v>
      </c>
      <c r="AK2810" s="1" t="s">
        <v>1871</v>
      </c>
      <c r="AL2810" s="1" t="s">
        <v>8082</v>
      </c>
      <c r="AM2810" s="1" t="s">
        <v>9273</v>
      </c>
    </row>
    <row r="2811" spans="20:39" x14ac:dyDescent="0.2">
      <c r="T2811" s="28" t="s">
        <v>1882</v>
      </c>
      <c r="U2811" s="68" t="s">
        <v>61</v>
      </c>
      <c r="V2811" s="72" t="str">
        <f t="shared" si="43"/>
        <v>VT_ADDISON</v>
      </c>
      <c r="AJ2811" s="1" t="s">
        <v>62</v>
      </c>
      <c r="AK2811" s="1" t="s">
        <v>690</v>
      </c>
      <c r="AL2811" s="1" t="s">
        <v>8083</v>
      </c>
      <c r="AM2811" s="1" t="s">
        <v>5090</v>
      </c>
    </row>
    <row r="2812" spans="20:39" x14ac:dyDescent="0.2">
      <c r="T2812" s="29" t="s">
        <v>1883</v>
      </c>
      <c r="U2812" s="69" t="s">
        <v>61</v>
      </c>
      <c r="V2812" s="72" t="str">
        <f t="shared" si="43"/>
        <v>VT_BENNINGTON</v>
      </c>
      <c r="AJ2812" s="1" t="s">
        <v>62</v>
      </c>
      <c r="AK2812" s="1" t="s">
        <v>1872</v>
      </c>
      <c r="AL2812" s="1" t="s">
        <v>8084</v>
      </c>
      <c r="AM2812" s="1" t="s">
        <v>5091</v>
      </c>
    </row>
    <row r="2813" spans="20:39" x14ac:dyDescent="0.2">
      <c r="T2813" s="28" t="s">
        <v>1884</v>
      </c>
      <c r="U2813" s="68" t="s">
        <v>61</v>
      </c>
      <c r="V2813" s="72" t="str">
        <f t="shared" si="43"/>
        <v>VT_CALEDONIA</v>
      </c>
      <c r="AJ2813" s="1" t="s">
        <v>62</v>
      </c>
      <c r="AK2813" s="1" t="s">
        <v>245</v>
      </c>
      <c r="AL2813" s="1" t="s">
        <v>8085</v>
      </c>
      <c r="AM2813" s="1" t="s">
        <v>9272</v>
      </c>
    </row>
    <row r="2814" spans="20:39" x14ac:dyDescent="0.2">
      <c r="T2814" s="29" t="s">
        <v>1885</v>
      </c>
      <c r="U2814" s="69" t="s">
        <v>61</v>
      </c>
      <c r="V2814" s="72" t="str">
        <f t="shared" si="43"/>
        <v>VT_CHITTENDEN</v>
      </c>
      <c r="AJ2814" s="1" t="s">
        <v>62</v>
      </c>
      <c r="AK2814" s="1" t="s">
        <v>1873</v>
      </c>
      <c r="AL2814" s="1" t="s">
        <v>8086</v>
      </c>
      <c r="AM2814" s="1" t="s">
        <v>5092</v>
      </c>
    </row>
    <row r="2815" spans="20:39" x14ac:dyDescent="0.2">
      <c r="T2815" s="28" t="s">
        <v>1025</v>
      </c>
      <c r="U2815" s="68" t="s">
        <v>61</v>
      </c>
      <c r="V2815" s="72" t="str">
        <f t="shared" si="43"/>
        <v>VT_ESSEX</v>
      </c>
      <c r="AJ2815" s="1" t="s">
        <v>62</v>
      </c>
      <c r="AK2815" s="1" t="s">
        <v>1874</v>
      </c>
      <c r="AL2815" s="1" t="s">
        <v>8087</v>
      </c>
      <c r="AM2815" s="1" t="s">
        <v>5093</v>
      </c>
    </row>
    <row r="2816" spans="20:39" x14ac:dyDescent="0.2">
      <c r="T2816" s="29" t="s">
        <v>223</v>
      </c>
      <c r="U2816" s="69" t="s">
        <v>61</v>
      </c>
      <c r="V2816" s="72" t="str">
        <f t="shared" si="43"/>
        <v>VT_FRANKLIN</v>
      </c>
      <c r="AJ2816" s="1" t="s">
        <v>62</v>
      </c>
      <c r="AK2816" s="1" t="s">
        <v>1875</v>
      </c>
      <c r="AL2816" s="1" t="s">
        <v>8088</v>
      </c>
      <c r="AM2816" s="1" t="s">
        <v>5094</v>
      </c>
    </row>
    <row r="2817" spans="20:39" x14ac:dyDescent="0.2">
      <c r="T2817" s="28" t="s">
        <v>1886</v>
      </c>
      <c r="U2817" s="68" t="s">
        <v>61</v>
      </c>
      <c r="V2817" s="72" t="str">
        <f t="shared" si="43"/>
        <v>VT_GRAND ISLE</v>
      </c>
      <c r="AJ2817" s="1" t="s">
        <v>62</v>
      </c>
      <c r="AK2817" s="1" t="s">
        <v>454</v>
      </c>
      <c r="AL2817" s="1" t="s">
        <v>8089</v>
      </c>
      <c r="AM2817" s="1" t="s">
        <v>5095</v>
      </c>
    </row>
    <row r="2818" spans="20:39" x14ac:dyDescent="0.2">
      <c r="T2818" s="29" t="s">
        <v>1887</v>
      </c>
      <c r="U2818" s="69" t="s">
        <v>61</v>
      </c>
      <c r="V2818" s="72" t="str">
        <f t="shared" si="43"/>
        <v>VT_LAMOILLE</v>
      </c>
      <c r="AJ2818" s="1" t="s">
        <v>62</v>
      </c>
      <c r="AK2818" s="1" t="s">
        <v>1876</v>
      </c>
      <c r="AL2818" s="1" t="s">
        <v>8090</v>
      </c>
      <c r="AM2818" s="1" t="s">
        <v>5096</v>
      </c>
    </row>
    <row r="2819" spans="20:39" x14ac:dyDescent="0.2">
      <c r="T2819" s="28" t="s">
        <v>378</v>
      </c>
      <c r="U2819" s="68" t="s">
        <v>61</v>
      </c>
      <c r="V2819" s="72" t="str">
        <f t="shared" si="43"/>
        <v>VT_ORANGE</v>
      </c>
      <c r="AJ2819" s="1" t="s">
        <v>62</v>
      </c>
      <c r="AK2819" s="1" t="s">
        <v>342</v>
      </c>
      <c r="AL2819" s="1" t="s">
        <v>8091</v>
      </c>
      <c r="AM2819" s="1" t="s">
        <v>5097</v>
      </c>
    </row>
    <row r="2820" spans="20:39" x14ac:dyDescent="0.2">
      <c r="T2820" s="29" t="s">
        <v>1376</v>
      </c>
      <c r="U2820" s="69" t="s">
        <v>61</v>
      </c>
      <c r="V2820" s="72" t="str">
        <f t="shared" si="43"/>
        <v>VT_ORLEANS</v>
      </c>
      <c r="AJ2820" s="1" t="s">
        <v>62</v>
      </c>
      <c r="AK2820" s="1" t="s">
        <v>457</v>
      </c>
      <c r="AL2820" s="1" t="s">
        <v>8092</v>
      </c>
      <c r="AM2820" s="1" t="s">
        <v>5099</v>
      </c>
    </row>
    <row r="2821" spans="20:39" x14ac:dyDescent="0.2">
      <c r="T2821" s="28" t="s">
        <v>1888</v>
      </c>
      <c r="U2821" s="68" t="s">
        <v>61</v>
      </c>
      <c r="V2821" s="72" t="str">
        <f t="shared" si="43"/>
        <v>VT_RUTLAND</v>
      </c>
      <c r="AJ2821" s="1" t="s">
        <v>62</v>
      </c>
      <c r="AK2821" s="1" t="s">
        <v>1877</v>
      </c>
      <c r="AL2821" s="1" t="s">
        <v>8093</v>
      </c>
      <c r="AM2821" s="1" t="s">
        <v>5100</v>
      </c>
    </row>
    <row r="2822" spans="20:39" x14ac:dyDescent="0.2">
      <c r="T2822" s="29" t="s">
        <v>258</v>
      </c>
      <c r="U2822" s="69" t="s">
        <v>61</v>
      </c>
      <c r="V2822" s="72" t="str">
        <f t="shared" si="43"/>
        <v>VT_WASHINGTON</v>
      </c>
      <c r="AJ2822" s="1" t="s">
        <v>62</v>
      </c>
      <c r="AK2822" s="1" t="s">
        <v>1878</v>
      </c>
      <c r="AL2822" s="1" t="s">
        <v>8094</v>
      </c>
      <c r="AM2822" s="1" t="s">
        <v>5101</v>
      </c>
    </row>
    <row r="2823" spans="20:39" x14ac:dyDescent="0.2">
      <c r="T2823" s="28" t="s">
        <v>467</v>
      </c>
      <c r="U2823" s="68" t="s">
        <v>61</v>
      </c>
      <c r="V2823" s="72" t="str">
        <f t="shared" si="43"/>
        <v>VT_WINDHAM</v>
      </c>
      <c r="AJ2823" s="1" t="s">
        <v>62</v>
      </c>
      <c r="AK2823" s="1" t="s">
        <v>1879</v>
      </c>
      <c r="AL2823" s="1" t="s">
        <v>8095</v>
      </c>
      <c r="AM2823" s="1" t="s">
        <v>9273</v>
      </c>
    </row>
    <row r="2824" spans="20:39" x14ac:dyDescent="0.2">
      <c r="T2824" s="29" t="s">
        <v>1889</v>
      </c>
      <c r="U2824" s="69" t="s">
        <v>61</v>
      </c>
      <c r="V2824" s="72" t="str">
        <f t="shared" si="43"/>
        <v>VT_WINDSOR</v>
      </c>
      <c r="AJ2824" s="1" t="s">
        <v>62</v>
      </c>
      <c r="AK2824" s="1" t="s">
        <v>1880</v>
      </c>
      <c r="AL2824" s="1" t="s">
        <v>8096</v>
      </c>
      <c r="AM2824" s="1" t="s">
        <v>5102</v>
      </c>
    </row>
    <row r="2825" spans="20:39" x14ac:dyDescent="0.2">
      <c r="T2825" s="28" t="s">
        <v>1890</v>
      </c>
      <c r="U2825" s="68" t="s">
        <v>60</v>
      </c>
      <c r="V2825" s="72" t="str">
        <f t="shared" si="43"/>
        <v>VA_ACCOMACK</v>
      </c>
      <c r="AJ2825" s="1" t="s">
        <v>62</v>
      </c>
      <c r="AK2825" s="1" t="s">
        <v>258</v>
      </c>
      <c r="AL2825" s="1" t="s">
        <v>8097</v>
      </c>
      <c r="AM2825" s="1" t="s">
        <v>5098</v>
      </c>
    </row>
    <row r="2826" spans="20:39" x14ac:dyDescent="0.2">
      <c r="T2826" s="29" t="s">
        <v>1891</v>
      </c>
      <c r="U2826" s="69" t="s">
        <v>60</v>
      </c>
      <c r="V2826" s="72" t="str">
        <f t="shared" ref="V2826:V2889" si="44">UPPER(CONCATENATE(TRIM(U2826),"_",TRIM(T2826)))</f>
        <v>VA_ALBEMARLE</v>
      </c>
      <c r="AJ2826" s="1" t="s">
        <v>62</v>
      </c>
      <c r="AK2826" s="1" t="s">
        <v>623</v>
      </c>
      <c r="AL2826" s="1" t="s">
        <v>8098</v>
      </c>
      <c r="AM2826" s="1" t="s">
        <v>5103</v>
      </c>
    </row>
    <row r="2827" spans="20:39" x14ac:dyDescent="0.2">
      <c r="T2827" s="28" t="s">
        <v>1393</v>
      </c>
      <c r="U2827" s="68" t="s">
        <v>60</v>
      </c>
      <c r="V2827" s="72" t="str">
        <f t="shared" si="44"/>
        <v>VA_ALLEGHANY</v>
      </c>
      <c r="AJ2827" s="1" t="s">
        <v>62</v>
      </c>
      <c r="AK2827" s="1" t="s">
        <v>1881</v>
      </c>
      <c r="AL2827" s="1" t="s">
        <v>8099</v>
      </c>
      <c r="AM2827" s="1" t="s">
        <v>9272</v>
      </c>
    </row>
    <row r="2828" spans="20:39" x14ac:dyDescent="0.2">
      <c r="T2828" s="29" t="s">
        <v>1892</v>
      </c>
      <c r="U2828" s="69" t="s">
        <v>60</v>
      </c>
      <c r="V2828" s="72" t="str">
        <f t="shared" si="44"/>
        <v>VA_AMELIA</v>
      </c>
      <c r="AJ2828" s="1" t="s">
        <v>60</v>
      </c>
      <c r="AK2828" s="1" t="s">
        <v>1890</v>
      </c>
      <c r="AL2828" s="1" t="s">
        <v>8100</v>
      </c>
      <c r="AM2828" s="1" t="s">
        <v>5104</v>
      </c>
    </row>
    <row r="2829" spans="20:39" x14ac:dyDescent="0.2">
      <c r="T2829" s="28" t="s">
        <v>1893</v>
      </c>
      <c r="U2829" s="68" t="s">
        <v>60</v>
      </c>
      <c r="V2829" s="72" t="str">
        <f t="shared" si="44"/>
        <v>VA_AMHERST</v>
      </c>
      <c r="AJ2829" s="1" t="s">
        <v>60</v>
      </c>
      <c r="AK2829" s="1" t="s">
        <v>1891</v>
      </c>
      <c r="AL2829" s="1" t="s">
        <v>8101</v>
      </c>
      <c r="AM2829" s="1" t="s">
        <v>5115</v>
      </c>
    </row>
    <row r="2830" spans="20:39" x14ac:dyDescent="0.2">
      <c r="T2830" s="29" t="s">
        <v>1894</v>
      </c>
      <c r="U2830" s="69" t="s">
        <v>60</v>
      </c>
      <c r="V2830" s="72" t="str">
        <f t="shared" si="44"/>
        <v>VA_APPOMATTOX</v>
      </c>
      <c r="AJ2830" s="1" t="s">
        <v>60</v>
      </c>
      <c r="AK2830" s="1" t="s">
        <v>1935</v>
      </c>
      <c r="AL2830" s="1" t="s">
        <v>8102</v>
      </c>
      <c r="AM2830" s="1" t="s">
        <v>3210</v>
      </c>
    </row>
    <row r="2831" spans="20:39" x14ac:dyDescent="0.2">
      <c r="T2831" s="28" t="s">
        <v>1895</v>
      </c>
      <c r="U2831" s="68" t="s">
        <v>60</v>
      </c>
      <c r="V2831" s="72" t="str">
        <f t="shared" si="44"/>
        <v>VA_ARLINGTON</v>
      </c>
      <c r="AJ2831" s="1" t="s">
        <v>60</v>
      </c>
      <c r="AK2831" s="1" t="s">
        <v>1393</v>
      </c>
      <c r="AL2831" s="1" t="s">
        <v>8103</v>
      </c>
      <c r="AM2831" s="1" t="s">
        <v>5105</v>
      </c>
    </row>
    <row r="2832" spans="20:39" x14ac:dyDescent="0.2">
      <c r="T2832" s="29" t="s">
        <v>1896</v>
      </c>
      <c r="U2832" s="69" t="s">
        <v>60</v>
      </c>
      <c r="V2832" s="72" t="str">
        <f t="shared" si="44"/>
        <v>VA_AUGUSTA</v>
      </c>
      <c r="AJ2832" s="1" t="s">
        <v>60</v>
      </c>
      <c r="AK2832" s="1" t="s">
        <v>1892</v>
      </c>
      <c r="AL2832" s="1" t="s">
        <v>8104</v>
      </c>
      <c r="AM2832" s="1" t="s">
        <v>9274</v>
      </c>
    </row>
    <row r="2833" spans="20:39" x14ac:dyDescent="0.2">
      <c r="T2833" s="28" t="s">
        <v>877</v>
      </c>
      <c r="U2833" s="68" t="s">
        <v>60</v>
      </c>
      <c r="V2833" s="72" t="str">
        <f t="shared" si="44"/>
        <v>VA_BATH</v>
      </c>
      <c r="AJ2833" s="1" t="s">
        <v>60</v>
      </c>
      <c r="AK2833" s="1" t="s">
        <v>1893</v>
      </c>
      <c r="AL2833" s="1" t="s">
        <v>8105</v>
      </c>
      <c r="AM2833" s="1" t="s">
        <v>5134</v>
      </c>
    </row>
    <row r="2834" spans="20:39" x14ac:dyDescent="0.2">
      <c r="T2834" s="29" t="s">
        <v>1582</v>
      </c>
      <c r="U2834" s="69" t="s">
        <v>60</v>
      </c>
      <c r="V2834" s="72" t="str">
        <f t="shared" si="44"/>
        <v>VA_BEDFORD</v>
      </c>
      <c r="AJ2834" s="1" t="s">
        <v>60</v>
      </c>
      <c r="AK2834" s="1" t="s">
        <v>1894</v>
      </c>
      <c r="AL2834" s="1" t="s">
        <v>8106</v>
      </c>
      <c r="AM2834" s="1" t="s">
        <v>5134</v>
      </c>
    </row>
    <row r="2835" spans="20:39" x14ac:dyDescent="0.2">
      <c r="T2835" s="28" t="s">
        <v>1897</v>
      </c>
      <c r="U2835" s="68" t="s">
        <v>60</v>
      </c>
      <c r="V2835" s="72" t="str">
        <f t="shared" si="44"/>
        <v>VA_BLAND</v>
      </c>
      <c r="AJ2835" s="1" t="s">
        <v>60</v>
      </c>
      <c r="AK2835" s="1" t="s">
        <v>1895</v>
      </c>
      <c r="AL2835" s="1" t="s">
        <v>8107</v>
      </c>
      <c r="AM2835" s="1" t="s">
        <v>3210</v>
      </c>
    </row>
    <row r="2836" spans="20:39" x14ac:dyDescent="0.2">
      <c r="T2836" s="29" t="s">
        <v>1898</v>
      </c>
      <c r="U2836" s="69" t="s">
        <v>60</v>
      </c>
      <c r="V2836" s="72" t="str">
        <f t="shared" si="44"/>
        <v>VA_BOTETOURT</v>
      </c>
      <c r="AJ2836" s="1" t="s">
        <v>60</v>
      </c>
      <c r="AK2836" s="1" t="s">
        <v>1896</v>
      </c>
      <c r="AL2836" s="1" t="s">
        <v>8108</v>
      </c>
      <c r="AM2836" s="1" t="s">
        <v>9275</v>
      </c>
    </row>
    <row r="2837" spans="20:39" x14ac:dyDescent="0.2">
      <c r="T2837" s="28" t="s">
        <v>1400</v>
      </c>
      <c r="U2837" s="68" t="s">
        <v>60</v>
      </c>
      <c r="V2837" s="72" t="str">
        <f t="shared" si="44"/>
        <v>VA_BRUNSWICK</v>
      </c>
      <c r="AJ2837" s="1" t="s">
        <v>60</v>
      </c>
      <c r="AK2837" s="1" t="s">
        <v>877</v>
      </c>
      <c r="AL2837" s="1" t="s">
        <v>8109</v>
      </c>
      <c r="AM2837" s="1" t="s">
        <v>5106</v>
      </c>
    </row>
    <row r="2838" spans="20:39" x14ac:dyDescent="0.2">
      <c r="T2838" s="29" t="s">
        <v>769</v>
      </c>
      <c r="U2838" s="69" t="s">
        <v>60</v>
      </c>
      <c r="V2838" s="72" t="str">
        <f t="shared" si="44"/>
        <v>VA_BUCHANAN</v>
      </c>
      <c r="AJ2838" s="1" t="s">
        <v>60</v>
      </c>
      <c r="AK2838" s="1" t="s">
        <v>1582</v>
      </c>
      <c r="AL2838" s="1" t="s">
        <v>8110</v>
      </c>
      <c r="AM2838" s="1" t="s">
        <v>5134</v>
      </c>
    </row>
    <row r="2839" spans="20:39" x14ac:dyDescent="0.2">
      <c r="T2839" s="28" t="s">
        <v>1899</v>
      </c>
      <c r="U2839" s="68" t="s">
        <v>60</v>
      </c>
      <c r="V2839" s="72" t="str">
        <f t="shared" si="44"/>
        <v>VA_BUCKINGHAM</v>
      </c>
      <c r="AJ2839" s="1" t="s">
        <v>60</v>
      </c>
      <c r="AK2839" s="1" t="s">
        <v>1897</v>
      </c>
      <c r="AL2839" s="1" t="s">
        <v>8111</v>
      </c>
      <c r="AM2839" s="1" t="s">
        <v>5108</v>
      </c>
    </row>
    <row r="2840" spans="20:39" x14ac:dyDescent="0.2">
      <c r="T2840" s="29" t="s">
        <v>887</v>
      </c>
      <c r="U2840" s="69" t="s">
        <v>60</v>
      </c>
      <c r="V2840" s="72" t="str">
        <f t="shared" si="44"/>
        <v>VA_CAMPBELL</v>
      </c>
      <c r="AJ2840" s="1" t="s">
        <v>60</v>
      </c>
      <c r="AK2840" s="1" t="s">
        <v>1898</v>
      </c>
      <c r="AL2840" s="1" t="s">
        <v>8112</v>
      </c>
      <c r="AM2840" s="1" t="s">
        <v>5148</v>
      </c>
    </row>
    <row r="2841" spans="20:39" x14ac:dyDescent="0.2">
      <c r="T2841" s="28" t="s">
        <v>1008</v>
      </c>
      <c r="U2841" s="68" t="s">
        <v>60</v>
      </c>
      <c r="V2841" s="72" t="str">
        <f t="shared" si="44"/>
        <v>VA_CAROLINE</v>
      </c>
      <c r="AJ2841" s="1" t="s">
        <v>60</v>
      </c>
      <c r="AK2841" s="1" t="s">
        <v>1936</v>
      </c>
      <c r="AL2841" s="1" t="s">
        <v>8113</v>
      </c>
      <c r="AM2841" s="1" t="s">
        <v>9258</v>
      </c>
    </row>
    <row r="2842" spans="20:39" x14ac:dyDescent="0.2">
      <c r="T2842" s="29" t="s">
        <v>299</v>
      </c>
      <c r="U2842" s="69" t="s">
        <v>60</v>
      </c>
      <c r="V2842" s="72" t="str">
        <f t="shared" si="44"/>
        <v>VA_CARROLL</v>
      </c>
      <c r="AJ2842" s="1" t="s">
        <v>60</v>
      </c>
      <c r="AK2842" s="1" t="s">
        <v>1400</v>
      </c>
      <c r="AL2842" s="1" t="s">
        <v>8114</v>
      </c>
      <c r="AM2842" s="1" t="s">
        <v>5109</v>
      </c>
    </row>
    <row r="2843" spans="20:39" x14ac:dyDescent="0.2">
      <c r="T2843" s="28" t="s">
        <v>1900</v>
      </c>
      <c r="U2843" s="68" t="s">
        <v>60</v>
      </c>
      <c r="V2843" s="72" t="str">
        <f t="shared" si="44"/>
        <v>VA_CHARLES CITY</v>
      </c>
      <c r="AJ2843" s="1" t="s">
        <v>60</v>
      </c>
      <c r="AK2843" s="1" t="s">
        <v>769</v>
      </c>
      <c r="AL2843" s="1" t="s">
        <v>8115</v>
      </c>
      <c r="AM2843" s="1" t="s">
        <v>5110</v>
      </c>
    </row>
    <row r="2844" spans="20:39" x14ac:dyDescent="0.2">
      <c r="T2844" s="29" t="s">
        <v>479</v>
      </c>
      <c r="U2844" s="69" t="s">
        <v>60</v>
      </c>
      <c r="V2844" s="72" t="str">
        <f t="shared" si="44"/>
        <v>VA_CHARLOTTE</v>
      </c>
      <c r="AJ2844" s="1" t="s">
        <v>60</v>
      </c>
      <c r="AK2844" s="1" t="s">
        <v>1899</v>
      </c>
      <c r="AL2844" s="1" t="s">
        <v>8116</v>
      </c>
      <c r="AM2844" s="1" t="s">
        <v>5111</v>
      </c>
    </row>
    <row r="2845" spans="20:39" x14ac:dyDescent="0.2">
      <c r="T2845" s="28" t="s">
        <v>1622</v>
      </c>
      <c r="U2845" s="68" t="s">
        <v>60</v>
      </c>
      <c r="V2845" s="72" t="str">
        <f t="shared" si="44"/>
        <v>VA_CHESTERFIELD</v>
      </c>
      <c r="AJ2845" s="1" t="s">
        <v>60</v>
      </c>
      <c r="AK2845" s="1" t="s">
        <v>1937</v>
      </c>
      <c r="AL2845" s="1" t="s">
        <v>8117</v>
      </c>
      <c r="AM2845" s="1" t="s">
        <v>5149</v>
      </c>
    </row>
    <row r="2846" spans="20:39" x14ac:dyDescent="0.2">
      <c r="T2846" s="29" t="s">
        <v>206</v>
      </c>
      <c r="U2846" s="69" t="s">
        <v>60</v>
      </c>
      <c r="V2846" s="72" t="str">
        <f t="shared" si="44"/>
        <v>VA_CLARKE</v>
      </c>
      <c r="AJ2846" s="1" t="s">
        <v>60</v>
      </c>
      <c r="AK2846" s="1" t="s">
        <v>887</v>
      </c>
      <c r="AL2846" s="1" t="s">
        <v>8118</v>
      </c>
      <c r="AM2846" s="1" t="s">
        <v>5134</v>
      </c>
    </row>
    <row r="2847" spans="20:39" x14ac:dyDescent="0.2">
      <c r="T2847" s="28" t="s">
        <v>1531</v>
      </c>
      <c r="U2847" s="68" t="s">
        <v>60</v>
      </c>
      <c r="V2847" s="72" t="str">
        <f t="shared" si="44"/>
        <v>VA_CRAIG</v>
      </c>
      <c r="AJ2847" s="1" t="s">
        <v>60</v>
      </c>
      <c r="AK2847" s="1" t="s">
        <v>1008</v>
      </c>
      <c r="AL2847" s="1" t="s">
        <v>8119</v>
      </c>
      <c r="AM2847" s="1" t="s">
        <v>5112</v>
      </c>
    </row>
    <row r="2848" spans="20:39" x14ac:dyDescent="0.2">
      <c r="T2848" s="29" t="s">
        <v>1901</v>
      </c>
      <c r="U2848" s="69" t="s">
        <v>60</v>
      </c>
      <c r="V2848" s="72" t="str">
        <f t="shared" si="44"/>
        <v>VA_CULPEPER</v>
      </c>
      <c r="AJ2848" s="1" t="s">
        <v>60</v>
      </c>
      <c r="AK2848" s="1" t="s">
        <v>299</v>
      </c>
      <c r="AL2848" s="1" t="s">
        <v>8120</v>
      </c>
      <c r="AM2848" s="1" t="s">
        <v>5113</v>
      </c>
    </row>
    <row r="2849" spans="20:39" x14ac:dyDescent="0.2">
      <c r="T2849" s="28" t="s">
        <v>677</v>
      </c>
      <c r="U2849" s="68" t="s">
        <v>60</v>
      </c>
      <c r="V2849" s="72" t="str">
        <f t="shared" si="44"/>
        <v>VA_CUMBERLAND</v>
      </c>
      <c r="AJ2849" s="1" t="s">
        <v>60</v>
      </c>
      <c r="AK2849" s="1" t="s">
        <v>1900</v>
      </c>
      <c r="AL2849" s="1" t="s">
        <v>8121</v>
      </c>
      <c r="AM2849" s="1" t="s">
        <v>9274</v>
      </c>
    </row>
    <row r="2850" spans="20:39" x14ac:dyDescent="0.2">
      <c r="T2850" s="29" t="s">
        <v>1902</v>
      </c>
      <c r="U2850" s="69" t="s">
        <v>60</v>
      </c>
      <c r="V2850" s="72" t="str">
        <f t="shared" si="44"/>
        <v>VA_DICKENSON</v>
      </c>
      <c r="AJ2850" s="1" t="s">
        <v>60</v>
      </c>
      <c r="AK2850" s="1" t="s">
        <v>479</v>
      </c>
      <c r="AL2850" s="1" t="s">
        <v>8122</v>
      </c>
      <c r="AM2850" s="1" t="s">
        <v>5114</v>
      </c>
    </row>
    <row r="2851" spans="20:39" x14ac:dyDescent="0.2">
      <c r="T2851" s="28" t="s">
        <v>1903</v>
      </c>
      <c r="U2851" s="68" t="s">
        <v>60</v>
      </c>
      <c r="V2851" s="72" t="str">
        <f t="shared" si="44"/>
        <v>VA_DINWIDDIE</v>
      </c>
      <c r="AJ2851" s="1" t="s">
        <v>60</v>
      </c>
      <c r="AK2851" s="1" t="s">
        <v>1938</v>
      </c>
      <c r="AL2851" s="1" t="s">
        <v>8123</v>
      </c>
      <c r="AM2851" s="1" t="s">
        <v>5115</v>
      </c>
    </row>
    <row r="2852" spans="20:39" x14ac:dyDescent="0.2">
      <c r="T2852" s="29" t="s">
        <v>1025</v>
      </c>
      <c r="U2852" s="69" t="s">
        <v>60</v>
      </c>
      <c r="V2852" s="72" t="str">
        <f t="shared" si="44"/>
        <v>VA_ESSEX</v>
      </c>
      <c r="AJ2852" s="1" t="s">
        <v>60</v>
      </c>
      <c r="AK2852" s="1" t="s">
        <v>1939</v>
      </c>
      <c r="AL2852" s="1" t="s">
        <v>8124</v>
      </c>
      <c r="AM2852" s="1" t="s">
        <v>4320</v>
      </c>
    </row>
    <row r="2853" spans="20:39" x14ac:dyDescent="0.2">
      <c r="T2853" s="28" t="s">
        <v>1904</v>
      </c>
      <c r="U2853" s="68" t="s">
        <v>60</v>
      </c>
      <c r="V2853" s="72" t="str">
        <f t="shared" si="44"/>
        <v>VA_FAIRFAX</v>
      </c>
      <c r="AJ2853" s="1" t="s">
        <v>60</v>
      </c>
      <c r="AK2853" s="1" t="s">
        <v>1622</v>
      </c>
      <c r="AL2853" s="1" t="s">
        <v>8125</v>
      </c>
      <c r="AM2853" s="1" t="s">
        <v>9274</v>
      </c>
    </row>
    <row r="2854" spans="20:39" x14ac:dyDescent="0.2">
      <c r="T2854" s="29" t="s">
        <v>1905</v>
      </c>
      <c r="U2854" s="69" t="s">
        <v>60</v>
      </c>
      <c r="V2854" s="72" t="str">
        <f t="shared" si="44"/>
        <v>VA_FAUQUIER</v>
      </c>
      <c r="AJ2854" s="1" t="s">
        <v>60</v>
      </c>
      <c r="AK2854" s="1" t="s">
        <v>206</v>
      </c>
      <c r="AL2854" s="1" t="s">
        <v>8126</v>
      </c>
      <c r="AM2854" s="1" t="s">
        <v>3210</v>
      </c>
    </row>
    <row r="2855" spans="20:39" x14ac:dyDescent="0.2">
      <c r="T2855" s="28" t="s">
        <v>563</v>
      </c>
      <c r="U2855" s="68" t="s">
        <v>60</v>
      </c>
      <c r="V2855" s="72" t="str">
        <f t="shared" si="44"/>
        <v>VA_FLOYD</v>
      </c>
      <c r="AJ2855" s="1" t="s">
        <v>60</v>
      </c>
      <c r="AK2855" s="1" t="s">
        <v>1940</v>
      </c>
      <c r="AL2855" s="1" t="s">
        <v>8127</v>
      </c>
      <c r="AM2855" s="1" t="s">
        <v>9274</v>
      </c>
    </row>
    <row r="2856" spans="20:39" x14ac:dyDescent="0.2">
      <c r="T2856" s="29" t="s">
        <v>1906</v>
      </c>
      <c r="U2856" s="69" t="s">
        <v>60</v>
      </c>
      <c r="V2856" s="72" t="str">
        <f t="shared" si="44"/>
        <v>VA_FLUVANNA</v>
      </c>
      <c r="AJ2856" s="1" t="s">
        <v>60</v>
      </c>
      <c r="AK2856" s="1" t="s">
        <v>1941</v>
      </c>
      <c r="AL2856" s="1" t="s">
        <v>8128</v>
      </c>
      <c r="AM2856" s="1" t="s">
        <v>5105</v>
      </c>
    </row>
    <row r="2857" spans="20:39" x14ac:dyDescent="0.2">
      <c r="T2857" s="28" t="s">
        <v>223</v>
      </c>
      <c r="U2857" s="68" t="s">
        <v>60</v>
      </c>
      <c r="V2857" s="72" t="str">
        <f t="shared" si="44"/>
        <v>VA_FRANKLIN</v>
      </c>
      <c r="AJ2857" s="1" t="s">
        <v>60</v>
      </c>
      <c r="AK2857" s="1" t="s">
        <v>1531</v>
      </c>
      <c r="AL2857" s="1" t="s">
        <v>8129</v>
      </c>
      <c r="AM2857" s="1" t="s">
        <v>5148</v>
      </c>
    </row>
    <row r="2858" spans="20:39" x14ac:dyDescent="0.2">
      <c r="T2858" s="29" t="s">
        <v>1012</v>
      </c>
      <c r="U2858" s="69" t="s">
        <v>60</v>
      </c>
      <c r="V2858" s="72" t="str">
        <f t="shared" si="44"/>
        <v>VA_FREDERICK</v>
      </c>
      <c r="AJ2858" s="1" t="s">
        <v>60</v>
      </c>
      <c r="AK2858" s="1" t="s">
        <v>1901</v>
      </c>
      <c r="AL2858" s="1" t="s">
        <v>8130</v>
      </c>
      <c r="AM2858" s="1" t="s">
        <v>5116</v>
      </c>
    </row>
    <row r="2859" spans="20:39" x14ac:dyDescent="0.2">
      <c r="T2859" s="28" t="s">
        <v>1687</v>
      </c>
      <c r="U2859" s="68" t="s">
        <v>60</v>
      </c>
      <c r="V2859" s="72" t="str">
        <f t="shared" si="44"/>
        <v>VA_GILES</v>
      </c>
      <c r="AJ2859" s="1" t="s">
        <v>60</v>
      </c>
      <c r="AK2859" s="1" t="s">
        <v>677</v>
      </c>
      <c r="AL2859" s="1" t="s">
        <v>8131</v>
      </c>
      <c r="AM2859" s="1" t="s">
        <v>5117</v>
      </c>
    </row>
    <row r="2860" spans="20:39" x14ac:dyDescent="0.2">
      <c r="T2860" s="29" t="s">
        <v>1330</v>
      </c>
      <c r="U2860" s="69" t="s">
        <v>60</v>
      </c>
      <c r="V2860" s="72" t="str">
        <f t="shared" si="44"/>
        <v>VA_GLOUCESTER</v>
      </c>
      <c r="AJ2860" s="1" t="s">
        <v>60</v>
      </c>
      <c r="AK2860" s="1" t="s">
        <v>1942</v>
      </c>
      <c r="AL2860" s="1" t="s">
        <v>8132</v>
      </c>
      <c r="AM2860" s="1" t="s">
        <v>5143</v>
      </c>
    </row>
    <row r="2861" spans="20:39" x14ac:dyDescent="0.2">
      <c r="T2861" s="28" t="s">
        <v>1907</v>
      </c>
      <c r="U2861" s="68" t="s">
        <v>60</v>
      </c>
      <c r="V2861" s="72" t="str">
        <f t="shared" si="44"/>
        <v>VA_GOOCHLAND</v>
      </c>
      <c r="AJ2861" s="1" t="s">
        <v>60</v>
      </c>
      <c r="AK2861" s="1" t="s">
        <v>1902</v>
      </c>
      <c r="AL2861" s="1" t="s">
        <v>8133</v>
      </c>
      <c r="AM2861" s="1" t="s">
        <v>5118</v>
      </c>
    </row>
    <row r="2862" spans="20:39" x14ac:dyDescent="0.2">
      <c r="T2862" s="29" t="s">
        <v>897</v>
      </c>
      <c r="U2862" s="69" t="s">
        <v>60</v>
      </c>
      <c r="V2862" s="72" t="str">
        <f t="shared" si="44"/>
        <v>VA_GRAYSON</v>
      </c>
      <c r="AJ2862" s="1" t="s">
        <v>60</v>
      </c>
      <c r="AK2862" s="1" t="s">
        <v>1903</v>
      </c>
      <c r="AL2862" s="1" t="s">
        <v>8134</v>
      </c>
      <c r="AM2862" s="1" t="s">
        <v>9274</v>
      </c>
    </row>
    <row r="2863" spans="20:39" x14ac:dyDescent="0.2">
      <c r="T2863" s="28" t="s">
        <v>225</v>
      </c>
      <c r="U2863" s="68" t="s">
        <v>60</v>
      </c>
      <c r="V2863" s="72" t="str">
        <f t="shared" si="44"/>
        <v>VA_GREENE</v>
      </c>
      <c r="AJ2863" s="1" t="s">
        <v>60</v>
      </c>
      <c r="AK2863" s="1" t="s">
        <v>1943</v>
      </c>
      <c r="AL2863" s="1" t="s">
        <v>8135</v>
      </c>
      <c r="AM2863" s="1" t="s">
        <v>5123</v>
      </c>
    </row>
    <row r="2864" spans="20:39" x14ac:dyDescent="0.2">
      <c r="T2864" s="29" t="s">
        <v>1908</v>
      </c>
      <c r="U2864" s="69" t="s">
        <v>60</v>
      </c>
      <c r="V2864" s="72" t="str">
        <f t="shared" si="44"/>
        <v>VA_GREENSVILLE</v>
      </c>
      <c r="AJ2864" s="1" t="s">
        <v>60</v>
      </c>
      <c r="AK2864" s="1" t="s">
        <v>1025</v>
      </c>
      <c r="AL2864" s="1" t="s">
        <v>8136</v>
      </c>
      <c r="AM2864" s="1" t="s">
        <v>5119</v>
      </c>
    </row>
    <row r="2865" spans="20:39" x14ac:dyDescent="0.2">
      <c r="T2865" s="28" t="s">
        <v>1420</v>
      </c>
      <c r="U2865" s="68" t="s">
        <v>60</v>
      </c>
      <c r="V2865" s="72" t="str">
        <f t="shared" si="44"/>
        <v>VA_HALIFAX</v>
      </c>
      <c r="AJ2865" s="1" t="s">
        <v>60</v>
      </c>
      <c r="AK2865" s="1" t="s">
        <v>1904</v>
      </c>
      <c r="AL2865" s="1" t="s">
        <v>8137</v>
      </c>
      <c r="AM2865" s="1" t="s">
        <v>3210</v>
      </c>
    </row>
    <row r="2866" spans="20:39" x14ac:dyDescent="0.2">
      <c r="T2866" s="29" t="s">
        <v>1909</v>
      </c>
      <c r="U2866" s="69" t="s">
        <v>60</v>
      </c>
      <c r="V2866" s="72" t="str">
        <f t="shared" si="44"/>
        <v>VA_HANOVER</v>
      </c>
      <c r="AJ2866" s="1" t="s">
        <v>60</v>
      </c>
      <c r="AK2866" s="1" t="s">
        <v>1944</v>
      </c>
      <c r="AL2866" s="1" t="s">
        <v>8138</v>
      </c>
      <c r="AM2866" s="1" t="s">
        <v>3210</v>
      </c>
    </row>
    <row r="2867" spans="20:39" x14ac:dyDescent="0.2">
      <c r="T2867" s="28" t="s">
        <v>1910</v>
      </c>
      <c r="U2867" s="68" t="s">
        <v>60</v>
      </c>
      <c r="V2867" s="72" t="str">
        <f t="shared" si="44"/>
        <v>VA_HENRICO</v>
      </c>
      <c r="AJ2867" s="1" t="s">
        <v>60</v>
      </c>
      <c r="AK2867" s="1" t="s">
        <v>1945</v>
      </c>
      <c r="AL2867" s="1" t="s">
        <v>8139</v>
      </c>
      <c r="AM2867" s="1" t="s">
        <v>3210</v>
      </c>
    </row>
    <row r="2868" spans="20:39" x14ac:dyDescent="0.2">
      <c r="T2868" s="29" t="s">
        <v>227</v>
      </c>
      <c r="U2868" s="69" t="s">
        <v>60</v>
      </c>
      <c r="V2868" s="72" t="str">
        <f t="shared" si="44"/>
        <v>VA_HENRY</v>
      </c>
      <c r="AJ2868" s="1" t="s">
        <v>60</v>
      </c>
      <c r="AK2868" s="1" t="s">
        <v>1905</v>
      </c>
      <c r="AL2868" s="1" t="s">
        <v>8140</v>
      </c>
      <c r="AM2868" s="1" t="s">
        <v>3210</v>
      </c>
    </row>
    <row r="2869" spans="20:39" x14ac:dyDescent="0.2">
      <c r="T2869" s="28" t="s">
        <v>1501</v>
      </c>
      <c r="U2869" s="68" t="s">
        <v>60</v>
      </c>
      <c r="V2869" s="72" t="str">
        <f t="shared" si="44"/>
        <v>VA_HIGHLAND</v>
      </c>
      <c r="AJ2869" s="1" t="s">
        <v>60</v>
      </c>
      <c r="AK2869" s="1" t="s">
        <v>563</v>
      </c>
      <c r="AL2869" s="1" t="s">
        <v>8141</v>
      </c>
      <c r="AM2869" s="1" t="s">
        <v>9276</v>
      </c>
    </row>
    <row r="2870" spans="20:39" x14ac:dyDescent="0.2">
      <c r="T2870" s="29" t="s">
        <v>1911</v>
      </c>
      <c r="U2870" s="69" t="s">
        <v>60</v>
      </c>
      <c r="V2870" s="72" t="str">
        <f t="shared" si="44"/>
        <v>VA_ISLE OF WIGHT</v>
      </c>
      <c r="AJ2870" s="1" t="s">
        <v>60</v>
      </c>
      <c r="AK2870" s="1" t="s">
        <v>1906</v>
      </c>
      <c r="AL2870" s="1" t="s">
        <v>8142</v>
      </c>
      <c r="AM2870" s="1" t="s">
        <v>5115</v>
      </c>
    </row>
    <row r="2871" spans="20:39" x14ac:dyDescent="0.2">
      <c r="T2871" s="28" t="s">
        <v>1912</v>
      </c>
      <c r="U2871" s="68" t="s">
        <v>60</v>
      </c>
      <c r="V2871" s="72" t="str">
        <f t="shared" si="44"/>
        <v>VA_JAMES CITY</v>
      </c>
      <c r="AJ2871" s="1" t="s">
        <v>60</v>
      </c>
      <c r="AK2871" s="1" t="s">
        <v>223</v>
      </c>
      <c r="AL2871" s="1" t="s">
        <v>8143</v>
      </c>
      <c r="AM2871" s="1" t="s">
        <v>5120</v>
      </c>
    </row>
    <row r="2872" spans="20:39" x14ac:dyDescent="0.2">
      <c r="T2872" s="29" t="s">
        <v>1913</v>
      </c>
      <c r="U2872" s="69" t="s">
        <v>60</v>
      </c>
      <c r="V2872" s="72" t="str">
        <f t="shared" si="44"/>
        <v>VA_KING AND QUEEN</v>
      </c>
      <c r="AJ2872" s="1" t="s">
        <v>60</v>
      </c>
      <c r="AK2872" s="1" t="s">
        <v>1946</v>
      </c>
      <c r="AL2872" s="1" t="s">
        <v>8144</v>
      </c>
      <c r="AM2872" s="1" t="s">
        <v>9277</v>
      </c>
    </row>
    <row r="2873" spans="20:39" x14ac:dyDescent="0.2">
      <c r="T2873" s="28" t="s">
        <v>1914</v>
      </c>
      <c r="U2873" s="68" t="s">
        <v>60</v>
      </c>
      <c r="V2873" s="72" t="str">
        <f t="shared" si="44"/>
        <v>VA_KING GEORGE</v>
      </c>
      <c r="AJ2873" s="1" t="s">
        <v>60</v>
      </c>
      <c r="AK2873" s="1" t="s">
        <v>1012</v>
      </c>
      <c r="AL2873" s="1" t="s">
        <v>8145</v>
      </c>
      <c r="AM2873" s="1" t="s">
        <v>5156</v>
      </c>
    </row>
    <row r="2874" spans="20:39" x14ac:dyDescent="0.2">
      <c r="T2874" s="29" t="s">
        <v>1915</v>
      </c>
      <c r="U2874" s="69" t="s">
        <v>60</v>
      </c>
      <c r="V2874" s="72" t="str">
        <f t="shared" si="44"/>
        <v>VA_KING WILLIAM</v>
      </c>
      <c r="AJ2874" s="1" t="s">
        <v>60</v>
      </c>
      <c r="AK2874" s="1" t="s">
        <v>1947</v>
      </c>
      <c r="AL2874" s="1" t="s">
        <v>8146</v>
      </c>
      <c r="AM2874" s="1" t="s">
        <v>3210</v>
      </c>
    </row>
    <row r="2875" spans="20:39" x14ac:dyDescent="0.2">
      <c r="T2875" s="28" t="s">
        <v>1293</v>
      </c>
      <c r="U2875" s="68" t="s">
        <v>60</v>
      </c>
      <c r="V2875" s="72" t="str">
        <f t="shared" si="44"/>
        <v>VA_LANCASTER</v>
      </c>
      <c r="AJ2875" s="1" t="s">
        <v>60</v>
      </c>
      <c r="AK2875" s="1" t="s">
        <v>1948</v>
      </c>
      <c r="AL2875" s="1" t="s">
        <v>8147</v>
      </c>
      <c r="AM2875" s="1" t="s">
        <v>5113</v>
      </c>
    </row>
    <row r="2876" spans="20:39" x14ac:dyDescent="0.2">
      <c r="T2876" s="29" t="s">
        <v>234</v>
      </c>
      <c r="U2876" s="69" t="s">
        <v>60</v>
      </c>
      <c r="V2876" s="72" t="str">
        <f t="shared" si="44"/>
        <v>VA_LEE</v>
      </c>
      <c r="AJ2876" s="1" t="s">
        <v>60</v>
      </c>
      <c r="AK2876" s="1" t="s">
        <v>1687</v>
      </c>
      <c r="AL2876" s="1" t="s">
        <v>8148</v>
      </c>
      <c r="AM2876" s="1" t="s">
        <v>5121</v>
      </c>
    </row>
    <row r="2877" spans="20:39" x14ac:dyDescent="0.2">
      <c r="T2877" s="28" t="s">
        <v>1916</v>
      </c>
      <c r="U2877" s="68" t="s">
        <v>60</v>
      </c>
      <c r="V2877" s="72" t="str">
        <f t="shared" si="44"/>
        <v>VA_LOUDOUN</v>
      </c>
      <c r="AJ2877" s="1" t="s">
        <v>60</v>
      </c>
      <c r="AK2877" s="1" t="s">
        <v>1330</v>
      </c>
      <c r="AL2877" s="1" t="s">
        <v>8149</v>
      </c>
      <c r="AM2877" s="1" t="s">
        <v>4320</v>
      </c>
    </row>
    <row r="2878" spans="20:39" x14ac:dyDescent="0.2">
      <c r="T2878" s="29" t="s">
        <v>785</v>
      </c>
      <c r="U2878" s="69" t="s">
        <v>60</v>
      </c>
      <c r="V2878" s="72" t="str">
        <f t="shared" si="44"/>
        <v>VA_LOUISA</v>
      </c>
      <c r="AJ2878" s="1" t="s">
        <v>60</v>
      </c>
      <c r="AK2878" s="1" t="s">
        <v>1907</v>
      </c>
      <c r="AL2878" s="1" t="s">
        <v>8150</v>
      </c>
      <c r="AM2878" s="1" t="s">
        <v>9274</v>
      </c>
    </row>
    <row r="2879" spans="20:39" x14ac:dyDescent="0.2">
      <c r="T2879" s="28" t="s">
        <v>1917</v>
      </c>
      <c r="U2879" s="68" t="s">
        <v>60</v>
      </c>
      <c r="V2879" s="72" t="str">
        <f t="shared" si="44"/>
        <v>VA_LUNENBURG</v>
      </c>
      <c r="AJ2879" s="1" t="s">
        <v>60</v>
      </c>
      <c r="AK2879" s="1" t="s">
        <v>897</v>
      </c>
      <c r="AL2879" s="1" t="s">
        <v>8151</v>
      </c>
      <c r="AM2879" s="1" t="s">
        <v>5122</v>
      </c>
    </row>
    <row r="2880" spans="20:39" x14ac:dyDescent="0.2">
      <c r="T2880" s="29" t="s">
        <v>238</v>
      </c>
      <c r="U2880" s="69" t="s">
        <v>60</v>
      </c>
      <c r="V2880" s="72" t="str">
        <f t="shared" si="44"/>
        <v>VA_MADISON</v>
      </c>
      <c r="AJ2880" s="1" t="s">
        <v>60</v>
      </c>
      <c r="AK2880" s="1" t="s">
        <v>225</v>
      </c>
      <c r="AL2880" s="1" t="s">
        <v>8152</v>
      </c>
      <c r="AM2880" s="1" t="s">
        <v>5115</v>
      </c>
    </row>
    <row r="2881" spans="20:39" x14ac:dyDescent="0.2">
      <c r="T2881" s="28" t="s">
        <v>1918</v>
      </c>
      <c r="U2881" s="68" t="s">
        <v>60</v>
      </c>
      <c r="V2881" s="72" t="str">
        <f t="shared" si="44"/>
        <v>VA_MATHEWS</v>
      </c>
      <c r="AJ2881" s="1" t="s">
        <v>60</v>
      </c>
      <c r="AK2881" s="1" t="s">
        <v>1908</v>
      </c>
      <c r="AL2881" s="1" t="s">
        <v>8153</v>
      </c>
      <c r="AM2881" s="1" t="s">
        <v>5123</v>
      </c>
    </row>
    <row r="2882" spans="20:39" x14ac:dyDescent="0.2">
      <c r="T2882" s="29" t="s">
        <v>1430</v>
      </c>
      <c r="U2882" s="69" t="s">
        <v>60</v>
      </c>
      <c r="V2882" s="72" t="str">
        <f t="shared" si="44"/>
        <v>VA_MECKLENBURG</v>
      </c>
      <c r="AJ2882" s="1" t="s">
        <v>60</v>
      </c>
      <c r="AK2882" s="1" t="s">
        <v>1420</v>
      </c>
      <c r="AL2882" s="1" t="s">
        <v>8154</v>
      </c>
      <c r="AM2882" s="1" t="s">
        <v>5124</v>
      </c>
    </row>
    <row r="2883" spans="20:39" x14ac:dyDescent="0.2">
      <c r="T2883" s="28" t="s">
        <v>463</v>
      </c>
      <c r="U2883" s="68" t="s">
        <v>60</v>
      </c>
      <c r="V2883" s="72" t="str">
        <f t="shared" si="44"/>
        <v>VA_MIDDLESEX</v>
      </c>
      <c r="AJ2883" s="1" t="s">
        <v>60</v>
      </c>
      <c r="AK2883" s="1" t="s">
        <v>1949</v>
      </c>
      <c r="AL2883" s="1" t="s">
        <v>8155</v>
      </c>
      <c r="AM2883" s="1" t="s">
        <v>4320</v>
      </c>
    </row>
    <row r="2884" spans="20:39" x14ac:dyDescent="0.2">
      <c r="T2884" s="29" t="s">
        <v>244</v>
      </c>
      <c r="U2884" s="69" t="s">
        <v>60</v>
      </c>
      <c r="V2884" s="72" t="str">
        <f t="shared" si="44"/>
        <v>VA_MONTGOMERY</v>
      </c>
      <c r="AJ2884" s="1" t="s">
        <v>60</v>
      </c>
      <c r="AK2884" s="1" t="s">
        <v>1909</v>
      </c>
      <c r="AL2884" s="1" t="s">
        <v>8156</v>
      </c>
      <c r="AM2884" s="1" t="s">
        <v>9274</v>
      </c>
    </row>
    <row r="2885" spans="20:39" x14ac:dyDescent="0.2">
      <c r="T2885" s="28" t="s">
        <v>916</v>
      </c>
      <c r="U2885" s="68" t="s">
        <v>60</v>
      </c>
      <c r="V2885" s="72" t="str">
        <f t="shared" si="44"/>
        <v>VA_NELSON</v>
      </c>
      <c r="AJ2885" s="1" t="s">
        <v>60</v>
      </c>
      <c r="AK2885" s="1" t="s">
        <v>1950</v>
      </c>
      <c r="AL2885" s="1" t="s">
        <v>8157</v>
      </c>
      <c r="AM2885" s="1" t="s">
        <v>5125</v>
      </c>
    </row>
    <row r="2886" spans="20:39" x14ac:dyDescent="0.2">
      <c r="T2886" s="29" t="s">
        <v>1919</v>
      </c>
      <c r="U2886" s="69" t="s">
        <v>60</v>
      </c>
      <c r="V2886" s="72" t="str">
        <f t="shared" si="44"/>
        <v>VA_NEW KENT</v>
      </c>
      <c r="AJ2886" s="1" t="s">
        <v>60</v>
      </c>
      <c r="AK2886" s="1" t="s">
        <v>1910</v>
      </c>
      <c r="AL2886" s="1" t="s">
        <v>8158</v>
      </c>
      <c r="AM2886" s="1" t="s">
        <v>9274</v>
      </c>
    </row>
    <row r="2887" spans="20:39" x14ac:dyDescent="0.2">
      <c r="T2887" s="28" t="s">
        <v>1434</v>
      </c>
      <c r="U2887" s="68" t="s">
        <v>60</v>
      </c>
      <c r="V2887" s="72" t="str">
        <f t="shared" si="44"/>
        <v>VA_NORTHAMPTON</v>
      </c>
      <c r="AJ2887" s="1" t="s">
        <v>60</v>
      </c>
      <c r="AK2887" s="1" t="s">
        <v>227</v>
      </c>
      <c r="AL2887" s="1" t="s">
        <v>8159</v>
      </c>
      <c r="AM2887" s="1" t="s">
        <v>5126</v>
      </c>
    </row>
    <row r="2888" spans="20:39" x14ac:dyDescent="0.2">
      <c r="T2888" s="29" t="s">
        <v>1605</v>
      </c>
      <c r="U2888" s="69" t="s">
        <v>60</v>
      </c>
      <c r="V2888" s="72" t="str">
        <f t="shared" si="44"/>
        <v>VA_NORTHUMBERLAND</v>
      </c>
      <c r="AJ2888" s="1" t="s">
        <v>60</v>
      </c>
      <c r="AK2888" s="1" t="s">
        <v>1501</v>
      </c>
      <c r="AL2888" s="1" t="s">
        <v>8160</v>
      </c>
      <c r="AM2888" s="1" t="s">
        <v>5127</v>
      </c>
    </row>
    <row r="2889" spans="20:39" x14ac:dyDescent="0.2">
      <c r="T2889" s="28" t="s">
        <v>1920</v>
      </c>
      <c r="U2889" s="68" t="s">
        <v>60</v>
      </c>
      <c r="V2889" s="72" t="str">
        <f t="shared" si="44"/>
        <v>VA_NOTTOWAY</v>
      </c>
      <c r="AJ2889" s="1" t="s">
        <v>60</v>
      </c>
      <c r="AK2889" s="1" t="s">
        <v>1951</v>
      </c>
      <c r="AL2889" s="1" t="s">
        <v>8161</v>
      </c>
      <c r="AM2889" s="1" t="s">
        <v>9274</v>
      </c>
    </row>
    <row r="2890" spans="20:39" x14ac:dyDescent="0.2">
      <c r="T2890" s="29" t="s">
        <v>378</v>
      </c>
      <c r="U2890" s="69" t="s">
        <v>60</v>
      </c>
      <c r="V2890" s="72" t="str">
        <f t="shared" ref="V2890:V2951" si="45">UPPER(CONCATENATE(TRIM(U2890),"_",TRIM(T2890)))</f>
        <v>VA_ORANGE</v>
      </c>
      <c r="AJ2890" s="1" t="s">
        <v>60</v>
      </c>
      <c r="AK2890" s="1" t="s">
        <v>1911</v>
      </c>
      <c r="AL2890" s="1" t="s">
        <v>8162</v>
      </c>
      <c r="AM2890" s="1" t="s">
        <v>4320</v>
      </c>
    </row>
    <row r="2891" spans="20:39" x14ac:dyDescent="0.2">
      <c r="T2891" s="28" t="s">
        <v>793</v>
      </c>
      <c r="U2891" s="68" t="s">
        <v>60</v>
      </c>
      <c r="V2891" s="72" t="str">
        <f t="shared" si="45"/>
        <v>VA_PAGE</v>
      </c>
      <c r="AJ2891" s="1" t="s">
        <v>60</v>
      </c>
      <c r="AK2891" s="1" t="s">
        <v>1912</v>
      </c>
      <c r="AL2891" s="1" t="s">
        <v>8163</v>
      </c>
      <c r="AM2891" s="1" t="s">
        <v>4320</v>
      </c>
    </row>
    <row r="2892" spans="20:39" x14ac:dyDescent="0.2">
      <c r="T2892" s="29" t="s">
        <v>1921</v>
      </c>
      <c r="U2892" s="69" t="s">
        <v>60</v>
      </c>
      <c r="V2892" s="72" t="str">
        <f t="shared" si="45"/>
        <v>VA_PATRICK</v>
      </c>
      <c r="AJ2892" s="1" t="s">
        <v>60</v>
      </c>
      <c r="AK2892" s="1" t="s">
        <v>1913</v>
      </c>
      <c r="AL2892" s="1" t="s">
        <v>8164</v>
      </c>
      <c r="AM2892" s="1" t="s">
        <v>5128</v>
      </c>
    </row>
    <row r="2893" spans="20:39" x14ac:dyDescent="0.2">
      <c r="T2893" s="28" t="s">
        <v>1922</v>
      </c>
      <c r="U2893" s="68" t="s">
        <v>60</v>
      </c>
      <c r="V2893" s="72" t="str">
        <f t="shared" si="45"/>
        <v>VA_PITTSYLVANIA</v>
      </c>
      <c r="AJ2893" s="1" t="s">
        <v>60</v>
      </c>
      <c r="AK2893" s="1" t="s">
        <v>1914</v>
      </c>
      <c r="AL2893" s="1" t="s">
        <v>8165</v>
      </c>
      <c r="AM2893" s="1" t="s">
        <v>5129</v>
      </c>
    </row>
    <row r="2894" spans="20:39" x14ac:dyDescent="0.2">
      <c r="T2894" s="29" t="s">
        <v>1923</v>
      </c>
      <c r="U2894" s="69" t="s">
        <v>60</v>
      </c>
      <c r="V2894" s="72" t="str">
        <f t="shared" si="45"/>
        <v>VA_POWHATAN</v>
      </c>
      <c r="AJ2894" s="1" t="s">
        <v>60</v>
      </c>
      <c r="AK2894" s="1" t="s">
        <v>1915</v>
      </c>
      <c r="AL2894" s="1" t="s">
        <v>8166</v>
      </c>
      <c r="AM2894" s="1" t="s">
        <v>9274</v>
      </c>
    </row>
    <row r="2895" spans="20:39" x14ac:dyDescent="0.2">
      <c r="T2895" s="28" t="s">
        <v>1924</v>
      </c>
      <c r="U2895" s="68" t="s">
        <v>60</v>
      </c>
      <c r="V2895" s="72" t="str">
        <f t="shared" si="45"/>
        <v>VA_PRINCE EDWARD</v>
      </c>
      <c r="AJ2895" s="1" t="s">
        <v>60</v>
      </c>
      <c r="AK2895" s="1" t="s">
        <v>1293</v>
      </c>
      <c r="AL2895" s="1" t="s">
        <v>8167</v>
      </c>
      <c r="AM2895" s="1" t="s">
        <v>5130</v>
      </c>
    </row>
    <row r="2896" spans="20:39" x14ac:dyDescent="0.2">
      <c r="T2896" s="29" t="s">
        <v>1925</v>
      </c>
      <c r="U2896" s="69" t="s">
        <v>60</v>
      </c>
      <c r="V2896" s="72" t="str">
        <f t="shared" si="45"/>
        <v>VA_PRINCE GEORGE</v>
      </c>
      <c r="AJ2896" s="1" t="s">
        <v>60</v>
      </c>
      <c r="AK2896" s="1" t="s">
        <v>234</v>
      </c>
      <c r="AL2896" s="1" t="s">
        <v>8168</v>
      </c>
      <c r="AM2896" s="1" t="s">
        <v>5131</v>
      </c>
    </row>
    <row r="2897" spans="20:39" x14ac:dyDescent="0.2">
      <c r="T2897" s="28" t="s">
        <v>1926</v>
      </c>
      <c r="U2897" s="68" t="s">
        <v>60</v>
      </c>
      <c r="V2897" s="72" t="str">
        <f t="shared" si="45"/>
        <v>VA_PRINCE WILLIAM</v>
      </c>
      <c r="AJ2897" s="1" t="s">
        <v>60</v>
      </c>
      <c r="AK2897" s="1" t="s">
        <v>1952</v>
      </c>
      <c r="AL2897" s="1" t="s">
        <v>8169</v>
      </c>
      <c r="AM2897" s="1" t="s">
        <v>5149</v>
      </c>
    </row>
    <row r="2898" spans="20:39" x14ac:dyDescent="0.2">
      <c r="T2898" s="29" t="s">
        <v>336</v>
      </c>
      <c r="U2898" s="69" t="s">
        <v>60</v>
      </c>
      <c r="V2898" s="72" t="str">
        <f t="shared" si="45"/>
        <v>VA_PULASKI</v>
      </c>
      <c r="AJ2898" s="1" t="s">
        <v>60</v>
      </c>
      <c r="AK2898" s="1" t="s">
        <v>1916</v>
      </c>
      <c r="AL2898" s="1" t="s">
        <v>8170</v>
      </c>
      <c r="AM2898" s="1" t="s">
        <v>3210</v>
      </c>
    </row>
    <row r="2899" spans="20:39" x14ac:dyDescent="0.2">
      <c r="T2899" s="28" t="s">
        <v>1927</v>
      </c>
      <c r="U2899" s="68" t="s">
        <v>60</v>
      </c>
      <c r="V2899" s="72" t="str">
        <f t="shared" si="45"/>
        <v>VA_RAPPAHANNOCK</v>
      </c>
      <c r="AJ2899" s="1" t="s">
        <v>60</v>
      </c>
      <c r="AK2899" s="1" t="s">
        <v>785</v>
      </c>
      <c r="AL2899" s="1" t="s">
        <v>8171</v>
      </c>
      <c r="AM2899" s="1" t="s">
        <v>5132</v>
      </c>
    </row>
    <row r="2900" spans="20:39" x14ac:dyDescent="0.2">
      <c r="T2900" s="29" t="s">
        <v>600</v>
      </c>
      <c r="U2900" s="69" t="s">
        <v>60</v>
      </c>
      <c r="V2900" s="72" t="str">
        <f t="shared" si="45"/>
        <v>VA_RICHMOND</v>
      </c>
      <c r="AJ2900" s="1" t="s">
        <v>60</v>
      </c>
      <c r="AK2900" s="1" t="s">
        <v>1917</v>
      </c>
      <c r="AL2900" s="1" t="s">
        <v>8172</v>
      </c>
      <c r="AM2900" s="1" t="s">
        <v>5133</v>
      </c>
    </row>
    <row r="2901" spans="20:39" x14ac:dyDescent="0.2">
      <c r="T2901" s="28" t="s">
        <v>1928</v>
      </c>
      <c r="U2901" s="68" t="s">
        <v>60</v>
      </c>
      <c r="V2901" s="72" t="str">
        <f t="shared" si="45"/>
        <v>VA_ROANOKE</v>
      </c>
      <c r="AJ2901" s="1" t="s">
        <v>60</v>
      </c>
      <c r="AK2901" s="1" t="s">
        <v>1953</v>
      </c>
      <c r="AL2901" s="1" t="s">
        <v>8173</v>
      </c>
      <c r="AM2901" s="1" t="s">
        <v>5134</v>
      </c>
    </row>
    <row r="2902" spans="20:39" x14ac:dyDescent="0.2">
      <c r="T2902" s="29" t="s">
        <v>1929</v>
      </c>
      <c r="U2902" s="69" t="s">
        <v>60</v>
      </c>
      <c r="V2902" s="72" t="str">
        <f t="shared" si="45"/>
        <v>VA_ROCKBRIDGE</v>
      </c>
      <c r="AJ2902" s="1" t="s">
        <v>60</v>
      </c>
      <c r="AK2902" s="1" t="s">
        <v>238</v>
      </c>
      <c r="AL2902" s="1" t="s">
        <v>8174</v>
      </c>
      <c r="AM2902" s="1" t="s">
        <v>9278</v>
      </c>
    </row>
    <row r="2903" spans="20:39" x14ac:dyDescent="0.2">
      <c r="T2903" s="28" t="s">
        <v>1324</v>
      </c>
      <c r="U2903" s="68" t="s">
        <v>60</v>
      </c>
      <c r="V2903" s="72" t="str">
        <f t="shared" si="45"/>
        <v>VA_ROCKINGHAM</v>
      </c>
      <c r="AJ2903" s="1" t="s">
        <v>60</v>
      </c>
      <c r="AK2903" s="1" t="s">
        <v>1954</v>
      </c>
      <c r="AL2903" s="1" t="s">
        <v>8175</v>
      </c>
      <c r="AM2903" s="1" t="s">
        <v>3210</v>
      </c>
    </row>
    <row r="2904" spans="20:39" x14ac:dyDescent="0.2">
      <c r="T2904" s="29" t="s">
        <v>250</v>
      </c>
      <c r="U2904" s="69" t="s">
        <v>60</v>
      </c>
      <c r="V2904" s="72" t="str">
        <f t="shared" si="45"/>
        <v>VA_RUSSELL</v>
      </c>
      <c r="AJ2904" s="1" t="s">
        <v>60</v>
      </c>
      <c r="AK2904" s="1" t="s">
        <v>1955</v>
      </c>
      <c r="AL2904" s="1" t="s">
        <v>8176</v>
      </c>
      <c r="AM2904" s="1" t="s">
        <v>3210</v>
      </c>
    </row>
    <row r="2905" spans="20:39" x14ac:dyDescent="0.2">
      <c r="T2905" s="28" t="s">
        <v>339</v>
      </c>
      <c r="U2905" s="68" t="s">
        <v>60</v>
      </c>
      <c r="V2905" s="72" t="str">
        <f t="shared" si="45"/>
        <v>VA_SCOTT</v>
      </c>
      <c r="AJ2905" s="1" t="s">
        <v>60</v>
      </c>
      <c r="AK2905" s="1" t="s">
        <v>1956</v>
      </c>
      <c r="AL2905" s="1" t="s">
        <v>8177</v>
      </c>
      <c r="AM2905" s="1" t="s">
        <v>5126</v>
      </c>
    </row>
    <row r="2906" spans="20:39" x14ac:dyDescent="0.2">
      <c r="T2906" s="29" t="s">
        <v>1930</v>
      </c>
      <c r="U2906" s="69" t="s">
        <v>60</v>
      </c>
      <c r="V2906" s="72" t="str">
        <f t="shared" si="45"/>
        <v>VA_SHENANDOAH</v>
      </c>
      <c r="AJ2906" s="1" t="s">
        <v>60</v>
      </c>
      <c r="AK2906" s="1" t="s">
        <v>1918</v>
      </c>
      <c r="AL2906" s="1" t="s">
        <v>8178</v>
      </c>
      <c r="AM2906" s="1" t="s">
        <v>4320</v>
      </c>
    </row>
    <row r="2907" spans="20:39" x14ac:dyDescent="0.2">
      <c r="T2907" s="28" t="s">
        <v>1931</v>
      </c>
      <c r="U2907" s="68" t="s">
        <v>60</v>
      </c>
      <c r="V2907" s="72" t="str">
        <f t="shared" si="45"/>
        <v>VA_SMYTH</v>
      </c>
      <c r="AJ2907" s="1" t="s">
        <v>60</v>
      </c>
      <c r="AK2907" s="1" t="s">
        <v>1430</v>
      </c>
      <c r="AL2907" s="1" t="s">
        <v>8179</v>
      </c>
      <c r="AM2907" s="1" t="s">
        <v>5135</v>
      </c>
    </row>
    <row r="2908" spans="20:39" x14ac:dyDescent="0.2">
      <c r="T2908" s="29" t="s">
        <v>1932</v>
      </c>
      <c r="U2908" s="69" t="s">
        <v>60</v>
      </c>
      <c r="V2908" s="72" t="str">
        <f t="shared" si="45"/>
        <v>VA_SOUTHAMPTON</v>
      </c>
      <c r="AJ2908" s="1" t="s">
        <v>60</v>
      </c>
      <c r="AK2908" s="1" t="s">
        <v>463</v>
      </c>
      <c r="AL2908" s="1" t="s">
        <v>8180</v>
      </c>
      <c r="AM2908" s="1" t="s">
        <v>5136</v>
      </c>
    </row>
    <row r="2909" spans="20:39" x14ac:dyDescent="0.2">
      <c r="T2909" s="28" t="s">
        <v>1933</v>
      </c>
      <c r="U2909" s="68" t="s">
        <v>60</v>
      </c>
      <c r="V2909" s="72" t="str">
        <f t="shared" si="45"/>
        <v>VA_SPOTSYLVANIA</v>
      </c>
      <c r="AJ2909" s="1" t="s">
        <v>60</v>
      </c>
      <c r="AK2909" s="1" t="s">
        <v>244</v>
      </c>
      <c r="AL2909" s="1" t="s">
        <v>8181</v>
      </c>
      <c r="AM2909" s="1" t="s">
        <v>5107</v>
      </c>
    </row>
    <row r="2910" spans="20:39" x14ac:dyDescent="0.2">
      <c r="T2910" s="29" t="s">
        <v>864</v>
      </c>
      <c r="U2910" s="69" t="s">
        <v>60</v>
      </c>
      <c r="V2910" s="72" t="str">
        <f t="shared" si="45"/>
        <v>VA_STAFFORD</v>
      </c>
      <c r="AJ2910" s="1" t="s">
        <v>60</v>
      </c>
      <c r="AK2910" s="1" t="s">
        <v>916</v>
      </c>
      <c r="AL2910" s="1" t="s">
        <v>8182</v>
      </c>
      <c r="AM2910" s="1" t="s">
        <v>5115</v>
      </c>
    </row>
    <row r="2911" spans="20:39" x14ac:dyDescent="0.2">
      <c r="T2911" s="28" t="s">
        <v>1447</v>
      </c>
      <c r="U2911" s="68" t="s">
        <v>60</v>
      </c>
      <c r="V2911" s="72" t="str">
        <f t="shared" si="45"/>
        <v>VA_SURRY</v>
      </c>
      <c r="AJ2911" s="1" t="s">
        <v>60</v>
      </c>
      <c r="AK2911" s="1" t="s">
        <v>1919</v>
      </c>
      <c r="AL2911" s="1" t="s">
        <v>8183</v>
      </c>
      <c r="AM2911" s="1" t="s">
        <v>9274</v>
      </c>
    </row>
    <row r="2912" spans="20:39" x14ac:dyDescent="0.2">
      <c r="T2912" s="29" t="s">
        <v>470</v>
      </c>
      <c r="U2912" s="69" t="s">
        <v>60</v>
      </c>
      <c r="V2912" s="72" t="str">
        <f t="shared" si="45"/>
        <v>VA_SUSSEX</v>
      </c>
      <c r="AJ2912" s="1" t="s">
        <v>60</v>
      </c>
      <c r="AK2912" s="1" t="s">
        <v>1957</v>
      </c>
      <c r="AL2912" s="1" t="s">
        <v>8184</v>
      </c>
      <c r="AM2912" s="1" t="s">
        <v>4320</v>
      </c>
    </row>
    <row r="2913" spans="20:40" x14ac:dyDescent="0.2">
      <c r="T2913" s="28" t="s">
        <v>714</v>
      </c>
      <c r="U2913" s="68" t="s">
        <v>60</v>
      </c>
      <c r="V2913" s="72" t="str">
        <f t="shared" si="45"/>
        <v>VA_TAZEWELL</v>
      </c>
      <c r="AJ2913" s="1" t="s">
        <v>60</v>
      </c>
      <c r="AK2913" s="1" t="s">
        <v>1958</v>
      </c>
      <c r="AL2913" s="1" t="s">
        <v>8185</v>
      </c>
      <c r="AM2913" s="1" t="s">
        <v>4320</v>
      </c>
    </row>
    <row r="2914" spans="20:40" x14ac:dyDescent="0.2">
      <c r="T2914" s="29" t="s">
        <v>622</v>
      </c>
      <c r="U2914" s="69" t="s">
        <v>60</v>
      </c>
      <c r="V2914" s="72" t="str">
        <f t="shared" si="45"/>
        <v>VA_WARREN</v>
      </c>
      <c r="AJ2914" s="1" t="s">
        <v>60</v>
      </c>
      <c r="AK2914" s="1" t="s">
        <v>1434</v>
      </c>
      <c r="AL2914" s="1" t="s">
        <v>8186</v>
      </c>
      <c r="AM2914" s="1" t="s">
        <v>5137</v>
      </c>
    </row>
    <row r="2915" spans="20:40" x14ac:dyDescent="0.2">
      <c r="T2915" s="28" t="s">
        <v>258</v>
      </c>
      <c r="U2915" s="68" t="s">
        <v>60</v>
      </c>
      <c r="V2915" s="72" t="str">
        <f t="shared" si="45"/>
        <v>VA_WASHINGTON</v>
      </c>
      <c r="AJ2915" s="1" t="s">
        <v>60</v>
      </c>
      <c r="AK2915" s="1" t="s">
        <v>1605</v>
      </c>
      <c r="AL2915" s="1" t="s">
        <v>8187</v>
      </c>
      <c r="AM2915" s="1" t="s">
        <v>5138</v>
      </c>
    </row>
    <row r="2916" spans="20:40" x14ac:dyDescent="0.2">
      <c r="T2916" s="29" t="s">
        <v>1612</v>
      </c>
      <c r="U2916" s="69" t="s">
        <v>60</v>
      </c>
      <c r="V2916" s="72" t="str">
        <f t="shared" si="45"/>
        <v>VA_WESTMORELAND</v>
      </c>
      <c r="AJ2916" s="1" t="s">
        <v>60</v>
      </c>
      <c r="AK2916" s="1" t="s">
        <v>1959</v>
      </c>
      <c r="AL2916" s="1" t="s">
        <v>8188</v>
      </c>
      <c r="AM2916" s="1" t="s">
        <v>5157</v>
      </c>
    </row>
    <row r="2917" spans="20:40" x14ac:dyDescent="0.2">
      <c r="T2917" s="28" t="s">
        <v>1861</v>
      </c>
      <c r="U2917" s="68" t="s">
        <v>60</v>
      </c>
      <c r="V2917" s="72" t="str">
        <f t="shared" si="45"/>
        <v>VA_WISE</v>
      </c>
      <c r="AJ2917" s="1" t="s">
        <v>60</v>
      </c>
      <c r="AK2917" s="1" t="s">
        <v>1920</v>
      </c>
      <c r="AL2917" s="1" t="s">
        <v>8189</v>
      </c>
      <c r="AM2917" s="1" t="s">
        <v>5139</v>
      </c>
    </row>
    <row r="2918" spans="20:40" x14ac:dyDescent="0.2">
      <c r="T2918" s="29" t="s">
        <v>1934</v>
      </c>
      <c r="U2918" s="69" t="s">
        <v>60</v>
      </c>
      <c r="V2918" s="72" t="str">
        <f t="shared" si="45"/>
        <v>VA_WYTHE</v>
      </c>
      <c r="AJ2918" s="1" t="s">
        <v>60</v>
      </c>
      <c r="AK2918" s="1" t="s">
        <v>378</v>
      </c>
      <c r="AL2918" s="1" t="s">
        <v>8190</v>
      </c>
      <c r="AM2918" s="1" t="s">
        <v>5140</v>
      </c>
    </row>
    <row r="2919" spans="20:40" x14ac:dyDescent="0.2">
      <c r="T2919" s="28" t="s">
        <v>1003</v>
      </c>
      <c r="U2919" s="68" t="s">
        <v>60</v>
      </c>
      <c r="V2919" s="72" t="str">
        <f t="shared" si="45"/>
        <v>VA_YORK</v>
      </c>
      <c r="AJ2919" s="1" t="s">
        <v>60</v>
      </c>
      <c r="AK2919" s="1" t="s">
        <v>793</v>
      </c>
      <c r="AL2919" s="1" t="s">
        <v>8191</v>
      </c>
      <c r="AM2919" s="1" t="s">
        <v>5141</v>
      </c>
    </row>
    <row r="2920" spans="20:40" x14ac:dyDescent="0.2">
      <c r="T2920" s="29" t="s">
        <v>1935</v>
      </c>
      <c r="U2920" s="69" t="s">
        <v>60</v>
      </c>
      <c r="V2920" s="72" t="str">
        <f t="shared" si="45"/>
        <v>VA_ALEXANDRIA CITY</v>
      </c>
      <c r="AJ2920" s="1" t="s">
        <v>60</v>
      </c>
      <c r="AK2920" s="1" t="s">
        <v>1921</v>
      </c>
      <c r="AL2920" s="1" t="s">
        <v>8192</v>
      </c>
      <c r="AM2920" s="1" t="s">
        <v>5142</v>
      </c>
    </row>
    <row r="2921" spans="20:40" x14ac:dyDescent="0.2">
      <c r="T2921" s="29" t="s">
        <v>1936</v>
      </c>
      <c r="U2921" s="69" t="s">
        <v>60</v>
      </c>
      <c r="V2921" s="72" t="str">
        <f t="shared" si="45"/>
        <v>VA_BRISTOL CITY</v>
      </c>
      <c r="AJ2921" s="1" t="s">
        <v>60</v>
      </c>
      <c r="AK2921" s="1" t="s">
        <v>1960</v>
      </c>
      <c r="AL2921" s="1" t="s">
        <v>8193</v>
      </c>
      <c r="AM2921" s="1" t="s">
        <v>9274</v>
      </c>
    </row>
    <row r="2922" spans="20:40" x14ac:dyDescent="0.2">
      <c r="T2922" s="28" t="s">
        <v>1937</v>
      </c>
      <c r="U2922" s="68" t="s">
        <v>60</v>
      </c>
      <c r="V2922" s="72" t="str">
        <f t="shared" si="45"/>
        <v>VA_BUENA VISTA CITY</v>
      </c>
      <c r="AJ2922" s="1" t="s">
        <v>60</v>
      </c>
      <c r="AK2922" s="1" t="s">
        <v>1922</v>
      </c>
      <c r="AL2922" s="1" t="s">
        <v>8194</v>
      </c>
      <c r="AM2922" s="1" t="s">
        <v>5143</v>
      </c>
    </row>
    <row r="2923" spans="20:40" x14ac:dyDescent="0.2">
      <c r="T2923" s="29" t="s">
        <v>1938</v>
      </c>
      <c r="U2923" s="69" t="s">
        <v>60</v>
      </c>
      <c r="V2923" s="72" t="str">
        <f t="shared" si="45"/>
        <v>VA_CHARLOTTESVILLE CITY</v>
      </c>
      <c r="AJ2923" s="1" t="s">
        <v>60</v>
      </c>
      <c r="AK2923" s="1" t="s">
        <v>1961</v>
      </c>
      <c r="AL2923" s="1" t="s">
        <v>8195</v>
      </c>
      <c r="AM2923" s="1" t="s">
        <v>4320</v>
      </c>
    </row>
    <row r="2924" spans="20:40" x14ac:dyDescent="0.2">
      <c r="T2924" s="28" t="s">
        <v>1939</v>
      </c>
      <c r="U2924" s="68" t="s">
        <v>60</v>
      </c>
      <c r="V2924" s="72" t="str">
        <f t="shared" si="45"/>
        <v>VA_CHESAPEAKE CITY</v>
      </c>
      <c r="AJ2924" s="1" t="s">
        <v>60</v>
      </c>
      <c r="AK2924" s="1" t="s">
        <v>1962</v>
      </c>
      <c r="AL2924" s="1" t="s">
        <v>8196</v>
      </c>
      <c r="AM2924" s="1" t="s">
        <v>4320</v>
      </c>
    </row>
    <row r="2925" spans="20:40" x14ac:dyDescent="0.2">
      <c r="T2925" s="28" t="s">
        <v>1940</v>
      </c>
      <c r="U2925" s="68" t="s">
        <v>60</v>
      </c>
      <c r="V2925" s="72" t="str">
        <f t="shared" si="45"/>
        <v>VA_COLONIAL HEIGHTS CITY</v>
      </c>
      <c r="AJ2925" s="1" t="s">
        <v>60</v>
      </c>
      <c r="AK2925" s="1" t="s">
        <v>1923</v>
      </c>
      <c r="AL2925" s="1" t="s">
        <v>8197</v>
      </c>
      <c r="AM2925" s="1" t="s">
        <v>9274</v>
      </c>
    </row>
    <row r="2926" spans="20:40" x14ac:dyDescent="0.2">
      <c r="T2926" s="29" t="s">
        <v>1941</v>
      </c>
      <c r="U2926" s="69" t="s">
        <v>60</v>
      </c>
      <c r="V2926" s="72" t="str">
        <f t="shared" si="45"/>
        <v>VA_COVINGTON CITY</v>
      </c>
      <c r="AJ2926" s="1" t="s">
        <v>60</v>
      </c>
      <c r="AK2926" s="1" t="s">
        <v>1924</v>
      </c>
      <c r="AL2926" s="1" t="s">
        <v>8198</v>
      </c>
      <c r="AM2926" s="1" t="s">
        <v>5144</v>
      </c>
    </row>
    <row r="2927" spans="20:40" x14ac:dyDescent="0.2">
      <c r="T2927" s="28" t="s">
        <v>1942</v>
      </c>
      <c r="U2927" s="68" t="s">
        <v>60</v>
      </c>
      <c r="V2927" s="72" t="str">
        <f t="shared" si="45"/>
        <v>VA_DANVILLE CITY</v>
      </c>
      <c r="AJ2927" s="1" t="s">
        <v>60</v>
      </c>
      <c r="AK2927" s="1" t="s">
        <v>1925</v>
      </c>
      <c r="AL2927" s="1" t="s">
        <v>8199</v>
      </c>
      <c r="AM2927" s="1" t="s">
        <v>9274</v>
      </c>
      <c r="AN2927" s="216"/>
    </row>
    <row r="2928" spans="20:40" x14ac:dyDescent="0.2">
      <c r="T2928" s="29" t="s">
        <v>1943</v>
      </c>
      <c r="U2928" s="69" t="s">
        <v>60</v>
      </c>
      <c r="V2928" s="72" t="str">
        <f t="shared" si="45"/>
        <v>VA_EMPORIA CITY</v>
      </c>
      <c r="AJ2928" s="1" t="s">
        <v>60</v>
      </c>
      <c r="AK2928" s="1" t="s">
        <v>1926</v>
      </c>
      <c r="AL2928" s="1" t="s">
        <v>8200</v>
      </c>
      <c r="AM2928" s="1" t="s">
        <v>3210</v>
      </c>
      <c r="AN2928" s="216"/>
    </row>
    <row r="2929" spans="20:40" x14ac:dyDescent="0.2">
      <c r="T2929" s="28" t="s">
        <v>1944</v>
      </c>
      <c r="U2929" s="68" t="s">
        <v>60</v>
      </c>
      <c r="V2929" s="72" t="str">
        <f t="shared" si="45"/>
        <v>VA_FAIRFAX CITY</v>
      </c>
      <c r="AJ2929" s="1" t="s">
        <v>60</v>
      </c>
      <c r="AK2929" s="1" t="s">
        <v>336</v>
      </c>
      <c r="AL2929" s="1" t="s">
        <v>8201</v>
      </c>
      <c r="AM2929" s="1" t="s">
        <v>5145</v>
      </c>
      <c r="AN2929" s="216"/>
    </row>
    <row r="2930" spans="20:40" x14ac:dyDescent="0.2">
      <c r="T2930" s="29" t="s">
        <v>1945</v>
      </c>
      <c r="U2930" s="69" t="s">
        <v>60</v>
      </c>
      <c r="V2930" s="72" t="str">
        <f t="shared" si="45"/>
        <v>VA_FALLS CHURCH CITY</v>
      </c>
      <c r="AJ2930" s="1" t="s">
        <v>60</v>
      </c>
      <c r="AK2930" s="1" t="s">
        <v>1963</v>
      </c>
      <c r="AL2930" s="1" t="s">
        <v>8202</v>
      </c>
      <c r="AM2930" s="1" t="s">
        <v>5107</v>
      </c>
    </row>
    <row r="2931" spans="20:40" x14ac:dyDescent="0.2">
      <c r="T2931" s="28" t="s">
        <v>1946</v>
      </c>
      <c r="U2931" s="68" t="s">
        <v>60</v>
      </c>
      <c r="V2931" s="72" t="str">
        <f t="shared" si="45"/>
        <v>VA_FRANKLIN CITY</v>
      </c>
      <c r="AJ2931" s="1" t="s">
        <v>60</v>
      </c>
      <c r="AK2931" s="1" t="s">
        <v>1927</v>
      </c>
      <c r="AL2931" s="1" t="s">
        <v>8203</v>
      </c>
      <c r="AM2931" s="1" t="s">
        <v>5146</v>
      </c>
    </row>
    <row r="2932" spans="20:40" x14ac:dyDescent="0.2">
      <c r="T2932" s="29" t="s">
        <v>1947</v>
      </c>
      <c r="U2932" s="69" t="s">
        <v>60</v>
      </c>
      <c r="V2932" s="72" t="str">
        <f t="shared" si="45"/>
        <v>VA_FREDERICKSBURG CITY</v>
      </c>
      <c r="AJ2932" s="1" t="s">
        <v>60</v>
      </c>
      <c r="AK2932" s="1" t="s">
        <v>600</v>
      </c>
      <c r="AL2932" s="1" t="s">
        <v>8204</v>
      </c>
      <c r="AM2932" s="1" t="s">
        <v>5147</v>
      </c>
    </row>
    <row r="2933" spans="20:40" x14ac:dyDescent="0.2">
      <c r="T2933" s="28" t="s">
        <v>1948</v>
      </c>
      <c r="U2933" s="68" t="s">
        <v>60</v>
      </c>
      <c r="V2933" s="72" t="str">
        <f t="shared" si="45"/>
        <v>VA_GALAX CITY</v>
      </c>
      <c r="AJ2933" s="1" t="s">
        <v>60</v>
      </c>
      <c r="AK2933" s="1" t="s">
        <v>1964</v>
      </c>
      <c r="AL2933" s="1" t="s">
        <v>8205</v>
      </c>
      <c r="AM2933" s="1" t="s">
        <v>9274</v>
      </c>
    </row>
    <row r="2934" spans="20:40" x14ac:dyDescent="0.2">
      <c r="T2934" s="29" t="s">
        <v>1949</v>
      </c>
      <c r="U2934" s="69" t="s">
        <v>60</v>
      </c>
      <c r="V2934" s="72" t="str">
        <f t="shared" si="45"/>
        <v>VA_HAMPTON CITY</v>
      </c>
      <c r="AJ2934" s="1" t="s">
        <v>60</v>
      </c>
      <c r="AK2934" s="1" t="s">
        <v>1928</v>
      </c>
      <c r="AL2934" s="1" t="s">
        <v>8206</v>
      </c>
      <c r="AM2934" s="1" t="s">
        <v>5148</v>
      </c>
    </row>
    <row r="2935" spans="20:40" x14ac:dyDescent="0.2">
      <c r="T2935" s="28" t="s">
        <v>1950</v>
      </c>
      <c r="U2935" s="68" t="s">
        <v>60</v>
      </c>
      <c r="V2935" s="72" t="str">
        <f t="shared" si="45"/>
        <v>VA_HARRISONBURG CITY</v>
      </c>
      <c r="AJ2935" s="1" t="s">
        <v>60</v>
      </c>
      <c r="AK2935" s="1" t="s">
        <v>1965</v>
      </c>
      <c r="AL2935" s="1" t="s">
        <v>8207</v>
      </c>
      <c r="AM2935" s="1" t="s">
        <v>5148</v>
      </c>
    </row>
    <row r="2936" spans="20:40" x14ac:dyDescent="0.2">
      <c r="T2936" s="29" t="s">
        <v>1951</v>
      </c>
      <c r="U2936" s="69" t="s">
        <v>60</v>
      </c>
      <c r="V2936" s="72" t="str">
        <f t="shared" si="45"/>
        <v>VA_HOPEWELL CITY</v>
      </c>
      <c r="AJ2936" s="1" t="s">
        <v>60</v>
      </c>
      <c r="AK2936" s="1" t="s">
        <v>1929</v>
      </c>
      <c r="AL2936" s="1" t="s">
        <v>8208</v>
      </c>
      <c r="AM2936" s="1" t="s">
        <v>5149</v>
      </c>
    </row>
    <row r="2937" spans="20:40" x14ac:dyDescent="0.2">
      <c r="T2937" s="28" t="s">
        <v>1952</v>
      </c>
      <c r="U2937" s="68" t="s">
        <v>60</v>
      </c>
      <c r="V2937" s="72" t="str">
        <f t="shared" si="45"/>
        <v>VA_LEXINGTON CITY</v>
      </c>
      <c r="AJ2937" s="1" t="s">
        <v>60</v>
      </c>
      <c r="AK2937" s="1" t="s">
        <v>1324</v>
      </c>
      <c r="AL2937" s="1" t="s">
        <v>8209</v>
      </c>
      <c r="AM2937" s="1" t="s">
        <v>5125</v>
      </c>
    </row>
    <row r="2938" spans="20:40" x14ac:dyDescent="0.2">
      <c r="T2938" s="29" t="s">
        <v>1953</v>
      </c>
      <c r="U2938" s="69" t="s">
        <v>60</v>
      </c>
      <c r="V2938" s="72" t="str">
        <f t="shared" si="45"/>
        <v>VA_LYNCHBURG CITY</v>
      </c>
      <c r="AJ2938" s="1" t="s">
        <v>60</v>
      </c>
      <c r="AK2938" s="1" t="s">
        <v>250</v>
      </c>
      <c r="AL2938" s="1" t="s">
        <v>8210</v>
      </c>
      <c r="AM2938" s="1" t="s">
        <v>5150</v>
      </c>
    </row>
    <row r="2939" spans="20:40" x14ac:dyDescent="0.2">
      <c r="T2939" s="28" t="s">
        <v>1954</v>
      </c>
      <c r="U2939" s="68" t="s">
        <v>60</v>
      </c>
      <c r="V2939" s="72" t="str">
        <f t="shared" si="45"/>
        <v>VA_MANASSAS CITY</v>
      </c>
      <c r="AJ2939" s="1" t="s">
        <v>60</v>
      </c>
      <c r="AK2939" s="1" t="s">
        <v>1966</v>
      </c>
      <c r="AL2939" s="1" t="s">
        <v>8211</v>
      </c>
      <c r="AM2939" s="1" t="s">
        <v>5148</v>
      </c>
    </row>
    <row r="2940" spans="20:40" x14ac:dyDescent="0.2">
      <c r="T2940" s="29" t="s">
        <v>1955</v>
      </c>
      <c r="U2940" s="69" t="s">
        <v>60</v>
      </c>
      <c r="V2940" s="72" t="str">
        <f t="shared" si="45"/>
        <v>VA_MANASSAS PARK CITY</v>
      </c>
      <c r="AJ2940" s="1" t="s">
        <v>60</v>
      </c>
      <c r="AK2940" s="1" t="s">
        <v>339</v>
      </c>
      <c r="AL2940" s="1" t="s">
        <v>8212</v>
      </c>
      <c r="AM2940" s="1" t="s">
        <v>9258</v>
      </c>
    </row>
    <row r="2941" spans="20:40" x14ac:dyDescent="0.2">
      <c r="T2941" s="28" t="s">
        <v>1956</v>
      </c>
      <c r="U2941" s="68" t="s">
        <v>60</v>
      </c>
      <c r="V2941" s="72" t="str">
        <f t="shared" si="45"/>
        <v>VA_MARTINSVILLE CITY</v>
      </c>
      <c r="AJ2941" s="1" t="s">
        <v>60</v>
      </c>
      <c r="AK2941" s="1" t="s">
        <v>1930</v>
      </c>
      <c r="AL2941" s="1" t="s">
        <v>8213</v>
      </c>
      <c r="AM2941" s="1" t="s">
        <v>5151</v>
      </c>
    </row>
    <row r="2942" spans="20:40" x14ac:dyDescent="0.2">
      <c r="T2942" s="29" t="s">
        <v>1957</v>
      </c>
      <c r="U2942" s="69" t="s">
        <v>60</v>
      </c>
      <c r="V2942" s="72" t="str">
        <f t="shared" si="45"/>
        <v>VA_NEWPORT NEWS CITY</v>
      </c>
      <c r="AJ2942" s="1" t="s">
        <v>60</v>
      </c>
      <c r="AK2942" s="1" t="s">
        <v>1931</v>
      </c>
      <c r="AL2942" s="1" t="s">
        <v>8214</v>
      </c>
      <c r="AM2942" s="1" t="s">
        <v>5152</v>
      </c>
    </row>
    <row r="2943" spans="20:40" x14ac:dyDescent="0.2">
      <c r="T2943" s="28" t="s">
        <v>1958</v>
      </c>
      <c r="U2943" s="68" t="s">
        <v>60</v>
      </c>
      <c r="V2943" s="72" t="str">
        <f t="shared" si="45"/>
        <v>VA_NORFOLK CITY</v>
      </c>
      <c r="AJ2943" s="1" t="s">
        <v>60</v>
      </c>
      <c r="AK2943" s="1" t="s">
        <v>1932</v>
      </c>
      <c r="AL2943" s="1" t="s">
        <v>8215</v>
      </c>
      <c r="AM2943" s="1" t="s">
        <v>9277</v>
      </c>
    </row>
    <row r="2944" spans="20:40" x14ac:dyDescent="0.2">
      <c r="T2944" s="29" t="s">
        <v>1959</v>
      </c>
      <c r="U2944" s="69" t="s">
        <v>60</v>
      </c>
      <c r="V2944" s="72" t="str">
        <f t="shared" si="45"/>
        <v>VA_NORTON CITY</v>
      </c>
      <c r="AJ2944" s="1" t="s">
        <v>60</v>
      </c>
      <c r="AK2944" s="1" t="s">
        <v>1933</v>
      </c>
      <c r="AL2944" s="1" t="s">
        <v>8216</v>
      </c>
      <c r="AM2944" s="1" t="s">
        <v>3210</v>
      </c>
    </row>
    <row r="2945" spans="20:39" x14ac:dyDescent="0.2">
      <c r="T2945" s="28" t="s">
        <v>1960</v>
      </c>
      <c r="U2945" s="68" t="s">
        <v>60</v>
      </c>
      <c r="V2945" s="72" t="str">
        <f t="shared" si="45"/>
        <v>VA_PETERSBURG CITY</v>
      </c>
      <c r="AJ2945" s="1" t="s">
        <v>60</v>
      </c>
      <c r="AK2945" s="1" t="s">
        <v>864</v>
      </c>
      <c r="AL2945" s="1" t="s">
        <v>8217</v>
      </c>
      <c r="AM2945" s="1" t="s">
        <v>3210</v>
      </c>
    </row>
    <row r="2946" spans="20:39" x14ac:dyDescent="0.2">
      <c r="T2946" s="29" t="s">
        <v>1961</v>
      </c>
      <c r="U2946" s="69" t="s">
        <v>60</v>
      </c>
      <c r="V2946" s="72" t="str">
        <f t="shared" si="45"/>
        <v>VA_POQUOSON CITY</v>
      </c>
      <c r="AJ2946" s="1" t="s">
        <v>60</v>
      </c>
      <c r="AK2946" s="1" t="s">
        <v>1967</v>
      </c>
      <c r="AL2946" s="1" t="s">
        <v>8218</v>
      </c>
      <c r="AM2946" s="1" t="s">
        <v>9275</v>
      </c>
    </row>
    <row r="2947" spans="20:39" x14ac:dyDescent="0.2">
      <c r="T2947" s="28" t="s">
        <v>1962</v>
      </c>
      <c r="U2947" s="68" t="s">
        <v>60</v>
      </c>
      <c r="V2947" s="72" t="str">
        <f t="shared" si="45"/>
        <v>VA_PORTSMOUTH CITY</v>
      </c>
      <c r="AJ2947" s="1" t="s">
        <v>60</v>
      </c>
      <c r="AK2947" s="1" t="s">
        <v>1968</v>
      </c>
      <c r="AL2947" s="1" t="s">
        <v>8219</v>
      </c>
      <c r="AM2947" s="1" t="s">
        <v>4320</v>
      </c>
    </row>
    <row r="2948" spans="20:39" x14ac:dyDescent="0.2">
      <c r="T2948" s="29" t="s">
        <v>1963</v>
      </c>
      <c r="U2948" s="69" t="s">
        <v>60</v>
      </c>
      <c r="V2948" s="72" t="str">
        <f t="shared" si="45"/>
        <v>VA_RADFORD CITY</v>
      </c>
      <c r="AJ2948" s="1" t="s">
        <v>60</v>
      </c>
      <c r="AK2948" s="1" t="s">
        <v>1447</v>
      </c>
      <c r="AL2948" s="1" t="s">
        <v>8220</v>
      </c>
      <c r="AM2948" s="1" t="s">
        <v>9279</v>
      </c>
    </row>
    <row r="2949" spans="20:39" x14ac:dyDescent="0.2">
      <c r="T2949" s="28" t="s">
        <v>1964</v>
      </c>
      <c r="U2949" s="68" t="s">
        <v>60</v>
      </c>
      <c r="V2949" s="72" t="str">
        <f t="shared" si="45"/>
        <v>VA_RICHMOND CITY</v>
      </c>
      <c r="AJ2949" s="1" t="s">
        <v>60</v>
      </c>
      <c r="AK2949" s="1" t="s">
        <v>470</v>
      </c>
      <c r="AL2949" s="1" t="s">
        <v>8221</v>
      </c>
      <c r="AM2949" s="1" t="s">
        <v>9274</v>
      </c>
    </row>
    <row r="2950" spans="20:39" x14ac:dyDescent="0.2">
      <c r="T2950" s="29" t="s">
        <v>1965</v>
      </c>
      <c r="U2950" s="69" t="s">
        <v>60</v>
      </c>
      <c r="V2950" s="72" t="str">
        <f t="shared" si="45"/>
        <v>VA_ROANOKE CITY</v>
      </c>
      <c r="AJ2950" s="1" t="s">
        <v>60</v>
      </c>
      <c r="AK2950" s="1" t="s">
        <v>714</v>
      </c>
      <c r="AL2950" s="1" t="s">
        <v>8222</v>
      </c>
      <c r="AM2950" s="1" t="s">
        <v>5153</v>
      </c>
    </row>
    <row r="2951" spans="20:39" x14ac:dyDescent="0.2">
      <c r="T2951" s="28" t="s">
        <v>1966</v>
      </c>
      <c r="U2951" s="68" t="s">
        <v>60</v>
      </c>
      <c r="V2951" s="72" t="str">
        <f t="shared" si="45"/>
        <v>VA_SALEM CITY</v>
      </c>
      <c r="AJ2951" s="1" t="s">
        <v>60</v>
      </c>
      <c r="AK2951" s="1" t="s">
        <v>1969</v>
      </c>
      <c r="AL2951" s="1" t="s">
        <v>8223</v>
      </c>
      <c r="AM2951" s="1" t="s">
        <v>4320</v>
      </c>
    </row>
    <row r="2952" spans="20:39" x14ac:dyDescent="0.2">
      <c r="T2952" s="28" t="s">
        <v>1967</v>
      </c>
      <c r="U2952" s="68" t="s">
        <v>60</v>
      </c>
      <c r="V2952" s="72" t="str">
        <f t="shared" ref="V2952:V3014" si="46">UPPER(CONCATENATE(TRIM(U2952),"_",TRIM(T2952)))</f>
        <v>VA_STAUNTON CITY</v>
      </c>
      <c r="AJ2952" s="1" t="s">
        <v>60</v>
      </c>
      <c r="AK2952" s="1" t="s">
        <v>622</v>
      </c>
      <c r="AL2952" s="1" t="s">
        <v>8224</v>
      </c>
      <c r="AM2952" s="1" t="s">
        <v>5154</v>
      </c>
    </row>
    <row r="2953" spans="20:39" x14ac:dyDescent="0.2">
      <c r="T2953" s="29" t="s">
        <v>1968</v>
      </c>
      <c r="U2953" s="69" t="s">
        <v>60</v>
      </c>
      <c r="V2953" s="72" t="str">
        <f t="shared" si="46"/>
        <v>VA_SUFFOLK CITY</v>
      </c>
      <c r="AJ2953" s="1" t="s">
        <v>60</v>
      </c>
      <c r="AK2953" s="1" t="s">
        <v>258</v>
      </c>
      <c r="AL2953" s="1" t="s">
        <v>8225</v>
      </c>
      <c r="AM2953" s="1" t="s">
        <v>9258</v>
      </c>
    </row>
    <row r="2954" spans="20:39" x14ac:dyDescent="0.2">
      <c r="T2954" s="28" t="s">
        <v>1969</v>
      </c>
      <c r="U2954" s="68" t="s">
        <v>60</v>
      </c>
      <c r="V2954" s="72" t="str">
        <f t="shared" si="46"/>
        <v>VA_VIRGINIA BEACH CITY</v>
      </c>
      <c r="AJ2954" s="1" t="s">
        <v>60</v>
      </c>
      <c r="AK2954" s="1" t="s">
        <v>1970</v>
      </c>
      <c r="AL2954" s="1" t="s">
        <v>8226</v>
      </c>
      <c r="AM2954" s="1" t="s">
        <v>9275</v>
      </c>
    </row>
    <row r="2955" spans="20:39" x14ac:dyDescent="0.2">
      <c r="T2955" s="29" t="s">
        <v>1970</v>
      </c>
      <c r="U2955" s="69" t="s">
        <v>60</v>
      </c>
      <c r="V2955" s="72" t="str">
        <f t="shared" si="46"/>
        <v>VA_WAYNESBORO CITY</v>
      </c>
      <c r="AJ2955" s="1" t="s">
        <v>60</v>
      </c>
      <c r="AK2955" s="1" t="s">
        <v>1612</v>
      </c>
      <c r="AL2955" s="1" t="s">
        <v>8227</v>
      </c>
      <c r="AM2955" s="1" t="s">
        <v>5155</v>
      </c>
    </row>
    <row r="2956" spans="20:39" x14ac:dyDescent="0.2">
      <c r="T2956" s="28" t="s">
        <v>1971</v>
      </c>
      <c r="U2956" s="68" t="s">
        <v>60</v>
      </c>
      <c r="V2956" s="72" t="str">
        <f t="shared" si="46"/>
        <v>VA_WILLIAMSBURG CITY</v>
      </c>
      <c r="AJ2956" s="1" t="s">
        <v>60</v>
      </c>
      <c r="AK2956" s="1" t="s">
        <v>1971</v>
      </c>
      <c r="AL2956" s="1" t="s">
        <v>8228</v>
      </c>
      <c r="AM2956" s="1" t="s">
        <v>4320</v>
      </c>
    </row>
    <row r="2957" spans="20:39" x14ac:dyDescent="0.2">
      <c r="T2957" s="29" t="s">
        <v>1972</v>
      </c>
      <c r="U2957" s="69" t="s">
        <v>60</v>
      </c>
      <c r="V2957" s="72" t="str">
        <f t="shared" si="46"/>
        <v>VA_WINCHESTER CITY</v>
      </c>
      <c r="AJ2957" s="1" t="s">
        <v>60</v>
      </c>
      <c r="AK2957" s="1" t="s">
        <v>1972</v>
      </c>
      <c r="AL2957" s="1" t="s">
        <v>8229</v>
      </c>
      <c r="AM2957" s="1" t="s">
        <v>5156</v>
      </c>
    </row>
    <row r="2958" spans="20:39" x14ac:dyDescent="0.2">
      <c r="T2958" s="28" t="s">
        <v>406</v>
      </c>
      <c r="U2958" s="68" t="s">
        <v>59</v>
      </c>
      <c r="V2958" s="72" t="str">
        <f t="shared" si="46"/>
        <v>WA_ADAMS</v>
      </c>
      <c r="AJ2958" s="1" t="s">
        <v>60</v>
      </c>
      <c r="AK2958" s="1" t="s">
        <v>1861</v>
      </c>
      <c r="AL2958" s="1" t="s">
        <v>8230</v>
      </c>
      <c r="AM2958" s="1" t="s">
        <v>5157</v>
      </c>
    </row>
    <row r="2959" spans="20:39" x14ac:dyDescent="0.2">
      <c r="T2959" s="29" t="s">
        <v>1973</v>
      </c>
      <c r="U2959" s="69" t="s">
        <v>59</v>
      </c>
      <c r="V2959" s="72" t="str">
        <f t="shared" si="46"/>
        <v>WA_ASOTIN</v>
      </c>
      <c r="AJ2959" s="1" t="s">
        <v>60</v>
      </c>
      <c r="AK2959" s="1" t="s">
        <v>1934</v>
      </c>
      <c r="AL2959" s="1" t="s">
        <v>8231</v>
      </c>
      <c r="AM2959" s="1" t="s">
        <v>5158</v>
      </c>
    </row>
    <row r="2960" spans="20:39" x14ac:dyDescent="0.2">
      <c r="T2960" s="28" t="s">
        <v>296</v>
      </c>
      <c r="U2960" s="68" t="s">
        <v>59</v>
      </c>
      <c r="V2960" s="72" t="str">
        <f t="shared" si="46"/>
        <v>WA_BENTON</v>
      </c>
      <c r="AJ2960" s="1" t="s">
        <v>60</v>
      </c>
      <c r="AK2960" s="1" t="s">
        <v>1003</v>
      </c>
      <c r="AL2960" s="1" t="s">
        <v>8232</v>
      </c>
      <c r="AM2960" s="1" t="s">
        <v>4320</v>
      </c>
    </row>
    <row r="2961" spans="20:39" x14ac:dyDescent="0.2">
      <c r="T2961" s="29" t="s">
        <v>1974</v>
      </c>
      <c r="U2961" s="69" t="s">
        <v>59</v>
      </c>
      <c r="V2961" s="72" t="str">
        <f t="shared" si="46"/>
        <v>WA_CHELAN</v>
      </c>
      <c r="AJ2961" s="1" t="s">
        <v>140</v>
      </c>
      <c r="AK2961" s="1" t="s">
        <v>2134</v>
      </c>
      <c r="AL2961" s="1" t="s">
        <v>8233</v>
      </c>
      <c r="AM2961" s="1" t="s">
        <v>2956</v>
      </c>
    </row>
    <row r="2962" spans="20:39" x14ac:dyDescent="0.2">
      <c r="T2962" s="28" t="s">
        <v>1975</v>
      </c>
      <c r="U2962" s="68" t="s">
        <v>59</v>
      </c>
      <c r="V2962" s="72" t="str">
        <f t="shared" si="46"/>
        <v>WA_CLALLAM</v>
      </c>
      <c r="AJ2962" s="1" t="s">
        <v>140</v>
      </c>
      <c r="AK2962" s="1" t="s">
        <v>2135</v>
      </c>
      <c r="AL2962" s="1" t="s">
        <v>8234</v>
      </c>
      <c r="AM2962" s="1" t="s">
        <v>2957</v>
      </c>
    </row>
    <row r="2963" spans="20:39" x14ac:dyDescent="0.2">
      <c r="T2963" s="29" t="s">
        <v>301</v>
      </c>
      <c r="U2963" s="69" t="s">
        <v>59</v>
      </c>
      <c r="V2963" s="72" t="str">
        <f t="shared" si="46"/>
        <v>WA_CLARK</v>
      </c>
      <c r="AJ2963" s="1" t="s">
        <v>140</v>
      </c>
      <c r="AK2963" s="1" t="s">
        <v>2136</v>
      </c>
      <c r="AL2963" s="1" t="s">
        <v>8235</v>
      </c>
      <c r="AM2963" s="1" t="s">
        <v>2958</v>
      </c>
    </row>
    <row r="2964" spans="20:39" x14ac:dyDescent="0.2">
      <c r="T2964" s="28" t="s">
        <v>303</v>
      </c>
      <c r="U2964" s="68" t="s">
        <v>59</v>
      </c>
      <c r="V2964" s="72" t="str">
        <f t="shared" si="46"/>
        <v>WA_COLUMBIA</v>
      </c>
      <c r="AJ2964" s="1" t="s">
        <v>61</v>
      </c>
      <c r="AK2964" s="1" t="s">
        <v>1882</v>
      </c>
      <c r="AL2964" s="1" t="s">
        <v>8236</v>
      </c>
      <c r="AM2964" s="1" t="s">
        <v>5159</v>
      </c>
    </row>
    <row r="2965" spans="20:39" x14ac:dyDescent="0.2">
      <c r="T2965" s="29" t="s">
        <v>1976</v>
      </c>
      <c r="U2965" s="69" t="s">
        <v>59</v>
      </c>
      <c r="V2965" s="72" t="str">
        <f t="shared" si="46"/>
        <v>WA_COWLITZ</v>
      </c>
      <c r="AJ2965" s="1" t="s">
        <v>61</v>
      </c>
      <c r="AK2965" s="1" t="s">
        <v>1883</v>
      </c>
      <c r="AL2965" s="1" t="s">
        <v>8237</v>
      </c>
      <c r="AM2965" s="1" t="s">
        <v>5160</v>
      </c>
    </row>
    <row r="2966" spans="20:39" x14ac:dyDescent="0.2">
      <c r="T2966" s="28" t="s">
        <v>423</v>
      </c>
      <c r="U2966" s="68" t="s">
        <v>59</v>
      </c>
      <c r="V2966" s="72" t="str">
        <f t="shared" si="46"/>
        <v>WA_DOUGLAS</v>
      </c>
      <c r="AJ2966" s="1" t="s">
        <v>61</v>
      </c>
      <c r="AK2966" s="1" t="s">
        <v>1884</v>
      </c>
      <c r="AL2966" s="1" t="s">
        <v>8238</v>
      </c>
      <c r="AM2966" s="1" t="s">
        <v>5162</v>
      </c>
    </row>
    <row r="2967" spans="20:39" x14ac:dyDescent="0.2">
      <c r="T2967" s="29" t="s">
        <v>1977</v>
      </c>
      <c r="U2967" s="69" t="s">
        <v>59</v>
      </c>
      <c r="V2967" s="72" t="str">
        <f t="shared" si="46"/>
        <v>WA_FERRY</v>
      </c>
      <c r="AJ2967" s="1" t="s">
        <v>61</v>
      </c>
      <c r="AK2967" s="1" t="s">
        <v>1885</v>
      </c>
      <c r="AL2967" s="1" t="s">
        <v>8239</v>
      </c>
      <c r="AM2967" s="1" t="s">
        <v>5161</v>
      </c>
    </row>
    <row r="2968" spans="20:39" x14ac:dyDescent="0.2">
      <c r="T2968" s="28" t="s">
        <v>223</v>
      </c>
      <c r="U2968" s="68" t="s">
        <v>59</v>
      </c>
      <c r="V2968" s="72" t="str">
        <f t="shared" si="46"/>
        <v>WA_FRANKLIN</v>
      </c>
      <c r="AJ2968" s="1" t="s">
        <v>61</v>
      </c>
      <c r="AK2968" s="1" t="s">
        <v>1025</v>
      </c>
      <c r="AL2968" s="1" t="s">
        <v>8240</v>
      </c>
      <c r="AM2968" s="1" t="s">
        <v>5163</v>
      </c>
    </row>
    <row r="2969" spans="20:39" x14ac:dyDescent="0.2">
      <c r="T2969" s="29" t="s">
        <v>428</v>
      </c>
      <c r="U2969" s="69" t="s">
        <v>59</v>
      </c>
      <c r="V2969" s="72" t="str">
        <f t="shared" si="46"/>
        <v>WA_GARFIELD</v>
      </c>
      <c r="AJ2969" s="1" t="s">
        <v>61</v>
      </c>
      <c r="AK2969" s="1" t="s">
        <v>223</v>
      </c>
      <c r="AL2969" s="1" t="s">
        <v>8241</v>
      </c>
      <c r="AM2969" s="1" t="s">
        <v>5161</v>
      </c>
    </row>
    <row r="2970" spans="20:39" x14ac:dyDescent="0.2">
      <c r="T2970" s="28" t="s">
        <v>314</v>
      </c>
      <c r="U2970" s="68" t="s">
        <v>59</v>
      </c>
      <c r="V2970" s="72" t="str">
        <f t="shared" si="46"/>
        <v>WA_GRANT</v>
      </c>
      <c r="AJ2970" s="1" t="s">
        <v>61</v>
      </c>
      <c r="AK2970" s="1" t="s">
        <v>1886</v>
      </c>
      <c r="AL2970" s="1" t="s">
        <v>8242</v>
      </c>
      <c r="AM2970" s="1" t="s">
        <v>5161</v>
      </c>
    </row>
    <row r="2971" spans="20:39" x14ac:dyDescent="0.2">
      <c r="T2971" s="29" t="s">
        <v>1978</v>
      </c>
      <c r="U2971" s="69" t="s">
        <v>59</v>
      </c>
      <c r="V2971" s="72" t="str">
        <f t="shared" si="46"/>
        <v>WA_GRAYS HARBOR</v>
      </c>
      <c r="AJ2971" s="1" t="s">
        <v>61</v>
      </c>
      <c r="AK2971" s="1" t="s">
        <v>1887</v>
      </c>
      <c r="AL2971" s="1" t="s">
        <v>8243</v>
      </c>
      <c r="AM2971" s="1" t="s">
        <v>5164</v>
      </c>
    </row>
    <row r="2972" spans="20:39" x14ac:dyDescent="0.2">
      <c r="T2972" s="28" t="s">
        <v>1979</v>
      </c>
      <c r="U2972" s="68" t="s">
        <v>59</v>
      </c>
      <c r="V2972" s="72" t="str">
        <f t="shared" si="46"/>
        <v>WA_ISLAND</v>
      </c>
      <c r="AJ2972" s="1" t="s">
        <v>61</v>
      </c>
      <c r="AK2972" s="1" t="s">
        <v>378</v>
      </c>
      <c r="AL2972" s="1" t="s">
        <v>8244</v>
      </c>
      <c r="AM2972" s="1" t="s">
        <v>5165</v>
      </c>
    </row>
    <row r="2973" spans="20:39" x14ac:dyDescent="0.2">
      <c r="T2973" s="29" t="s">
        <v>230</v>
      </c>
      <c r="U2973" s="69" t="s">
        <v>59</v>
      </c>
      <c r="V2973" s="72" t="str">
        <f t="shared" si="46"/>
        <v>WA_JEFFERSON</v>
      </c>
      <c r="AJ2973" s="1" t="s">
        <v>61</v>
      </c>
      <c r="AK2973" s="1" t="s">
        <v>1376</v>
      </c>
      <c r="AL2973" s="1" t="s">
        <v>8245</v>
      </c>
      <c r="AM2973" s="1" t="s">
        <v>5166</v>
      </c>
    </row>
    <row r="2974" spans="20:39" x14ac:dyDescent="0.2">
      <c r="T2974" s="28" t="s">
        <v>1788</v>
      </c>
      <c r="U2974" s="68" t="s">
        <v>59</v>
      </c>
      <c r="V2974" s="72" t="str">
        <f t="shared" si="46"/>
        <v>WA_KING</v>
      </c>
      <c r="AJ2974" s="1" t="s">
        <v>61</v>
      </c>
      <c r="AK2974" s="1" t="s">
        <v>1888</v>
      </c>
      <c r="AL2974" s="1" t="s">
        <v>8246</v>
      </c>
      <c r="AM2974" s="1" t="s">
        <v>5167</v>
      </c>
    </row>
    <row r="2975" spans="20:39" x14ac:dyDescent="0.2">
      <c r="T2975" s="29" t="s">
        <v>1980</v>
      </c>
      <c r="U2975" s="69" t="s">
        <v>59</v>
      </c>
      <c r="V2975" s="72" t="str">
        <f t="shared" si="46"/>
        <v>WA_KITSAP</v>
      </c>
      <c r="AJ2975" s="1" t="s">
        <v>61</v>
      </c>
      <c r="AK2975" s="1" t="s">
        <v>258</v>
      </c>
      <c r="AL2975" s="1" t="s">
        <v>8247</v>
      </c>
      <c r="AM2975" s="1" t="s">
        <v>5168</v>
      </c>
    </row>
    <row r="2976" spans="20:39" x14ac:dyDescent="0.2">
      <c r="T2976" s="28" t="s">
        <v>1981</v>
      </c>
      <c r="U2976" s="68" t="s">
        <v>59</v>
      </c>
      <c r="V2976" s="72" t="str">
        <f t="shared" si="46"/>
        <v>WA_KITTITAS</v>
      </c>
      <c r="AJ2976" s="1" t="s">
        <v>61</v>
      </c>
      <c r="AK2976" s="1" t="s">
        <v>467</v>
      </c>
      <c r="AL2976" s="1" t="s">
        <v>8248</v>
      </c>
      <c r="AM2976" s="1" t="s">
        <v>5169</v>
      </c>
    </row>
    <row r="2977" spans="20:39" x14ac:dyDescent="0.2">
      <c r="T2977" s="29" t="s">
        <v>1982</v>
      </c>
      <c r="U2977" s="69" t="s">
        <v>59</v>
      </c>
      <c r="V2977" s="72" t="str">
        <f t="shared" si="46"/>
        <v>WA_KLICKITAT</v>
      </c>
      <c r="AJ2977" s="1" t="s">
        <v>61</v>
      </c>
      <c r="AK2977" s="1" t="s">
        <v>1889</v>
      </c>
      <c r="AL2977" s="1" t="s">
        <v>8249</v>
      </c>
      <c r="AM2977" s="1" t="s">
        <v>5170</v>
      </c>
    </row>
    <row r="2978" spans="20:39" x14ac:dyDescent="0.2">
      <c r="T2978" s="28" t="s">
        <v>657</v>
      </c>
      <c r="U2978" s="68" t="s">
        <v>59</v>
      </c>
      <c r="V2978" s="72" t="str">
        <f t="shared" si="46"/>
        <v>WA_LEWIS</v>
      </c>
      <c r="AJ2978" s="1" t="s">
        <v>59</v>
      </c>
      <c r="AK2978" s="1" t="s">
        <v>406</v>
      </c>
      <c r="AL2978" s="1" t="s">
        <v>8250</v>
      </c>
      <c r="AM2978" s="1" t="s">
        <v>5171</v>
      </c>
    </row>
    <row r="2979" spans="20:39" x14ac:dyDescent="0.2">
      <c r="T2979" s="29" t="s">
        <v>322</v>
      </c>
      <c r="U2979" s="69" t="s">
        <v>59</v>
      </c>
      <c r="V2979" s="72" t="str">
        <f t="shared" si="46"/>
        <v>WA_LINCOLN</v>
      </c>
      <c r="AJ2979" s="1" t="s">
        <v>59</v>
      </c>
      <c r="AK2979" s="1" t="s">
        <v>1973</v>
      </c>
      <c r="AL2979" s="1" t="s">
        <v>8251</v>
      </c>
      <c r="AM2979" s="1" t="s">
        <v>3489</v>
      </c>
    </row>
    <row r="2980" spans="20:39" x14ac:dyDescent="0.2">
      <c r="T2980" s="28" t="s">
        <v>700</v>
      </c>
      <c r="U2980" s="68" t="s">
        <v>59</v>
      </c>
      <c r="V2980" s="72" t="str">
        <f t="shared" si="46"/>
        <v>WA_MASON</v>
      </c>
      <c r="AJ2980" s="1" t="s">
        <v>59</v>
      </c>
      <c r="AK2980" s="1" t="s">
        <v>296</v>
      </c>
      <c r="AL2980" s="1" t="s">
        <v>8252</v>
      </c>
      <c r="AM2980" s="1" t="s">
        <v>5181</v>
      </c>
    </row>
    <row r="2981" spans="20:39" x14ac:dyDescent="0.2">
      <c r="T2981" s="29" t="s">
        <v>1983</v>
      </c>
      <c r="U2981" s="69" t="s">
        <v>59</v>
      </c>
      <c r="V2981" s="72" t="str">
        <f t="shared" si="46"/>
        <v>WA_OKANOGAN</v>
      </c>
      <c r="AJ2981" s="1" t="s">
        <v>59</v>
      </c>
      <c r="AK2981" s="1" t="s">
        <v>1974</v>
      </c>
      <c r="AL2981" s="1" t="s">
        <v>8253</v>
      </c>
      <c r="AM2981" s="1" t="s">
        <v>9280</v>
      </c>
    </row>
    <row r="2982" spans="20:39" x14ac:dyDescent="0.2">
      <c r="T2982" s="28" t="s">
        <v>1984</v>
      </c>
      <c r="U2982" s="68" t="s">
        <v>59</v>
      </c>
      <c r="V2982" s="72" t="str">
        <f t="shared" si="46"/>
        <v>WA_PACIFIC</v>
      </c>
      <c r="AJ2982" s="1" t="s">
        <v>59</v>
      </c>
      <c r="AK2982" s="1" t="s">
        <v>1975</v>
      </c>
      <c r="AL2982" s="1" t="s">
        <v>8254</v>
      </c>
      <c r="AM2982" s="1" t="s">
        <v>5173</v>
      </c>
    </row>
    <row r="2983" spans="20:39" x14ac:dyDescent="0.2">
      <c r="T2983" s="29" t="s">
        <v>1985</v>
      </c>
      <c r="U2983" s="69" t="s">
        <v>59</v>
      </c>
      <c r="V2983" s="72" t="str">
        <f t="shared" si="46"/>
        <v>WA_PEND OREILLE</v>
      </c>
      <c r="AJ2983" s="1" t="s">
        <v>59</v>
      </c>
      <c r="AK2983" s="1" t="s">
        <v>301</v>
      </c>
      <c r="AL2983" s="1" t="s">
        <v>8255</v>
      </c>
      <c r="AM2983" s="1" t="s">
        <v>4665</v>
      </c>
    </row>
    <row r="2984" spans="20:39" x14ac:dyDescent="0.2">
      <c r="T2984" s="28" t="s">
        <v>597</v>
      </c>
      <c r="U2984" s="68" t="s">
        <v>59</v>
      </c>
      <c r="V2984" s="72" t="str">
        <f t="shared" si="46"/>
        <v>WA_PIERCE</v>
      </c>
      <c r="AJ2984" s="1" t="s">
        <v>59</v>
      </c>
      <c r="AK2984" s="1" t="s">
        <v>303</v>
      </c>
      <c r="AL2984" s="1" t="s">
        <v>8256</v>
      </c>
      <c r="AM2984" s="1" t="s">
        <v>5174</v>
      </c>
    </row>
    <row r="2985" spans="20:39" x14ac:dyDescent="0.2">
      <c r="T2985" s="29" t="s">
        <v>454</v>
      </c>
      <c r="U2985" s="69" t="s">
        <v>59</v>
      </c>
      <c r="V2985" s="72" t="str">
        <f t="shared" si="46"/>
        <v>WA_SAN JUAN</v>
      </c>
      <c r="AJ2985" s="1" t="s">
        <v>59</v>
      </c>
      <c r="AK2985" s="1" t="s">
        <v>1976</v>
      </c>
      <c r="AL2985" s="1" t="s">
        <v>8257</v>
      </c>
      <c r="AM2985" s="1" t="s">
        <v>9281</v>
      </c>
    </row>
    <row r="2986" spans="20:39" x14ac:dyDescent="0.2">
      <c r="T2986" s="28" t="s">
        <v>1986</v>
      </c>
      <c r="U2986" s="68" t="s">
        <v>59</v>
      </c>
      <c r="V2986" s="72" t="str">
        <f t="shared" si="46"/>
        <v>WA_SKAGIT</v>
      </c>
      <c r="AJ2986" s="1" t="s">
        <v>59</v>
      </c>
      <c r="AK2986" s="1" t="s">
        <v>423</v>
      </c>
      <c r="AL2986" s="1" t="s">
        <v>8258</v>
      </c>
      <c r="AM2986" s="1" t="s">
        <v>9280</v>
      </c>
    </row>
    <row r="2987" spans="20:39" x14ac:dyDescent="0.2">
      <c r="T2987" s="29" t="s">
        <v>1987</v>
      </c>
      <c r="U2987" s="69" t="s">
        <v>59</v>
      </c>
      <c r="V2987" s="72" t="str">
        <f t="shared" si="46"/>
        <v>WA_SKAMANIA</v>
      </c>
      <c r="AJ2987" s="1" t="s">
        <v>59</v>
      </c>
      <c r="AK2987" s="1" t="s">
        <v>1977</v>
      </c>
      <c r="AL2987" s="1" t="s">
        <v>8259</v>
      </c>
      <c r="AM2987" s="1" t="s">
        <v>5175</v>
      </c>
    </row>
    <row r="2988" spans="20:39" x14ac:dyDescent="0.2">
      <c r="T2988" s="28" t="s">
        <v>1988</v>
      </c>
      <c r="U2988" s="68" t="s">
        <v>59</v>
      </c>
      <c r="V2988" s="72" t="str">
        <f t="shared" si="46"/>
        <v>WA_SNOHOMISH</v>
      </c>
      <c r="AJ2988" s="1" t="s">
        <v>59</v>
      </c>
      <c r="AK2988" s="1" t="s">
        <v>223</v>
      </c>
      <c r="AL2988" s="1" t="s">
        <v>8260</v>
      </c>
      <c r="AM2988" s="1" t="s">
        <v>5181</v>
      </c>
    </row>
    <row r="2989" spans="20:39" x14ac:dyDescent="0.2">
      <c r="T2989" s="29" t="s">
        <v>1989</v>
      </c>
      <c r="U2989" s="69" t="s">
        <v>59</v>
      </c>
      <c r="V2989" s="72" t="str">
        <f t="shared" si="46"/>
        <v>WA_SPOKANE</v>
      </c>
      <c r="AJ2989" s="1" t="s">
        <v>59</v>
      </c>
      <c r="AK2989" s="1" t="s">
        <v>428</v>
      </c>
      <c r="AL2989" s="1" t="s">
        <v>8261</v>
      </c>
      <c r="AM2989" s="1" t="s">
        <v>5176</v>
      </c>
    </row>
    <row r="2990" spans="20:39" x14ac:dyDescent="0.2">
      <c r="T2990" s="28" t="s">
        <v>866</v>
      </c>
      <c r="U2990" s="68" t="s">
        <v>59</v>
      </c>
      <c r="V2990" s="72" t="str">
        <f t="shared" si="46"/>
        <v>WA_STEVENS</v>
      </c>
      <c r="AJ2990" s="1" t="s">
        <v>59</v>
      </c>
      <c r="AK2990" s="1" t="s">
        <v>314</v>
      </c>
      <c r="AL2990" s="1" t="s">
        <v>8262</v>
      </c>
      <c r="AM2990" s="1" t="s">
        <v>5177</v>
      </c>
    </row>
    <row r="2991" spans="20:39" x14ac:dyDescent="0.2">
      <c r="T2991" s="29" t="s">
        <v>1307</v>
      </c>
      <c r="U2991" s="69" t="s">
        <v>59</v>
      </c>
      <c r="V2991" s="72" t="str">
        <f t="shared" si="46"/>
        <v>WA_THURSTON</v>
      </c>
      <c r="AJ2991" s="1" t="s">
        <v>59</v>
      </c>
      <c r="AK2991" s="1" t="s">
        <v>1978</v>
      </c>
      <c r="AL2991" s="1" t="s">
        <v>8263</v>
      </c>
      <c r="AM2991" s="1" t="s">
        <v>5178</v>
      </c>
    </row>
    <row r="2992" spans="20:39" x14ac:dyDescent="0.2">
      <c r="T2992" s="28" t="s">
        <v>1990</v>
      </c>
      <c r="U2992" s="68" t="s">
        <v>59</v>
      </c>
      <c r="V2992" s="72" t="str">
        <f t="shared" si="46"/>
        <v>WA_WAHKIAKUM</v>
      </c>
      <c r="AJ2992" s="1" t="s">
        <v>59</v>
      </c>
      <c r="AK2992" s="1" t="s">
        <v>1979</v>
      </c>
      <c r="AL2992" s="1" t="s">
        <v>8264</v>
      </c>
      <c r="AM2992" s="1" t="s">
        <v>5179</v>
      </c>
    </row>
    <row r="2993" spans="20:39" x14ac:dyDescent="0.2">
      <c r="T2993" s="29" t="s">
        <v>1991</v>
      </c>
      <c r="U2993" s="69" t="s">
        <v>59</v>
      </c>
      <c r="V2993" s="72" t="str">
        <f t="shared" si="46"/>
        <v>WA_WALLA WALLA</v>
      </c>
      <c r="AJ2993" s="1" t="s">
        <v>59</v>
      </c>
      <c r="AK2993" s="1" t="s">
        <v>230</v>
      </c>
      <c r="AL2993" s="1" t="s">
        <v>8265</v>
      </c>
      <c r="AM2993" s="1" t="s">
        <v>5180</v>
      </c>
    </row>
    <row r="2994" spans="20:39" x14ac:dyDescent="0.2">
      <c r="T2994" s="28" t="s">
        <v>1992</v>
      </c>
      <c r="U2994" s="68" t="s">
        <v>59</v>
      </c>
      <c r="V2994" s="72" t="str">
        <f t="shared" si="46"/>
        <v>WA_WHATCOM</v>
      </c>
      <c r="AJ2994" s="1" t="s">
        <v>59</v>
      </c>
      <c r="AK2994" s="1" t="s">
        <v>1788</v>
      </c>
      <c r="AL2994" s="1" t="s">
        <v>8266</v>
      </c>
      <c r="AM2994" s="1" t="s">
        <v>5192</v>
      </c>
    </row>
    <row r="2995" spans="20:39" x14ac:dyDescent="0.2">
      <c r="T2995" s="29" t="s">
        <v>1993</v>
      </c>
      <c r="U2995" s="69" t="s">
        <v>59</v>
      </c>
      <c r="V2995" s="72" t="str">
        <f t="shared" si="46"/>
        <v>WA_WHITMAN</v>
      </c>
      <c r="AJ2995" s="1" t="s">
        <v>59</v>
      </c>
      <c r="AK2995" s="1" t="s">
        <v>1980</v>
      </c>
      <c r="AL2995" s="1" t="s">
        <v>8267</v>
      </c>
      <c r="AM2995" s="1" t="s">
        <v>9282</v>
      </c>
    </row>
    <row r="2996" spans="20:39" x14ac:dyDescent="0.2">
      <c r="T2996" s="28" t="s">
        <v>1994</v>
      </c>
      <c r="U2996" s="68" t="s">
        <v>59</v>
      </c>
      <c r="V2996" s="72" t="str">
        <f t="shared" si="46"/>
        <v>WA_YAKIMA</v>
      </c>
      <c r="AJ2996" s="1" t="s">
        <v>59</v>
      </c>
      <c r="AK2996" s="1" t="s">
        <v>1981</v>
      </c>
      <c r="AL2996" s="1" t="s">
        <v>8268</v>
      </c>
      <c r="AM2996" s="1" t="s">
        <v>5182</v>
      </c>
    </row>
    <row r="2997" spans="20:39" x14ac:dyDescent="0.2">
      <c r="T2997" s="29" t="s">
        <v>196</v>
      </c>
      <c r="U2997" s="69" t="s">
        <v>58</v>
      </c>
      <c r="V2997" s="72" t="str">
        <f t="shared" si="46"/>
        <v>WV_BARBOUR</v>
      </c>
      <c r="AJ2997" s="1" t="s">
        <v>59</v>
      </c>
      <c r="AK2997" s="1" t="s">
        <v>1982</v>
      </c>
      <c r="AL2997" s="1" t="s">
        <v>8269</v>
      </c>
      <c r="AM2997" s="1" t="s">
        <v>5183</v>
      </c>
    </row>
    <row r="2998" spans="20:39" x14ac:dyDescent="0.2">
      <c r="T2998" s="28" t="s">
        <v>1620</v>
      </c>
      <c r="U2998" s="68" t="s">
        <v>58</v>
      </c>
      <c r="V2998" s="72" t="str">
        <f t="shared" si="46"/>
        <v>WV_BERKELEY</v>
      </c>
      <c r="AJ2998" s="1" t="s">
        <v>59</v>
      </c>
      <c r="AK2998" s="1" t="s">
        <v>657</v>
      </c>
      <c r="AL2998" s="1" t="s">
        <v>8270</v>
      </c>
      <c r="AM2998" s="1" t="s">
        <v>5184</v>
      </c>
    </row>
    <row r="2999" spans="20:39" x14ac:dyDescent="0.2">
      <c r="T2999" s="29" t="s">
        <v>297</v>
      </c>
      <c r="U2999" s="69" t="s">
        <v>58</v>
      </c>
      <c r="V2999" s="72" t="str">
        <f t="shared" si="46"/>
        <v>WV_BOONE</v>
      </c>
      <c r="AJ2999" s="1" t="s">
        <v>59</v>
      </c>
      <c r="AK2999" s="1" t="s">
        <v>322</v>
      </c>
      <c r="AL2999" s="1" t="s">
        <v>8271</v>
      </c>
      <c r="AM2999" s="1" t="s">
        <v>5185</v>
      </c>
    </row>
    <row r="3000" spans="20:39" x14ac:dyDescent="0.2">
      <c r="T3000" s="28" t="s">
        <v>1995</v>
      </c>
      <c r="U3000" s="68" t="s">
        <v>58</v>
      </c>
      <c r="V3000" s="72" t="str">
        <f t="shared" si="46"/>
        <v>WV_BRAXTON</v>
      </c>
      <c r="AJ3000" s="1" t="s">
        <v>59</v>
      </c>
      <c r="AK3000" s="1" t="s">
        <v>700</v>
      </c>
      <c r="AL3000" s="1" t="s">
        <v>8272</v>
      </c>
      <c r="AM3000" s="1" t="s">
        <v>5186</v>
      </c>
    </row>
    <row r="3001" spans="20:39" x14ac:dyDescent="0.2">
      <c r="T3001" s="29" t="s">
        <v>1996</v>
      </c>
      <c r="U3001" s="69" t="s">
        <v>58</v>
      </c>
      <c r="V3001" s="72" t="str">
        <f t="shared" si="46"/>
        <v>WV_BROOKE</v>
      </c>
      <c r="AJ3001" s="1" t="s">
        <v>59</v>
      </c>
      <c r="AK3001" s="1" t="s">
        <v>1983</v>
      </c>
      <c r="AL3001" s="1" t="s">
        <v>8273</v>
      </c>
      <c r="AM3001" s="1" t="s">
        <v>5188</v>
      </c>
    </row>
    <row r="3002" spans="20:39" x14ac:dyDescent="0.2">
      <c r="T3002" s="28" t="s">
        <v>1997</v>
      </c>
      <c r="U3002" s="68" t="s">
        <v>58</v>
      </c>
      <c r="V3002" s="72" t="str">
        <f t="shared" si="46"/>
        <v>WV_CABELL</v>
      </c>
      <c r="AJ3002" s="1" t="s">
        <v>59</v>
      </c>
      <c r="AK3002" s="1" t="s">
        <v>1984</v>
      </c>
      <c r="AL3002" s="1" t="s">
        <v>8274</v>
      </c>
      <c r="AM3002" s="1" t="s">
        <v>5189</v>
      </c>
    </row>
    <row r="3003" spans="20:39" x14ac:dyDescent="0.2">
      <c r="T3003" s="29" t="s">
        <v>201</v>
      </c>
      <c r="U3003" s="69" t="s">
        <v>58</v>
      </c>
      <c r="V3003" s="72" t="str">
        <f t="shared" si="46"/>
        <v>WV_CALHOUN</v>
      </c>
      <c r="AJ3003" s="1" t="s">
        <v>59</v>
      </c>
      <c r="AK3003" s="1" t="s">
        <v>1985</v>
      </c>
      <c r="AL3003" s="1" t="s">
        <v>8275</v>
      </c>
      <c r="AM3003" s="1" t="s">
        <v>5190</v>
      </c>
    </row>
    <row r="3004" spans="20:39" x14ac:dyDescent="0.2">
      <c r="T3004" s="28" t="s">
        <v>207</v>
      </c>
      <c r="U3004" s="68" t="s">
        <v>58</v>
      </c>
      <c r="V3004" s="72" t="str">
        <f t="shared" si="46"/>
        <v>WV_CLAY</v>
      </c>
      <c r="AJ3004" s="1" t="s">
        <v>59</v>
      </c>
      <c r="AK3004" s="1" t="s">
        <v>597</v>
      </c>
      <c r="AL3004" s="1" t="s">
        <v>8276</v>
      </c>
      <c r="AM3004" s="1" t="s">
        <v>5195</v>
      </c>
    </row>
    <row r="3005" spans="20:39" x14ac:dyDescent="0.2">
      <c r="T3005" s="29" t="s">
        <v>1998</v>
      </c>
      <c r="U3005" s="69" t="s">
        <v>58</v>
      </c>
      <c r="V3005" s="72" t="str">
        <f t="shared" si="46"/>
        <v>WV_DODDRIDGE</v>
      </c>
      <c r="AJ3005" s="1" t="s">
        <v>59</v>
      </c>
      <c r="AK3005" s="1" t="s">
        <v>454</v>
      </c>
      <c r="AL3005" s="1" t="s">
        <v>8277</v>
      </c>
      <c r="AM3005" s="1" t="s">
        <v>5191</v>
      </c>
    </row>
    <row r="3006" spans="20:39" x14ac:dyDescent="0.2">
      <c r="T3006" s="28" t="s">
        <v>222</v>
      </c>
      <c r="U3006" s="68" t="s">
        <v>58</v>
      </c>
      <c r="V3006" s="72" t="str">
        <f t="shared" si="46"/>
        <v>WV_FAYETTE</v>
      </c>
      <c r="AJ3006" s="1" t="s">
        <v>59</v>
      </c>
      <c r="AK3006" s="1" t="s">
        <v>1986</v>
      </c>
      <c r="AL3006" s="1" t="s">
        <v>8278</v>
      </c>
      <c r="AM3006" s="1" t="s">
        <v>5187</v>
      </c>
    </row>
    <row r="3007" spans="20:39" x14ac:dyDescent="0.2">
      <c r="T3007" s="29" t="s">
        <v>565</v>
      </c>
      <c r="U3007" s="69" t="s">
        <v>58</v>
      </c>
      <c r="V3007" s="72" t="str">
        <f t="shared" si="46"/>
        <v>WV_GILMER</v>
      </c>
      <c r="AJ3007" s="1" t="s">
        <v>59</v>
      </c>
      <c r="AK3007" s="1" t="s">
        <v>1987</v>
      </c>
      <c r="AL3007" s="1" t="s">
        <v>8279</v>
      </c>
      <c r="AM3007" s="1" t="s">
        <v>4665</v>
      </c>
    </row>
    <row r="3008" spans="20:39" x14ac:dyDescent="0.2">
      <c r="T3008" s="28" t="s">
        <v>314</v>
      </c>
      <c r="U3008" s="68" t="s">
        <v>58</v>
      </c>
      <c r="V3008" s="72" t="str">
        <f t="shared" si="46"/>
        <v>WV_GRANT</v>
      </c>
      <c r="AJ3008" s="1" t="s">
        <v>59</v>
      </c>
      <c r="AK3008" s="1" t="s">
        <v>1988</v>
      </c>
      <c r="AL3008" s="1" t="s">
        <v>8280</v>
      </c>
      <c r="AM3008" s="1" t="s">
        <v>5192</v>
      </c>
    </row>
    <row r="3009" spans="20:39" x14ac:dyDescent="0.2">
      <c r="T3009" s="29" t="s">
        <v>1999</v>
      </c>
      <c r="U3009" s="69" t="s">
        <v>58</v>
      </c>
      <c r="V3009" s="72" t="str">
        <f t="shared" si="46"/>
        <v>WV_GREENBRIER</v>
      </c>
      <c r="AJ3009" s="1" t="s">
        <v>59</v>
      </c>
      <c r="AK3009" s="1" t="s">
        <v>1989</v>
      </c>
      <c r="AL3009" s="1" t="s">
        <v>8281</v>
      </c>
      <c r="AM3009" s="1" t="s">
        <v>5193</v>
      </c>
    </row>
    <row r="3010" spans="20:39" x14ac:dyDescent="0.2">
      <c r="T3010" s="28" t="s">
        <v>1027</v>
      </c>
      <c r="U3010" s="68" t="s">
        <v>58</v>
      </c>
      <c r="V3010" s="72" t="str">
        <f t="shared" si="46"/>
        <v>WV_HAMPSHIRE</v>
      </c>
      <c r="AJ3010" s="1" t="s">
        <v>59</v>
      </c>
      <c r="AK3010" s="1" t="s">
        <v>866</v>
      </c>
      <c r="AL3010" s="1" t="s">
        <v>8282</v>
      </c>
      <c r="AM3010" s="1" t="s">
        <v>5194</v>
      </c>
    </row>
    <row r="3011" spans="20:39" x14ac:dyDescent="0.2">
      <c r="T3011" s="29" t="s">
        <v>573</v>
      </c>
      <c r="U3011" s="69" t="s">
        <v>58</v>
      </c>
      <c r="V3011" s="72" t="str">
        <f t="shared" si="46"/>
        <v>WV_HANCOCK</v>
      </c>
      <c r="AJ3011" s="1" t="s">
        <v>59</v>
      </c>
      <c r="AK3011" s="1" t="s">
        <v>1307</v>
      </c>
      <c r="AL3011" s="1" t="s">
        <v>8283</v>
      </c>
      <c r="AM3011" s="1" t="s">
        <v>9283</v>
      </c>
    </row>
    <row r="3012" spans="20:39" x14ac:dyDescent="0.2">
      <c r="T3012" s="28" t="s">
        <v>2000</v>
      </c>
      <c r="U3012" s="68" t="s">
        <v>58</v>
      </c>
      <c r="V3012" s="72" t="str">
        <f t="shared" si="46"/>
        <v>WV_HARDY</v>
      </c>
      <c r="AJ3012" s="1" t="s">
        <v>59</v>
      </c>
      <c r="AK3012" s="1" t="s">
        <v>1990</v>
      </c>
      <c r="AL3012" s="1" t="s">
        <v>8284</v>
      </c>
      <c r="AM3012" s="1" t="s">
        <v>5196</v>
      </c>
    </row>
    <row r="3013" spans="20:39" x14ac:dyDescent="0.2">
      <c r="T3013" s="29" t="s">
        <v>732</v>
      </c>
      <c r="U3013" s="69" t="s">
        <v>58</v>
      </c>
      <c r="V3013" s="72" t="str">
        <f t="shared" si="46"/>
        <v>WV_HARRISON</v>
      </c>
      <c r="AJ3013" s="1" t="s">
        <v>59</v>
      </c>
      <c r="AK3013" s="1" t="s">
        <v>1991</v>
      </c>
      <c r="AL3013" s="1" t="s">
        <v>8285</v>
      </c>
      <c r="AM3013" s="1" t="s">
        <v>5197</v>
      </c>
    </row>
    <row r="3014" spans="20:39" x14ac:dyDescent="0.2">
      <c r="T3014" s="28" t="s">
        <v>229</v>
      </c>
      <c r="U3014" s="68" t="s">
        <v>58</v>
      </c>
      <c r="V3014" s="72" t="str">
        <f t="shared" si="46"/>
        <v>WV_JACKSON</v>
      </c>
      <c r="AJ3014" s="1" t="s">
        <v>59</v>
      </c>
      <c r="AK3014" s="1" t="s">
        <v>1992</v>
      </c>
      <c r="AL3014" s="1" t="s">
        <v>8286</v>
      </c>
      <c r="AM3014" s="1" t="s">
        <v>5172</v>
      </c>
    </row>
    <row r="3015" spans="20:39" x14ac:dyDescent="0.2">
      <c r="T3015" s="29" t="s">
        <v>230</v>
      </c>
      <c r="U3015" s="69" t="s">
        <v>58</v>
      </c>
      <c r="V3015" s="72" t="str">
        <f t="shared" ref="V3015:V3078" si="47">UPPER(CONCATENATE(TRIM(U3015),"_",TRIM(T3015)))</f>
        <v>WV_JEFFERSON</v>
      </c>
      <c r="AJ3015" s="1" t="s">
        <v>59</v>
      </c>
      <c r="AK3015" s="1" t="s">
        <v>1993</v>
      </c>
      <c r="AL3015" s="1" t="s">
        <v>8287</v>
      </c>
      <c r="AM3015" s="1" t="s">
        <v>5198</v>
      </c>
    </row>
    <row r="3016" spans="20:39" x14ac:dyDescent="0.2">
      <c r="T3016" s="28" t="s">
        <v>2001</v>
      </c>
      <c r="U3016" s="68" t="s">
        <v>58</v>
      </c>
      <c r="V3016" s="72" t="str">
        <f t="shared" si="47"/>
        <v>WV_KANAWHA</v>
      </c>
      <c r="AJ3016" s="1" t="s">
        <v>59</v>
      </c>
      <c r="AK3016" s="1" t="s">
        <v>1994</v>
      </c>
      <c r="AL3016" s="1" t="s">
        <v>8288</v>
      </c>
      <c r="AM3016" s="1" t="s">
        <v>5199</v>
      </c>
    </row>
    <row r="3017" spans="20:39" x14ac:dyDescent="0.2">
      <c r="T3017" s="29" t="s">
        <v>657</v>
      </c>
      <c r="U3017" s="69" t="s">
        <v>58</v>
      </c>
      <c r="V3017" s="72" t="str">
        <f t="shared" si="47"/>
        <v>WV_LEWIS</v>
      </c>
      <c r="AJ3017" s="1" t="s">
        <v>57</v>
      </c>
      <c r="AK3017" s="1" t="s">
        <v>406</v>
      </c>
      <c r="AL3017" s="1" t="s">
        <v>8289</v>
      </c>
      <c r="AM3017" s="1" t="s">
        <v>5200</v>
      </c>
    </row>
    <row r="3018" spans="20:39" x14ac:dyDescent="0.2">
      <c r="T3018" s="28" t="s">
        <v>322</v>
      </c>
      <c r="U3018" s="68" t="s">
        <v>58</v>
      </c>
      <c r="V3018" s="72" t="str">
        <f t="shared" si="47"/>
        <v>WV_LINCOLN</v>
      </c>
      <c r="AJ3018" s="1" t="s">
        <v>57</v>
      </c>
      <c r="AK3018" s="1" t="s">
        <v>1487</v>
      </c>
      <c r="AL3018" s="1" t="s">
        <v>8290</v>
      </c>
      <c r="AM3018" s="1" t="s">
        <v>5202</v>
      </c>
    </row>
    <row r="3019" spans="20:39" x14ac:dyDescent="0.2">
      <c r="T3019" s="29" t="s">
        <v>324</v>
      </c>
      <c r="U3019" s="69" t="s">
        <v>58</v>
      </c>
      <c r="V3019" s="72" t="str">
        <f t="shared" si="47"/>
        <v>WV_LOGAN</v>
      </c>
      <c r="AJ3019" s="1" t="s">
        <v>57</v>
      </c>
      <c r="AK3019" s="1" t="s">
        <v>2012</v>
      </c>
      <c r="AL3019" s="1" t="s">
        <v>8291</v>
      </c>
      <c r="AM3019" s="1" t="s">
        <v>5203</v>
      </c>
    </row>
    <row r="3020" spans="20:39" x14ac:dyDescent="0.2">
      <c r="T3020" s="28" t="s">
        <v>1429</v>
      </c>
      <c r="U3020" s="68" t="s">
        <v>58</v>
      </c>
      <c r="V3020" s="72" t="str">
        <f t="shared" si="47"/>
        <v>WV_MCDOWELL</v>
      </c>
      <c r="AJ3020" s="1" t="s">
        <v>57</v>
      </c>
      <c r="AK3020" s="1" t="s">
        <v>2013</v>
      </c>
      <c r="AL3020" s="1" t="s">
        <v>8292</v>
      </c>
      <c r="AM3020" s="1" t="s">
        <v>5204</v>
      </c>
    </row>
    <row r="3021" spans="20:39" x14ac:dyDescent="0.2">
      <c r="T3021" s="29" t="s">
        <v>240</v>
      </c>
      <c r="U3021" s="69" t="s">
        <v>58</v>
      </c>
      <c r="V3021" s="72" t="str">
        <f t="shared" si="47"/>
        <v>WV_MARION</v>
      </c>
      <c r="AJ3021" s="1" t="s">
        <v>57</v>
      </c>
      <c r="AK3021" s="1" t="s">
        <v>670</v>
      </c>
      <c r="AL3021" s="1" t="s">
        <v>8293</v>
      </c>
      <c r="AM3021" s="1" t="s">
        <v>5218</v>
      </c>
    </row>
    <row r="3022" spans="20:39" x14ac:dyDescent="0.2">
      <c r="T3022" s="28" t="s">
        <v>241</v>
      </c>
      <c r="U3022" s="68" t="s">
        <v>58</v>
      </c>
      <c r="V3022" s="72" t="str">
        <f t="shared" si="47"/>
        <v>WV_MARSHALL</v>
      </c>
      <c r="AJ3022" s="1" t="s">
        <v>57</v>
      </c>
      <c r="AK3022" s="1" t="s">
        <v>1272</v>
      </c>
      <c r="AL3022" s="1" t="s">
        <v>8294</v>
      </c>
      <c r="AM3022" s="1" t="s">
        <v>5205</v>
      </c>
    </row>
    <row r="3023" spans="20:39" x14ac:dyDescent="0.2">
      <c r="T3023" s="29" t="s">
        <v>700</v>
      </c>
      <c r="U3023" s="69" t="s">
        <v>58</v>
      </c>
      <c r="V3023" s="72" t="str">
        <f t="shared" si="47"/>
        <v>WV_MASON</v>
      </c>
      <c r="AJ3023" s="1" t="s">
        <v>57</v>
      </c>
      <c r="AK3023" s="1" t="s">
        <v>2014</v>
      </c>
      <c r="AL3023" s="1" t="s">
        <v>8295</v>
      </c>
      <c r="AM3023" s="1" t="s">
        <v>5206</v>
      </c>
    </row>
    <row r="3024" spans="20:39" x14ac:dyDescent="0.2">
      <c r="T3024" s="28" t="s">
        <v>703</v>
      </c>
      <c r="U3024" s="68" t="s">
        <v>58</v>
      </c>
      <c r="V3024" s="72" t="str">
        <f t="shared" si="47"/>
        <v>WV_MERCER</v>
      </c>
      <c r="AJ3024" s="1" t="s">
        <v>57</v>
      </c>
      <c r="AK3024" s="1" t="s">
        <v>2015</v>
      </c>
      <c r="AL3024" s="1" t="s">
        <v>8296</v>
      </c>
      <c r="AM3024" s="1" t="s">
        <v>5201</v>
      </c>
    </row>
    <row r="3025" spans="20:39" x14ac:dyDescent="0.2">
      <c r="T3025" s="29" t="s">
        <v>440</v>
      </c>
      <c r="U3025" s="69" t="s">
        <v>58</v>
      </c>
      <c r="V3025" s="72" t="str">
        <f t="shared" si="47"/>
        <v>WV_MINERAL</v>
      </c>
      <c r="AJ3025" s="1" t="s">
        <v>57</v>
      </c>
      <c r="AK3025" s="1" t="s">
        <v>1043</v>
      </c>
      <c r="AL3025" s="1" t="s">
        <v>8297</v>
      </c>
      <c r="AM3025" s="1" t="s">
        <v>5213</v>
      </c>
    </row>
    <row r="3026" spans="20:39" x14ac:dyDescent="0.2">
      <c r="T3026" s="28" t="s">
        <v>2002</v>
      </c>
      <c r="U3026" s="68" t="s">
        <v>58</v>
      </c>
      <c r="V3026" s="72" t="str">
        <f t="shared" si="47"/>
        <v>WV_MINGO</v>
      </c>
      <c r="AJ3026" s="1" t="s">
        <v>57</v>
      </c>
      <c r="AK3026" s="1" t="s">
        <v>301</v>
      </c>
      <c r="AL3026" s="1" t="s">
        <v>8298</v>
      </c>
      <c r="AM3026" s="1" t="s">
        <v>5207</v>
      </c>
    </row>
    <row r="3027" spans="20:39" x14ac:dyDescent="0.2">
      <c r="T3027" s="29" t="s">
        <v>2003</v>
      </c>
      <c r="U3027" s="69" t="s">
        <v>58</v>
      </c>
      <c r="V3027" s="72" t="str">
        <f t="shared" si="47"/>
        <v>WV_MONONGALIA</v>
      </c>
      <c r="AJ3027" s="1" t="s">
        <v>57</v>
      </c>
      <c r="AK3027" s="1" t="s">
        <v>303</v>
      </c>
      <c r="AL3027" s="1" t="s">
        <v>8299</v>
      </c>
      <c r="AM3027" s="1" t="s">
        <v>5208</v>
      </c>
    </row>
    <row r="3028" spans="20:39" x14ac:dyDescent="0.2">
      <c r="T3028" s="28" t="s">
        <v>243</v>
      </c>
      <c r="U3028" s="68" t="s">
        <v>58</v>
      </c>
      <c r="V3028" s="72" t="str">
        <f t="shared" si="47"/>
        <v>WV_MONROE</v>
      </c>
      <c r="AJ3028" s="1" t="s">
        <v>57</v>
      </c>
      <c r="AK3028" s="1" t="s">
        <v>306</v>
      </c>
      <c r="AL3028" s="1" t="s">
        <v>8300</v>
      </c>
      <c r="AM3028" s="1" t="s">
        <v>5209</v>
      </c>
    </row>
    <row r="3029" spans="20:39" x14ac:dyDescent="0.2">
      <c r="T3029" s="29" t="s">
        <v>245</v>
      </c>
      <c r="U3029" s="69" t="s">
        <v>58</v>
      </c>
      <c r="V3029" s="72" t="str">
        <f t="shared" si="47"/>
        <v>WV_MORGAN</v>
      </c>
      <c r="AJ3029" s="1" t="s">
        <v>57</v>
      </c>
      <c r="AK3029" s="1" t="s">
        <v>2016</v>
      </c>
      <c r="AL3029" s="1" t="s">
        <v>8301</v>
      </c>
      <c r="AM3029" s="1" t="s">
        <v>5229</v>
      </c>
    </row>
    <row r="3030" spans="20:39" x14ac:dyDescent="0.2">
      <c r="T3030" s="28" t="s">
        <v>917</v>
      </c>
      <c r="U3030" s="68" t="s">
        <v>58</v>
      </c>
      <c r="V3030" s="72" t="str">
        <f t="shared" si="47"/>
        <v>WV_NICHOLAS</v>
      </c>
      <c r="AJ3030" s="1" t="s">
        <v>57</v>
      </c>
      <c r="AK3030" s="1" t="s">
        <v>554</v>
      </c>
      <c r="AL3030" s="1" t="s">
        <v>8302</v>
      </c>
      <c r="AM3030" s="1" t="s">
        <v>5210</v>
      </c>
    </row>
    <row r="3031" spans="20:39" x14ac:dyDescent="0.2">
      <c r="T3031" s="29" t="s">
        <v>742</v>
      </c>
      <c r="U3031" s="69" t="s">
        <v>58</v>
      </c>
      <c r="V3031" s="72" t="str">
        <f t="shared" si="47"/>
        <v>WV_OHIO</v>
      </c>
      <c r="AJ3031" s="1" t="s">
        <v>57</v>
      </c>
      <c r="AK3031" s="1" t="s">
        <v>2017</v>
      </c>
      <c r="AL3031" s="1" t="s">
        <v>8303</v>
      </c>
      <c r="AM3031" s="1" t="s">
        <v>5211</v>
      </c>
    </row>
    <row r="3032" spans="20:39" x14ac:dyDescent="0.2">
      <c r="T3032" s="28" t="s">
        <v>920</v>
      </c>
      <c r="U3032" s="68" t="s">
        <v>58</v>
      </c>
      <c r="V3032" s="72" t="str">
        <f t="shared" si="47"/>
        <v>WV_PENDLETON</v>
      </c>
      <c r="AJ3032" s="1" t="s">
        <v>57</v>
      </c>
      <c r="AK3032" s="1" t="s">
        <v>423</v>
      </c>
      <c r="AL3032" s="1" t="s">
        <v>8304</v>
      </c>
      <c r="AM3032" s="1" t="s">
        <v>9206</v>
      </c>
    </row>
    <row r="3033" spans="20:39" x14ac:dyDescent="0.2">
      <c r="T3033" s="29" t="s">
        <v>2004</v>
      </c>
      <c r="U3033" s="69" t="s">
        <v>58</v>
      </c>
      <c r="V3033" s="72" t="str">
        <f t="shared" si="47"/>
        <v>WV_PLEASANTS</v>
      </c>
      <c r="AJ3033" s="1" t="s">
        <v>57</v>
      </c>
      <c r="AK3033" s="1" t="s">
        <v>1465</v>
      </c>
      <c r="AL3033" s="1" t="s">
        <v>8305</v>
      </c>
      <c r="AM3033" s="1" t="s">
        <v>5212</v>
      </c>
    </row>
    <row r="3034" spans="20:39" x14ac:dyDescent="0.2">
      <c r="T3034" s="28" t="s">
        <v>796</v>
      </c>
      <c r="U3034" s="68" t="s">
        <v>58</v>
      </c>
      <c r="V3034" s="72" t="str">
        <f t="shared" si="47"/>
        <v>WV_POCAHONTAS</v>
      </c>
      <c r="AJ3034" s="1" t="s">
        <v>57</v>
      </c>
      <c r="AK3034" s="1" t="s">
        <v>2018</v>
      </c>
      <c r="AL3034" s="1" t="s">
        <v>8306</v>
      </c>
      <c r="AM3034" s="1" t="s">
        <v>5213</v>
      </c>
    </row>
    <row r="3035" spans="20:39" x14ac:dyDescent="0.2">
      <c r="T3035" s="29" t="s">
        <v>2005</v>
      </c>
      <c r="U3035" s="69" t="s">
        <v>58</v>
      </c>
      <c r="V3035" s="72" t="str">
        <f t="shared" si="47"/>
        <v>WV_PRESTON</v>
      </c>
      <c r="AJ3035" s="1" t="s">
        <v>57</v>
      </c>
      <c r="AK3035" s="1" t="s">
        <v>1628</v>
      </c>
      <c r="AL3035" s="1" t="s">
        <v>8307</v>
      </c>
      <c r="AM3035" s="1" t="s">
        <v>5214</v>
      </c>
    </row>
    <row r="3036" spans="20:39" x14ac:dyDescent="0.2">
      <c r="T3036" s="28" t="s">
        <v>511</v>
      </c>
      <c r="U3036" s="68" t="s">
        <v>58</v>
      </c>
      <c r="V3036" s="72" t="str">
        <f t="shared" si="47"/>
        <v>WV_PUTNAM</v>
      </c>
      <c r="AJ3036" s="1" t="s">
        <v>57</v>
      </c>
      <c r="AK3036" s="1" t="s">
        <v>2019</v>
      </c>
      <c r="AL3036" s="1" t="s">
        <v>8308</v>
      </c>
      <c r="AM3036" s="1" t="s">
        <v>5215</v>
      </c>
    </row>
    <row r="3037" spans="20:39" x14ac:dyDescent="0.2">
      <c r="T3037" s="29" t="s">
        <v>2006</v>
      </c>
      <c r="U3037" s="69" t="s">
        <v>58</v>
      </c>
      <c r="V3037" s="72" t="str">
        <f t="shared" si="47"/>
        <v>WV_RALEIGH</v>
      </c>
      <c r="AJ3037" s="1" t="s">
        <v>57</v>
      </c>
      <c r="AK3037" s="1" t="s">
        <v>1593</v>
      </c>
      <c r="AL3037" s="1" t="s">
        <v>8309</v>
      </c>
      <c r="AM3037" s="1" t="s">
        <v>5216</v>
      </c>
    </row>
    <row r="3038" spans="20:39" x14ac:dyDescent="0.2">
      <c r="T3038" s="28" t="s">
        <v>249</v>
      </c>
      <c r="U3038" s="68" t="s">
        <v>58</v>
      </c>
      <c r="V3038" s="72" t="str">
        <f t="shared" si="47"/>
        <v>WV_RANDOLPH</v>
      </c>
      <c r="AJ3038" s="1" t="s">
        <v>57</v>
      </c>
      <c r="AK3038" s="1" t="s">
        <v>314</v>
      </c>
      <c r="AL3038" s="1" t="s">
        <v>8310</v>
      </c>
      <c r="AM3038" s="1" t="s">
        <v>5217</v>
      </c>
    </row>
    <row r="3039" spans="20:39" x14ac:dyDescent="0.2">
      <c r="T3039" s="29" t="s">
        <v>2007</v>
      </c>
      <c r="U3039" s="69" t="s">
        <v>58</v>
      </c>
      <c r="V3039" s="72" t="str">
        <f t="shared" si="47"/>
        <v>WV_RITCHIE</v>
      </c>
      <c r="AJ3039" s="1" t="s">
        <v>57</v>
      </c>
      <c r="AK3039" s="1" t="s">
        <v>898</v>
      </c>
      <c r="AL3039" s="1" t="s">
        <v>8311</v>
      </c>
      <c r="AM3039" s="1" t="s">
        <v>5219</v>
      </c>
    </row>
    <row r="3040" spans="20:39" x14ac:dyDescent="0.2">
      <c r="T3040" s="28" t="s">
        <v>1700</v>
      </c>
      <c r="U3040" s="68" t="s">
        <v>58</v>
      </c>
      <c r="V3040" s="72" t="str">
        <f t="shared" si="47"/>
        <v>WV_ROANE</v>
      </c>
      <c r="AJ3040" s="1" t="s">
        <v>57</v>
      </c>
      <c r="AK3040" s="1" t="s">
        <v>2020</v>
      </c>
      <c r="AL3040" s="1" t="s">
        <v>8312</v>
      </c>
      <c r="AM3040" s="1" t="s">
        <v>5220</v>
      </c>
    </row>
    <row r="3041" spans="20:39" x14ac:dyDescent="0.2">
      <c r="T3041" s="29" t="s">
        <v>2008</v>
      </c>
      <c r="U3041" s="69" t="s">
        <v>58</v>
      </c>
      <c r="V3041" s="72" t="str">
        <f t="shared" si="47"/>
        <v>WV_SUMMERS</v>
      </c>
      <c r="AJ3041" s="1" t="s">
        <v>57</v>
      </c>
      <c r="AK3041" s="1" t="s">
        <v>781</v>
      </c>
      <c r="AL3041" s="1" t="s">
        <v>8313</v>
      </c>
      <c r="AM3041" s="1" t="s">
        <v>5221</v>
      </c>
    </row>
    <row r="3042" spans="20:39" x14ac:dyDescent="0.2">
      <c r="T3042" s="28" t="s">
        <v>518</v>
      </c>
      <c r="U3042" s="68" t="s">
        <v>58</v>
      </c>
      <c r="V3042" s="72" t="str">
        <f t="shared" si="47"/>
        <v>WV_TAYLOR</v>
      </c>
      <c r="AJ3042" s="1" t="s">
        <v>57</v>
      </c>
      <c r="AK3042" s="1" t="s">
        <v>1057</v>
      </c>
      <c r="AL3042" s="1" t="s">
        <v>8314</v>
      </c>
      <c r="AM3042" s="1" t="s">
        <v>5222</v>
      </c>
    </row>
    <row r="3043" spans="20:39" x14ac:dyDescent="0.2">
      <c r="T3043" s="29" t="s">
        <v>2009</v>
      </c>
      <c r="U3043" s="69" t="s">
        <v>58</v>
      </c>
      <c r="V3043" s="72" t="str">
        <f t="shared" si="47"/>
        <v>WV_TUCKER</v>
      </c>
      <c r="AJ3043" s="1" t="s">
        <v>57</v>
      </c>
      <c r="AK3043" s="1" t="s">
        <v>229</v>
      </c>
      <c r="AL3043" s="1" t="s">
        <v>8315</v>
      </c>
      <c r="AM3043" s="1" t="s">
        <v>5223</v>
      </c>
    </row>
    <row r="3044" spans="20:39" x14ac:dyDescent="0.2">
      <c r="T3044" s="28" t="s">
        <v>1848</v>
      </c>
      <c r="U3044" s="68" t="s">
        <v>58</v>
      </c>
      <c r="V3044" s="72" t="str">
        <f t="shared" si="47"/>
        <v>WV_TYLER</v>
      </c>
      <c r="AJ3044" s="1" t="s">
        <v>57</v>
      </c>
      <c r="AK3044" s="1" t="s">
        <v>230</v>
      </c>
      <c r="AL3044" s="1" t="s">
        <v>8316</v>
      </c>
      <c r="AM3044" s="1" t="s">
        <v>5225</v>
      </c>
    </row>
    <row r="3045" spans="20:39" x14ac:dyDescent="0.2">
      <c r="T3045" s="29" t="s">
        <v>1849</v>
      </c>
      <c r="U3045" s="69" t="s">
        <v>58</v>
      </c>
      <c r="V3045" s="72" t="str">
        <f t="shared" si="47"/>
        <v>WV_UPSHUR</v>
      </c>
      <c r="AJ3045" s="1" t="s">
        <v>57</v>
      </c>
      <c r="AK3045" s="1" t="s">
        <v>2021</v>
      </c>
      <c r="AL3045" s="1" t="s">
        <v>8317</v>
      </c>
      <c r="AM3045" s="1" t="s">
        <v>5226</v>
      </c>
    </row>
    <row r="3046" spans="20:39" x14ac:dyDescent="0.2">
      <c r="T3046" s="28" t="s">
        <v>623</v>
      </c>
      <c r="U3046" s="68" t="s">
        <v>58</v>
      </c>
      <c r="V3046" s="72" t="str">
        <f t="shared" si="47"/>
        <v>WV_WAYNE</v>
      </c>
      <c r="AJ3046" s="1" t="s">
        <v>57</v>
      </c>
      <c r="AK3046" s="1" t="s">
        <v>2022</v>
      </c>
      <c r="AL3046" s="1" t="s">
        <v>8318</v>
      </c>
      <c r="AM3046" s="1" t="s">
        <v>9284</v>
      </c>
    </row>
    <row r="3047" spans="20:39" x14ac:dyDescent="0.2">
      <c r="T3047" s="29" t="s">
        <v>624</v>
      </c>
      <c r="U3047" s="69" t="s">
        <v>58</v>
      </c>
      <c r="V3047" s="72" t="str">
        <f t="shared" si="47"/>
        <v>WV_WEBSTER</v>
      </c>
      <c r="AJ3047" s="1" t="s">
        <v>57</v>
      </c>
      <c r="AK3047" s="1" t="s">
        <v>2023</v>
      </c>
      <c r="AL3047" s="1" t="s">
        <v>8319</v>
      </c>
      <c r="AM3047" s="1" t="s">
        <v>5218</v>
      </c>
    </row>
    <row r="3048" spans="20:39" x14ac:dyDescent="0.2">
      <c r="T3048" s="28" t="s">
        <v>2010</v>
      </c>
      <c r="U3048" s="68" t="s">
        <v>58</v>
      </c>
      <c r="V3048" s="72" t="str">
        <f t="shared" si="47"/>
        <v>WV_WETZEL</v>
      </c>
      <c r="AJ3048" s="1" t="s">
        <v>57</v>
      </c>
      <c r="AK3048" s="1" t="s">
        <v>2024</v>
      </c>
      <c r="AL3048" s="1" t="s">
        <v>8320</v>
      </c>
      <c r="AM3048" s="1" t="s">
        <v>9207</v>
      </c>
    </row>
    <row r="3049" spans="20:39" x14ac:dyDescent="0.2">
      <c r="T3049" s="29" t="s">
        <v>2011</v>
      </c>
      <c r="U3049" s="69" t="s">
        <v>58</v>
      </c>
      <c r="V3049" s="72" t="str">
        <f t="shared" si="47"/>
        <v>WV_WIRT</v>
      </c>
      <c r="AJ3049" s="1" t="s">
        <v>57</v>
      </c>
      <c r="AK3049" s="1" t="s">
        <v>321</v>
      </c>
      <c r="AL3049" s="1" t="s">
        <v>8321</v>
      </c>
      <c r="AM3049" s="1" t="s">
        <v>5227</v>
      </c>
    </row>
    <row r="3050" spans="20:39" x14ac:dyDescent="0.2">
      <c r="T3050" s="28" t="s">
        <v>1520</v>
      </c>
      <c r="U3050" s="68" t="s">
        <v>58</v>
      </c>
      <c r="V3050" s="72" t="str">
        <f t="shared" si="47"/>
        <v>WV_WOOD</v>
      </c>
      <c r="AJ3050" s="1" t="s">
        <v>57</v>
      </c>
      <c r="AK3050" s="1" t="s">
        <v>2025</v>
      </c>
      <c r="AL3050" s="1" t="s">
        <v>8322</v>
      </c>
      <c r="AM3050" s="1" t="s">
        <v>5228</v>
      </c>
    </row>
    <row r="3051" spans="20:39" x14ac:dyDescent="0.2">
      <c r="T3051" s="29" t="s">
        <v>1390</v>
      </c>
      <c r="U3051" s="69" t="s">
        <v>58</v>
      </c>
      <c r="V3051" s="72" t="str">
        <f t="shared" si="47"/>
        <v>WV_WYOMING</v>
      </c>
      <c r="AJ3051" s="1" t="s">
        <v>57</v>
      </c>
      <c r="AK3051" s="1" t="s">
        <v>322</v>
      </c>
      <c r="AL3051" s="1" t="s">
        <v>8323</v>
      </c>
      <c r="AM3051" s="1" t="s">
        <v>9285</v>
      </c>
    </row>
    <row r="3052" spans="20:39" x14ac:dyDescent="0.2">
      <c r="T3052" s="28" t="s">
        <v>406</v>
      </c>
      <c r="U3052" s="68" t="s">
        <v>57</v>
      </c>
      <c r="V3052" s="72" t="str">
        <f t="shared" si="47"/>
        <v>WI_ADAMS</v>
      </c>
      <c r="AJ3052" s="1" t="s">
        <v>57</v>
      </c>
      <c r="AK3052" s="1" t="s">
        <v>2026</v>
      </c>
      <c r="AL3052" s="1" t="s">
        <v>8324</v>
      </c>
      <c r="AM3052" s="1" t="s">
        <v>5230</v>
      </c>
    </row>
    <row r="3053" spans="20:39" x14ac:dyDescent="0.2">
      <c r="T3053" s="29" t="s">
        <v>1487</v>
      </c>
      <c r="U3053" s="69" t="s">
        <v>57</v>
      </c>
      <c r="V3053" s="72" t="str">
        <f t="shared" si="47"/>
        <v>WI_ASHLAND</v>
      </c>
      <c r="AJ3053" s="1" t="s">
        <v>57</v>
      </c>
      <c r="AK3053" s="1" t="s">
        <v>2027</v>
      </c>
      <c r="AL3053" s="1" t="s">
        <v>8325</v>
      </c>
      <c r="AM3053" s="1" t="s">
        <v>9286</v>
      </c>
    </row>
    <row r="3054" spans="20:39" x14ac:dyDescent="0.2">
      <c r="T3054" s="28" t="s">
        <v>2012</v>
      </c>
      <c r="U3054" s="68" t="s">
        <v>57</v>
      </c>
      <c r="V3054" s="72" t="str">
        <f t="shared" si="47"/>
        <v>WI_BARRON</v>
      </c>
      <c r="AJ3054" s="1" t="s">
        <v>57</v>
      </c>
      <c r="AK3054" s="1" t="s">
        <v>2028</v>
      </c>
      <c r="AL3054" s="1" t="s">
        <v>8326</v>
      </c>
      <c r="AM3054" s="1" t="s">
        <v>5231</v>
      </c>
    </row>
    <row r="3055" spans="20:39" x14ac:dyDescent="0.2">
      <c r="T3055" s="29" t="s">
        <v>2013</v>
      </c>
      <c r="U3055" s="69" t="s">
        <v>57</v>
      </c>
      <c r="V3055" s="72" t="str">
        <f t="shared" si="47"/>
        <v>WI_BAYFIELD</v>
      </c>
      <c r="AJ3055" s="1" t="s">
        <v>57</v>
      </c>
      <c r="AK3055" s="1" t="s">
        <v>1069</v>
      </c>
      <c r="AL3055" s="1" t="s">
        <v>8327</v>
      </c>
      <c r="AM3055" s="1" t="s">
        <v>5232</v>
      </c>
    </row>
    <row r="3056" spans="20:39" x14ac:dyDescent="0.2">
      <c r="T3056" s="28" t="s">
        <v>670</v>
      </c>
      <c r="U3056" s="68" t="s">
        <v>57</v>
      </c>
      <c r="V3056" s="72" t="str">
        <f t="shared" si="47"/>
        <v>WI_BROWN</v>
      </c>
      <c r="AJ3056" s="1" t="s">
        <v>57</v>
      </c>
      <c r="AK3056" s="1" t="s">
        <v>1071</v>
      </c>
      <c r="AL3056" s="1" t="s">
        <v>8328</v>
      </c>
      <c r="AM3056" s="1" t="s">
        <v>5233</v>
      </c>
    </row>
    <row r="3057" spans="20:39" x14ac:dyDescent="0.2">
      <c r="T3057" s="29" t="s">
        <v>1272</v>
      </c>
      <c r="U3057" s="69" t="s">
        <v>57</v>
      </c>
      <c r="V3057" s="72" t="str">
        <f t="shared" si="47"/>
        <v>WI_BUFFALO</v>
      </c>
      <c r="AJ3057" s="1" t="s">
        <v>57</v>
      </c>
      <c r="AK3057" s="1" t="s">
        <v>2029</v>
      </c>
      <c r="AL3057" s="1" t="s">
        <v>8329</v>
      </c>
      <c r="AM3057" s="1" t="s">
        <v>9287</v>
      </c>
    </row>
    <row r="3058" spans="20:39" x14ac:dyDescent="0.2">
      <c r="T3058" s="28" t="s">
        <v>2014</v>
      </c>
      <c r="U3058" s="68" t="s">
        <v>57</v>
      </c>
      <c r="V3058" s="72" t="str">
        <f t="shared" si="47"/>
        <v>WI_BURNETT</v>
      </c>
      <c r="AJ3058" s="1" t="s">
        <v>57</v>
      </c>
      <c r="AK3058" s="1" t="s">
        <v>243</v>
      </c>
      <c r="AL3058" s="1" t="s">
        <v>8330</v>
      </c>
      <c r="AM3058" s="1" t="s">
        <v>5234</v>
      </c>
    </row>
    <row r="3059" spans="20:39" x14ac:dyDescent="0.2">
      <c r="T3059" s="29" t="s">
        <v>2015</v>
      </c>
      <c r="U3059" s="69" t="s">
        <v>57</v>
      </c>
      <c r="V3059" s="72" t="str">
        <f t="shared" si="47"/>
        <v>WI_CALUMET</v>
      </c>
      <c r="AJ3059" s="1" t="s">
        <v>57</v>
      </c>
      <c r="AK3059" s="1" t="s">
        <v>2030</v>
      </c>
      <c r="AL3059" s="1" t="s">
        <v>8331</v>
      </c>
      <c r="AM3059" s="1" t="s">
        <v>5235</v>
      </c>
    </row>
    <row r="3060" spans="20:39" x14ac:dyDescent="0.2">
      <c r="T3060" s="28" t="s">
        <v>1043</v>
      </c>
      <c r="U3060" s="68" t="s">
        <v>57</v>
      </c>
      <c r="V3060" s="72" t="str">
        <f t="shared" si="47"/>
        <v>WI_CHIPPEWA</v>
      </c>
      <c r="AJ3060" s="1" t="s">
        <v>57</v>
      </c>
      <c r="AK3060" s="1" t="s">
        <v>660</v>
      </c>
      <c r="AL3060" s="1" t="s">
        <v>8332</v>
      </c>
      <c r="AM3060" s="1" t="s">
        <v>5236</v>
      </c>
    </row>
    <row r="3061" spans="20:39" x14ac:dyDescent="0.2">
      <c r="T3061" s="29" t="s">
        <v>301</v>
      </c>
      <c r="U3061" s="69" t="s">
        <v>57</v>
      </c>
      <c r="V3061" s="72" t="str">
        <f t="shared" si="47"/>
        <v>WI_CLARK</v>
      </c>
      <c r="AJ3061" s="1" t="s">
        <v>57</v>
      </c>
      <c r="AK3061" s="1" t="s">
        <v>2031</v>
      </c>
      <c r="AL3061" s="1" t="s">
        <v>8333</v>
      </c>
      <c r="AM3061" s="1" t="s">
        <v>5201</v>
      </c>
    </row>
    <row r="3062" spans="20:39" x14ac:dyDescent="0.2">
      <c r="T3062" s="28" t="s">
        <v>303</v>
      </c>
      <c r="U3062" s="68" t="s">
        <v>57</v>
      </c>
      <c r="V3062" s="72" t="str">
        <f t="shared" si="47"/>
        <v>WI_COLUMBIA</v>
      </c>
      <c r="AJ3062" s="1" t="s">
        <v>57</v>
      </c>
      <c r="AK3062" s="1" t="s">
        <v>2032</v>
      </c>
      <c r="AL3062" s="1" t="s">
        <v>8334</v>
      </c>
      <c r="AM3062" s="1" t="s">
        <v>9287</v>
      </c>
    </row>
    <row r="3063" spans="20:39" x14ac:dyDescent="0.2">
      <c r="T3063" s="29" t="s">
        <v>306</v>
      </c>
      <c r="U3063" s="69" t="s">
        <v>57</v>
      </c>
      <c r="V3063" s="72" t="str">
        <f t="shared" si="47"/>
        <v>WI_CRAWFORD</v>
      </c>
      <c r="AJ3063" s="1" t="s">
        <v>57</v>
      </c>
      <c r="AK3063" s="1" t="s">
        <v>2033</v>
      </c>
      <c r="AL3063" s="1" t="s">
        <v>8335</v>
      </c>
      <c r="AM3063" s="1" t="s">
        <v>5238</v>
      </c>
    </row>
    <row r="3064" spans="20:39" x14ac:dyDescent="0.2">
      <c r="T3064" s="28" t="s">
        <v>2016</v>
      </c>
      <c r="U3064" s="68" t="s">
        <v>57</v>
      </c>
      <c r="V3064" s="72" t="str">
        <f t="shared" si="47"/>
        <v>WI_DANE</v>
      </c>
      <c r="AJ3064" s="1" t="s">
        <v>57</v>
      </c>
      <c r="AK3064" s="1" t="s">
        <v>597</v>
      </c>
      <c r="AL3064" s="1" t="s">
        <v>8336</v>
      </c>
      <c r="AM3064" s="1" t="s">
        <v>4013</v>
      </c>
    </row>
    <row r="3065" spans="20:39" x14ac:dyDescent="0.2">
      <c r="T3065" s="29" t="s">
        <v>554</v>
      </c>
      <c r="U3065" s="69" t="s">
        <v>57</v>
      </c>
      <c r="V3065" s="72" t="str">
        <f t="shared" si="47"/>
        <v>WI_DODGE</v>
      </c>
      <c r="AJ3065" s="1" t="s">
        <v>57</v>
      </c>
      <c r="AK3065" s="1" t="s">
        <v>333</v>
      </c>
      <c r="AL3065" s="1" t="s">
        <v>8337</v>
      </c>
      <c r="AM3065" s="1" t="s">
        <v>5239</v>
      </c>
    </row>
    <row r="3066" spans="20:39" x14ac:dyDescent="0.2">
      <c r="T3066" s="28" t="s">
        <v>2017</v>
      </c>
      <c r="U3066" s="68" t="s">
        <v>57</v>
      </c>
      <c r="V3066" s="72" t="str">
        <f t="shared" si="47"/>
        <v>WI_DOOR</v>
      </c>
      <c r="AJ3066" s="1" t="s">
        <v>57</v>
      </c>
      <c r="AK3066" s="1" t="s">
        <v>1511</v>
      </c>
      <c r="AL3066" s="1" t="s">
        <v>8338</v>
      </c>
      <c r="AM3066" s="1" t="s">
        <v>5240</v>
      </c>
    </row>
    <row r="3067" spans="20:39" x14ac:dyDescent="0.2">
      <c r="T3067" s="29" t="s">
        <v>423</v>
      </c>
      <c r="U3067" s="69" t="s">
        <v>57</v>
      </c>
      <c r="V3067" s="72" t="str">
        <f t="shared" si="47"/>
        <v>WI_DOUGLAS</v>
      </c>
      <c r="AJ3067" s="1" t="s">
        <v>57</v>
      </c>
      <c r="AK3067" s="1" t="s">
        <v>2034</v>
      </c>
      <c r="AL3067" s="1" t="s">
        <v>8339</v>
      </c>
      <c r="AM3067" s="1" t="s">
        <v>5241</v>
      </c>
    </row>
    <row r="3068" spans="20:39" x14ac:dyDescent="0.2">
      <c r="T3068" s="28" t="s">
        <v>1465</v>
      </c>
      <c r="U3068" s="68" t="s">
        <v>57</v>
      </c>
      <c r="V3068" s="72" t="str">
        <f t="shared" si="47"/>
        <v>WI_DUNN</v>
      </c>
      <c r="AJ3068" s="1" t="s">
        <v>57</v>
      </c>
      <c r="AK3068" s="1" t="s">
        <v>2035</v>
      </c>
      <c r="AL3068" s="1" t="s">
        <v>8340</v>
      </c>
      <c r="AM3068" s="1" t="s">
        <v>9288</v>
      </c>
    </row>
    <row r="3069" spans="20:39" x14ac:dyDescent="0.2">
      <c r="T3069" s="29" t="s">
        <v>2018</v>
      </c>
      <c r="U3069" s="69" t="s">
        <v>57</v>
      </c>
      <c r="V3069" s="72" t="str">
        <f t="shared" si="47"/>
        <v>WI_EAU CLAIRE</v>
      </c>
      <c r="AJ3069" s="1" t="s">
        <v>57</v>
      </c>
      <c r="AK3069" s="1" t="s">
        <v>708</v>
      </c>
      <c r="AL3069" s="1" t="s">
        <v>8341</v>
      </c>
      <c r="AM3069" s="1" t="s">
        <v>5242</v>
      </c>
    </row>
    <row r="3070" spans="20:39" x14ac:dyDescent="0.2">
      <c r="T3070" s="28" t="s">
        <v>1628</v>
      </c>
      <c r="U3070" s="68" t="s">
        <v>57</v>
      </c>
      <c r="V3070" s="72" t="str">
        <f t="shared" si="47"/>
        <v>WI_FLORENCE</v>
      </c>
      <c r="AJ3070" s="1" t="s">
        <v>57</v>
      </c>
      <c r="AK3070" s="1" t="s">
        <v>1138</v>
      </c>
      <c r="AL3070" s="1" t="s">
        <v>8342</v>
      </c>
      <c r="AM3070" s="1" t="s">
        <v>5224</v>
      </c>
    </row>
    <row r="3071" spans="20:39" x14ac:dyDescent="0.2">
      <c r="T3071" s="29" t="s">
        <v>2019</v>
      </c>
      <c r="U3071" s="69" t="s">
        <v>57</v>
      </c>
      <c r="V3071" s="72" t="str">
        <f t="shared" si="47"/>
        <v>WI_FOND DU LAC</v>
      </c>
      <c r="AJ3071" s="1" t="s">
        <v>57</v>
      </c>
      <c r="AK3071" s="1" t="s">
        <v>1827</v>
      </c>
      <c r="AL3071" s="1" t="s">
        <v>8343</v>
      </c>
      <c r="AM3071" s="1" t="s">
        <v>5243</v>
      </c>
    </row>
    <row r="3072" spans="20:39" x14ac:dyDescent="0.2">
      <c r="T3072" s="28" t="s">
        <v>1593</v>
      </c>
      <c r="U3072" s="68" t="s">
        <v>57</v>
      </c>
      <c r="V3072" s="72" t="str">
        <f t="shared" si="47"/>
        <v>WI_FOREST</v>
      </c>
      <c r="AJ3072" s="1" t="s">
        <v>57</v>
      </c>
      <c r="AK3072" s="1" t="s">
        <v>2037</v>
      </c>
      <c r="AL3072" s="1" t="s">
        <v>8344</v>
      </c>
      <c r="AM3072" s="1" t="s">
        <v>5244</v>
      </c>
    </row>
    <row r="3073" spans="20:39" x14ac:dyDescent="0.2">
      <c r="T3073" s="29" t="s">
        <v>314</v>
      </c>
      <c r="U3073" s="69" t="s">
        <v>57</v>
      </c>
      <c r="V3073" s="72" t="str">
        <f t="shared" si="47"/>
        <v>WI_GRANT</v>
      </c>
      <c r="AJ3073" s="1" t="s">
        <v>57</v>
      </c>
      <c r="AK3073" s="1" t="s">
        <v>2038</v>
      </c>
      <c r="AL3073" s="1" t="s">
        <v>8345</v>
      </c>
      <c r="AM3073" s="1" t="s">
        <v>5245</v>
      </c>
    </row>
    <row r="3074" spans="20:39" x14ac:dyDescent="0.2">
      <c r="T3074" s="28" t="s">
        <v>898</v>
      </c>
      <c r="U3074" s="68" t="s">
        <v>57</v>
      </c>
      <c r="V3074" s="72" t="str">
        <f t="shared" si="47"/>
        <v>WI_GREEN</v>
      </c>
      <c r="AJ3074" s="1" t="s">
        <v>57</v>
      </c>
      <c r="AK3074" s="1" t="s">
        <v>2039</v>
      </c>
      <c r="AL3074" s="1" t="s">
        <v>8346</v>
      </c>
      <c r="AM3074" s="1" t="s">
        <v>5246</v>
      </c>
    </row>
    <row r="3075" spans="20:39" x14ac:dyDescent="0.2">
      <c r="T3075" s="29" t="s">
        <v>2020</v>
      </c>
      <c r="U3075" s="69" t="s">
        <v>57</v>
      </c>
      <c r="V3075" s="72" t="str">
        <f t="shared" si="47"/>
        <v>WI_GREEN LAKE</v>
      </c>
      <c r="AJ3075" s="1" t="s">
        <v>57</v>
      </c>
      <c r="AK3075" s="1" t="s">
        <v>2040</v>
      </c>
      <c r="AL3075" s="1" t="s">
        <v>8347</v>
      </c>
      <c r="AM3075" s="1" t="s">
        <v>5247</v>
      </c>
    </row>
    <row r="3076" spans="20:39" x14ac:dyDescent="0.2">
      <c r="T3076" s="28" t="s">
        <v>781</v>
      </c>
      <c r="U3076" s="68" t="s">
        <v>57</v>
      </c>
      <c r="V3076" s="72" t="str">
        <f t="shared" si="47"/>
        <v>WI_IOWA</v>
      </c>
      <c r="AJ3076" s="1" t="s">
        <v>57</v>
      </c>
      <c r="AK3076" s="1" t="s">
        <v>2036</v>
      </c>
      <c r="AL3076" s="1" t="s">
        <v>8348</v>
      </c>
      <c r="AM3076" s="1" t="s">
        <v>4013</v>
      </c>
    </row>
    <row r="3077" spans="20:39" x14ac:dyDescent="0.2">
      <c r="T3077" s="29" t="s">
        <v>1057</v>
      </c>
      <c r="U3077" s="69" t="s">
        <v>57</v>
      </c>
      <c r="V3077" s="72" t="str">
        <f t="shared" si="47"/>
        <v>WI_IRON</v>
      </c>
      <c r="AJ3077" s="1" t="s">
        <v>57</v>
      </c>
      <c r="AK3077" s="1" t="s">
        <v>518</v>
      </c>
      <c r="AL3077" s="1" t="s">
        <v>8349</v>
      </c>
      <c r="AM3077" s="1" t="s">
        <v>5248</v>
      </c>
    </row>
    <row r="3078" spans="20:39" x14ac:dyDescent="0.2">
      <c r="T3078" s="28" t="s">
        <v>229</v>
      </c>
      <c r="U3078" s="68" t="s">
        <v>57</v>
      </c>
      <c r="V3078" s="72" t="str">
        <f t="shared" si="47"/>
        <v>WI_JACKSON</v>
      </c>
      <c r="AJ3078" s="1" t="s">
        <v>57</v>
      </c>
      <c r="AK3078" s="1" t="s">
        <v>2041</v>
      </c>
      <c r="AL3078" s="1" t="s">
        <v>8350</v>
      </c>
      <c r="AM3078" s="1" t="s">
        <v>5249</v>
      </c>
    </row>
    <row r="3079" spans="20:39" x14ac:dyDescent="0.2">
      <c r="T3079" s="29" t="s">
        <v>230</v>
      </c>
      <c r="U3079" s="69" t="s">
        <v>57</v>
      </c>
      <c r="V3079" s="72" t="str">
        <f t="shared" ref="V3079:V3142" si="48">UPPER(CONCATENATE(TRIM(U3079),"_",TRIM(T3079)))</f>
        <v>WI_JEFFERSON</v>
      </c>
      <c r="AJ3079" s="1" t="s">
        <v>57</v>
      </c>
      <c r="AK3079" s="1" t="s">
        <v>1230</v>
      </c>
      <c r="AL3079" s="1" t="s">
        <v>8351</v>
      </c>
      <c r="AM3079" s="1" t="s">
        <v>9289</v>
      </c>
    </row>
    <row r="3080" spans="20:39" x14ac:dyDescent="0.2">
      <c r="T3080" s="28" t="s">
        <v>2021</v>
      </c>
      <c r="U3080" s="68" t="s">
        <v>57</v>
      </c>
      <c r="V3080" s="72" t="str">
        <f t="shared" si="48"/>
        <v>WI_JUNEAU</v>
      </c>
      <c r="AJ3080" s="1" t="s">
        <v>57</v>
      </c>
      <c r="AK3080" s="1" t="s">
        <v>2042</v>
      </c>
      <c r="AL3080" s="1" t="s">
        <v>8352</v>
      </c>
      <c r="AM3080" s="1" t="s">
        <v>5250</v>
      </c>
    </row>
    <row r="3081" spans="20:39" x14ac:dyDescent="0.2">
      <c r="T3081" s="29" t="s">
        <v>2022</v>
      </c>
      <c r="U3081" s="69" t="s">
        <v>57</v>
      </c>
      <c r="V3081" s="72" t="str">
        <f t="shared" si="48"/>
        <v>WI_KENOSHA</v>
      </c>
      <c r="AJ3081" s="1" t="s">
        <v>57</v>
      </c>
      <c r="AK3081" s="1" t="s">
        <v>1676</v>
      </c>
      <c r="AL3081" s="1" t="s">
        <v>8353</v>
      </c>
      <c r="AM3081" s="1" t="s">
        <v>5251</v>
      </c>
    </row>
    <row r="3082" spans="20:39" x14ac:dyDescent="0.2">
      <c r="T3082" s="28" t="s">
        <v>2023</v>
      </c>
      <c r="U3082" s="68" t="s">
        <v>57</v>
      </c>
      <c r="V3082" s="72" t="str">
        <f t="shared" si="48"/>
        <v>WI_KEWAUNEE</v>
      </c>
      <c r="AJ3082" s="1" t="s">
        <v>57</v>
      </c>
      <c r="AK3082" s="1" t="s">
        <v>2043</v>
      </c>
      <c r="AL3082" s="1" t="s">
        <v>8354</v>
      </c>
      <c r="AM3082" s="1" t="s">
        <v>5252</v>
      </c>
    </row>
    <row r="3083" spans="20:39" x14ac:dyDescent="0.2">
      <c r="T3083" s="29" t="s">
        <v>2024</v>
      </c>
      <c r="U3083" s="69" t="s">
        <v>57</v>
      </c>
      <c r="V3083" s="72" t="str">
        <f t="shared" si="48"/>
        <v>WI_LA CROSSE</v>
      </c>
      <c r="AJ3083" s="1" t="s">
        <v>57</v>
      </c>
      <c r="AK3083" s="1" t="s">
        <v>258</v>
      </c>
      <c r="AL3083" s="1" t="s">
        <v>8355</v>
      </c>
      <c r="AM3083" s="1" t="s">
        <v>9287</v>
      </c>
    </row>
    <row r="3084" spans="20:39" x14ac:dyDescent="0.2">
      <c r="T3084" s="28" t="s">
        <v>321</v>
      </c>
      <c r="U3084" s="68" t="s">
        <v>57</v>
      </c>
      <c r="V3084" s="72" t="str">
        <f t="shared" si="48"/>
        <v>WI_LAFAYETTE</v>
      </c>
      <c r="AJ3084" s="1" t="s">
        <v>57</v>
      </c>
      <c r="AK3084" s="1" t="s">
        <v>2044</v>
      </c>
      <c r="AL3084" s="1" t="s">
        <v>8356</v>
      </c>
      <c r="AM3084" s="1" t="s">
        <v>9287</v>
      </c>
    </row>
    <row r="3085" spans="20:39" x14ac:dyDescent="0.2">
      <c r="T3085" s="29" t="s">
        <v>2025</v>
      </c>
      <c r="U3085" s="69" t="s">
        <v>57</v>
      </c>
      <c r="V3085" s="72" t="str">
        <f t="shared" si="48"/>
        <v>WI_LANGLADE</v>
      </c>
      <c r="AJ3085" s="1" t="s">
        <v>57</v>
      </c>
      <c r="AK3085" s="1" t="s">
        <v>2045</v>
      </c>
      <c r="AL3085" s="1" t="s">
        <v>8357</v>
      </c>
      <c r="AM3085" s="1" t="s">
        <v>5253</v>
      </c>
    </row>
    <row r="3086" spans="20:39" x14ac:dyDescent="0.2">
      <c r="T3086" s="28" t="s">
        <v>322</v>
      </c>
      <c r="U3086" s="68" t="s">
        <v>57</v>
      </c>
      <c r="V3086" s="72" t="str">
        <f t="shared" si="48"/>
        <v>WI_LINCOLN</v>
      </c>
      <c r="AJ3086" s="1" t="s">
        <v>57</v>
      </c>
      <c r="AK3086" s="1" t="s">
        <v>2046</v>
      </c>
      <c r="AL3086" s="1" t="s">
        <v>8358</v>
      </c>
      <c r="AM3086" s="1" t="s">
        <v>5254</v>
      </c>
    </row>
    <row r="3087" spans="20:39" x14ac:dyDescent="0.2">
      <c r="T3087" s="29" t="s">
        <v>2026</v>
      </c>
      <c r="U3087" s="69" t="s">
        <v>57</v>
      </c>
      <c r="V3087" s="72" t="str">
        <f t="shared" si="48"/>
        <v>WI_MANITOWOC</v>
      </c>
      <c r="AJ3087" s="1" t="s">
        <v>57</v>
      </c>
      <c r="AK3087" s="1" t="s">
        <v>720</v>
      </c>
      <c r="AL3087" s="1" t="s">
        <v>8359</v>
      </c>
      <c r="AM3087" s="1" t="s">
        <v>5237</v>
      </c>
    </row>
    <row r="3088" spans="20:39" x14ac:dyDescent="0.2">
      <c r="T3088" s="28" t="s">
        <v>2027</v>
      </c>
      <c r="U3088" s="68" t="s">
        <v>57</v>
      </c>
      <c r="V3088" s="72" t="str">
        <f t="shared" si="48"/>
        <v>WI_MARATHON</v>
      </c>
      <c r="AJ3088" s="1" t="s">
        <v>57</v>
      </c>
      <c r="AK3088" s="1" t="s">
        <v>1520</v>
      </c>
      <c r="AL3088" s="1" t="s">
        <v>8360</v>
      </c>
      <c r="AM3088" s="1" t="s">
        <v>5255</v>
      </c>
    </row>
    <row r="3089" spans="20:39" x14ac:dyDescent="0.2">
      <c r="T3089" s="29" t="s">
        <v>2028</v>
      </c>
      <c r="U3089" s="69" t="s">
        <v>57</v>
      </c>
      <c r="V3089" s="72" t="str">
        <f t="shared" si="48"/>
        <v>WI_MARINETTE</v>
      </c>
      <c r="AJ3089" s="1" t="s">
        <v>58</v>
      </c>
      <c r="AK3089" s="1" t="s">
        <v>196</v>
      </c>
      <c r="AL3089" s="1" t="s">
        <v>8361</v>
      </c>
      <c r="AM3089" s="1" t="s">
        <v>5256</v>
      </c>
    </row>
    <row r="3090" spans="20:39" x14ac:dyDescent="0.2">
      <c r="T3090" s="28" t="s">
        <v>1069</v>
      </c>
      <c r="U3090" s="68" t="s">
        <v>57</v>
      </c>
      <c r="V3090" s="72" t="str">
        <f t="shared" si="48"/>
        <v>WI_MARQUETTE</v>
      </c>
      <c r="AJ3090" s="1" t="s">
        <v>58</v>
      </c>
      <c r="AK3090" s="1" t="s">
        <v>1620</v>
      </c>
      <c r="AL3090" s="1" t="s">
        <v>8362</v>
      </c>
      <c r="AM3090" s="1" t="s">
        <v>5272</v>
      </c>
    </row>
    <row r="3091" spans="20:39" x14ac:dyDescent="0.2">
      <c r="T3091" s="29" t="s">
        <v>1071</v>
      </c>
      <c r="U3091" s="69" t="s">
        <v>57</v>
      </c>
      <c r="V3091" s="72" t="str">
        <f t="shared" si="48"/>
        <v>WI_MENOMINEE</v>
      </c>
      <c r="AJ3091" s="1" t="s">
        <v>58</v>
      </c>
      <c r="AK3091" s="1" t="s">
        <v>297</v>
      </c>
      <c r="AL3091" s="1" t="s">
        <v>8363</v>
      </c>
      <c r="AM3091" s="1" t="s">
        <v>5257</v>
      </c>
    </row>
    <row r="3092" spans="20:39" x14ac:dyDescent="0.2">
      <c r="T3092" s="28" t="s">
        <v>2029</v>
      </c>
      <c r="U3092" s="68" t="s">
        <v>57</v>
      </c>
      <c r="V3092" s="72" t="str">
        <f t="shared" si="48"/>
        <v>WI_MILWAUKEE</v>
      </c>
      <c r="AJ3092" s="1" t="s">
        <v>58</v>
      </c>
      <c r="AK3092" s="1" t="s">
        <v>1995</v>
      </c>
      <c r="AL3092" s="1" t="s">
        <v>8364</v>
      </c>
      <c r="AM3092" s="1" t="s">
        <v>5258</v>
      </c>
    </row>
    <row r="3093" spans="20:39" x14ac:dyDescent="0.2">
      <c r="T3093" s="29" t="s">
        <v>243</v>
      </c>
      <c r="U3093" s="69" t="s">
        <v>57</v>
      </c>
      <c r="V3093" s="72" t="str">
        <f t="shared" si="48"/>
        <v>WI_MONROE</v>
      </c>
      <c r="AJ3093" s="1" t="s">
        <v>58</v>
      </c>
      <c r="AK3093" s="1" t="s">
        <v>1996</v>
      </c>
      <c r="AL3093" s="1" t="s">
        <v>8365</v>
      </c>
      <c r="AM3093" s="1" t="s">
        <v>4574</v>
      </c>
    </row>
    <row r="3094" spans="20:39" x14ac:dyDescent="0.2">
      <c r="T3094" s="28" t="s">
        <v>2030</v>
      </c>
      <c r="U3094" s="68" t="s">
        <v>57</v>
      </c>
      <c r="V3094" s="72" t="str">
        <f t="shared" si="48"/>
        <v>WI_OCONTO</v>
      </c>
      <c r="AJ3094" s="1" t="s">
        <v>58</v>
      </c>
      <c r="AK3094" s="1" t="s">
        <v>1997</v>
      </c>
      <c r="AL3094" s="1" t="s">
        <v>8366</v>
      </c>
      <c r="AM3094" s="1" t="s">
        <v>3771</v>
      </c>
    </row>
    <row r="3095" spans="20:39" x14ac:dyDescent="0.2">
      <c r="T3095" s="29" t="s">
        <v>660</v>
      </c>
      <c r="U3095" s="69" t="s">
        <v>57</v>
      </c>
      <c r="V3095" s="72" t="str">
        <f t="shared" si="48"/>
        <v>WI_ONEIDA</v>
      </c>
      <c r="AJ3095" s="1" t="s">
        <v>58</v>
      </c>
      <c r="AK3095" s="1" t="s">
        <v>201</v>
      </c>
      <c r="AL3095" s="1" t="s">
        <v>8367</v>
      </c>
      <c r="AM3095" s="1" t="s">
        <v>5259</v>
      </c>
    </row>
    <row r="3096" spans="20:39" x14ac:dyDescent="0.2">
      <c r="T3096" s="28" t="s">
        <v>2031</v>
      </c>
      <c r="U3096" s="68" t="s">
        <v>57</v>
      </c>
      <c r="V3096" s="72" t="str">
        <f t="shared" si="48"/>
        <v>WI_OUTAGAMIE</v>
      </c>
      <c r="AJ3096" s="1" t="s">
        <v>58</v>
      </c>
      <c r="AK3096" s="1" t="s">
        <v>207</v>
      </c>
      <c r="AL3096" s="1" t="s">
        <v>8368</v>
      </c>
      <c r="AM3096" s="1" t="s">
        <v>5260</v>
      </c>
    </row>
    <row r="3097" spans="20:39" x14ac:dyDescent="0.2">
      <c r="T3097" s="29" t="s">
        <v>2032</v>
      </c>
      <c r="U3097" s="69" t="s">
        <v>57</v>
      </c>
      <c r="V3097" s="72" t="str">
        <f t="shared" si="48"/>
        <v>WI_OZAUKEE</v>
      </c>
      <c r="AJ3097" s="1" t="s">
        <v>58</v>
      </c>
      <c r="AK3097" s="1" t="s">
        <v>1998</v>
      </c>
      <c r="AL3097" s="1" t="s">
        <v>8369</v>
      </c>
      <c r="AM3097" s="1" t="s">
        <v>5261</v>
      </c>
    </row>
    <row r="3098" spans="20:39" x14ac:dyDescent="0.2">
      <c r="T3098" s="28" t="s">
        <v>2033</v>
      </c>
      <c r="U3098" s="68" t="s">
        <v>57</v>
      </c>
      <c r="V3098" s="72" t="str">
        <f t="shared" si="48"/>
        <v>WI_PEPIN</v>
      </c>
      <c r="AJ3098" s="1" t="s">
        <v>58</v>
      </c>
      <c r="AK3098" s="1" t="s">
        <v>222</v>
      </c>
      <c r="AL3098" s="1" t="s">
        <v>8370</v>
      </c>
      <c r="AM3098" s="1" t="s">
        <v>5262</v>
      </c>
    </row>
    <row r="3099" spans="20:39" x14ac:dyDescent="0.2">
      <c r="T3099" s="29" t="s">
        <v>597</v>
      </c>
      <c r="U3099" s="69" t="s">
        <v>57</v>
      </c>
      <c r="V3099" s="72" t="str">
        <f t="shared" si="48"/>
        <v>WI_PIERCE</v>
      </c>
      <c r="AJ3099" s="1" t="s">
        <v>58</v>
      </c>
      <c r="AK3099" s="1" t="s">
        <v>565</v>
      </c>
      <c r="AL3099" s="1" t="s">
        <v>8371</v>
      </c>
      <c r="AM3099" s="1" t="s">
        <v>5263</v>
      </c>
    </row>
    <row r="3100" spans="20:39" x14ac:dyDescent="0.2">
      <c r="T3100" s="28" t="s">
        <v>333</v>
      </c>
      <c r="U3100" s="68" t="s">
        <v>57</v>
      </c>
      <c r="V3100" s="72" t="str">
        <f t="shared" si="48"/>
        <v>WI_POLK</v>
      </c>
      <c r="AJ3100" s="1" t="s">
        <v>58</v>
      </c>
      <c r="AK3100" s="1" t="s">
        <v>314</v>
      </c>
      <c r="AL3100" s="1" t="s">
        <v>8372</v>
      </c>
      <c r="AM3100" s="1" t="s">
        <v>5264</v>
      </c>
    </row>
    <row r="3101" spans="20:39" x14ac:dyDescent="0.2">
      <c r="T3101" s="29" t="s">
        <v>1511</v>
      </c>
      <c r="U3101" s="69" t="s">
        <v>57</v>
      </c>
      <c r="V3101" s="72" t="str">
        <f t="shared" si="48"/>
        <v>WI_PORTAGE</v>
      </c>
      <c r="AJ3101" s="1" t="s">
        <v>58</v>
      </c>
      <c r="AK3101" s="1" t="s">
        <v>1999</v>
      </c>
      <c r="AL3101" s="1" t="s">
        <v>8373</v>
      </c>
      <c r="AM3101" s="1" t="s">
        <v>5265</v>
      </c>
    </row>
    <row r="3102" spans="20:39" x14ac:dyDescent="0.2">
      <c r="T3102" s="28" t="s">
        <v>2034</v>
      </c>
      <c r="U3102" s="68" t="s">
        <v>57</v>
      </c>
      <c r="V3102" s="72" t="str">
        <f t="shared" si="48"/>
        <v>WI_PRICE</v>
      </c>
      <c r="AJ3102" s="1" t="s">
        <v>58</v>
      </c>
      <c r="AK3102" s="1" t="s">
        <v>1027</v>
      </c>
      <c r="AL3102" s="1" t="s">
        <v>8374</v>
      </c>
      <c r="AM3102" s="1" t="s">
        <v>5156</v>
      </c>
    </row>
    <row r="3103" spans="20:39" x14ac:dyDescent="0.2">
      <c r="T3103" s="29" t="s">
        <v>2035</v>
      </c>
      <c r="U3103" s="69" t="s">
        <v>57</v>
      </c>
      <c r="V3103" s="72" t="str">
        <f t="shared" si="48"/>
        <v>WI_RACINE</v>
      </c>
      <c r="AJ3103" s="1" t="s">
        <v>58</v>
      </c>
      <c r="AK3103" s="1" t="s">
        <v>573</v>
      </c>
      <c r="AL3103" s="1" t="s">
        <v>8375</v>
      </c>
      <c r="AM3103" s="1" t="s">
        <v>4574</v>
      </c>
    </row>
    <row r="3104" spans="20:39" x14ac:dyDescent="0.2">
      <c r="T3104" s="28" t="s">
        <v>708</v>
      </c>
      <c r="U3104" s="68" t="s">
        <v>57</v>
      </c>
      <c r="V3104" s="72" t="str">
        <f t="shared" si="48"/>
        <v>WI_RICHLAND</v>
      </c>
      <c r="AJ3104" s="1" t="s">
        <v>58</v>
      </c>
      <c r="AK3104" s="1" t="s">
        <v>2000</v>
      </c>
      <c r="AL3104" s="1" t="s">
        <v>8376</v>
      </c>
      <c r="AM3104" s="1" t="s">
        <v>5266</v>
      </c>
    </row>
    <row r="3105" spans="20:39" x14ac:dyDescent="0.2">
      <c r="T3105" s="29" t="s">
        <v>1138</v>
      </c>
      <c r="U3105" s="69" t="s">
        <v>57</v>
      </c>
      <c r="V3105" s="72" t="str">
        <f t="shared" si="48"/>
        <v>WI_ROCK</v>
      </c>
      <c r="AJ3105" s="1" t="s">
        <v>58</v>
      </c>
      <c r="AK3105" s="1" t="s">
        <v>732</v>
      </c>
      <c r="AL3105" s="1" t="s">
        <v>8377</v>
      </c>
      <c r="AM3105" s="1" t="s">
        <v>5267</v>
      </c>
    </row>
    <row r="3106" spans="20:39" x14ac:dyDescent="0.2">
      <c r="T3106" s="28" t="s">
        <v>1827</v>
      </c>
      <c r="U3106" s="68" t="s">
        <v>57</v>
      </c>
      <c r="V3106" s="72" t="str">
        <f t="shared" si="48"/>
        <v>WI_RUSK</v>
      </c>
      <c r="AJ3106" s="1" t="s">
        <v>58</v>
      </c>
      <c r="AK3106" s="1" t="s">
        <v>229</v>
      </c>
      <c r="AL3106" s="1" t="s">
        <v>8378</v>
      </c>
      <c r="AM3106" s="1" t="s">
        <v>9290</v>
      </c>
    </row>
    <row r="3107" spans="20:39" x14ac:dyDescent="0.2">
      <c r="T3107" s="29" t="s">
        <v>2036</v>
      </c>
      <c r="U3107" s="69" t="s">
        <v>57</v>
      </c>
      <c r="V3107" s="72" t="str">
        <f t="shared" si="48"/>
        <v>WI_ST. CROIX</v>
      </c>
      <c r="AJ3107" s="1" t="s">
        <v>58</v>
      </c>
      <c r="AK3107" s="1" t="s">
        <v>230</v>
      </c>
      <c r="AL3107" s="1" t="s">
        <v>8379</v>
      </c>
      <c r="AM3107" s="1" t="s">
        <v>5268</v>
      </c>
    </row>
    <row r="3108" spans="20:39" x14ac:dyDescent="0.2">
      <c r="T3108" s="28" t="s">
        <v>2037</v>
      </c>
      <c r="U3108" s="68" t="s">
        <v>57</v>
      </c>
      <c r="V3108" s="72" t="str">
        <f t="shared" si="48"/>
        <v>WI_SAUK</v>
      </c>
      <c r="AJ3108" s="1" t="s">
        <v>58</v>
      </c>
      <c r="AK3108" s="1" t="s">
        <v>2001</v>
      </c>
      <c r="AL3108" s="1" t="s">
        <v>8380</v>
      </c>
      <c r="AM3108" s="1" t="s">
        <v>5260</v>
      </c>
    </row>
    <row r="3109" spans="20:39" x14ac:dyDescent="0.2">
      <c r="T3109" s="29" t="s">
        <v>2038</v>
      </c>
      <c r="U3109" s="69" t="s">
        <v>57</v>
      </c>
      <c r="V3109" s="72" t="str">
        <f t="shared" si="48"/>
        <v>WI_SAWYER</v>
      </c>
      <c r="AJ3109" s="1" t="s">
        <v>58</v>
      </c>
      <c r="AK3109" s="1" t="s">
        <v>657</v>
      </c>
      <c r="AL3109" s="1" t="s">
        <v>8381</v>
      </c>
      <c r="AM3109" s="1" t="s">
        <v>5269</v>
      </c>
    </row>
    <row r="3110" spans="20:39" x14ac:dyDescent="0.2">
      <c r="T3110" s="28" t="s">
        <v>2039</v>
      </c>
      <c r="U3110" s="68" t="s">
        <v>57</v>
      </c>
      <c r="V3110" s="72" t="str">
        <f t="shared" si="48"/>
        <v>WI_SHAWANO</v>
      </c>
      <c r="AJ3110" s="1" t="s">
        <v>58</v>
      </c>
      <c r="AK3110" s="1" t="s">
        <v>322</v>
      </c>
      <c r="AL3110" s="1" t="s">
        <v>8382</v>
      </c>
      <c r="AM3110" s="1" t="s">
        <v>9291</v>
      </c>
    </row>
    <row r="3111" spans="20:39" x14ac:dyDescent="0.2">
      <c r="T3111" s="29" t="s">
        <v>2040</v>
      </c>
      <c r="U3111" s="69" t="s">
        <v>57</v>
      </c>
      <c r="V3111" s="72" t="str">
        <f t="shared" si="48"/>
        <v>WI_SHEBOYGAN</v>
      </c>
      <c r="AJ3111" s="1" t="s">
        <v>58</v>
      </c>
      <c r="AK3111" s="1" t="s">
        <v>324</v>
      </c>
      <c r="AL3111" s="1" t="s">
        <v>8383</v>
      </c>
      <c r="AM3111" s="1" t="s">
        <v>5270</v>
      </c>
    </row>
    <row r="3112" spans="20:39" x14ac:dyDescent="0.2">
      <c r="T3112" s="28" t="s">
        <v>518</v>
      </c>
      <c r="U3112" s="68" t="s">
        <v>57</v>
      </c>
      <c r="V3112" s="72" t="str">
        <f t="shared" si="48"/>
        <v>WI_TAYLOR</v>
      </c>
      <c r="AJ3112" s="1" t="s">
        <v>58</v>
      </c>
      <c r="AK3112" s="1" t="s">
        <v>240</v>
      </c>
      <c r="AL3112" s="1" t="s">
        <v>8384</v>
      </c>
      <c r="AM3112" s="1" t="s">
        <v>5271</v>
      </c>
    </row>
    <row r="3113" spans="20:39" x14ac:dyDescent="0.2">
      <c r="T3113" s="29" t="s">
        <v>2041</v>
      </c>
      <c r="U3113" s="69" t="s">
        <v>57</v>
      </c>
      <c r="V3113" s="72" t="str">
        <f t="shared" si="48"/>
        <v>WI_TREMPEALEAU</v>
      </c>
      <c r="AJ3113" s="1" t="s">
        <v>58</v>
      </c>
      <c r="AK3113" s="1" t="s">
        <v>241</v>
      </c>
      <c r="AL3113" s="1" t="s">
        <v>8385</v>
      </c>
      <c r="AM3113" s="1" t="s">
        <v>4575</v>
      </c>
    </row>
    <row r="3114" spans="20:39" x14ac:dyDescent="0.2">
      <c r="T3114" s="28" t="s">
        <v>1230</v>
      </c>
      <c r="U3114" s="68" t="s">
        <v>57</v>
      </c>
      <c r="V3114" s="72" t="str">
        <f t="shared" si="48"/>
        <v>WI_VERNON</v>
      </c>
      <c r="AJ3114" s="1" t="s">
        <v>58</v>
      </c>
      <c r="AK3114" s="1" t="s">
        <v>700</v>
      </c>
      <c r="AL3114" s="1" t="s">
        <v>8386</v>
      </c>
      <c r="AM3114" s="1" t="s">
        <v>5273</v>
      </c>
    </row>
    <row r="3115" spans="20:39" x14ac:dyDescent="0.2">
      <c r="T3115" s="29" t="s">
        <v>2042</v>
      </c>
      <c r="U3115" s="69" t="s">
        <v>57</v>
      </c>
      <c r="V3115" s="72" t="str">
        <f t="shared" si="48"/>
        <v>WI_VILAS</v>
      </c>
      <c r="AJ3115" s="1" t="s">
        <v>58</v>
      </c>
      <c r="AK3115" s="1" t="s">
        <v>1429</v>
      </c>
      <c r="AL3115" s="1" t="s">
        <v>8387</v>
      </c>
      <c r="AM3115" s="1" t="s">
        <v>5274</v>
      </c>
    </row>
    <row r="3116" spans="20:39" x14ac:dyDescent="0.2">
      <c r="T3116" s="28" t="s">
        <v>1676</v>
      </c>
      <c r="U3116" s="68" t="s">
        <v>57</v>
      </c>
      <c r="V3116" s="72" t="str">
        <f t="shared" si="48"/>
        <v>WI_WALWORTH</v>
      </c>
      <c r="AJ3116" s="1" t="s">
        <v>58</v>
      </c>
      <c r="AK3116" s="1" t="s">
        <v>703</v>
      </c>
      <c r="AL3116" s="1" t="s">
        <v>8388</v>
      </c>
      <c r="AM3116" s="1" t="s">
        <v>5275</v>
      </c>
    </row>
    <row r="3117" spans="20:39" x14ac:dyDescent="0.2">
      <c r="T3117" s="29" t="s">
        <v>2043</v>
      </c>
      <c r="U3117" s="69" t="s">
        <v>57</v>
      </c>
      <c r="V3117" s="72" t="str">
        <f t="shared" si="48"/>
        <v>WI_WASHBURN</v>
      </c>
      <c r="AJ3117" s="1" t="s">
        <v>58</v>
      </c>
      <c r="AK3117" s="1" t="s">
        <v>440</v>
      </c>
      <c r="AL3117" s="1" t="s">
        <v>8389</v>
      </c>
      <c r="AM3117" s="1" t="s">
        <v>9292</v>
      </c>
    </row>
    <row r="3118" spans="20:39" x14ac:dyDescent="0.2">
      <c r="T3118" s="28" t="s">
        <v>258</v>
      </c>
      <c r="U3118" s="68" t="s">
        <v>57</v>
      </c>
      <c r="V3118" s="72" t="str">
        <f t="shared" si="48"/>
        <v>WI_WASHINGTON</v>
      </c>
      <c r="AJ3118" s="1" t="s">
        <v>58</v>
      </c>
      <c r="AK3118" s="1" t="s">
        <v>2002</v>
      </c>
      <c r="AL3118" s="1" t="s">
        <v>8390</v>
      </c>
      <c r="AM3118" s="1" t="s">
        <v>5276</v>
      </c>
    </row>
    <row r="3119" spans="20:39" x14ac:dyDescent="0.2">
      <c r="T3119" s="29" t="s">
        <v>2044</v>
      </c>
      <c r="U3119" s="69" t="s">
        <v>57</v>
      </c>
      <c r="V3119" s="72" t="str">
        <f t="shared" si="48"/>
        <v>WI_WAUKESHA</v>
      </c>
      <c r="AJ3119" s="1" t="s">
        <v>58</v>
      </c>
      <c r="AK3119" s="1" t="s">
        <v>2003</v>
      </c>
      <c r="AL3119" s="1" t="s">
        <v>8391</v>
      </c>
      <c r="AM3119" s="1" t="s">
        <v>5279</v>
      </c>
    </row>
    <row r="3120" spans="20:39" x14ac:dyDescent="0.2">
      <c r="T3120" s="28" t="s">
        <v>2045</v>
      </c>
      <c r="U3120" s="68" t="s">
        <v>57</v>
      </c>
      <c r="V3120" s="72" t="str">
        <f t="shared" si="48"/>
        <v>WI_WAUPACA</v>
      </c>
      <c r="AJ3120" s="1" t="s">
        <v>58</v>
      </c>
      <c r="AK3120" s="1" t="s">
        <v>243</v>
      </c>
      <c r="AL3120" s="1" t="s">
        <v>8392</v>
      </c>
      <c r="AM3120" s="1" t="s">
        <v>5277</v>
      </c>
    </row>
    <row r="3121" spans="20:39" x14ac:dyDescent="0.2">
      <c r="T3121" s="29" t="s">
        <v>2046</v>
      </c>
      <c r="U3121" s="69" t="s">
        <v>57</v>
      </c>
      <c r="V3121" s="72" t="str">
        <f t="shared" si="48"/>
        <v>WI_WAUSHARA</v>
      </c>
      <c r="AJ3121" s="1" t="s">
        <v>58</v>
      </c>
      <c r="AK3121" s="1" t="s">
        <v>245</v>
      </c>
      <c r="AL3121" s="1" t="s">
        <v>8393</v>
      </c>
      <c r="AM3121" s="1" t="s">
        <v>5278</v>
      </c>
    </row>
    <row r="3122" spans="20:39" x14ac:dyDescent="0.2">
      <c r="T3122" s="28" t="s">
        <v>720</v>
      </c>
      <c r="U3122" s="68" t="s">
        <v>57</v>
      </c>
      <c r="V3122" s="72" t="str">
        <f t="shared" si="48"/>
        <v>WI_WINNEBAGO</v>
      </c>
      <c r="AJ3122" s="1" t="s">
        <v>58</v>
      </c>
      <c r="AK3122" s="1" t="s">
        <v>917</v>
      </c>
      <c r="AL3122" s="1" t="s">
        <v>8394</v>
      </c>
      <c r="AM3122" s="1" t="s">
        <v>5280</v>
      </c>
    </row>
    <row r="3123" spans="20:39" x14ac:dyDescent="0.2">
      <c r="T3123" s="29" t="s">
        <v>1520</v>
      </c>
      <c r="U3123" s="69" t="s">
        <v>57</v>
      </c>
      <c r="V3123" s="72" t="str">
        <f t="shared" si="48"/>
        <v>WI_WOOD</v>
      </c>
      <c r="AJ3123" s="1" t="s">
        <v>58</v>
      </c>
      <c r="AK3123" s="1" t="s">
        <v>742</v>
      </c>
      <c r="AL3123" s="1" t="s">
        <v>8395</v>
      </c>
      <c r="AM3123" s="1" t="s">
        <v>4575</v>
      </c>
    </row>
    <row r="3124" spans="20:39" x14ac:dyDescent="0.2">
      <c r="T3124" s="28" t="s">
        <v>1361</v>
      </c>
      <c r="U3124" s="68" t="s">
        <v>56</v>
      </c>
      <c r="V3124" s="72" t="str">
        <f t="shared" si="48"/>
        <v>WY_ALBANY</v>
      </c>
      <c r="AJ3124" s="1" t="s">
        <v>58</v>
      </c>
      <c r="AK3124" s="1" t="s">
        <v>920</v>
      </c>
      <c r="AL3124" s="1" t="s">
        <v>8396</v>
      </c>
      <c r="AM3124" s="1" t="s">
        <v>5282</v>
      </c>
    </row>
    <row r="3125" spans="20:39" x14ac:dyDescent="0.2">
      <c r="T3125" s="29" t="s">
        <v>1233</v>
      </c>
      <c r="U3125" s="69" t="s">
        <v>56</v>
      </c>
      <c r="V3125" s="72" t="str">
        <f t="shared" si="48"/>
        <v>WY_BIG HORN</v>
      </c>
      <c r="AJ3125" s="1" t="s">
        <v>58</v>
      </c>
      <c r="AK3125" s="1" t="s">
        <v>2004</v>
      </c>
      <c r="AL3125" s="1" t="s">
        <v>8397</v>
      </c>
      <c r="AM3125" s="1" t="s">
        <v>5283</v>
      </c>
    </row>
    <row r="3126" spans="20:39" x14ac:dyDescent="0.2">
      <c r="T3126" s="28" t="s">
        <v>887</v>
      </c>
      <c r="U3126" s="68" t="s">
        <v>56</v>
      </c>
      <c r="V3126" s="72" t="str">
        <f t="shared" si="48"/>
        <v>WY_CAMPBELL</v>
      </c>
      <c r="AJ3126" s="1" t="s">
        <v>58</v>
      </c>
      <c r="AK3126" s="1" t="s">
        <v>796</v>
      </c>
      <c r="AL3126" s="1" t="s">
        <v>8398</v>
      </c>
      <c r="AM3126" s="1" t="s">
        <v>5284</v>
      </c>
    </row>
    <row r="3127" spans="20:39" x14ac:dyDescent="0.2">
      <c r="T3127" s="29" t="s">
        <v>1235</v>
      </c>
      <c r="U3127" s="69" t="s">
        <v>56</v>
      </c>
      <c r="V3127" s="72" t="str">
        <f t="shared" si="48"/>
        <v>WY_CARBON</v>
      </c>
      <c r="AJ3127" s="1" t="s">
        <v>58</v>
      </c>
      <c r="AK3127" s="1" t="s">
        <v>2005</v>
      </c>
      <c r="AL3127" s="1" t="s">
        <v>8399</v>
      </c>
      <c r="AM3127" s="1" t="s">
        <v>5279</v>
      </c>
    </row>
    <row r="3128" spans="20:39" x14ac:dyDescent="0.2">
      <c r="T3128" s="28" t="s">
        <v>2047</v>
      </c>
      <c r="U3128" s="68" t="s">
        <v>56</v>
      </c>
      <c r="V3128" s="72" t="str">
        <f t="shared" si="48"/>
        <v>WY_CONVERSE</v>
      </c>
      <c r="AJ3128" s="1" t="s">
        <v>58</v>
      </c>
      <c r="AK3128" s="1" t="s">
        <v>511</v>
      </c>
      <c r="AL3128" s="1" t="s">
        <v>8400</v>
      </c>
      <c r="AM3128" s="1" t="s">
        <v>5285</v>
      </c>
    </row>
    <row r="3129" spans="20:39" x14ac:dyDescent="0.2">
      <c r="T3129" s="29" t="s">
        <v>1566</v>
      </c>
      <c r="U3129" s="69" t="s">
        <v>56</v>
      </c>
      <c r="V3129" s="72" t="str">
        <f t="shared" si="48"/>
        <v>WY_CROOK</v>
      </c>
      <c r="AJ3129" s="1" t="s">
        <v>58</v>
      </c>
      <c r="AK3129" s="1" t="s">
        <v>2006</v>
      </c>
      <c r="AL3129" s="1" t="s">
        <v>8401</v>
      </c>
      <c r="AM3129" s="1" t="s">
        <v>5286</v>
      </c>
    </row>
    <row r="3130" spans="20:39" x14ac:dyDescent="0.2">
      <c r="T3130" s="28" t="s">
        <v>427</v>
      </c>
      <c r="U3130" s="68" t="s">
        <v>56</v>
      </c>
      <c r="V3130" s="72" t="str">
        <f t="shared" si="48"/>
        <v>WY_FREMONT</v>
      </c>
      <c r="AJ3130" s="1" t="s">
        <v>58</v>
      </c>
      <c r="AK3130" s="1" t="s">
        <v>249</v>
      </c>
      <c r="AL3130" s="1" t="s">
        <v>8402</v>
      </c>
      <c r="AM3130" s="1" t="s">
        <v>5287</v>
      </c>
    </row>
    <row r="3131" spans="20:39" x14ac:dyDescent="0.2">
      <c r="T3131" s="29" t="s">
        <v>2048</v>
      </c>
      <c r="U3131" s="69" t="s">
        <v>56</v>
      </c>
      <c r="V3131" s="72" t="str">
        <f t="shared" si="48"/>
        <v>WY_GOSHEN</v>
      </c>
      <c r="AJ3131" s="1" t="s">
        <v>58</v>
      </c>
      <c r="AK3131" s="1" t="s">
        <v>2007</v>
      </c>
      <c r="AL3131" s="1" t="s">
        <v>8403</v>
      </c>
      <c r="AM3131" s="1" t="s">
        <v>5288</v>
      </c>
    </row>
    <row r="3132" spans="20:39" x14ac:dyDescent="0.2">
      <c r="T3132" s="28" t="s">
        <v>2049</v>
      </c>
      <c r="U3132" s="68" t="s">
        <v>56</v>
      </c>
      <c r="V3132" s="72" t="str">
        <f t="shared" si="48"/>
        <v>WY_HOT SPRINGS</v>
      </c>
      <c r="AJ3132" s="1" t="s">
        <v>58</v>
      </c>
      <c r="AK3132" s="1" t="s">
        <v>1700</v>
      </c>
      <c r="AL3132" s="1" t="s">
        <v>8404</v>
      </c>
      <c r="AM3132" s="1" t="s">
        <v>5289</v>
      </c>
    </row>
    <row r="3133" spans="20:39" x14ac:dyDescent="0.2">
      <c r="T3133" s="29" t="s">
        <v>320</v>
      </c>
      <c r="U3133" s="69" t="s">
        <v>56</v>
      </c>
      <c r="V3133" s="72" t="str">
        <f t="shared" si="48"/>
        <v>WY_JOHNSON</v>
      </c>
      <c r="AJ3133" s="1" t="s">
        <v>58</v>
      </c>
      <c r="AK3133" s="1" t="s">
        <v>2008</v>
      </c>
      <c r="AL3133" s="1" t="s">
        <v>8405</v>
      </c>
      <c r="AM3133" s="1" t="s">
        <v>5290</v>
      </c>
    </row>
    <row r="3134" spans="20:39" x14ac:dyDescent="0.2">
      <c r="T3134" s="28" t="s">
        <v>2050</v>
      </c>
      <c r="U3134" s="68" t="s">
        <v>56</v>
      </c>
      <c r="V3134" s="72" t="str">
        <f t="shared" si="48"/>
        <v>WY_LARAMIE</v>
      </c>
      <c r="AJ3134" s="1" t="s">
        <v>58</v>
      </c>
      <c r="AK3134" s="1" t="s">
        <v>518</v>
      </c>
      <c r="AL3134" s="1" t="s">
        <v>8406</v>
      </c>
      <c r="AM3134" s="1" t="s">
        <v>5291</v>
      </c>
    </row>
    <row r="3135" spans="20:39" x14ac:dyDescent="0.2">
      <c r="T3135" s="29" t="s">
        <v>322</v>
      </c>
      <c r="U3135" s="69" t="s">
        <v>56</v>
      </c>
      <c r="V3135" s="72" t="str">
        <f t="shared" si="48"/>
        <v>WY_LINCOLN</v>
      </c>
      <c r="AJ3135" s="1" t="s">
        <v>58</v>
      </c>
      <c r="AK3135" s="1" t="s">
        <v>2009</v>
      </c>
      <c r="AL3135" s="1" t="s">
        <v>8407</v>
      </c>
      <c r="AM3135" s="1" t="s">
        <v>5292</v>
      </c>
    </row>
    <row r="3136" spans="20:39" x14ac:dyDescent="0.2">
      <c r="T3136" s="28" t="s">
        <v>2051</v>
      </c>
      <c r="U3136" s="68" t="s">
        <v>56</v>
      </c>
      <c r="V3136" s="72" t="str">
        <f t="shared" si="48"/>
        <v>WY_NATRONA</v>
      </c>
      <c r="AJ3136" s="1" t="s">
        <v>58</v>
      </c>
      <c r="AK3136" s="1" t="s">
        <v>1848</v>
      </c>
      <c r="AL3136" s="1" t="s">
        <v>8408</v>
      </c>
      <c r="AM3136" s="1" t="s">
        <v>5293</v>
      </c>
    </row>
    <row r="3137" spans="20:39" x14ac:dyDescent="0.2">
      <c r="T3137" s="29" t="s">
        <v>2052</v>
      </c>
      <c r="U3137" s="69" t="s">
        <v>56</v>
      </c>
      <c r="V3137" s="72" t="str">
        <f t="shared" si="48"/>
        <v>WY_NIOBRARA</v>
      </c>
      <c r="AJ3137" s="1" t="s">
        <v>58</v>
      </c>
      <c r="AK3137" s="1" t="s">
        <v>1849</v>
      </c>
      <c r="AL3137" s="1" t="s">
        <v>8409</v>
      </c>
      <c r="AM3137" s="1" t="s">
        <v>5294</v>
      </c>
    </row>
    <row r="3138" spans="20:39" x14ac:dyDescent="0.2">
      <c r="T3138" s="28" t="s">
        <v>446</v>
      </c>
      <c r="U3138" s="68" t="s">
        <v>56</v>
      </c>
      <c r="V3138" s="72" t="str">
        <f t="shared" si="48"/>
        <v>WY_PARK</v>
      </c>
      <c r="AJ3138" s="1" t="s">
        <v>58</v>
      </c>
      <c r="AK3138" s="1" t="s">
        <v>623</v>
      </c>
      <c r="AL3138" s="1" t="s">
        <v>8410</v>
      </c>
      <c r="AM3138" s="1" t="s">
        <v>3771</v>
      </c>
    </row>
    <row r="3139" spans="20:39" x14ac:dyDescent="0.2">
      <c r="T3139" s="29" t="s">
        <v>1218</v>
      </c>
      <c r="U3139" s="69" t="s">
        <v>56</v>
      </c>
      <c r="V3139" s="72" t="str">
        <f t="shared" si="48"/>
        <v>WY_PLATTE</v>
      </c>
      <c r="AJ3139" s="1" t="s">
        <v>58</v>
      </c>
      <c r="AK3139" s="1" t="s">
        <v>624</v>
      </c>
      <c r="AL3139" s="1" t="s">
        <v>8411</v>
      </c>
      <c r="AM3139" s="1" t="s">
        <v>5295</v>
      </c>
    </row>
    <row r="3140" spans="20:39" x14ac:dyDescent="0.2">
      <c r="T3140" s="28" t="s">
        <v>861</v>
      </c>
      <c r="U3140" s="68" t="s">
        <v>56</v>
      </c>
      <c r="V3140" s="72" t="str">
        <f t="shared" si="48"/>
        <v>WY_SHERIDAN</v>
      </c>
      <c r="AJ3140" s="1" t="s">
        <v>58</v>
      </c>
      <c r="AK3140" s="1" t="s">
        <v>2010</v>
      </c>
      <c r="AL3140" s="1" t="s">
        <v>8412</v>
      </c>
      <c r="AM3140" s="1" t="s">
        <v>5296</v>
      </c>
    </row>
    <row r="3141" spans="20:39" x14ac:dyDescent="0.2">
      <c r="T3141" s="29" t="s">
        <v>2053</v>
      </c>
      <c r="U3141" s="69" t="s">
        <v>56</v>
      </c>
      <c r="V3141" s="72" t="str">
        <f t="shared" si="48"/>
        <v>WY_SUBLETTE</v>
      </c>
      <c r="AJ3141" s="1" t="s">
        <v>58</v>
      </c>
      <c r="AK3141" s="1" t="s">
        <v>2011</v>
      </c>
      <c r="AL3141" s="1" t="s">
        <v>8413</v>
      </c>
      <c r="AM3141" s="1" t="s">
        <v>5281</v>
      </c>
    </row>
    <row r="3142" spans="20:39" x14ac:dyDescent="0.2">
      <c r="T3142" s="28" t="s">
        <v>2054</v>
      </c>
      <c r="U3142" s="68" t="s">
        <v>56</v>
      </c>
      <c r="V3142" s="72" t="str">
        <f t="shared" si="48"/>
        <v>WY_SWEETWATER</v>
      </c>
      <c r="AJ3142" s="1" t="s">
        <v>58</v>
      </c>
      <c r="AK3142" s="1" t="s">
        <v>1520</v>
      </c>
      <c r="AL3142" s="1" t="s">
        <v>8414</v>
      </c>
      <c r="AM3142" s="1" t="s">
        <v>5281</v>
      </c>
    </row>
    <row r="3143" spans="20:39" x14ac:dyDescent="0.2">
      <c r="T3143" s="29" t="s">
        <v>665</v>
      </c>
      <c r="U3143" s="69" t="s">
        <v>56</v>
      </c>
      <c r="V3143" s="72" t="str">
        <f t="shared" ref="V3143:V3206" si="49">UPPER(CONCATENATE(TRIM(U3143),"_",TRIM(T3143)))</f>
        <v>WY_TETON</v>
      </c>
      <c r="AJ3143" s="1" t="s">
        <v>58</v>
      </c>
      <c r="AK3143" s="1" t="s">
        <v>1390</v>
      </c>
      <c r="AL3143" s="1" t="s">
        <v>8415</v>
      </c>
      <c r="AM3143" s="1" t="s">
        <v>5297</v>
      </c>
    </row>
    <row r="3144" spans="20:39" x14ac:dyDescent="0.2">
      <c r="T3144" s="28" t="s">
        <v>2055</v>
      </c>
      <c r="U3144" s="68" t="s">
        <v>56</v>
      </c>
      <c r="V3144" s="72" t="str">
        <f t="shared" si="49"/>
        <v>WY_UINTA</v>
      </c>
      <c r="AJ3144" s="1" t="s">
        <v>56</v>
      </c>
      <c r="AK3144" s="1" t="s">
        <v>1361</v>
      </c>
      <c r="AL3144" s="1" t="s">
        <v>8416</v>
      </c>
      <c r="AM3144" s="1" t="s">
        <v>5298</v>
      </c>
    </row>
    <row r="3145" spans="20:39" x14ac:dyDescent="0.2">
      <c r="T3145" s="29" t="s">
        <v>2056</v>
      </c>
      <c r="U3145" s="69" t="s">
        <v>56</v>
      </c>
      <c r="V3145" s="72" t="str">
        <f t="shared" si="49"/>
        <v>WY_WASHAKIE</v>
      </c>
      <c r="AJ3145" s="1" t="s">
        <v>56</v>
      </c>
      <c r="AK3145" s="1" t="s">
        <v>1233</v>
      </c>
      <c r="AL3145" s="1" t="s">
        <v>8417</v>
      </c>
      <c r="AM3145" s="1" t="s">
        <v>5299</v>
      </c>
    </row>
    <row r="3146" spans="20:39" x14ac:dyDescent="0.2">
      <c r="T3146" s="28" t="s">
        <v>2057</v>
      </c>
      <c r="U3146" s="68" t="s">
        <v>56</v>
      </c>
      <c r="V3146" s="72" t="str">
        <f t="shared" si="49"/>
        <v>WY_WESTON</v>
      </c>
      <c r="AJ3146" s="1" t="s">
        <v>56</v>
      </c>
      <c r="AK3146" s="1" t="s">
        <v>887</v>
      </c>
      <c r="AL3146" s="1" t="s">
        <v>8418</v>
      </c>
      <c r="AM3146" s="1" t="s">
        <v>5300</v>
      </c>
    </row>
    <row r="3147" spans="20:39" x14ac:dyDescent="0.2">
      <c r="T3147" s="29" t="s">
        <v>2058</v>
      </c>
      <c r="U3147" s="69" t="s">
        <v>68</v>
      </c>
      <c r="V3147" s="72" t="str">
        <f t="shared" si="49"/>
        <v>PR_ADJUNTAS</v>
      </c>
      <c r="AJ3147" s="1" t="s">
        <v>56</v>
      </c>
      <c r="AK3147" s="1" t="s">
        <v>1235</v>
      </c>
      <c r="AL3147" s="1" t="s">
        <v>8419</v>
      </c>
      <c r="AM3147" s="1" t="s">
        <v>5301</v>
      </c>
    </row>
    <row r="3148" spans="20:39" x14ac:dyDescent="0.2">
      <c r="T3148" s="28" t="s">
        <v>2059</v>
      </c>
      <c r="U3148" s="68" t="s">
        <v>68</v>
      </c>
      <c r="V3148" s="72" t="str">
        <f t="shared" si="49"/>
        <v>PR_AGUADA</v>
      </c>
      <c r="AJ3148" s="1" t="s">
        <v>56</v>
      </c>
      <c r="AK3148" s="1" t="s">
        <v>2047</v>
      </c>
      <c r="AL3148" s="1" t="s">
        <v>8420</v>
      </c>
      <c r="AM3148" s="1" t="s">
        <v>5304</v>
      </c>
    </row>
    <row r="3149" spans="20:39" x14ac:dyDescent="0.2">
      <c r="T3149" s="29" t="s">
        <v>2060</v>
      </c>
      <c r="U3149" s="69" t="s">
        <v>68</v>
      </c>
      <c r="V3149" s="72" t="str">
        <f t="shared" si="49"/>
        <v>PR_AGUADILLA</v>
      </c>
      <c r="AJ3149" s="1" t="s">
        <v>56</v>
      </c>
      <c r="AK3149" s="1" t="s">
        <v>1566</v>
      </c>
      <c r="AL3149" s="1" t="s">
        <v>8421</v>
      </c>
      <c r="AM3149" s="1" t="s">
        <v>5305</v>
      </c>
    </row>
    <row r="3150" spans="20:39" x14ac:dyDescent="0.2">
      <c r="T3150" s="28" t="s">
        <v>2061</v>
      </c>
      <c r="U3150" s="68" t="s">
        <v>68</v>
      </c>
      <c r="V3150" s="72" t="str">
        <f t="shared" si="49"/>
        <v>PR_AGUAS BUENAS</v>
      </c>
      <c r="AJ3150" s="1" t="s">
        <v>56</v>
      </c>
      <c r="AK3150" s="1" t="s">
        <v>427</v>
      </c>
      <c r="AL3150" s="1" t="s">
        <v>8422</v>
      </c>
      <c r="AM3150" s="1" t="s">
        <v>5306</v>
      </c>
    </row>
    <row r="3151" spans="20:39" x14ac:dyDescent="0.2">
      <c r="T3151" s="29" t="s">
        <v>2062</v>
      </c>
      <c r="U3151" s="69" t="s">
        <v>68</v>
      </c>
      <c r="V3151" s="72" t="str">
        <f t="shared" si="49"/>
        <v>PR_AIBONITO</v>
      </c>
      <c r="AJ3151" s="1" t="s">
        <v>56</v>
      </c>
      <c r="AK3151" s="1" t="s">
        <v>2048</v>
      </c>
      <c r="AL3151" s="1" t="s">
        <v>8423</v>
      </c>
      <c r="AM3151" s="1" t="s">
        <v>5307</v>
      </c>
    </row>
    <row r="3152" spans="20:39" x14ac:dyDescent="0.2">
      <c r="T3152" s="28" t="s">
        <v>2063</v>
      </c>
      <c r="U3152" s="68" t="s">
        <v>68</v>
      </c>
      <c r="V3152" s="72" t="str">
        <f t="shared" si="49"/>
        <v>PR_ANASCO</v>
      </c>
      <c r="AJ3152" s="1" t="s">
        <v>56</v>
      </c>
      <c r="AK3152" s="1" t="s">
        <v>2049</v>
      </c>
      <c r="AL3152" s="1" t="s">
        <v>8424</v>
      </c>
      <c r="AM3152" s="1" t="s">
        <v>5308</v>
      </c>
    </row>
    <row r="3153" spans="20:39" x14ac:dyDescent="0.2">
      <c r="T3153" s="29" t="s">
        <v>2064</v>
      </c>
      <c r="U3153" s="69" t="s">
        <v>68</v>
      </c>
      <c r="V3153" s="72" t="str">
        <f t="shared" si="49"/>
        <v>PR_ARECIBO</v>
      </c>
      <c r="AJ3153" s="1" t="s">
        <v>56</v>
      </c>
      <c r="AK3153" s="1" t="s">
        <v>320</v>
      </c>
      <c r="AL3153" s="1" t="s">
        <v>8425</v>
      </c>
      <c r="AM3153" s="1" t="s">
        <v>5309</v>
      </c>
    </row>
    <row r="3154" spans="20:39" x14ac:dyDescent="0.2">
      <c r="T3154" s="28" t="s">
        <v>2065</v>
      </c>
      <c r="U3154" s="68" t="s">
        <v>68</v>
      </c>
      <c r="V3154" s="72" t="str">
        <f t="shared" si="49"/>
        <v>PR_ARROYO</v>
      </c>
      <c r="AJ3154" s="1" t="s">
        <v>56</v>
      </c>
      <c r="AK3154" s="1" t="s">
        <v>2050</v>
      </c>
      <c r="AL3154" s="1" t="s">
        <v>8426</v>
      </c>
      <c r="AM3154" s="1" t="s">
        <v>5303</v>
      </c>
    </row>
    <row r="3155" spans="20:39" x14ac:dyDescent="0.2">
      <c r="T3155" s="29" t="s">
        <v>2066</v>
      </c>
      <c r="U3155" s="69" t="s">
        <v>68</v>
      </c>
      <c r="V3155" s="72" t="str">
        <f t="shared" si="49"/>
        <v>PR_BARCELONETA</v>
      </c>
      <c r="AJ3155" s="1" t="s">
        <v>56</v>
      </c>
      <c r="AK3155" s="1" t="s">
        <v>322</v>
      </c>
      <c r="AL3155" s="1" t="s">
        <v>8427</v>
      </c>
      <c r="AM3155" s="1" t="s">
        <v>5310</v>
      </c>
    </row>
    <row r="3156" spans="20:39" x14ac:dyDescent="0.2">
      <c r="T3156" s="28" t="s">
        <v>2067</v>
      </c>
      <c r="U3156" s="68" t="s">
        <v>68</v>
      </c>
      <c r="V3156" s="72" t="str">
        <f t="shared" si="49"/>
        <v>PR_BARRANQUITAS</v>
      </c>
      <c r="AJ3156" s="1" t="s">
        <v>56</v>
      </c>
      <c r="AK3156" s="1" t="s">
        <v>2051</v>
      </c>
      <c r="AL3156" s="1" t="s">
        <v>8428</v>
      </c>
      <c r="AM3156" s="1" t="s">
        <v>5302</v>
      </c>
    </row>
    <row r="3157" spans="20:39" x14ac:dyDescent="0.2">
      <c r="T3157" s="29" t="s">
        <v>2068</v>
      </c>
      <c r="U3157" s="69" t="s">
        <v>68</v>
      </c>
      <c r="V3157" s="72" t="str">
        <f t="shared" si="49"/>
        <v>PR_BAYAMON</v>
      </c>
      <c r="AJ3157" s="1" t="s">
        <v>56</v>
      </c>
      <c r="AK3157" s="1" t="s">
        <v>2052</v>
      </c>
      <c r="AL3157" s="1" t="s">
        <v>8429</v>
      </c>
      <c r="AM3157" s="1" t="s">
        <v>5311</v>
      </c>
    </row>
    <row r="3158" spans="20:39" x14ac:dyDescent="0.2">
      <c r="T3158" s="28" t="s">
        <v>2069</v>
      </c>
      <c r="U3158" s="68" t="s">
        <v>68</v>
      </c>
      <c r="V3158" s="72" t="str">
        <f t="shared" si="49"/>
        <v>PR_CABO ROJO</v>
      </c>
      <c r="AJ3158" s="1" t="s">
        <v>56</v>
      </c>
      <c r="AK3158" s="1" t="s">
        <v>446</v>
      </c>
      <c r="AL3158" s="1" t="s">
        <v>8430</v>
      </c>
      <c r="AM3158" s="1" t="s">
        <v>5312</v>
      </c>
    </row>
    <row r="3159" spans="20:39" x14ac:dyDescent="0.2">
      <c r="T3159" s="29" t="s">
        <v>2070</v>
      </c>
      <c r="U3159" s="69" t="s">
        <v>68</v>
      </c>
      <c r="V3159" s="72" t="str">
        <f t="shared" si="49"/>
        <v>PR_CAGUAS</v>
      </c>
      <c r="AJ3159" s="1" t="s">
        <v>56</v>
      </c>
      <c r="AK3159" s="1" t="s">
        <v>1218</v>
      </c>
      <c r="AL3159" s="1" t="s">
        <v>8431</v>
      </c>
      <c r="AM3159" s="1" t="s">
        <v>5313</v>
      </c>
    </row>
    <row r="3160" spans="20:39" x14ac:dyDescent="0.2">
      <c r="T3160" s="28" t="s">
        <v>2071</v>
      </c>
      <c r="U3160" s="68" t="s">
        <v>68</v>
      </c>
      <c r="V3160" s="72" t="str">
        <f t="shared" si="49"/>
        <v>PR_CAMUY</v>
      </c>
      <c r="AJ3160" s="1" t="s">
        <v>56</v>
      </c>
      <c r="AK3160" s="1" t="s">
        <v>861</v>
      </c>
      <c r="AL3160" s="1" t="s">
        <v>8432</v>
      </c>
      <c r="AM3160" s="1" t="s">
        <v>5314</v>
      </c>
    </row>
    <row r="3161" spans="20:39" x14ac:dyDescent="0.2">
      <c r="T3161" s="29" t="s">
        <v>2072</v>
      </c>
      <c r="U3161" s="69" t="s">
        <v>68</v>
      </c>
      <c r="V3161" s="72" t="str">
        <f t="shared" si="49"/>
        <v>PR_CANOVANAS</v>
      </c>
      <c r="AJ3161" s="1" t="s">
        <v>56</v>
      </c>
      <c r="AK3161" s="1" t="s">
        <v>2053</v>
      </c>
      <c r="AL3161" s="1" t="s">
        <v>8433</v>
      </c>
      <c r="AM3161" s="1" t="s">
        <v>5315</v>
      </c>
    </row>
    <row r="3162" spans="20:39" x14ac:dyDescent="0.2">
      <c r="T3162" s="28" t="s">
        <v>2073</v>
      </c>
      <c r="U3162" s="68" t="s">
        <v>68</v>
      </c>
      <c r="V3162" s="72" t="str">
        <f t="shared" si="49"/>
        <v>PR_CAROLINA</v>
      </c>
      <c r="AJ3162" s="1" t="s">
        <v>56</v>
      </c>
      <c r="AK3162" s="1" t="s">
        <v>2054</v>
      </c>
      <c r="AL3162" s="1" t="s">
        <v>8434</v>
      </c>
      <c r="AM3162" s="1" t="s">
        <v>5316</v>
      </c>
    </row>
    <row r="3163" spans="20:39" x14ac:dyDescent="0.2">
      <c r="T3163" s="29" t="s">
        <v>2074</v>
      </c>
      <c r="U3163" s="69" t="s">
        <v>68</v>
      </c>
      <c r="V3163" s="72" t="str">
        <f t="shared" si="49"/>
        <v>PR_CATANO</v>
      </c>
      <c r="AJ3163" s="1" t="s">
        <v>56</v>
      </c>
      <c r="AK3163" s="1" t="s">
        <v>665</v>
      </c>
      <c r="AL3163" s="1" t="s">
        <v>8435</v>
      </c>
      <c r="AM3163" s="1" t="s">
        <v>5317</v>
      </c>
    </row>
    <row r="3164" spans="20:39" x14ac:dyDescent="0.2">
      <c r="T3164" s="28" t="s">
        <v>2075</v>
      </c>
      <c r="U3164" s="68" t="s">
        <v>68</v>
      </c>
      <c r="V3164" s="72" t="str">
        <f t="shared" si="49"/>
        <v>PR_CAYEY</v>
      </c>
      <c r="AJ3164" s="1" t="s">
        <v>56</v>
      </c>
      <c r="AK3164" s="1" t="s">
        <v>2055</v>
      </c>
      <c r="AL3164" s="1" t="s">
        <v>8436</v>
      </c>
      <c r="AM3164" s="1" t="s">
        <v>5318</v>
      </c>
    </row>
    <row r="3165" spans="20:39" x14ac:dyDescent="0.2">
      <c r="T3165" s="29" t="s">
        <v>2076</v>
      </c>
      <c r="U3165" s="69" t="s">
        <v>68</v>
      </c>
      <c r="V3165" s="72" t="str">
        <f t="shared" si="49"/>
        <v>PR_CEIBA</v>
      </c>
      <c r="AJ3165" s="1" t="s">
        <v>56</v>
      </c>
      <c r="AK3165" s="1" t="s">
        <v>2056</v>
      </c>
      <c r="AL3165" s="1" t="s">
        <v>8437</v>
      </c>
      <c r="AM3165" s="1" t="s">
        <v>5319</v>
      </c>
    </row>
    <row r="3166" spans="20:39" x14ac:dyDescent="0.2">
      <c r="T3166" s="28" t="s">
        <v>2077</v>
      </c>
      <c r="U3166" s="68" t="s">
        <v>68</v>
      </c>
      <c r="V3166" s="72" t="str">
        <f t="shared" si="49"/>
        <v>PR_CIALES</v>
      </c>
      <c r="AJ3166" s="1" t="s">
        <v>56</v>
      </c>
      <c r="AK3166" s="1" t="s">
        <v>2057</v>
      </c>
      <c r="AL3166" s="1" t="s">
        <v>8438</v>
      </c>
      <c r="AM3166" s="1" t="s">
        <v>5320</v>
      </c>
    </row>
    <row r="3167" spans="20:39" x14ac:dyDescent="0.2">
      <c r="T3167" s="29" t="s">
        <v>2078</v>
      </c>
      <c r="U3167" s="69" t="s">
        <v>68</v>
      </c>
      <c r="V3167" s="72" t="str">
        <f t="shared" si="49"/>
        <v>PR_CIDRA</v>
      </c>
    </row>
    <row r="3168" spans="20:39" x14ac:dyDescent="0.2">
      <c r="T3168" s="28" t="s">
        <v>2079</v>
      </c>
      <c r="U3168" s="68" t="s">
        <v>68</v>
      </c>
      <c r="V3168" s="72" t="str">
        <f t="shared" si="49"/>
        <v>PR_COAMA</v>
      </c>
    </row>
    <row r="3169" spans="20:22" x14ac:dyDescent="0.2">
      <c r="T3169" s="29" t="s">
        <v>2080</v>
      </c>
      <c r="U3169" s="69" t="s">
        <v>68</v>
      </c>
      <c r="V3169" s="72" t="str">
        <f t="shared" si="49"/>
        <v>PR_COMERIO</v>
      </c>
    </row>
    <row r="3170" spans="20:22" x14ac:dyDescent="0.2">
      <c r="T3170" s="28" t="s">
        <v>2081</v>
      </c>
      <c r="U3170" s="68" t="s">
        <v>68</v>
      </c>
      <c r="V3170" s="72" t="str">
        <f t="shared" si="49"/>
        <v>PR_COROZAL</v>
      </c>
    </row>
    <row r="3171" spans="20:22" x14ac:dyDescent="0.2">
      <c r="T3171" s="29" t="s">
        <v>2082</v>
      </c>
      <c r="U3171" s="69" t="s">
        <v>68</v>
      </c>
      <c r="V3171" s="72" t="str">
        <f t="shared" si="49"/>
        <v>PR_CULEBRA</v>
      </c>
    </row>
    <row r="3172" spans="20:22" x14ac:dyDescent="0.2">
      <c r="T3172" s="28" t="s">
        <v>2083</v>
      </c>
      <c r="U3172" s="68" t="s">
        <v>68</v>
      </c>
      <c r="V3172" s="72" t="str">
        <f t="shared" si="49"/>
        <v>PR_DORADO</v>
      </c>
    </row>
    <row r="3173" spans="20:22" x14ac:dyDescent="0.2">
      <c r="T3173" s="29" t="s">
        <v>2084</v>
      </c>
      <c r="U3173" s="69" t="s">
        <v>68</v>
      </c>
      <c r="V3173" s="72" t="str">
        <f t="shared" si="49"/>
        <v>PR_FAJARDO</v>
      </c>
    </row>
    <row r="3174" spans="20:22" x14ac:dyDescent="0.2">
      <c r="T3174" s="28" t="s">
        <v>2085</v>
      </c>
      <c r="U3174" s="68" t="s">
        <v>68</v>
      </c>
      <c r="V3174" s="72" t="str">
        <f t="shared" si="49"/>
        <v>PR_FLORIDA</v>
      </c>
    </row>
    <row r="3175" spans="20:22" x14ac:dyDescent="0.2">
      <c r="T3175" s="29" t="s">
        <v>2086</v>
      </c>
      <c r="U3175" s="69" t="s">
        <v>68</v>
      </c>
      <c r="V3175" s="72" t="str">
        <f t="shared" si="49"/>
        <v>PR_GUANICA</v>
      </c>
    </row>
    <row r="3176" spans="20:22" x14ac:dyDescent="0.2">
      <c r="T3176" s="28" t="s">
        <v>2087</v>
      </c>
      <c r="U3176" s="68" t="s">
        <v>68</v>
      </c>
      <c r="V3176" s="72" t="str">
        <f t="shared" si="49"/>
        <v>PR_GUAYAMA</v>
      </c>
    </row>
    <row r="3177" spans="20:22" x14ac:dyDescent="0.2">
      <c r="T3177" s="29" t="s">
        <v>2088</v>
      </c>
      <c r="U3177" s="69" t="s">
        <v>68</v>
      </c>
      <c r="V3177" s="72" t="str">
        <f t="shared" si="49"/>
        <v>PR_GUAYANILLA</v>
      </c>
    </row>
    <row r="3178" spans="20:22" x14ac:dyDescent="0.2">
      <c r="T3178" s="28" t="s">
        <v>2089</v>
      </c>
      <c r="U3178" s="68" t="s">
        <v>68</v>
      </c>
      <c r="V3178" s="72" t="str">
        <f t="shared" si="49"/>
        <v>PR_GUAYNABO</v>
      </c>
    </row>
    <row r="3179" spans="20:22" x14ac:dyDescent="0.2">
      <c r="T3179" s="29" t="s">
        <v>2090</v>
      </c>
      <c r="U3179" s="69" t="s">
        <v>68</v>
      </c>
      <c r="V3179" s="72" t="str">
        <f t="shared" si="49"/>
        <v>PR_GURABO</v>
      </c>
    </row>
    <row r="3180" spans="20:22" x14ac:dyDescent="0.2">
      <c r="T3180" s="28" t="s">
        <v>2091</v>
      </c>
      <c r="U3180" s="68" t="s">
        <v>68</v>
      </c>
      <c r="V3180" s="72" t="str">
        <f t="shared" si="49"/>
        <v>PR_HATILLO</v>
      </c>
    </row>
    <row r="3181" spans="20:22" x14ac:dyDescent="0.2">
      <c r="T3181" s="29" t="s">
        <v>2092</v>
      </c>
      <c r="U3181" s="69" t="s">
        <v>68</v>
      </c>
      <c r="V3181" s="72" t="str">
        <f t="shared" si="49"/>
        <v>PR_HORMIGUEROS</v>
      </c>
    </row>
    <row r="3182" spans="20:22" x14ac:dyDescent="0.2">
      <c r="T3182" s="28" t="s">
        <v>2093</v>
      </c>
      <c r="U3182" s="68" t="s">
        <v>68</v>
      </c>
      <c r="V3182" s="72" t="str">
        <f t="shared" si="49"/>
        <v>PR_HUMACAO</v>
      </c>
    </row>
    <row r="3183" spans="20:22" x14ac:dyDescent="0.2">
      <c r="T3183" s="29" t="s">
        <v>2094</v>
      </c>
      <c r="U3183" s="69" t="s">
        <v>68</v>
      </c>
      <c r="V3183" s="72" t="str">
        <f t="shared" si="49"/>
        <v>PR_ISABELA</v>
      </c>
    </row>
    <row r="3184" spans="20:22" x14ac:dyDescent="0.2">
      <c r="T3184" s="28" t="s">
        <v>2095</v>
      </c>
      <c r="U3184" s="68" t="s">
        <v>68</v>
      </c>
      <c r="V3184" s="72" t="str">
        <f t="shared" si="49"/>
        <v>PR_JAYUYA</v>
      </c>
    </row>
    <row r="3185" spans="20:22" x14ac:dyDescent="0.2">
      <c r="T3185" s="29" t="s">
        <v>2096</v>
      </c>
      <c r="U3185" s="69" t="s">
        <v>68</v>
      </c>
      <c r="V3185" s="72" t="str">
        <f t="shared" si="49"/>
        <v>PR_JUANA DIAZ</v>
      </c>
    </row>
    <row r="3186" spans="20:22" x14ac:dyDescent="0.2">
      <c r="T3186" s="28" t="s">
        <v>2097</v>
      </c>
      <c r="U3186" s="68" t="s">
        <v>68</v>
      </c>
      <c r="V3186" s="72" t="str">
        <f t="shared" si="49"/>
        <v>PR_JUNCOS</v>
      </c>
    </row>
    <row r="3187" spans="20:22" x14ac:dyDescent="0.2">
      <c r="T3187" s="29" t="s">
        <v>2098</v>
      </c>
      <c r="U3187" s="69" t="s">
        <v>68</v>
      </c>
      <c r="V3187" s="72" t="str">
        <f t="shared" si="49"/>
        <v>PR_LAJAS</v>
      </c>
    </row>
    <row r="3188" spans="20:22" x14ac:dyDescent="0.2">
      <c r="T3188" s="28" t="s">
        <v>2099</v>
      </c>
      <c r="U3188" s="68" t="s">
        <v>68</v>
      </c>
      <c r="V3188" s="72" t="str">
        <f t="shared" si="49"/>
        <v>PR_LARES</v>
      </c>
    </row>
    <row r="3189" spans="20:22" x14ac:dyDescent="0.2">
      <c r="T3189" s="29" t="s">
        <v>2100</v>
      </c>
      <c r="U3189" s="69" t="s">
        <v>68</v>
      </c>
      <c r="V3189" s="72" t="str">
        <f t="shared" si="49"/>
        <v>PR_LAS MARIAS</v>
      </c>
    </row>
    <row r="3190" spans="20:22" x14ac:dyDescent="0.2">
      <c r="T3190" s="28" t="s">
        <v>2101</v>
      </c>
      <c r="U3190" s="68" t="s">
        <v>68</v>
      </c>
      <c r="V3190" s="72" t="str">
        <f t="shared" si="49"/>
        <v>PR_LAS PIEDRAS</v>
      </c>
    </row>
    <row r="3191" spans="20:22" x14ac:dyDescent="0.2">
      <c r="T3191" s="29" t="s">
        <v>2102</v>
      </c>
      <c r="U3191" s="69" t="s">
        <v>68</v>
      </c>
      <c r="V3191" s="72" t="str">
        <f t="shared" si="49"/>
        <v>PR_LOIZA</v>
      </c>
    </row>
    <row r="3192" spans="20:22" x14ac:dyDescent="0.2">
      <c r="T3192" s="28" t="s">
        <v>2103</v>
      </c>
      <c r="U3192" s="68" t="s">
        <v>68</v>
      </c>
      <c r="V3192" s="72" t="str">
        <f t="shared" si="49"/>
        <v>PR_LUQUILLO</v>
      </c>
    </row>
    <row r="3193" spans="20:22" x14ac:dyDescent="0.2">
      <c r="T3193" s="29" t="s">
        <v>2104</v>
      </c>
      <c r="U3193" s="69" t="s">
        <v>68</v>
      </c>
      <c r="V3193" s="72" t="str">
        <f t="shared" si="49"/>
        <v>PR_MANATI</v>
      </c>
    </row>
    <row r="3194" spans="20:22" x14ac:dyDescent="0.2">
      <c r="T3194" s="28" t="s">
        <v>2105</v>
      </c>
      <c r="U3194" s="68" t="s">
        <v>68</v>
      </c>
      <c r="V3194" s="72" t="str">
        <f t="shared" si="49"/>
        <v>PR_MARICAO</v>
      </c>
    </row>
    <row r="3195" spans="20:22" x14ac:dyDescent="0.2">
      <c r="T3195" s="29" t="s">
        <v>2106</v>
      </c>
      <c r="U3195" s="69" t="s">
        <v>68</v>
      </c>
      <c r="V3195" s="72" t="str">
        <f t="shared" si="49"/>
        <v>PR_MAUNABO</v>
      </c>
    </row>
    <row r="3196" spans="20:22" x14ac:dyDescent="0.2">
      <c r="T3196" s="28" t="s">
        <v>2107</v>
      </c>
      <c r="U3196" s="68" t="s">
        <v>68</v>
      </c>
      <c r="V3196" s="72" t="str">
        <f t="shared" si="49"/>
        <v>PR_MAYAGUEZ</v>
      </c>
    </row>
    <row r="3197" spans="20:22" x14ac:dyDescent="0.2">
      <c r="T3197" s="29" t="s">
        <v>2108</v>
      </c>
      <c r="U3197" s="69" t="s">
        <v>68</v>
      </c>
      <c r="V3197" s="72" t="str">
        <f t="shared" si="49"/>
        <v>PR_MOCA</v>
      </c>
    </row>
    <row r="3198" spans="20:22" x14ac:dyDescent="0.2">
      <c r="T3198" s="28" t="s">
        <v>2109</v>
      </c>
      <c r="U3198" s="68" t="s">
        <v>68</v>
      </c>
      <c r="V3198" s="72" t="str">
        <f t="shared" si="49"/>
        <v>PR_MOROVIS</v>
      </c>
    </row>
    <row r="3199" spans="20:22" x14ac:dyDescent="0.2">
      <c r="T3199" s="29" t="s">
        <v>2110</v>
      </c>
      <c r="U3199" s="69" t="s">
        <v>68</v>
      </c>
      <c r="V3199" s="72" t="str">
        <f t="shared" si="49"/>
        <v>PR_NAGUABO</v>
      </c>
    </row>
    <row r="3200" spans="20:22" x14ac:dyDescent="0.2">
      <c r="T3200" s="28" t="s">
        <v>2111</v>
      </c>
      <c r="U3200" s="68" t="s">
        <v>68</v>
      </c>
      <c r="V3200" s="72" t="str">
        <f t="shared" si="49"/>
        <v>PR_NARANJITO</v>
      </c>
    </row>
    <row r="3201" spans="20:22" x14ac:dyDescent="0.2">
      <c r="T3201" s="29" t="s">
        <v>2112</v>
      </c>
      <c r="U3201" s="69" t="s">
        <v>68</v>
      </c>
      <c r="V3201" s="72" t="str">
        <f t="shared" si="49"/>
        <v>PR_OROCOVIS</v>
      </c>
    </row>
    <row r="3202" spans="20:22" x14ac:dyDescent="0.2">
      <c r="T3202" s="28" t="s">
        <v>2113</v>
      </c>
      <c r="U3202" s="68" t="s">
        <v>68</v>
      </c>
      <c r="V3202" s="72" t="str">
        <f t="shared" si="49"/>
        <v>PR_PATILLAS</v>
      </c>
    </row>
    <row r="3203" spans="20:22" x14ac:dyDescent="0.2">
      <c r="T3203" s="29" t="s">
        <v>2114</v>
      </c>
      <c r="U3203" s="69" t="s">
        <v>68</v>
      </c>
      <c r="V3203" s="72" t="str">
        <f t="shared" si="49"/>
        <v>PR_PENUELAS</v>
      </c>
    </row>
    <row r="3204" spans="20:22" x14ac:dyDescent="0.2">
      <c r="T3204" s="28" t="s">
        <v>2115</v>
      </c>
      <c r="U3204" s="68" t="s">
        <v>68</v>
      </c>
      <c r="V3204" s="72" t="str">
        <f t="shared" si="49"/>
        <v>PR_PONCE</v>
      </c>
    </row>
    <row r="3205" spans="20:22" x14ac:dyDescent="0.2">
      <c r="T3205" s="29" t="s">
        <v>2116</v>
      </c>
      <c r="U3205" s="69" t="s">
        <v>68</v>
      </c>
      <c r="V3205" s="72" t="str">
        <f t="shared" si="49"/>
        <v>PR_QUEBRADILLAS</v>
      </c>
    </row>
    <row r="3206" spans="20:22" x14ac:dyDescent="0.2">
      <c r="T3206" s="28" t="s">
        <v>2117</v>
      </c>
      <c r="U3206" s="68" t="s">
        <v>68</v>
      </c>
      <c r="V3206" s="72" t="str">
        <f t="shared" si="49"/>
        <v>PR_RINCON</v>
      </c>
    </row>
    <row r="3207" spans="20:22" x14ac:dyDescent="0.2">
      <c r="T3207" s="29" t="s">
        <v>451</v>
      </c>
      <c r="U3207" s="69" t="s">
        <v>68</v>
      </c>
      <c r="V3207" s="72" t="str">
        <f t="shared" ref="V3207:V3265" si="50">UPPER(CONCATENATE(TRIM(U3207),"_",TRIM(T3207)))</f>
        <v>PR_RIO GRANDE</v>
      </c>
    </row>
    <row r="3208" spans="20:22" x14ac:dyDescent="0.2">
      <c r="T3208" s="28" t="s">
        <v>2118</v>
      </c>
      <c r="U3208" s="68" t="s">
        <v>68</v>
      </c>
      <c r="V3208" s="72" t="str">
        <f t="shared" si="50"/>
        <v>PR_SABANA GRANDE</v>
      </c>
    </row>
    <row r="3209" spans="20:22" x14ac:dyDescent="0.2">
      <c r="T3209" s="29" t="s">
        <v>2119</v>
      </c>
      <c r="U3209" s="69" t="s">
        <v>68</v>
      </c>
      <c r="V3209" s="72" t="str">
        <f t="shared" si="50"/>
        <v>PR_SALINAS</v>
      </c>
    </row>
    <row r="3210" spans="20:22" x14ac:dyDescent="0.2">
      <c r="T3210" s="28" t="s">
        <v>2120</v>
      </c>
      <c r="U3210" s="68" t="s">
        <v>68</v>
      </c>
      <c r="V3210" s="72" t="str">
        <f t="shared" si="50"/>
        <v>PR_SAN GERMAN</v>
      </c>
    </row>
    <row r="3211" spans="20:22" x14ac:dyDescent="0.2">
      <c r="T3211" s="29" t="s">
        <v>454</v>
      </c>
      <c r="U3211" s="69" t="s">
        <v>68</v>
      </c>
      <c r="V3211" s="72" t="str">
        <f t="shared" si="50"/>
        <v>PR_SAN JUAN</v>
      </c>
    </row>
    <row r="3212" spans="20:22" x14ac:dyDescent="0.2">
      <c r="T3212" s="28" t="s">
        <v>2121</v>
      </c>
      <c r="U3212" s="68" t="s">
        <v>68</v>
      </c>
      <c r="V3212" s="72" t="str">
        <f t="shared" si="50"/>
        <v>PR_SAN LORENZO</v>
      </c>
    </row>
    <row r="3213" spans="20:22" x14ac:dyDescent="0.2">
      <c r="T3213" s="29" t="s">
        <v>2122</v>
      </c>
      <c r="U3213" s="69" t="s">
        <v>68</v>
      </c>
      <c r="V3213" s="72" t="str">
        <f t="shared" si="50"/>
        <v>PR_SAN SEBASTIAN</v>
      </c>
    </row>
    <row r="3214" spans="20:22" x14ac:dyDescent="0.2">
      <c r="T3214" s="28" t="s">
        <v>2123</v>
      </c>
      <c r="U3214" s="68" t="s">
        <v>68</v>
      </c>
      <c r="V3214" s="72" t="str">
        <f t="shared" si="50"/>
        <v>PR_SANTA ISABEL</v>
      </c>
    </row>
    <row r="3215" spans="20:22" x14ac:dyDescent="0.2">
      <c r="T3215" s="29" t="s">
        <v>2124</v>
      </c>
      <c r="U3215" s="69" t="s">
        <v>68</v>
      </c>
      <c r="V3215" s="72" t="str">
        <f t="shared" si="50"/>
        <v>PR_TOA ALTA</v>
      </c>
    </row>
    <row r="3216" spans="20:22" x14ac:dyDescent="0.2">
      <c r="T3216" s="28" t="s">
        <v>2125</v>
      </c>
      <c r="U3216" s="68" t="s">
        <v>68</v>
      </c>
      <c r="V3216" s="72" t="str">
        <f t="shared" si="50"/>
        <v>PR_TOA BAJA</v>
      </c>
    </row>
    <row r="3217" spans="20:22" x14ac:dyDescent="0.2">
      <c r="T3217" s="29" t="s">
        <v>2126</v>
      </c>
      <c r="U3217" s="69" t="s">
        <v>68</v>
      </c>
      <c r="V3217" s="72" t="str">
        <f t="shared" si="50"/>
        <v>PR_TRUJILLO ALTO</v>
      </c>
    </row>
    <row r="3218" spans="20:22" x14ac:dyDescent="0.2">
      <c r="T3218" s="28" t="s">
        <v>2127</v>
      </c>
      <c r="U3218" s="68" t="s">
        <v>68</v>
      </c>
      <c r="V3218" s="72" t="str">
        <f t="shared" si="50"/>
        <v>PR_UTUADO</v>
      </c>
    </row>
    <row r="3219" spans="20:22" x14ac:dyDescent="0.2">
      <c r="T3219" s="29" t="s">
        <v>2128</v>
      </c>
      <c r="U3219" s="69" t="s">
        <v>68</v>
      </c>
      <c r="V3219" s="72" t="str">
        <f t="shared" si="50"/>
        <v>PR_VEGA ALTA</v>
      </c>
    </row>
    <row r="3220" spans="20:22" x14ac:dyDescent="0.2">
      <c r="T3220" s="28" t="s">
        <v>2129</v>
      </c>
      <c r="U3220" s="68" t="s">
        <v>68</v>
      </c>
      <c r="V3220" s="72" t="str">
        <f t="shared" si="50"/>
        <v>PR_VEGA BAJA</v>
      </c>
    </row>
    <row r="3221" spans="20:22" x14ac:dyDescent="0.2">
      <c r="T3221" s="29" t="s">
        <v>2130</v>
      </c>
      <c r="U3221" s="69" t="s">
        <v>68</v>
      </c>
      <c r="V3221" s="72" t="str">
        <f t="shared" si="50"/>
        <v>PR_VIEQUES</v>
      </c>
    </row>
    <row r="3222" spans="20:22" x14ac:dyDescent="0.2">
      <c r="T3222" s="28" t="s">
        <v>2131</v>
      </c>
      <c r="U3222" s="68" t="s">
        <v>68</v>
      </c>
      <c r="V3222" s="72" t="str">
        <f t="shared" si="50"/>
        <v>PR_VILLALBA</v>
      </c>
    </row>
    <row r="3223" spans="20:22" x14ac:dyDescent="0.2">
      <c r="T3223" s="29" t="s">
        <v>2132</v>
      </c>
      <c r="U3223" s="69" t="s">
        <v>68</v>
      </c>
      <c r="V3223" s="72" t="str">
        <f t="shared" si="50"/>
        <v>PR_YABUCOA</v>
      </c>
    </row>
    <row r="3224" spans="20:22" x14ac:dyDescent="0.2">
      <c r="T3224" s="28" t="s">
        <v>2133</v>
      </c>
      <c r="U3224" s="68" t="s">
        <v>68</v>
      </c>
      <c r="V3224" s="72" t="str">
        <f t="shared" si="50"/>
        <v>PR_YAUCO</v>
      </c>
    </row>
    <row r="3225" spans="20:22" x14ac:dyDescent="0.2">
      <c r="T3225" s="29" t="s">
        <v>2134</v>
      </c>
      <c r="U3225" s="69" t="s">
        <v>140</v>
      </c>
      <c r="V3225" s="72" t="str">
        <f t="shared" si="50"/>
        <v>VI_ST CROIX</v>
      </c>
    </row>
    <row r="3226" spans="20:22" x14ac:dyDescent="0.2">
      <c r="T3226" s="28" t="s">
        <v>2135</v>
      </c>
      <c r="U3226" s="68" t="s">
        <v>140</v>
      </c>
      <c r="V3226" s="72" t="str">
        <f t="shared" si="50"/>
        <v>VI_ST JOHN</v>
      </c>
    </row>
    <row r="3227" spans="20:22" x14ac:dyDescent="0.2">
      <c r="T3227" s="70" t="s">
        <v>2136</v>
      </c>
      <c r="U3227" s="71" t="s">
        <v>140</v>
      </c>
      <c r="V3227" s="72" t="str">
        <f t="shared" si="50"/>
        <v>VI_ST THOMAS</v>
      </c>
    </row>
    <row r="3228" spans="20:22" x14ac:dyDescent="0.2">
      <c r="T3228" s="28" t="s">
        <v>2913</v>
      </c>
      <c r="U3228" s="68" t="s">
        <v>2912</v>
      </c>
      <c r="V3228" s="72" t="str">
        <f t="shared" si="50"/>
        <v>AS_FALEASAO</v>
      </c>
    </row>
    <row r="3229" spans="20:22" x14ac:dyDescent="0.2">
      <c r="T3229" s="70" t="s">
        <v>2914</v>
      </c>
      <c r="U3229" s="71" t="s">
        <v>2912</v>
      </c>
      <c r="V3229" s="72" t="str">
        <f t="shared" si="50"/>
        <v>AS_FITIUTA</v>
      </c>
    </row>
    <row r="3230" spans="20:22" x14ac:dyDescent="0.2">
      <c r="T3230" s="28" t="s">
        <v>2915</v>
      </c>
      <c r="U3230" s="68" t="s">
        <v>2912</v>
      </c>
      <c r="V3230" s="72" t="str">
        <f t="shared" si="50"/>
        <v>AS_ITUAU</v>
      </c>
    </row>
    <row r="3231" spans="20:22" x14ac:dyDescent="0.2">
      <c r="T3231" s="70" t="s">
        <v>2916</v>
      </c>
      <c r="U3231" s="71" t="s">
        <v>2912</v>
      </c>
      <c r="V3231" s="72" t="str">
        <f t="shared" si="50"/>
        <v>AS_LEALATAUA</v>
      </c>
    </row>
    <row r="3232" spans="20:22" x14ac:dyDescent="0.2">
      <c r="T3232" s="28" t="s">
        <v>2917</v>
      </c>
      <c r="U3232" s="68" t="s">
        <v>2912</v>
      </c>
      <c r="V3232" s="72" t="str">
        <f t="shared" si="50"/>
        <v>AS_LEASINA</v>
      </c>
    </row>
    <row r="3233" spans="20:22" x14ac:dyDescent="0.2">
      <c r="T3233" s="70" t="s">
        <v>2918</v>
      </c>
      <c r="U3233" s="71" t="s">
        <v>2912</v>
      </c>
      <c r="V3233" s="72" t="str">
        <f t="shared" si="50"/>
        <v>AS_MA'OPUTASI</v>
      </c>
    </row>
    <row r="3234" spans="20:22" x14ac:dyDescent="0.2">
      <c r="T3234" s="28" t="s">
        <v>2919</v>
      </c>
      <c r="U3234" s="68" t="s">
        <v>2912</v>
      </c>
      <c r="V3234" s="72" t="str">
        <f t="shared" si="50"/>
        <v>AS_OFU</v>
      </c>
    </row>
    <row r="3235" spans="20:22" x14ac:dyDescent="0.2">
      <c r="T3235" s="70" t="s">
        <v>2920</v>
      </c>
      <c r="U3235" s="71" t="s">
        <v>2912</v>
      </c>
      <c r="V3235" s="72" t="str">
        <f t="shared" si="50"/>
        <v>AS_OLOSEGA</v>
      </c>
    </row>
    <row r="3236" spans="20:22" x14ac:dyDescent="0.2">
      <c r="T3236" s="28" t="s">
        <v>2921</v>
      </c>
      <c r="U3236" s="68" t="s">
        <v>2912</v>
      </c>
      <c r="V3236" s="72" t="str">
        <f t="shared" si="50"/>
        <v>AS_SA'OLE</v>
      </c>
    </row>
    <row r="3237" spans="20:22" x14ac:dyDescent="0.2">
      <c r="T3237" s="70" t="s">
        <v>2922</v>
      </c>
      <c r="U3237" s="71" t="s">
        <v>2912</v>
      </c>
      <c r="V3237" s="72" t="str">
        <f t="shared" si="50"/>
        <v>AS_SUA</v>
      </c>
    </row>
    <row r="3238" spans="20:22" x14ac:dyDescent="0.2">
      <c r="T3238" s="28" t="s">
        <v>2923</v>
      </c>
      <c r="U3238" s="68" t="s">
        <v>2912</v>
      </c>
      <c r="V3238" s="72" t="str">
        <f t="shared" si="50"/>
        <v>AS_SWAINS</v>
      </c>
    </row>
    <row r="3239" spans="20:22" x14ac:dyDescent="0.2">
      <c r="T3239" s="70" t="s">
        <v>2924</v>
      </c>
      <c r="U3239" s="71" t="s">
        <v>2912</v>
      </c>
      <c r="V3239" s="72" t="str">
        <f t="shared" si="50"/>
        <v>AS_TA'U</v>
      </c>
    </row>
    <row r="3240" spans="20:22" x14ac:dyDescent="0.2">
      <c r="T3240" s="28" t="s">
        <v>2925</v>
      </c>
      <c r="U3240" s="68" t="s">
        <v>2912</v>
      </c>
      <c r="V3240" s="72" t="str">
        <f t="shared" si="50"/>
        <v>AS_TUALATAI</v>
      </c>
    </row>
    <row r="3241" spans="20:22" x14ac:dyDescent="0.2">
      <c r="T3241" s="70" t="s">
        <v>2926</v>
      </c>
      <c r="U3241" s="71" t="s">
        <v>2912</v>
      </c>
      <c r="V3241" s="72" t="str">
        <f t="shared" si="50"/>
        <v>AS_TUALAUTA</v>
      </c>
    </row>
    <row r="3242" spans="20:22" x14ac:dyDescent="0.2">
      <c r="T3242" s="28" t="s">
        <v>2927</v>
      </c>
      <c r="U3242" s="68" t="s">
        <v>2912</v>
      </c>
      <c r="V3242" s="72" t="str">
        <f t="shared" si="50"/>
        <v>AS_VAIFANUA</v>
      </c>
    </row>
    <row r="3243" spans="20:22" x14ac:dyDescent="0.2">
      <c r="T3243" s="70" t="s">
        <v>2929</v>
      </c>
      <c r="U3243" s="71" t="s">
        <v>2928</v>
      </c>
      <c r="V3243" s="72" t="str">
        <f t="shared" si="50"/>
        <v>GU_AGANA HEIGHTS</v>
      </c>
    </row>
    <row r="3244" spans="20:22" x14ac:dyDescent="0.2">
      <c r="T3244" s="28" t="s">
        <v>2930</v>
      </c>
      <c r="U3244" s="68" t="s">
        <v>2928</v>
      </c>
      <c r="V3244" s="72" t="str">
        <f t="shared" si="50"/>
        <v>GU_AGAT</v>
      </c>
    </row>
    <row r="3245" spans="20:22" x14ac:dyDescent="0.2">
      <c r="T3245" s="70" t="s">
        <v>2931</v>
      </c>
      <c r="U3245" s="71" t="s">
        <v>2928</v>
      </c>
      <c r="V3245" s="72" t="str">
        <f t="shared" si="50"/>
        <v>GU_ASAN</v>
      </c>
    </row>
    <row r="3246" spans="20:22" x14ac:dyDescent="0.2">
      <c r="T3246" s="28" t="s">
        <v>2932</v>
      </c>
      <c r="U3246" s="68" t="s">
        <v>2928</v>
      </c>
      <c r="V3246" s="72" t="str">
        <f t="shared" si="50"/>
        <v>GU_BARRIGADA</v>
      </c>
    </row>
    <row r="3247" spans="20:22" x14ac:dyDescent="0.2">
      <c r="T3247" s="70" t="s">
        <v>2933</v>
      </c>
      <c r="U3247" s="71" t="s">
        <v>2928</v>
      </c>
      <c r="V3247" s="72" t="str">
        <f t="shared" si="50"/>
        <v>GU_CHALAN-PAGO-ORDOT</v>
      </c>
    </row>
    <row r="3248" spans="20:22" x14ac:dyDescent="0.2">
      <c r="T3248" s="28" t="s">
        <v>2934</v>
      </c>
      <c r="U3248" s="68" t="s">
        <v>2928</v>
      </c>
      <c r="V3248" s="72" t="str">
        <f t="shared" si="50"/>
        <v>GU_DEDEDO</v>
      </c>
    </row>
    <row r="3249" spans="20:22" x14ac:dyDescent="0.2">
      <c r="T3249" s="70" t="s">
        <v>2935</v>
      </c>
      <c r="U3249" s="71" t="s">
        <v>2928</v>
      </c>
      <c r="V3249" s="72" t="str">
        <f t="shared" si="50"/>
        <v>GU_HAGATANA</v>
      </c>
    </row>
    <row r="3250" spans="20:22" x14ac:dyDescent="0.2">
      <c r="T3250" s="28" t="s">
        <v>2936</v>
      </c>
      <c r="U3250" s="68" t="s">
        <v>2928</v>
      </c>
      <c r="V3250" s="72" t="str">
        <f t="shared" si="50"/>
        <v>GU_INARAJAN</v>
      </c>
    </row>
    <row r="3251" spans="20:22" x14ac:dyDescent="0.2">
      <c r="T3251" s="70" t="s">
        <v>2937</v>
      </c>
      <c r="U3251" s="71" t="s">
        <v>2928</v>
      </c>
      <c r="V3251" s="72" t="str">
        <f t="shared" si="50"/>
        <v>GU_MANGILAO</v>
      </c>
    </row>
    <row r="3252" spans="20:22" x14ac:dyDescent="0.2">
      <c r="T3252" s="28" t="s">
        <v>2938</v>
      </c>
      <c r="U3252" s="68" t="s">
        <v>2928</v>
      </c>
      <c r="V3252" s="72" t="str">
        <f t="shared" si="50"/>
        <v>GU_MERIZO</v>
      </c>
    </row>
    <row r="3253" spans="20:22" x14ac:dyDescent="0.2">
      <c r="T3253" s="70" t="s">
        <v>2939</v>
      </c>
      <c r="U3253" s="71" t="s">
        <v>2928</v>
      </c>
      <c r="V3253" s="72" t="str">
        <f t="shared" si="50"/>
        <v>GU_MONGMONG-TOTO-MAITE</v>
      </c>
    </row>
    <row r="3254" spans="20:22" x14ac:dyDescent="0.2">
      <c r="T3254" s="28" t="s">
        <v>2940</v>
      </c>
      <c r="U3254" s="68" t="s">
        <v>2928</v>
      </c>
      <c r="V3254" s="72" t="str">
        <f t="shared" si="50"/>
        <v>GU_PITI</v>
      </c>
    </row>
    <row r="3255" spans="20:22" x14ac:dyDescent="0.2">
      <c r="T3255" s="70" t="s">
        <v>2941</v>
      </c>
      <c r="U3255" s="71" t="s">
        <v>2928</v>
      </c>
      <c r="V3255" s="72" t="str">
        <f t="shared" si="50"/>
        <v>GU_SANTA RITA</v>
      </c>
    </row>
    <row r="3256" spans="20:22" x14ac:dyDescent="0.2">
      <c r="T3256" s="28" t="s">
        <v>2942</v>
      </c>
      <c r="U3256" s="68" t="s">
        <v>2928</v>
      </c>
      <c r="V3256" s="72" t="str">
        <f t="shared" si="50"/>
        <v>GU_SINAJANA</v>
      </c>
    </row>
    <row r="3257" spans="20:22" x14ac:dyDescent="0.2">
      <c r="T3257" s="70" t="s">
        <v>2943</v>
      </c>
      <c r="U3257" s="71" t="s">
        <v>2928</v>
      </c>
      <c r="V3257" s="72" t="str">
        <f t="shared" si="50"/>
        <v>GU_TALOFOFO</v>
      </c>
    </row>
    <row r="3258" spans="20:22" x14ac:dyDescent="0.2">
      <c r="T3258" s="28" t="s">
        <v>2944</v>
      </c>
      <c r="U3258" s="68" t="s">
        <v>2928</v>
      </c>
      <c r="V3258" s="72" t="str">
        <f t="shared" si="50"/>
        <v>GU_TAMUNING</v>
      </c>
    </row>
    <row r="3259" spans="20:22" x14ac:dyDescent="0.2">
      <c r="T3259" s="70" t="s">
        <v>2945</v>
      </c>
      <c r="U3259" s="71" t="s">
        <v>2928</v>
      </c>
      <c r="V3259" s="72" t="str">
        <f t="shared" si="50"/>
        <v>GU_UMATAC</v>
      </c>
    </row>
    <row r="3260" spans="20:22" x14ac:dyDescent="0.2">
      <c r="T3260" s="28" t="s">
        <v>2946</v>
      </c>
      <c r="U3260" s="68" t="s">
        <v>2928</v>
      </c>
      <c r="V3260" s="72" t="str">
        <f t="shared" si="50"/>
        <v>GU_YIGO</v>
      </c>
    </row>
    <row r="3261" spans="20:22" x14ac:dyDescent="0.2">
      <c r="T3261" s="70" t="s">
        <v>2947</v>
      </c>
      <c r="U3261" s="71" t="s">
        <v>2928</v>
      </c>
      <c r="V3261" s="72" t="str">
        <f t="shared" si="50"/>
        <v>GU_YONA</v>
      </c>
    </row>
    <row r="3262" spans="20:22" x14ac:dyDescent="0.2">
      <c r="T3262" s="28" t="s">
        <v>2949</v>
      </c>
      <c r="U3262" s="68" t="s">
        <v>2948</v>
      </c>
      <c r="V3262" s="72" t="str">
        <f t="shared" si="50"/>
        <v>MP_NORTHERN ISLANDS</v>
      </c>
    </row>
    <row r="3263" spans="20:22" x14ac:dyDescent="0.2">
      <c r="T3263" s="70" t="s">
        <v>2950</v>
      </c>
      <c r="U3263" s="71" t="s">
        <v>2948</v>
      </c>
      <c r="V3263" s="72" t="str">
        <f t="shared" si="50"/>
        <v>MP_ROTA</v>
      </c>
    </row>
    <row r="3264" spans="20:22" x14ac:dyDescent="0.2">
      <c r="T3264" s="28" t="s">
        <v>2951</v>
      </c>
      <c r="U3264" s="68" t="s">
        <v>2948</v>
      </c>
      <c r="V3264" s="72" t="str">
        <f t="shared" si="50"/>
        <v>MP_SAIPAN</v>
      </c>
    </row>
    <row r="3265" spans="20:22" x14ac:dyDescent="0.2">
      <c r="T3265" s="70" t="s">
        <v>2952</v>
      </c>
      <c r="U3265" s="71" t="s">
        <v>2948</v>
      </c>
      <c r="V3265" s="72" t="str">
        <f t="shared" si="50"/>
        <v>MP_TINIAN</v>
      </c>
    </row>
  </sheetData>
  <sheetProtection algorithmName="SHA-512" hashValue="0hc6dkTBcfXOzWLfS1EmSKyhr8Bv0YvutzKN+7l9J95ts/oHzYAz++8YEueJVfWHjUTfd28uOCIvKKPDuZfmfw==" saltValue="Sl2GRtGj2r2/eSfV1TJYtQ==" spinCount="100000" sheet="1" objects="1" scenarios="1"/>
  <sortState xmlns:xlrd2="http://schemas.microsoft.com/office/spreadsheetml/2017/richdata2" ref="AH3:AH139">
    <sortCondition ref="AH3:AH139"/>
  </sortState>
  <phoneticPr fontId="53" type="noConversion"/>
  <pageMargins left="0.7" right="0.7" top="0.75" bottom="0.75" header="0.3" footer="0.3"/>
  <pageSetup orientation="portrait" verticalDpi="0" r:id="rId1"/>
  <tableParts count="4">
    <tablePart r:id="rId2"/>
    <tablePart r:id="rId3"/>
    <tablePart r:id="rId4"/>
    <tablePart r:id="rId5"/>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5" tint="0.59999389629810485"/>
  </sheetPr>
  <dimension ref="A1:M8"/>
  <sheetViews>
    <sheetView workbookViewId="0">
      <selection activeCell="K10" sqref="K10:N10"/>
    </sheetView>
  </sheetViews>
  <sheetFormatPr defaultRowHeight="15" x14ac:dyDescent="0.25"/>
  <cols>
    <col min="1" max="1" width="45" bestFit="1" customWidth="1"/>
    <col min="3" max="3" width="45" bestFit="1" customWidth="1"/>
    <col min="4" max="4" width="16.7109375" bestFit="1" customWidth="1"/>
    <col min="6" max="6" width="45" bestFit="1" customWidth="1"/>
    <col min="8" max="8" width="45" bestFit="1" customWidth="1"/>
    <col min="10" max="10" width="45" bestFit="1" customWidth="1"/>
    <col min="12" max="12" width="33.5703125" bestFit="1" customWidth="1"/>
    <col min="13" max="13" width="14.7109375" bestFit="1" customWidth="1"/>
  </cols>
  <sheetData>
    <row r="1" spans="1:13" x14ac:dyDescent="0.25">
      <c r="A1" s="3" t="s">
        <v>2752</v>
      </c>
      <c r="C1" s="3" t="s">
        <v>2751</v>
      </c>
      <c r="F1" s="3" t="s">
        <v>2750</v>
      </c>
      <c r="H1" s="3" t="s">
        <v>2749</v>
      </c>
      <c r="J1" s="3" t="s">
        <v>2748</v>
      </c>
      <c r="L1" s="3" t="s">
        <v>9330</v>
      </c>
    </row>
    <row r="2" spans="1:13" ht="15.75" thickBot="1" x14ac:dyDescent="0.3">
      <c r="A2" s="11" t="s">
        <v>2747</v>
      </c>
      <c r="C2" s="11" t="s">
        <v>2746</v>
      </c>
      <c r="D2" s="11" t="s">
        <v>2745</v>
      </c>
      <c r="F2" s="11" t="s">
        <v>2744</v>
      </c>
      <c r="H2" s="11" t="s">
        <v>2743</v>
      </c>
      <c r="J2" s="11" t="s">
        <v>2742</v>
      </c>
      <c r="L2" s="11" t="s">
        <v>9329</v>
      </c>
      <c r="M2" s="11" t="s">
        <v>2745</v>
      </c>
    </row>
    <row r="3" spans="1:13" ht="15.75" thickTop="1" x14ac:dyDescent="0.25">
      <c r="A3" s="163">
        <v>12</v>
      </c>
      <c r="C3" s="163" t="s">
        <v>2741</v>
      </c>
      <c r="D3" s="163">
        <v>52</v>
      </c>
      <c r="F3" s="163" t="s">
        <v>2740</v>
      </c>
      <c r="H3" s="163" t="s">
        <v>2739</v>
      </c>
      <c r="J3" s="163" t="s">
        <v>2738</v>
      </c>
      <c r="L3" s="163" t="s">
        <v>9315</v>
      </c>
      <c r="M3" s="163">
        <v>1</v>
      </c>
    </row>
    <row r="4" spans="1:13" x14ac:dyDescent="0.25">
      <c r="A4" s="164">
        <v>24</v>
      </c>
      <c r="C4" s="164" t="s">
        <v>2737</v>
      </c>
      <c r="D4" s="164">
        <v>26</v>
      </c>
      <c r="F4" s="164" t="s">
        <v>2736</v>
      </c>
      <c r="H4" s="164" t="s">
        <v>9313</v>
      </c>
      <c r="J4" s="164" t="s">
        <v>2735</v>
      </c>
      <c r="L4" s="164" t="s">
        <v>2734</v>
      </c>
      <c r="M4" s="164">
        <v>12</v>
      </c>
    </row>
    <row r="5" spans="1:13" x14ac:dyDescent="0.25">
      <c r="A5" s="163">
        <v>26</v>
      </c>
      <c r="C5" s="163" t="s">
        <v>2734</v>
      </c>
      <c r="D5" s="163">
        <v>12</v>
      </c>
      <c r="F5" s="163" t="s">
        <v>9318</v>
      </c>
      <c r="H5" s="163" t="s">
        <v>2732</v>
      </c>
      <c r="J5" s="163" t="s">
        <v>2731</v>
      </c>
      <c r="L5" s="163" t="s">
        <v>2741</v>
      </c>
      <c r="M5" s="163">
        <v>52</v>
      </c>
    </row>
    <row r="6" spans="1:13" x14ac:dyDescent="0.25">
      <c r="A6" s="164">
        <v>52</v>
      </c>
      <c r="C6" s="164" t="s">
        <v>9314</v>
      </c>
      <c r="D6" s="164">
        <v>24</v>
      </c>
      <c r="F6" s="164" t="s">
        <v>2733</v>
      </c>
      <c r="H6" s="164" t="s">
        <v>2730</v>
      </c>
      <c r="J6" s="164" t="s">
        <v>2729</v>
      </c>
      <c r="L6" s="164" t="s">
        <v>2737</v>
      </c>
      <c r="M6" s="164">
        <v>26</v>
      </c>
    </row>
    <row r="7" spans="1:13" x14ac:dyDescent="0.25">
      <c r="C7" s="163" t="s">
        <v>9315</v>
      </c>
      <c r="D7" s="163">
        <v>1</v>
      </c>
      <c r="F7" s="163" t="s">
        <v>2728</v>
      </c>
      <c r="H7" s="163" t="s">
        <v>2728</v>
      </c>
      <c r="L7" s="163" t="s">
        <v>9314</v>
      </c>
      <c r="M7" s="163">
        <v>24</v>
      </c>
    </row>
    <row r="8" spans="1:13" x14ac:dyDescent="0.25">
      <c r="L8" s="164" t="s">
        <v>9331</v>
      </c>
      <c r="M8" s="164">
        <v>0</v>
      </c>
    </row>
  </sheetData>
  <sheetProtection algorithmName="SHA-512" hashValue="qj4Z1LbuLH8bTlXlz4/1PLonKWSRxpraldivC8sKYnibcDPqNcQ2jJ4jw9pjDcAWYJVZFO7osry/zH1E/OqdtQ==" saltValue="NIz70tDJLH/AbnpNI+nfLw==" spinCount="100000" sheet="1" objects="1" scenarios="1"/>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5" tint="0.59999389629810485"/>
  </sheetPr>
  <dimension ref="A1:M49"/>
  <sheetViews>
    <sheetView workbookViewId="0">
      <selection activeCell="K10" sqref="K10:N10"/>
    </sheetView>
  </sheetViews>
  <sheetFormatPr defaultColWidth="9.140625" defaultRowHeight="12.75" x14ac:dyDescent="0.2"/>
  <cols>
    <col min="1" max="1" width="23.5703125" style="1" customWidth="1"/>
    <col min="2" max="2" width="30.140625" style="1" bestFit="1" customWidth="1"/>
    <col min="3" max="3" width="15.140625" style="1" customWidth="1"/>
    <col min="4" max="4" width="30.42578125" style="2" bestFit="1" customWidth="1"/>
    <col min="5" max="5" width="3.42578125" style="1" customWidth="1"/>
    <col min="6" max="6" width="19.140625" style="2" customWidth="1"/>
    <col min="7" max="7" width="25.42578125" style="1" bestFit="1" customWidth="1"/>
    <col min="8" max="8" width="25.42578125" style="1" customWidth="1"/>
    <col min="9" max="9" width="18" style="1" customWidth="1"/>
    <col min="10" max="10" width="24.42578125" style="1" bestFit="1" customWidth="1"/>
    <col min="11" max="11" width="9.140625" style="1"/>
    <col min="12" max="12" width="17.140625" style="1" customWidth="1"/>
    <col min="13" max="13" width="59.28515625" style="1" bestFit="1" customWidth="1"/>
    <col min="14" max="16384" width="9.140625" style="1"/>
  </cols>
  <sheetData>
    <row r="1" spans="1:13" x14ac:dyDescent="0.2">
      <c r="A1" s="3" t="s">
        <v>131</v>
      </c>
      <c r="F1" s="5" t="s">
        <v>40</v>
      </c>
      <c r="L1" s="5" t="s">
        <v>2141</v>
      </c>
    </row>
    <row r="2" spans="1:13" x14ac:dyDescent="0.2">
      <c r="A2" s="1" t="s">
        <v>5</v>
      </c>
      <c r="B2" s="1" t="s">
        <v>6</v>
      </c>
      <c r="C2" s="1" t="s">
        <v>7</v>
      </c>
      <c r="D2" s="2" t="s">
        <v>8</v>
      </c>
      <c r="F2" s="5" t="s">
        <v>14</v>
      </c>
      <c r="G2" s="1" t="s">
        <v>21</v>
      </c>
      <c r="H2" s="1" t="s">
        <v>24</v>
      </c>
      <c r="I2" s="1" t="s">
        <v>16</v>
      </c>
      <c r="J2" s="1" t="s">
        <v>23</v>
      </c>
      <c r="L2" s="1" t="s">
        <v>2142</v>
      </c>
      <c r="M2" s="1" t="s">
        <v>2143</v>
      </c>
    </row>
    <row r="3" spans="1:13" x14ac:dyDescent="0.2">
      <c r="A3" s="1" t="s">
        <v>2200</v>
      </c>
      <c r="B3" s="1" t="s">
        <v>2199</v>
      </c>
      <c r="C3" s="1" t="s">
        <v>9</v>
      </c>
      <c r="D3" s="2" t="e">
        <f>VLOOKUP(DB_TBL_CONFIG_APP[[#This Row],[CONFIG_VAR]],DB_TBL_DATA_FIELDS[[#All],[FIELD_ID]:[FIELD_VALUE_CLEAN]],10,FALSE)</f>
        <v>#N/A</v>
      </c>
      <c r="F3" s="2">
        <v>-1</v>
      </c>
      <c r="G3" s="1" t="s">
        <v>17</v>
      </c>
      <c r="H3" s="1" t="s">
        <v>28</v>
      </c>
      <c r="I3" s="1" t="s">
        <v>53</v>
      </c>
      <c r="J3" s="1" t="s">
        <v>13</v>
      </c>
      <c r="L3" s="1">
        <v>1</v>
      </c>
      <c r="M3" s="1" t="s">
        <v>2578</v>
      </c>
    </row>
    <row r="4" spans="1:13" x14ac:dyDescent="0.2">
      <c r="A4" s="1" t="s">
        <v>2203</v>
      </c>
      <c r="B4" s="1" t="s">
        <v>2204</v>
      </c>
      <c r="C4" s="1" t="s">
        <v>9</v>
      </c>
      <c r="D4" s="2" t="str">
        <f>IFERROR(VLOOKUP(D3,DB_TBL_LOOKUP_EFORM_TYPE[],2,FALSE),"")</f>
        <v/>
      </c>
      <c r="F4" s="2">
        <v>0</v>
      </c>
      <c r="G4" s="1" t="s">
        <v>18</v>
      </c>
      <c r="H4" s="1" t="s">
        <v>26</v>
      </c>
      <c r="I4" s="1" t="s">
        <v>12</v>
      </c>
      <c r="J4" s="1" t="s">
        <v>13</v>
      </c>
      <c r="L4" s="1">
        <v>2</v>
      </c>
      <c r="M4" s="1" t="s">
        <v>2563</v>
      </c>
    </row>
    <row r="5" spans="1:13" x14ac:dyDescent="0.2">
      <c r="A5" s="1" t="s">
        <v>134</v>
      </c>
      <c r="B5" s="1" t="s">
        <v>135</v>
      </c>
      <c r="C5" s="1" t="s">
        <v>31</v>
      </c>
      <c r="D5" s="218">
        <f>Configuration!K12</f>
        <v>46162</v>
      </c>
      <c r="F5" s="2">
        <v>1</v>
      </c>
      <c r="G5" s="1" t="s">
        <v>19</v>
      </c>
      <c r="H5" s="1" t="s">
        <v>25</v>
      </c>
      <c r="I5" s="1" t="s">
        <v>22</v>
      </c>
      <c r="J5" s="1" t="s">
        <v>13</v>
      </c>
    </row>
    <row r="6" spans="1:13" x14ac:dyDescent="0.2">
      <c r="A6" s="1" t="s">
        <v>2330</v>
      </c>
      <c r="B6" s="1" t="s">
        <v>2331</v>
      </c>
      <c r="C6" s="1" t="s">
        <v>9</v>
      </c>
      <c r="D6" s="111" t="s">
        <v>9347</v>
      </c>
      <c r="F6" s="2">
        <v>2</v>
      </c>
      <c r="G6" s="1" t="s">
        <v>20</v>
      </c>
      <c r="H6" s="1" t="s">
        <v>27</v>
      </c>
      <c r="I6" s="1" t="s">
        <v>11</v>
      </c>
      <c r="J6" s="1" t="s">
        <v>13</v>
      </c>
    </row>
    <row r="7" spans="1:13" x14ac:dyDescent="0.2">
      <c r="A7" s="1" t="s">
        <v>2332</v>
      </c>
      <c r="B7" s="1" t="s">
        <v>2333</v>
      </c>
      <c r="C7" s="1" t="s">
        <v>9</v>
      </c>
      <c r="D7" s="19">
        <f>Configuration!M11</f>
        <v>0</v>
      </c>
    </row>
    <row r="8" spans="1:13" x14ac:dyDescent="0.2">
      <c r="A8" s="1" t="s">
        <v>189</v>
      </c>
      <c r="B8" s="1" t="s">
        <v>2334</v>
      </c>
      <c r="C8" s="1" t="s">
        <v>9</v>
      </c>
      <c r="D8" s="19" t="str">
        <f>CONFIG_EFORM_VERSION_NO_MAJ&amp;"."&amp;CONFIG_EFORM_VERSION_NO_REV</f>
        <v>2.2.0</v>
      </c>
      <c r="F8" s="271"/>
    </row>
    <row r="9" spans="1:13" x14ac:dyDescent="0.2">
      <c r="A9" s="1" t="s">
        <v>2884</v>
      </c>
      <c r="B9" s="1" t="s">
        <v>2885</v>
      </c>
      <c r="C9" s="1" t="s">
        <v>9</v>
      </c>
      <c r="D9" s="19" t="str">
        <f>Configuration!K13</f>
        <v>AHP/HDP-001</v>
      </c>
    </row>
    <row r="10" spans="1:13" x14ac:dyDescent="0.2">
      <c r="A10" s="1" t="s">
        <v>2339</v>
      </c>
      <c r="B10" s="1" t="s">
        <v>2340</v>
      </c>
      <c r="C10" s="1" t="s">
        <v>9</v>
      </c>
      <c r="D10" s="19" t="str">
        <f>Configuration!K9</f>
        <v>2026 Round</v>
      </c>
      <c r="F10" s="271"/>
    </row>
    <row r="11" spans="1:13" x14ac:dyDescent="0.2">
      <c r="A11" s="1" t="s">
        <v>9032</v>
      </c>
      <c r="B11" s="1" t="s">
        <v>9033</v>
      </c>
      <c r="C11" s="1" t="s">
        <v>38</v>
      </c>
      <c r="D11" s="219">
        <f>Configuration!K10</f>
        <v>60000</v>
      </c>
      <c r="F11" s="271"/>
    </row>
    <row r="12" spans="1:13" x14ac:dyDescent="0.2">
      <c r="A12" s="1" t="s">
        <v>2805</v>
      </c>
      <c r="B12" s="1" t="s">
        <v>2806</v>
      </c>
      <c r="C12" s="1" t="s">
        <v>9</v>
      </c>
      <c r="D12" s="19" t="str">
        <f>Configuration!K7</f>
        <v>HDP-005</v>
      </c>
    </row>
    <row r="13" spans="1:13" x14ac:dyDescent="0.2">
      <c r="A13" s="1" t="s">
        <v>2211</v>
      </c>
      <c r="B13" s="1" t="s">
        <v>2212</v>
      </c>
      <c r="C13" s="1" t="s">
        <v>9</v>
      </c>
      <c r="D13" s="19" t="str">
        <f>Configuration!K8</f>
        <v>Homebuyer Dream Program® Request Form</v>
      </c>
    </row>
    <row r="14" spans="1:13" x14ac:dyDescent="0.2">
      <c r="A14" s="1" t="s">
        <v>2218</v>
      </c>
      <c r="B14" s="1" t="s">
        <v>2219</v>
      </c>
      <c r="C14" s="1" t="s">
        <v>9</v>
      </c>
      <c r="D14" s="2" t="str">
        <f>CONCATENATE(CONFIG_DOC_ID,": ",CONFIG_DOC_TITLE)</f>
        <v>HDP-005: Homebuyer Dream Program® Request Form</v>
      </c>
      <c r="M14" s="10"/>
    </row>
    <row r="15" spans="1:13" x14ac:dyDescent="0.2">
      <c r="A15" s="1" t="s">
        <v>2205</v>
      </c>
      <c r="B15" s="1" t="s">
        <v>2206</v>
      </c>
      <c r="C15" s="1" t="s">
        <v>9</v>
      </c>
      <c r="D15" s="104" t="s">
        <v>2842</v>
      </c>
    </row>
    <row r="16" spans="1:13" x14ac:dyDescent="0.2">
      <c r="A16" s="1" t="s">
        <v>2207</v>
      </c>
      <c r="B16" s="1" t="s">
        <v>2209</v>
      </c>
      <c r="C16" s="1" t="s">
        <v>9</v>
      </c>
      <c r="D16" s="104" t="s">
        <v>2843</v>
      </c>
    </row>
    <row r="17" spans="1:9" x14ac:dyDescent="0.2">
      <c r="A17" s="1" t="s">
        <v>2208</v>
      </c>
      <c r="B17" s="1" t="s">
        <v>2210</v>
      </c>
      <c r="C17" s="1" t="s">
        <v>9</v>
      </c>
      <c r="D17" s="104" t="s">
        <v>2836</v>
      </c>
    </row>
    <row r="18" spans="1:9" x14ac:dyDescent="0.2">
      <c r="A18" s="1" t="s">
        <v>2882</v>
      </c>
      <c r="B18" s="1" t="s">
        <v>2883</v>
      </c>
      <c r="C18" s="1" t="s">
        <v>38</v>
      </c>
      <c r="D18" s="19" t="str">
        <f>WELCOME!B4</f>
        <v/>
      </c>
      <c r="F18" s="271"/>
    </row>
    <row r="19" spans="1:9" x14ac:dyDescent="0.2">
      <c r="A19" s="1" t="s">
        <v>8947</v>
      </c>
      <c r="B19" s="1" t="s">
        <v>8948</v>
      </c>
      <c r="C19" s="1" t="s">
        <v>9</v>
      </c>
      <c r="D19" s="19" t="str">
        <f>IF(CONFIG_FHC_PROG_ID=2,Configuration!I19&amp;Configuration!J19,IF(CONFIG_FHC_PROG_ID=3,Configuration!K19&amp;Configuration!L19,IF(CONFIG_FHC_PROG_ID=4,Configuration!M19&amp;Configuration!N19,"")))</f>
        <v/>
      </c>
      <c r="F19" s="271"/>
      <c r="G19" s="240"/>
      <c r="I19" s="3"/>
    </row>
    <row r="20" spans="1:9" x14ac:dyDescent="0.2">
      <c r="A20" s="1" t="s">
        <v>2828</v>
      </c>
      <c r="B20" s="1" t="s">
        <v>2831</v>
      </c>
      <c r="C20" s="1" t="s">
        <v>38</v>
      </c>
      <c r="D20" s="19" t="str">
        <f>IF(CONFIG_FHC_PROG_ID=2,Configuration!I28,IF(CONFIG_FHC_PROG_ID=3,Configuration!K28&amp;Configuration!L28,IF(CONFIG_FHC_PROG_ID=4,Configuration!M28,"")))</f>
        <v/>
      </c>
      <c r="E20" s="216"/>
      <c r="F20" s="271"/>
      <c r="I20" s="3"/>
    </row>
    <row r="21" spans="1:9" x14ac:dyDescent="0.2">
      <c r="A21" s="1" t="s">
        <v>2829</v>
      </c>
      <c r="B21" s="1" t="s">
        <v>2830</v>
      </c>
      <c r="D21" s="19" t="str">
        <f>IF(CONFIG_FHC_PROG_ID=2,Configuration!I29,IF(CONFIG_FHC_PROG_ID=3,Configuration!K29,IF(CONFIG_FHC_PROG_ID=4,Configuration!M29,"")))</f>
        <v/>
      </c>
      <c r="F21" s="271"/>
      <c r="I21" s="3"/>
    </row>
    <row r="22" spans="1:9" x14ac:dyDescent="0.2">
      <c r="A22" s="1" t="s">
        <v>8971</v>
      </c>
      <c r="B22" s="1" t="s">
        <v>8972</v>
      </c>
      <c r="C22" s="1" t="s">
        <v>9</v>
      </c>
      <c r="D22" s="104" t="str">
        <f>_xlfn.CONCAT("TARGET_",CONFIG_EFORM_TYPE_CODE,"_",CONFIG_FHC_PROG_ID,"_1")</f>
        <v>TARGET___1</v>
      </c>
      <c r="F22" s="271"/>
    </row>
    <row r="23" spans="1:9" x14ac:dyDescent="0.2">
      <c r="A23" s="1" t="s">
        <v>2200</v>
      </c>
      <c r="B23" s="1" t="s">
        <v>8973</v>
      </c>
      <c r="C23" s="1" t="s">
        <v>9</v>
      </c>
      <c r="D23" s="104" t="str">
        <f>WELCOME!B6</f>
        <v/>
      </c>
      <c r="F23" s="271"/>
    </row>
    <row r="24" spans="1:9" x14ac:dyDescent="0.2">
      <c r="A24" s="1" t="s">
        <v>8977</v>
      </c>
      <c r="B24" s="1" t="s">
        <v>8978</v>
      </c>
      <c r="C24" s="1" t="s">
        <v>9</v>
      </c>
      <c r="D24" s="104" t="str">
        <f>WELCOME!B5</f>
        <v/>
      </c>
      <c r="F24" s="271"/>
    </row>
    <row r="25" spans="1:9" x14ac:dyDescent="0.2">
      <c r="A25" s="1" t="s">
        <v>2803</v>
      </c>
      <c r="B25" s="1" t="s">
        <v>2804</v>
      </c>
      <c r="C25" s="1" t="s">
        <v>9</v>
      </c>
      <c r="D25" s="19" t="str">
        <f>WELCOME!B3</f>
        <v/>
      </c>
      <c r="F25" s="271"/>
    </row>
    <row r="26" spans="1:9" x14ac:dyDescent="0.2">
      <c r="A26" s="1" t="s">
        <v>2213</v>
      </c>
      <c r="B26" s="1" t="s">
        <v>2214</v>
      </c>
      <c r="C26" s="1" t="s">
        <v>38</v>
      </c>
      <c r="D26" s="219" t="str">
        <f>IF(CONFIG_FHC_PROG_ID=2,Configuration!I20,IF(CONFIG_FHC_PROG_ID=3,Configuration!K20,IF(CONFIG_FHC_PROG_ID=4,Configuration!M20,"")))</f>
        <v/>
      </c>
      <c r="F26" s="271"/>
      <c r="I26" s="3"/>
    </row>
    <row r="27" spans="1:9" x14ac:dyDescent="0.2">
      <c r="A27" s="1" t="s">
        <v>2215</v>
      </c>
      <c r="B27" s="1" t="s">
        <v>2216</v>
      </c>
      <c r="C27" s="1" t="s">
        <v>38</v>
      </c>
      <c r="D27" s="219" t="str">
        <f>IF(CONFIG_FHC_PROG_ID=2,Configuration!I21,IF(CONFIG_FHC_PROG_ID=3,Configuration!K21,IF(CONFIG_FHC_PROG_ID=4,Configuration!M21,"")))</f>
        <v/>
      </c>
      <c r="F27" s="271"/>
      <c r="I27" s="3"/>
    </row>
    <row r="28" spans="1:9" x14ac:dyDescent="0.2">
      <c r="A28" s="1" t="s">
        <v>2577</v>
      </c>
      <c r="B28" s="1" t="s">
        <v>2581</v>
      </c>
      <c r="C28" s="1" t="s">
        <v>38</v>
      </c>
      <c r="D28" s="220" t="str">
        <f>IF(CONFIG_FHC_PROG_ID=2,Configuration!I22,IF(CONFIG_FHC_PROG_ID=3,Configuration!K22,IF(CONFIG_FHC_PROG_ID=4,Configuration!M22,"")))</f>
        <v/>
      </c>
      <c r="F28" s="271"/>
      <c r="I28" s="3"/>
    </row>
    <row r="29" spans="1:9" x14ac:dyDescent="0.2">
      <c r="A29" s="1" t="s">
        <v>2812</v>
      </c>
      <c r="B29" s="1" t="s">
        <v>2811</v>
      </c>
      <c r="C29" s="1" t="s">
        <v>38</v>
      </c>
      <c r="D29" s="220" t="str">
        <f>IF(CONFIG_FHC_PROG_ID=2,Configuration!I23,IF(CONFIG_FHC_PROG_ID=3,Configuration!K23,IF(CONFIG_FHC_PROG_ID=4,Configuration!M23,"")))</f>
        <v/>
      </c>
      <c r="F29" s="271"/>
      <c r="I29" s="3"/>
    </row>
    <row r="30" spans="1:9" x14ac:dyDescent="0.2">
      <c r="A30" s="1" t="s">
        <v>2817</v>
      </c>
      <c r="B30" s="1" t="s">
        <v>2820</v>
      </c>
      <c r="C30" s="1" t="s">
        <v>38</v>
      </c>
      <c r="D30" s="221" t="str">
        <f>IF(CONFIG_FHC_PROG_ID=2,Configuration!I24,IF(CONFIG_FHC_PROG_ID=3,Configuration!K24,IF(CONFIG_FHC_PROG_ID=4,Configuration!M24,"")))</f>
        <v/>
      </c>
      <c r="F30" s="271"/>
      <c r="I30" s="3"/>
    </row>
    <row r="31" spans="1:9" x14ac:dyDescent="0.2">
      <c r="A31" s="1" t="s">
        <v>2818</v>
      </c>
      <c r="B31" s="1" t="s">
        <v>2821</v>
      </c>
      <c r="C31" s="1" t="s">
        <v>38</v>
      </c>
      <c r="D31" s="221" t="str">
        <f>IF(CONFIG_FHC_PROG_ID=2,Configuration!I25,IF(CONFIG_FHC_PROG_ID=3,Configuration!K25,IF(CONFIG_FHC_PROG_ID=4,Configuration!M25,"")))</f>
        <v/>
      </c>
      <c r="F31" s="271"/>
      <c r="I31" s="3"/>
    </row>
    <row r="32" spans="1:9" x14ac:dyDescent="0.2">
      <c r="A32" s="1" t="s">
        <v>2819</v>
      </c>
      <c r="B32" s="1" t="s">
        <v>2822</v>
      </c>
      <c r="C32" s="1" t="s">
        <v>38</v>
      </c>
      <c r="D32" s="221" t="str">
        <f>IF(CONFIG_FHC_PROG_ID=2,Configuration!I26,IF(CONFIG_FHC_PROG_ID=3,Configuration!K26,IF(CONFIG_FHC_PROG_ID=4,Configuration!M26,"")))</f>
        <v/>
      </c>
      <c r="F32" s="271"/>
      <c r="I32" s="3"/>
    </row>
    <row r="33" spans="1:9" x14ac:dyDescent="0.2">
      <c r="A33" s="1" t="s">
        <v>2837</v>
      </c>
      <c r="B33" s="1" t="s">
        <v>2838</v>
      </c>
      <c r="C33" s="1" t="s">
        <v>38</v>
      </c>
      <c r="D33" s="221" t="str">
        <f>IF(CONFIG_FHC_PROG_ID=2,Configuration!I27,IF(CONFIG_FHC_PROG_ID=3,Configuration!K27,IF(CONFIG_FHC_PROG_ID=4,Configuration!M27,"")))</f>
        <v/>
      </c>
      <c r="F33" s="271"/>
      <c r="I33" s="3"/>
    </row>
    <row r="34" spans="1:9" x14ac:dyDescent="0.2">
      <c r="A34" s="1" t="s">
        <v>2390</v>
      </c>
      <c r="B34" s="1" t="s">
        <v>2391</v>
      </c>
      <c r="C34" s="1" t="s">
        <v>38</v>
      </c>
      <c r="D34" s="111" t="s">
        <v>2392</v>
      </c>
      <c r="G34" s="240"/>
    </row>
    <row r="35" spans="1:9" x14ac:dyDescent="0.2">
      <c r="A35" s="1" t="s">
        <v>2498</v>
      </c>
      <c r="B35" s="1" t="s">
        <v>2500</v>
      </c>
      <c r="C35" s="1" t="s">
        <v>9</v>
      </c>
      <c r="D35" s="111" t="s">
        <v>2501</v>
      </c>
      <c r="G35" s="1" t="s">
        <v>2504</v>
      </c>
      <c r="H35" s="1" t="s">
        <v>2505</v>
      </c>
    </row>
    <row r="36" spans="1:9" x14ac:dyDescent="0.2">
      <c r="A36" s="1" t="s">
        <v>2499</v>
      </c>
      <c r="B36" s="1" t="s">
        <v>2502</v>
      </c>
      <c r="C36" s="1" t="s">
        <v>9</v>
      </c>
      <c r="D36" s="111" t="s">
        <v>2503</v>
      </c>
      <c r="G36" s="1" t="s">
        <v>2506</v>
      </c>
      <c r="H36" s="1" t="s">
        <v>2501</v>
      </c>
    </row>
    <row r="37" spans="1:9" x14ac:dyDescent="0.2">
      <c r="A37" s="1" t="s">
        <v>2160</v>
      </c>
      <c r="B37" s="1" t="s">
        <v>2173</v>
      </c>
      <c r="C37" s="22" t="s">
        <v>9</v>
      </c>
      <c r="D37" s="2" t="str">
        <f>IF(Configuration!D41&lt;&gt;"",Configuration!D41,"")</f>
        <v>https://www.fhlbny.com/community/housing-programs/hdp-suite/#HDP</v>
      </c>
      <c r="G37" s="1" t="s">
        <v>2506</v>
      </c>
      <c r="H37" s="1" t="s">
        <v>2507</v>
      </c>
    </row>
    <row r="38" spans="1:9" x14ac:dyDescent="0.2">
      <c r="A38" s="1" t="s">
        <v>2159</v>
      </c>
      <c r="B38" s="1" t="s">
        <v>2174</v>
      </c>
      <c r="C38" s="22" t="s">
        <v>9</v>
      </c>
      <c r="D38" s="2" t="str">
        <f>IF(Configuration!I41&lt;&gt;"",Configuration!I41,"")</f>
        <v>FHLBNY Homebuyer Dream Program (HDP) Webpage</v>
      </c>
    </row>
    <row r="39" spans="1:9" x14ac:dyDescent="0.2">
      <c r="A39" s="1" t="s">
        <v>2161</v>
      </c>
      <c r="B39" s="1" t="s">
        <v>2175</v>
      </c>
      <c r="C39" s="22" t="s">
        <v>9</v>
      </c>
      <c r="D39" s="2" t="str">
        <f>IF(Configuration!D42&lt;&gt;"",Configuration!D42,"")</f>
        <v>https://www.fhlbny.com/community/housing-programs/hdp-suite/#HDP-Plus</v>
      </c>
    </row>
    <row r="40" spans="1:9" x14ac:dyDescent="0.2">
      <c r="A40" s="1" t="s">
        <v>2162</v>
      </c>
      <c r="B40" s="1" t="s">
        <v>2176</v>
      </c>
      <c r="C40" s="22" t="s">
        <v>9</v>
      </c>
      <c r="D40" s="2" t="str">
        <f>IF(Configuration!I42&lt;&gt;"",Configuration!I42,"")</f>
        <v>FHLBNY Homebuyer Dream Program Plus (HDP Plus) Webpage</v>
      </c>
    </row>
    <row r="41" spans="1:9" x14ac:dyDescent="0.2">
      <c r="A41" s="1" t="s">
        <v>2163</v>
      </c>
      <c r="B41" s="1" t="s">
        <v>2177</v>
      </c>
      <c r="C41" s="22" t="s">
        <v>9</v>
      </c>
      <c r="D41" s="2" t="str">
        <f>IF(Configuration!D43&lt;&gt;"",Configuration!D43,"")</f>
        <v>https://www.fhlbny.com/community/housing-programs/hdp-suite/#HDP-WB</v>
      </c>
    </row>
    <row r="42" spans="1:9" x14ac:dyDescent="0.2">
      <c r="A42" s="1" t="s">
        <v>2164</v>
      </c>
      <c r="B42" s="1" t="s">
        <v>2178</v>
      </c>
      <c r="C42" s="22" t="s">
        <v>9</v>
      </c>
      <c r="D42" s="2" t="str">
        <f>IF(Configuration!I43&lt;&gt;"",Configuration!I43,"")</f>
        <v>FHLBNY Homebuyer Dream Program Wealth Builder (HDP Wealth Builder) Webpage</v>
      </c>
    </row>
    <row r="43" spans="1:9" x14ac:dyDescent="0.2">
      <c r="A43" s="1" t="s">
        <v>2165</v>
      </c>
      <c r="B43" s="1" t="s">
        <v>2179</v>
      </c>
      <c r="C43" s="22" t="s">
        <v>9</v>
      </c>
      <c r="D43" s="2" t="str">
        <f>IF(Configuration!D44&lt;&gt;"",Configuration!D44,"")</f>
        <v/>
      </c>
    </row>
    <row r="44" spans="1:9" x14ac:dyDescent="0.2">
      <c r="A44" s="1" t="s">
        <v>2166</v>
      </c>
      <c r="B44" s="1" t="s">
        <v>2180</v>
      </c>
      <c r="C44" s="22" t="s">
        <v>9</v>
      </c>
      <c r="D44" s="2" t="str">
        <f>IF(Configuration!I44&lt;&gt;"",Configuration!I44,"")</f>
        <v/>
      </c>
    </row>
    <row r="45" spans="1:9" x14ac:dyDescent="0.2">
      <c r="A45" s="1" t="s">
        <v>2167</v>
      </c>
      <c r="B45" s="1" t="s">
        <v>2181</v>
      </c>
      <c r="C45" s="22" t="s">
        <v>9</v>
      </c>
      <c r="D45" s="2" t="str">
        <f>IF(Configuration!D45&lt;&gt;"",Configuration!D45,"")</f>
        <v/>
      </c>
    </row>
    <row r="46" spans="1:9" x14ac:dyDescent="0.2">
      <c r="A46" s="1" t="s">
        <v>2168</v>
      </c>
      <c r="B46" s="1" t="s">
        <v>2182</v>
      </c>
      <c r="C46" s="22" t="s">
        <v>9</v>
      </c>
      <c r="D46" s="2" t="str">
        <f>IF(Configuration!I45&lt;&gt;"",Configuration!I45,"")</f>
        <v/>
      </c>
    </row>
    <row r="47" spans="1:9" x14ac:dyDescent="0.2">
      <c r="A47" s="1" t="s">
        <v>2169</v>
      </c>
      <c r="B47" s="1" t="s">
        <v>2183</v>
      </c>
      <c r="C47" s="22" t="s">
        <v>9</v>
      </c>
      <c r="D47" s="2" t="str">
        <f>IF(Configuration!D46&lt;&gt;"",Configuration!D46,"")</f>
        <v/>
      </c>
    </row>
    <row r="48" spans="1:9" x14ac:dyDescent="0.2">
      <c r="A48" s="1" t="s">
        <v>2170</v>
      </c>
      <c r="B48" s="1" t="s">
        <v>2184</v>
      </c>
      <c r="C48" s="22" t="s">
        <v>9</v>
      </c>
      <c r="D48" s="2" t="str">
        <f>IF(Configuration!I46&lt;&gt;"",Configuration!I46,"")</f>
        <v/>
      </c>
    </row>
    <row r="49" spans="1:4" x14ac:dyDescent="0.2">
      <c r="A49" s="1" t="s">
        <v>2888</v>
      </c>
      <c r="B49" s="1" t="s">
        <v>2889</v>
      </c>
      <c r="C49" s="1" t="s">
        <v>9</v>
      </c>
      <c r="D49" s="240" t="s">
        <v>2893</v>
      </c>
    </row>
  </sheetData>
  <sheetProtection algorithmName="SHA-512" hashValue="qu7Zyn3mlGdEbrD5i/qQsmQUJVktozqMFGpAdxo9FJof32nc3HSrfMKb9VFX7raKxwxJMN085/UtwTq7E3sXFQ==" saltValue="fozO7QZIjO36jm4tgyhHog==" spinCount="100000" sheet="1" objects="1" scenarios="1"/>
  <pageMargins left="0.7" right="0.7" top="0.75" bottom="0.75" header="0.3" footer="0.3"/>
  <pageSetup orientation="portrait" r:id="rId1"/>
  <tableParts count="3">
    <tablePart r:id="rId2"/>
    <tablePart r:id="rId3"/>
    <tablePart r:id="rId4"/>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FFC000"/>
  </sheetPr>
  <dimension ref="A1:E2"/>
  <sheetViews>
    <sheetView workbookViewId="0">
      <selection activeCell="K10" sqref="K10:N10"/>
    </sheetView>
  </sheetViews>
  <sheetFormatPr defaultRowHeight="15" x14ac:dyDescent="0.25"/>
  <cols>
    <col min="1" max="1" width="20.7109375" customWidth="1"/>
    <col min="2" max="2" width="33.140625" customWidth="1"/>
    <col min="3" max="3" width="22.28515625" customWidth="1"/>
    <col min="4" max="4" width="25.5703125" customWidth="1"/>
    <col min="5" max="5" width="18.5703125" customWidth="1"/>
  </cols>
  <sheetData>
    <row r="1" spans="1:5" x14ac:dyDescent="0.25">
      <c r="A1" s="148" t="s">
        <v>2200</v>
      </c>
      <c r="B1" s="149" t="s">
        <v>2201</v>
      </c>
      <c r="C1" s="149" t="s">
        <v>189</v>
      </c>
      <c r="D1" s="149" t="s">
        <v>2224</v>
      </c>
      <c r="E1" s="149" t="s">
        <v>2882</v>
      </c>
    </row>
    <row r="2" spans="1:5" x14ac:dyDescent="0.25">
      <c r="A2" s="150" t="e">
        <f>VLOOKUP(A1,DB_TBL_DATA_FIELDS[[FIELD_ID]:[FIELD_VALUE_CLEAN]],10,FALSE)</f>
        <v>#N/A</v>
      </c>
      <c r="B2" s="151" t="str">
        <f ca="1">VLOOKUP(B1,DB_TBL_DATA_FIELDS[[FIELD_ID]:[FIELD_VALUE_CLEAN]],10,FALSE)</f>
        <v>A000XXXXXXXXXN</v>
      </c>
      <c r="C2" s="151" t="str">
        <f>VLOOKUP(C1,DB_TBL_DATA_FIELDS[[FIELD_ID]:[FIELD_VALUE_CLEAN]],10,FALSE)</f>
        <v/>
      </c>
      <c r="D2" s="151" t="str">
        <f ca="1">VLOOKUP(D1,DB_TBL_DATA_FIELDS[[FIELD_ID]:[FIELD_VALUE_CLEAN]],10,FALSE)</f>
        <v>N</v>
      </c>
      <c r="E2" s="239" t="str">
        <f>CONFIG_FHC_PROG_ID</f>
        <v/>
      </c>
    </row>
  </sheetData>
  <sheetProtection algorithmName="SHA-512" hashValue="VLamBxaAtu1Yk65RxqeRZIr20dcVvV2RJmQJoGVDwKDP2uaBMMZNc+VmsGBWI0vhs7pEZOb/pPw548ATSNBgyA==" saltValue="aj8uTBYVeA10AQ9CN+EhVg==" spinCount="100000" sheet="1" objects="1" scenarios="1"/>
  <pageMargins left="0.7" right="0.7" top="0.75" bottom="0.75" header="0.3" footer="0.3"/>
  <tableParts count="1">
    <tablePart r:id="rId1"/>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FFC000"/>
  </sheetPr>
  <dimension ref="A1:BL2"/>
  <sheetViews>
    <sheetView workbookViewId="0">
      <selection activeCell="K10" sqref="K10:N10"/>
    </sheetView>
  </sheetViews>
  <sheetFormatPr defaultRowHeight="15" x14ac:dyDescent="0.25"/>
  <cols>
    <col min="1" max="1" width="18.85546875" bestFit="1" customWidth="1"/>
    <col min="2" max="2" width="32.28515625" customWidth="1"/>
    <col min="3" max="3" width="20.42578125" bestFit="1" customWidth="1"/>
    <col min="4" max="4" width="23.85546875" bestFit="1" customWidth="1"/>
    <col min="5" max="5" width="15.7109375" bestFit="1" customWidth="1"/>
    <col min="6" max="6" width="31.42578125" bestFit="1" customWidth="1"/>
    <col min="7" max="7" width="30.85546875" bestFit="1" customWidth="1"/>
    <col min="8" max="8" width="25.5703125" bestFit="1" customWidth="1"/>
    <col min="9" max="9" width="26.28515625" bestFit="1" customWidth="1"/>
    <col min="10" max="10" width="19.7109375" bestFit="1" customWidth="1"/>
    <col min="11" max="11" width="25.140625" bestFit="1" customWidth="1"/>
    <col min="12" max="12" width="24.5703125" bestFit="1" customWidth="1"/>
    <col min="13" max="13" width="17.5703125" bestFit="1" customWidth="1"/>
    <col min="14" max="14" width="23" bestFit="1" customWidth="1"/>
    <col min="15" max="15" width="22.42578125" bestFit="1" customWidth="1"/>
    <col min="16" max="16" width="19.7109375" bestFit="1" customWidth="1"/>
    <col min="17" max="17" width="25.140625" bestFit="1" customWidth="1"/>
    <col min="18" max="18" width="24.5703125" bestFit="1" customWidth="1"/>
    <col min="19" max="19" width="13.85546875" bestFit="1" customWidth="1"/>
    <col min="20" max="20" width="19.42578125" bestFit="1" customWidth="1"/>
    <col min="21" max="21" width="20.140625" bestFit="1" customWidth="1"/>
    <col min="22" max="22" width="17.5703125" bestFit="1" customWidth="1"/>
    <col min="23" max="23" width="20.28515625" bestFit="1" customWidth="1"/>
    <col min="24" max="24" width="19" bestFit="1" customWidth="1"/>
    <col min="25" max="25" width="28.7109375" bestFit="1" customWidth="1"/>
    <col min="26" max="26" width="24" bestFit="1" customWidth="1"/>
    <col min="27" max="27" width="23" bestFit="1" customWidth="1"/>
    <col min="28" max="28" width="14.140625" bestFit="1" customWidth="1"/>
    <col min="29" max="29" width="19.7109375" bestFit="1" customWidth="1"/>
    <col min="30" max="30" width="20.42578125" bestFit="1" customWidth="1"/>
    <col min="31" max="31" width="17.85546875" bestFit="1" customWidth="1"/>
    <col min="32" max="32" width="20.5703125" bestFit="1" customWidth="1"/>
    <col min="33" max="33" width="19.28515625" bestFit="1" customWidth="1"/>
    <col min="34" max="34" width="29" bestFit="1" customWidth="1"/>
    <col min="35" max="35" width="18.5703125" bestFit="1" customWidth="1"/>
    <col min="36" max="36" width="19.28515625" bestFit="1" customWidth="1"/>
    <col min="37" max="37" width="23.28515625" bestFit="1" customWidth="1"/>
    <col min="38" max="38" width="18.28515625" bestFit="1" customWidth="1"/>
    <col min="39" max="39" width="16.28515625" bestFit="1" customWidth="1"/>
    <col min="40" max="40" width="17.28515625" bestFit="1" customWidth="1"/>
    <col min="41" max="41" width="26" bestFit="1" customWidth="1"/>
    <col min="42" max="42" width="20.85546875" bestFit="1" customWidth="1"/>
    <col min="43" max="43" width="23.28515625" customWidth="1"/>
    <col min="44" max="44" width="20.28515625" bestFit="1" customWidth="1"/>
    <col min="45" max="45" width="26.5703125" bestFit="1" customWidth="1"/>
    <col min="46" max="46" width="25.42578125" customWidth="1"/>
    <col min="47" max="47" width="29.85546875" bestFit="1" customWidth="1"/>
    <col min="48" max="48" width="27.7109375" bestFit="1" customWidth="1"/>
    <col min="49" max="49" width="27.5703125" bestFit="1" customWidth="1"/>
    <col min="50" max="50" width="25.5703125" bestFit="1" customWidth="1"/>
    <col min="51" max="51" width="29.85546875" bestFit="1" customWidth="1"/>
    <col min="52" max="52" width="27.7109375" bestFit="1" customWidth="1"/>
    <col min="53" max="53" width="17.28515625" bestFit="1" customWidth="1"/>
    <col min="54" max="54" width="21.140625" bestFit="1" customWidth="1"/>
    <col min="55" max="55" width="25.5703125" bestFit="1" customWidth="1"/>
    <col min="56" max="56" width="24.28515625" bestFit="1" customWidth="1"/>
    <col min="57" max="57" width="29.42578125" bestFit="1" customWidth="1"/>
    <col min="58" max="58" width="35.42578125" customWidth="1"/>
    <col min="59" max="59" width="39" bestFit="1" customWidth="1"/>
    <col min="60" max="60" width="40.140625" bestFit="1" customWidth="1"/>
    <col min="61" max="61" width="42" bestFit="1" customWidth="1"/>
    <col min="62" max="62" width="37.85546875" bestFit="1" customWidth="1"/>
    <col min="63" max="63" width="33.42578125" bestFit="1" customWidth="1"/>
    <col min="64" max="64" width="34.42578125" bestFit="1" customWidth="1"/>
  </cols>
  <sheetData>
    <row r="1" spans="1:64" x14ac:dyDescent="0.25">
      <c r="A1" s="20" t="s">
        <v>2200</v>
      </c>
      <c r="B1" s="20" t="s">
        <v>2201</v>
      </c>
      <c r="C1" s="20" t="s">
        <v>189</v>
      </c>
      <c r="D1" s="20" t="s">
        <v>2224</v>
      </c>
      <c r="E1" s="20" t="s">
        <v>2221</v>
      </c>
      <c r="F1" s="20" t="s">
        <v>2222</v>
      </c>
      <c r="G1" s="20" t="s">
        <v>2223</v>
      </c>
      <c r="H1" s="20" t="s">
        <v>2230</v>
      </c>
      <c r="I1" s="20" t="s">
        <v>2231</v>
      </c>
      <c r="J1" s="20" t="s">
        <v>2237</v>
      </c>
      <c r="K1" s="20" t="s">
        <v>2238</v>
      </c>
      <c r="L1" s="20" t="s">
        <v>2239</v>
      </c>
      <c r="M1" s="20" t="s">
        <v>2242</v>
      </c>
      <c r="N1" s="20" t="s">
        <v>2243</v>
      </c>
      <c r="O1" s="20" t="s">
        <v>2244</v>
      </c>
      <c r="P1" s="20" t="s">
        <v>2245</v>
      </c>
      <c r="Q1" s="20" t="s">
        <v>2246</v>
      </c>
      <c r="R1" s="20" t="s">
        <v>2251</v>
      </c>
      <c r="S1" s="20" t="s">
        <v>2252</v>
      </c>
      <c r="T1" s="20" t="s">
        <v>2253</v>
      </c>
      <c r="U1" s="20" t="s">
        <v>2254</v>
      </c>
      <c r="V1" s="20" t="s">
        <v>2255</v>
      </c>
      <c r="W1" s="20" t="s">
        <v>2256</v>
      </c>
      <c r="X1" s="20" t="s">
        <v>2257</v>
      </c>
      <c r="Y1" s="20" t="s">
        <v>2258</v>
      </c>
      <c r="Z1" s="20" t="s">
        <v>2285</v>
      </c>
      <c r="AA1" s="20" t="s">
        <v>2290</v>
      </c>
      <c r="AB1" s="20" t="s">
        <v>2293</v>
      </c>
      <c r="AC1" s="20" t="s">
        <v>2294</v>
      </c>
      <c r="AD1" s="20" t="s">
        <v>2295</v>
      </c>
      <c r="AE1" s="20" t="s">
        <v>2296</v>
      </c>
      <c r="AF1" s="20" t="s">
        <v>2297</v>
      </c>
      <c r="AG1" s="20" t="s">
        <v>2298</v>
      </c>
      <c r="AH1" s="20" t="s">
        <v>2299</v>
      </c>
      <c r="AI1" s="20" t="s">
        <v>2307</v>
      </c>
      <c r="AJ1" s="20" t="s">
        <v>2308</v>
      </c>
      <c r="AK1" s="20" t="s">
        <v>2309</v>
      </c>
      <c r="AL1" s="20" t="s">
        <v>2318</v>
      </c>
      <c r="AM1" s="20" t="s">
        <v>2319</v>
      </c>
      <c r="AN1" s="20" t="s">
        <v>2320</v>
      </c>
      <c r="AO1" s="20" t="s">
        <v>2321</v>
      </c>
      <c r="AP1" s="20" t="s">
        <v>2323</v>
      </c>
      <c r="AQ1" s="20" t="s">
        <v>2342</v>
      </c>
      <c r="AR1" s="20" t="s">
        <v>2344</v>
      </c>
      <c r="AS1" s="20" t="s">
        <v>2346</v>
      </c>
      <c r="AT1" s="20" t="s">
        <v>2348</v>
      </c>
      <c r="AU1" s="20" t="s">
        <v>2240</v>
      </c>
      <c r="AV1" s="20" t="s">
        <v>2241</v>
      </c>
      <c r="AW1" s="20" t="s">
        <v>2247</v>
      </c>
      <c r="AX1" s="20" t="s">
        <v>2248</v>
      </c>
      <c r="AY1" s="20" t="s">
        <v>2249</v>
      </c>
      <c r="AZ1" s="20" t="s">
        <v>2250</v>
      </c>
      <c r="BA1" s="20" t="s">
        <v>2283</v>
      </c>
      <c r="BB1" s="20" t="s">
        <v>2284</v>
      </c>
      <c r="BC1" s="20" t="s">
        <v>2855</v>
      </c>
      <c r="BD1" s="20" t="s">
        <v>2857</v>
      </c>
      <c r="BE1" s="20" t="s">
        <v>2858</v>
      </c>
      <c r="BF1" s="20" t="s">
        <v>2894</v>
      </c>
      <c r="BG1" s="20" t="s">
        <v>9035</v>
      </c>
      <c r="BH1" s="20" t="s">
        <v>9036</v>
      </c>
      <c r="BI1" s="20" t="s">
        <v>9037</v>
      </c>
      <c r="BJ1" s="20" t="s">
        <v>9038</v>
      </c>
      <c r="BK1" s="20" t="s">
        <v>9046</v>
      </c>
      <c r="BL1" s="20" t="s">
        <v>9062</v>
      </c>
    </row>
    <row r="2" spans="1:64" x14ac:dyDescent="0.25">
      <c r="A2" s="21" t="e">
        <f>VLOOKUP(A1,DB_TBL_DATA_FIELDS[[FIELD_ID]:[FIELD_VALUE_CLEAN]],10,FALSE)</f>
        <v>#N/A</v>
      </c>
      <c r="B2" s="21" t="str">
        <f ca="1">VLOOKUP(B1,DB_TBL_DATA_FIELDS[[FIELD_ID]:[FIELD_VALUE_CLEAN]],10,FALSE)</f>
        <v>A000XXXXXXXXXN</v>
      </c>
      <c r="C2" s="21" t="str">
        <f>VLOOKUP(C1,DB_TBL_DATA_FIELDS[[FIELD_ID]:[FIELD_VALUE_CLEAN]],10,FALSE)</f>
        <v/>
      </c>
      <c r="D2" s="21" t="str">
        <f ca="1">VLOOKUP(D1,DB_TBL_DATA_FIELDS[[FIELD_ID]:[FIELD_VALUE_CLEAN]],10,FALSE)</f>
        <v>N</v>
      </c>
      <c r="E2" s="21" t="str">
        <f ca="1">VLOOKUP(E1,DB_TBL_DATA_FIELDS[[FIELD_ID]:[FIELD_VALUE_CLEAN]],10,FALSE)</f>
        <v/>
      </c>
      <c r="F2" s="21" t="str">
        <f ca="1">VLOOKUP(F1,DB_TBL_DATA_FIELDS[[FIELD_ID]:[FIELD_VALUE_CLEAN]],10,FALSE)</f>
        <v/>
      </c>
      <c r="G2" s="21" t="str">
        <f ca="1">VLOOKUP(G1,DB_TBL_DATA_FIELDS[[FIELD_ID]:[FIELD_VALUE_CLEAN]],10,FALSE)</f>
        <v/>
      </c>
      <c r="H2" s="21" t="str">
        <f ca="1">VLOOKUP(H1,DB_TBL_DATA_FIELDS[[FIELD_ID]:[FIELD_VALUE_CLEAN]],10,FALSE)</f>
        <v/>
      </c>
      <c r="I2" s="21" t="str">
        <f ca="1">VLOOKUP(I1,DB_TBL_DATA_FIELDS[[FIELD_ID]:[FIELD_VALUE_CLEAN]],10,FALSE)</f>
        <v/>
      </c>
      <c r="J2" s="21" t="str">
        <f ca="1">VLOOKUP(J1,DB_TBL_DATA_FIELDS[[FIELD_ID]:[FIELD_VALUE_CLEAN]],10,FALSE)</f>
        <v/>
      </c>
      <c r="K2" s="21" t="str">
        <f ca="1">VLOOKUP(K1,DB_TBL_DATA_FIELDS[[FIELD_ID]:[FIELD_VALUE_CLEAN]],10,FALSE)</f>
        <v/>
      </c>
      <c r="L2" s="21" t="str">
        <f ca="1">VLOOKUP(L1,DB_TBL_DATA_FIELDS[[FIELD_ID]:[FIELD_VALUE_CLEAN]],10,FALSE)</f>
        <v/>
      </c>
      <c r="M2" s="21" t="str">
        <f ca="1">VLOOKUP(M1,DB_TBL_DATA_FIELDS[[FIELD_ID]:[FIELD_VALUE_CLEAN]],10,FALSE)</f>
        <v/>
      </c>
      <c r="N2" s="21" t="str">
        <f ca="1">VLOOKUP(N1,DB_TBL_DATA_FIELDS[[FIELD_ID]:[FIELD_VALUE_CLEAN]],10,FALSE)</f>
        <v/>
      </c>
      <c r="O2" s="21" t="str">
        <f ca="1">VLOOKUP(O1,DB_TBL_DATA_FIELDS[[FIELD_ID]:[FIELD_VALUE_CLEAN]],10,FALSE)</f>
        <v/>
      </c>
      <c r="P2" s="21" t="str">
        <f ca="1">VLOOKUP(P1,DB_TBL_DATA_FIELDS[[FIELD_ID]:[FIELD_VALUE_CLEAN]],10,FALSE)</f>
        <v/>
      </c>
      <c r="Q2" s="21" t="str">
        <f ca="1">VLOOKUP(Q1,DB_TBL_DATA_FIELDS[[FIELD_ID]:[FIELD_VALUE_CLEAN]],10,FALSE)</f>
        <v/>
      </c>
      <c r="R2" s="21" t="str">
        <f ca="1">VLOOKUP(R1,DB_TBL_DATA_FIELDS[[FIELD_ID]:[FIELD_VALUE_CLEAN]],10,FALSE)</f>
        <v/>
      </c>
      <c r="S2" s="21" t="str">
        <f ca="1">VLOOKUP(S1,DB_TBL_DATA_FIELDS[[FIELD_ID]:[FIELD_VALUE_CLEAN]],10,FALSE)</f>
        <v/>
      </c>
      <c r="T2" s="21" t="str">
        <f ca="1">VLOOKUP(T1,DB_TBL_DATA_FIELDS[[FIELD_ID]:[FIELD_VALUE_CLEAN]],10,FALSE)</f>
        <v/>
      </c>
      <c r="U2" s="21" t="str">
        <f ca="1">VLOOKUP(U1,DB_TBL_DATA_FIELDS[[FIELD_ID]:[FIELD_VALUE_CLEAN]],10,FALSE)</f>
        <v/>
      </c>
      <c r="V2" s="21" t="str">
        <f ca="1">VLOOKUP(V1,DB_TBL_DATA_FIELDS[[FIELD_ID]:[FIELD_VALUE_CLEAN]],10,FALSE)</f>
        <v/>
      </c>
      <c r="W2" s="21" t="str">
        <f ca="1">VLOOKUP(W1,DB_TBL_DATA_FIELDS[[FIELD_ID]:[FIELD_VALUE_CLEAN]],10,FALSE)</f>
        <v/>
      </c>
      <c r="X2" s="21" t="str">
        <f ca="1">VLOOKUP(X1,DB_TBL_DATA_FIELDS[[FIELD_ID]:[FIELD_VALUE_CLEAN]],10,FALSE)</f>
        <v/>
      </c>
      <c r="Y2" s="21" t="str">
        <f ca="1">VLOOKUP(Y1,DB_TBL_DATA_FIELDS[[FIELD_ID]:[FIELD_VALUE_CLEAN]],10,FALSE)</f>
        <v/>
      </c>
      <c r="Z2" s="21">
        <f ca="1">VLOOKUP(Z1,DB_TBL_DATA_FIELDS[[FIELD_ID]:[FIELD_VALUE_CLEAN]],10,FALSE)</f>
        <v>0</v>
      </c>
      <c r="AA2" s="21" t="str">
        <f ca="1">VLOOKUP(AA1,DB_TBL_DATA_FIELDS[[FIELD_ID]:[FIELD_VALUE_CLEAN]],10,FALSE)</f>
        <v/>
      </c>
      <c r="AB2" s="21" t="str">
        <f ca="1">VLOOKUP(AB1,DB_TBL_DATA_FIELDS[[FIELD_ID]:[FIELD_VALUE_CLEAN]],10,FALSE)</f>
        <v/>
      </c>
      <c r="AC2" s="21" t="str">
        <f ca="1">VLOOKUP(AC1,DB_TBL_DATA_FIELDS[[FIELD_ID]:[FIELD_VALUE_CLEAN]],10,FALSE)</f>
        <v/>
      </c>
      <c r="AD2" s="21" t="str">
        <f ca="1">VLOOKUP(AD1,DB_TBL_DATA_FIELDS[[FIELD_ID]:[FIELD_VALUE_CLEAN]],10,FALSE)</f>
        <v/>
      </c>
      <c r="AE2" s="21" t="str">
        <f ca="1">VLOOKUP(AE1,DB_TBL_DATA_FIELDS[[FIELD_ID]:[FIELD_VALUE_CLEAN]],10,FALSE)</f>
        <v/>
      </c>
      <c r="AF2" s="21" t="str">
        <f ca="1">VLOOKUP(AF1,DB_TBL_DATA_FIELDS[[FIELD_ID]:[FIELD_VALUE_CLEAN]],10,FALSE)</f>
        <v/>
      </c>
      <c r="AG2" s="21" t="str">
        <f ca="1">VLOOKUP(AG1,DB_TBL_DATA_FIELDS[[FIELD_ID]:[FIELD_VALUE_CLEAN]],10,FALSE)</f>
        <v/>
      </c>
      <c r="AH2" s="21" t="str">
        <f ca="1">VLOOKUP(AH1,DB_TBL_DATA_FIELDS[[FIELD_ID]:[FIELD_VALUE_CLEAN]],10,FALSE)</f>
        <v/>
      </c>
      <c r="AI2" s="21" t="str">
        <f ca="1">VLOOKUP(AI1,DB_TBL_DATA_FIELDS[[FIELD_ID]:[FIELD_VALUE_CLEAN]],10,FALSE)</f>
        <v/>
      </c>
      <c r="AJ2" s="21" t="str">
        <f ca="1">VLOOKUP(AJ1,DB_TBL_DATA_FIELDS[[FIELD_ID]:[FIELD_VALUE_CLEAN]],10,FALSE)</f>
        <v/>
      </c>
      <c r="AK2" s="21" t="str">
        <f ca="1">VLOOKUP(AK1,DB_TBL_DATA_FIELDS[[FIELD_ID]:[FIELD_VALUE_CLEAN]],10,FALSE)</f>
        <v/>
      </c>
      <c r="AL2" s="21" t="str">
        <f ca="1">VLOOKUP(AL1,DB_TBL_DATA_FIELDS[[FIELD_ID]:[FIELD_VALUE_CLEAN]],10,FALSE)</f>
        <v/>
      </c>
      <c r="AM2" s="21" t="str">
        <f ca="1">VLOOKUP(AM1,DB_TBL_DATA_FIELDS[[FIELD_ID]:[FIELD_VALUE_CLEAN]],10,FALSE)</f>
        <v/>
      </c>
      <c r="AN2" s="21" t="str">
        <f ca="1">VLOOKUP(AN1,DB_TBL_DATA_FIELDS[[FIELD_ID]:[FIELD_VALUE_CLEAN]],10,FALSE)</f>
        <v/>
      </c>
      <c r="AO2" s="21" t="str">
        <f ca="1">VLOOKUP(AO1,DB_TBL_DATA_FIELDS[[FIELD_ID]:[FIELD_VALUE_CLEAN]],10,FALSE)</f>
        <v/>
      </c>
      <c r="AP2" s="21" t="str">
        <f ca="1">VLOOKUP(AP1,DB_TBL_DATA_FIELDS[[FIELD_ID]:[FIELD_VALUE_CLEAN]],10,FALSE)</f>
        <v/>
      </c>
      <c r="AQ2" s="21" t="str">
        <f ca="1">VLOOKUP(AQ1,DB_TBL_DATA_FIELDS[[FIELD_ID]:[FIELD_VALUE_CLEAN]],10,FALSE)</f>
        <v/>
      </c>
      <c r="AR2" s="21" t="str">
        <f>VLOOKUP(AR1,DB_TBL_DATA_FIELDS[[FIELD_ID]:[FIELD_VALUE_CLEAN]],10,FALSE)</f>
        <v>N</v>
      </c>
      <c r="AS2" s="21" t="str">
        <f ca="1">VLOOKUP(AS1,DB_TBL_DATA_FIELDS[[FIELD_ID]:[FIELD_VALUE_CLEAN]],10,FALSE)</f>
        <v/>
      </c>
      <c r="AT2" s="21" t="str">
        <f ca="1">VLOOKUP(AT1,DB_TBL_DATA_FIELDS[[FIELD_ID]:[FIELD_VALUE_CLEAN]],10,FALSE)</f>
        <v/>
      </c>
      <c r="AU2" s="21" t="str">
        <f ca="1">VLOOKUP(AU1,DB_TBL_DATA_FIELDS[[FIELD_ID]:[FIELD_VALUE_CLEAN]],10,FALSE)</f>
        <v/>
      </c>
      <c r="AV2" s="21" t="str">
        <f ca="1">VLOOKUP(AV1,DB_TBL_DATA_FIELDS[[FIELD_ID]:[FIELD_VALUE_CLEAN]],10,FALSE)</f>
        <v/>
      </c>
      <c r="AW2" s="21" t="str">
        <f ca="1">VLOOKUP(AW1,DB_TBL_DATA_FIELDS[[FIELD_ID]:[FIELD_VALUE_CLEAN]],10,FALSE)</f>
        <v/>
      </c>
      <c r="AX2" s="21" t="str">
        <f>VLOOKUP(AX1,DB_TBL_DATA_FIELDS[[FIELD_ID]:[FIELD_VALUE_CLEAN]],10,FALSE)</f>
        <v/>
      </c>
      <c r="AY2" s="21" t="str">
        <f ca="1">VLOOKUP(AY1,DB_TBL_DATA_FIELDS[[FIELD_ID]:[FIELD_VALUE_CLEAN]],10,FALSE)</f>
        <v/>
      </c>
      <c r="AZ2" s="21" t="str">
        <f>VLOOKUP(AZ1,DB_TBL_DATA_FIELDS[[FIELD_ID]:[FIELD_VALUE_CLEAN]],10,FALSE)</f>
        <v/>
      </c>
      <c r="BA2" s="21" t="str">
        <f ca="1">VLOOKUP(BA1,DB_TBL_DATA_FIELDS[[FIELD_ID]:[FIELD_VALUE_CLEAN]],10,FALSE)</f>
        <v/>
      </c>
      <c r="BB2" s="21" t="str">
        <f>VLOOKUP(BB1,DB_TBL_DATA_FIELDS[[FIELD_ID]:[FIELD_VALUE_CLEAN]],10,FALSE)</f>
        <v/>
      </c>
      <c r="BC2" s="21" t="str">
        <f ca="1">VLOOKUP(BC1,DB_TBL_DATA_FIELDS[[FIELD_ID]:[FIELD_VALUE_CLEAN]],10,FALSE)</f>
        <v/>
      </c>
      <c r="BD2" s="21" t="str">
        <f ca="1">VLOOKUP(BD1,DB_TBL_DATA_FIELDS[[FIELD_ID]:[FIELD_VALUE_CLEAN]],10,FALSE)</f>
        <v/>
      </c>
      <c r="BE2" s="21" t="str">
        <f ca="1">VLOOKUP(BE1,DB_TBL_DATA_FIELDS[[FIELD_ID]:[FIELD_VALUE_CLEAN]],10,FALSE)</f>
        <v/>
      </c>
      <c r="BF2" s="21" t="str">
        <f ca="1">VLOOKUP(BF1,DB_TBL_DATA_FIELDS[[FIELD_ID]:[FIELD_VALUE_CLEAN]],10,FALSE)</f>
        <v/>
      </c>
      <c r="BG2" s="21" t="str">
        <f>VLOOKUP(BG1,DB_TBL_DATA_FIELDS[[FIELD_ID]:[FIELD_VALUE_CLEAN]],10,FALSE)</f>
        <v/>
      </c>
      <c r="BH2" s="21" t="str">
        <f>VLOOKUP(BH1,DB_TBL_DATA_FIELDS[[FIELD_ID]:[FIELD_VALUE_CLEAN]],10,FALSE)</f>
        <v/>
      </c>
      <c r="BI2" s="21" t="str">
        <f>VLOOKUP(BI1,DB_TBL_DATA_FIELDS[[FIELD_ID]:[FIELD_VALUE_CLEAN]],10,FALSE)</f>
        <v/>
      </c>
      <c r="BJ2" s="21" t="str">
        <f>VLOOKUP(BJ1,DB_TBL_DATA_FIELDS[[FIELD_ID]:[FIELD_VALUE_CLEAN]],10,FALSE)</f>
        <v/>
      </c>
      <c r="BK2" s="21" t="str">
        <f ca="1">VLOOKUP(BK1,DB_TBL_DATA_FIELDS[[FIELD_ID]:[FIELD_VALUE_CLEAN]],10,FALSE)</f>
        <v/>
      </c>
      <c r="BL2" s="21" t="str">
        <f ca="1">VLOOKUP(BL1,DB_TBL_DATA_FIELDS[[FIELD_ID]:[FIELD_VALUE_CLEAN]],10,FALSE)</f>
        <v>N</v>
      </c>
    </row>
  </sheetData>
  <sheetProtection algorithmName="SHA-512" hashValue="BTjhm8ou9pZrWwiZ90rscJd4HiVTWKURGijaAYiioPuB3kDxjYlALbSEoLaVaoD09dbghkOcze/xJWnz39fksw==" saltValue="qatcweXiyzq2/eEQD79ZaQ==" spinCount="100000" sheet="1" objects="1" scenarios="1"/>
  <pageMargins left="0.7" right="0.7" top="0.75" bottom="0.75" header="0.3" footer="0.3"/>
  <pageSetup orientation="portrait" r:id="rId1"/>
  <tableParts count="1">
    <tablePart r:id="rId2"/>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sheetPr>
  <dimension ref="A1:AR2"/>
  <sheetViews>
    <sheetView workbookViewId="0">
      <selection activeCell="K10" sqref="K10:N10"/>
    </sheetView>
  </sheetViews>
  <sheetFormatPr defaultRowHeight="15" x14ac:dyDescent="0.25"/>
  <cols>
    <col min="1" max="1" width="20.7109375" customWidth="1"/>
    <col min="2" max="2" width="28.5703125" bestFit="1" customWidth="1"/>
    <col min="3" max="3" width="22.28515625" customWidth="1"/>
    <col min="4" max="4" width="25.5703125" customWidth="1"/>
    <col min="5" max="5" width="17.7109375" customWidth="1"/>
    <col min="6" max="6" width="32.85546875" customWidth="1"/>
    <col min="7" max="7" width="32.28515625" customWidth="1"/>
    <col min="8" max="8" width="27.140625" customWidth="1"/>
    <col min="9" max="9" width="27.85546875" customWidth="1"/>
    <col min="10" max="10" width="13.85546875" bestFit="1" customWidth="1"/>
    <col min="11" max="11" width="27.42578125" bestFit="1" customWidth="1"/>
    <col min="12" max="12" width="26.85546875" bestFit="1" customWidth="1"/>
    <col min="13" max="14" width="26.85546875" customWidth="1"/>
    <col min="15" max="15" width="26.28515625" bestFit="1" customWidth="1"/>
    <col min="16" max="16" width="24.42578125" bestFit="1" customWidth="1"/>
    <col min="17" max="17" width="23" bestFit="1" customWidth="1"/>
    <col min="18" max="18" width="27.140625" bestFit="1" customWidth="1"/>
    <col min="19" max="19" width="25.28515625" bestFit="1" customWidth="1"/>
    <col min="20" max="20" width="6.42578125" bestFit="1" customWidth="1"/>
    <col min="21" max="21" width="30.42578125" bestFit="1" customWidth="1"/>
    <col min="22" max="22" width="22.5703125" bestFit="1" customWidth="1"/>
    <col min="23" max="23" width="24.85546875" bestFit="1" customWidth="1"/>
    <col min="24" max="24" width="25.140625" bestFit="1" customWidth="1"/>
    <col min="25" max="25" width="25.7109375" bestFit="1" customWidth="1"/>
    <col min="26" max="26" width="25" bestFit="1" customWidth="1"/>
    <col min="27" max="27" width="25.5703125" bestFit="1" customWidth="1"/>
    <col min="28" max="28" width="27.42578125" bestFit="1" customWidth="1"/>
    <col min="29" max="29" width="27.85546875" bestFit="1" customWidth="1"/>
    <col min="30" max="30" width="28.42578125" bestFit="1" customWidth="1"/>
    <col min="31" max="31" width="30.7109375" bestFit="1" customWidth="1"/>
    <col min="32" max="32" width="31.5703125" bestFit="1" customWidth="1"/>
    <col min="33" max="33" width="33.42578125" bestFit="1" customWidth="1"/>
    <col min="34" max="34" width="34.28515625" bestFit="1" customWidth="1"/>
    <col min="35" max="35" width="31.28515625" bestFit="1" customWidth="1"/>
    <col min="36" max="36" width="32.28515625" bestFit="1" customWidth="1"/>
    <col min="37" max="37" width="33.42578125" bestFit="1" customWidth="1"/>
    <col min="38" max="38" width="34.28515625" bestFit="1" customWidth="1"/>
    <col min="39" max="39" width="26.42578125" bestFit="1" customWidth="1"/>
    <col min="40" max="40" width="27.28515625" bestFit="1" customWidth="1"/>
    <col min="41" max="41" width="34.7109375" bestFit="1" customWidth="1"/>
    <col min="42" max="42" width="27.85546875" bestFit="1" customWidth="1"/>
    <col min="43" max="43" width="26.5703125" bestFit="1" customWidth="1"/>
    <col min="44" max="44" width="31.7109375" bestFit="1" customWidth="1"/>
  </cols>
  <sheetData>
    <row r="1" spans="1:44" x14ac:dyDescent="0.25">
      <c r="A1" s="148" t="s">
        <v>2200</v>
      </c>
      <c r="B1" s="149" t="s">
        <v>2201</v>
      </c>
      <c r="C1" s="149" t="s">
        <v>189</v>
      </c>
      <c r="D1" s="149" t="s">
        <v>2224</v>
      </c>
      <c r="E1" s="149" t="s">
        <v>2221</v>
      </c>
      <c r="F1" s="149" t="s">
        <v>2222</v>
      </c>
      <c r="G1" s="149" t="s">
        <v>2223</v>
      </c>
      <c r="H1" s="149" t="s">
        <v>2230</v>
      </c>
      <c r="I1" s="152" t="s">
        <v>2231</v>
      </c>
      <c r="J1" s="149" t="s">
        <v>2489</v>
      </c>
      <c r="K1" s="149" t="s">
        <v>2238</v>
      </c>
      <c r="L1" s="149" t="s">
        <v>2239</v>
      </c>
      <c r="M1" s="161" t="s">
        <v>2283</v>
      </c>
      <c r="N1" s="161" t="s">
        <v>2284</v>
      </c>
      <c r="O1" s="156" t="s">
        <v>2285</v>
      </c>
      <c r="P1" s="156" t="s">
        <v>2348</v>
      </c>
      <c r="Q1" s="156" t="s">
        <v>2513</v>
      </c>
      <c r="R1" s="156" t="s">
        <v>2508</v>
      </c>
      <c r="S1" s="156" t="s">
        <v>2509</v>
      </c>
      <c r="T1" s="156" t="s">
        <v>2510</v>
      </c>
      <c r="U1" s="156" t="s">
        <v>2511</v>
      </c>
      <c r="V1" s="156" t="s">
        <v>2514</v>
      </c>
      <c r="W1" s="156" t="s">
        <v>2512</v>
      </c>
      <c r="X1" s="156" t="s">
        <v>2515</v>
      </c>
      <c r="Y1" s="156" t="s">
        <v>2516</v>
      </c>
      <c r="Z1" s="156" t="s">
        <v>2517</v>
      </c>
      <c r="AA1" s="156" t="s">
        <v>2518</v>
      </c>
      <c r="AB1" s="156" t="s">
        <v>2519</v>
      </c>
      <c r="AC1" s="156" t="s">
        <v>2520</v>
      </c>
      <c r="AD1" s="156" t="s">
        <v>2521</v>
      </c>
      <c r="AE1" s="156" t="s">
        <v>2522</v>
      </c>
      <c r="AF1" s="156" t="s">
        <v>2523</v>
      </c>
      <c r="AG1" s="156" t="s">
        <v>2524</v>
      </c>
      <c r="AH1" s="156" t="s">
        <v>2525</v>
      </c>
      <c r="AI1" s="156" t="s">
        <v>2526</v>
      </c>
      <c r="AJ1" s="156" t="s">
        <v>2527</v>
      </c>
      <c r="AK1" s="156" t="s">
        <v>2528</v>
      </c>
      <c r="AL1" s="156" t="s">
        <v>2529</v>
      </c>
      <c r="AM1" s="156" t="s">
        <v>2531</v>
      </c>
      <c r="AN1" s="156" t="s">
        <v>2530</v>
      </c>
      <c r="AO1" s="156" t="s">
        <v>2840</v>
      </c>
      <c r="AP1" s="156" t="s">
        <v>2855</v>
      </c>
      <c r="AQ1" s="156" t="s">
        <v>2857</v>
      </c>
      <c r="AR1" s="156" t="s">
        <v>2858</v>
      </c>
    </row>
    <row r="2" spans="1:44" x14ac:dyDescent="0.25">
      <c r="A2" s="150" t="e">
        <f>VLOOKUP(A1,DB_TBL_DATA_FIELDS[[FIELD_ID]:[FIELD_VALUE_CLEAN]],10,FALSE)</f>
        <v>#N/A</v>
      </c>
      <c r="B2" s="151" t="str">
        <f ca="1">VLOOKUP(B1,DB_TBL_DATA_FIELDS[[FIELD_ID]:[FIELD_VALUE_CLEAN]],10,FALSE)</f>
        <v>A000XXXXXXXXXN</v>
      </c>
      <c r="C2" s="151" t="str">
        <f>VLOOKUP(C1,DB_TBL_DATA_FIELDS[[FIELD_ID]:[FIELD_VALUE_CLEAN]],10,FALSE)</f>
        <v/>
      </c>
      <c r="D2" s="151" t="str">
        <f ca="1">VLOOKUP(D1,DB_TBL_DATA_FIELDS[[FIELD_ID]:[FIELD_VALUE_CLEAN]],10,FALSE)</f>
        <v>N</v>
      </c>
      <c r="E2" s="151" t="str">
        <f ca="1">VLOOKUP(E1,DB_TBL_DATA_FIELDS[[FIELD_ID]:[FIELD_VALUE_CLEAN]],10,FALSE)</f>
        <v/>
      </c>
      <c r="F2" s="151" t="str">
        <f ca="1">VLOOKUP(F1,DB_TBL_DATA_FIELDS[[FIELD_ID]:[FIELD_VALUE_CLEAN]],10,FALSE)</f>
        <v/>
      </c>
      <c r="G2" s="151" t="str">
        <f ca="1">VLOOKUP(G1,DB_TBL_DATA_FIELDS[[FIELD_ID]:[FIELD_VALUE_CLEAN]],10,FALSE)</f>
        <v/>
      </c>
      <c r="H2" s="151" t="str">
        <f ca="1">VLOOKUP(H1,DB_TBL_DATA_FIELDS[[FIELD_ID]:[FIELD_VALUE_CLEAN]],10,FALSE)</f>
        <v/>
      </c>
      <c r="I2" s="153" t="str">
        <f ca="1">VLOOKUP(I1,DB_TBL_DATA_FIELDS[[FIELD_ID]:[FIELD_VALUE_CLEAN]],10,FALSE)</f>
        <v/>
      </c>
      <c r="J2" s="153" t="str">
        <f ca="1">VLOOKUP(J1,DB_TBL_DATA_FIELDS[[FIELD_ID]:[FIELD_VALUE_CLEAN]],10,FALSE)</f>
        <v/>
      </c>
      <c r="K2" s="153" t="str">
        <f ca="1">VLOOKUP(K1,DB_TBL_DATA_FIELDS[[FIELD_ID]:[FIELD_VALUE_CLEAN]],10,FALSE)</f>
        <v/>
      </c>
      <c r="L2" s="153" t="str">
        <f ca="1">VLOOKUP(L1,DB_TBL_DATA_FIELDS[[FIELD_ID]:[FIELD_VALUE_CLEAN]],10,FALSE)</f>
        <v/>
      </c>
      <c r="M2" s="153" t="str">
        <f ca="1">VLOOKUP(M1,DB_TBL_DATA_FIELDS[[FIELD_ID]:[FIELD_VALUE_CLEAN]],10,FALSE)</f>
        <v/>
      </c>
      <c r="N2" s="153" t="str">
        <f>VLOOKUP(N1,DB_TBL_DATA_FIELDS[[FIELD_ID]:[FIELD_VALUE_CLEAN]],10,FALSE)</f>
        <v/>
      </c>
      <c r="O2" s="153">
        <f ca="1">VLOOKUP(O1,DB_TBL_DATA_FIELDS[[FIELD_ID]:[FIELD_VALUE_CLEAN]],10,FALSE)</f>
        <v>0</v>
      </c>
      <c r="P2" s="153" t="str">
        <f ca="1">VLOOKUP(P1,DB_TBL_DATA_FIELDS[[FIELD_ID]:[FIELD_VALUE_CLEAN]],10,FALSE)</f>
        <v/>
      </c>
      <c r="Q2" s="153" t="str">
        <f ca="1">VLOOKUP(Q1,DB_TBL_DATA_FIELDS[[FIELD_ID]:[FIELD_VALUE_CLEAN]],10,FALSE)</f>
        <v/>
      </c>
      <c r="R2" s="153" t="str">
        <f ca="1">VLOOKUP(R1,DB_TBL_DATA_FIELDS[[FIELD_ID]:[FIELD_VALUE_CLEAN]],10,FALSE)</f>
        <v/>
      </c>
      <c r="S2" s="153" t="str">
        <f ca="1">VLOOKUP(S1,DB_TBL_DATA_FIELDS[[FIELD_ID]:[FIELD_VALUE_CLEAN]],10,FALSE)</f>
        <v/>
      </c>
      <c r="T2" s="153" t="str">
        <f ca="1">VLOOKUP(T1,DB_TBL_DATA_FIELDS[[FIELD_ID]:[FIELD_VALUE_CLEAN]],10,FALSE)</f>
        <v/>
      </c>
      <c r="U2" s="153" t="str">
        <f ca="1">VLOOKUP(U1,DB_TBL_DATA_FIELDS[[FIELD_ID]:[FIELD_VALUE_CLEAN]],10,FALSE)</f>
        <v/>
      </c>
      <c r="V2" s="153" t="str">
        <f ca="1">VLOOKUP(V1,DB_TBL_DATA_FIELDS[[FIELD_ID]:[FIELD_VALUE_CLEAN]],10,FALSE)</f>
        <v/>
      </c>
      <c r="W2" s="153" t="str">
        <f ca="1">VLOOKUP(W1,DB_TBL_DATA_FIELDS[[FIELD_ID]:[FIELD_VALUE_CLEAN]],10,FALSE)</f>
        <v/>
      </c>
      <c r="X2" s="153" t="str">
        <f ca="1">VLOOKUP(X1,DB_TBL_DATA_FIELDS[[FIELD_ID]:[FIELD_VALUE_CLEAN]],10,FALSE)</f>
        <v/>
      </c>
      <c r="Y2" s="153" t="str">
        <f ca="1">VLOOKUP(Y1,DB_TBL_DATA_FIELDS[[FIELD_ID]:[FIELD_VALUE_CLEAN]],10,FALSE)</f>
        <v/>
      </c>
      <c r="Z2" s="153" t="str">
        <f ca="1">VLOOKUP(Z1,DB_TBL_DATA_FIELDS[[FIELD_ID]:[FIELD_VALUE_CLEAN]],10,FALSE)</f>
        <v/>
      </c>
      <c r="AA2" s="153" t="str">
        <f ca="1">VLOOKUP(AA1,DB_TBL_DATA_FIELDS[[FIELD_ID]:[FIELD_VALUE_CLEAN]],10,FALSE)</f>
        <v/>
      </c>
      <c r="AB2" s="153" t="str">
        <f ca="1">VLOOKUP(AB1,DB_TBL_DATA_FIELDS[[FIELD_ID]:[FIELD_VALUE_CLEAN]],10,FALSE)</f>
        <v/>
      </c>
      <c r="AC2" s="153" t="str">
        <f ca="1">VLOOKUP(AC1,DB_TBL_DATA_FIELDS[[FIELD_ID]:[FIELD_VALUE_CLEAN]],10,FALSE)</f>
        <v/>
      </c>
      <c r="AD2" s="153" t="str">
        <f ca="1">VLOOKUP(AD1,DB_TBL_DATA_FIELDS[[FIELD_ID]:[FIELD_VALUE_CLEAN]],10,FALSE)</f>
        <v/>
      </c>
      <c r="AE2" s="153" t="str">
        <f ca="1">VLOOKUP(AE1,DB_TBL_DATA_FIELDS[[FIELD_ID]:[FIELD_VALUE_CLEAN]],10,FALSE)</f>
        <v/>
      </c>
      <c r="AF2" s="153" t="str">
        <f ca="1">VLOOKUP(AF1,DB_TBL_DATA_FIELDS[[FIELD_ID]:[FIELD_VALUE_CLEAN]],10,FALSE)</f>
        <v/>
      </c>
      <c r="AG2" s="153" t="str">
        <f ca="1">VLOOKUP(AG1,DB_TBL_DATA_FIELDS[[FIELD_ID]:[FIELD_VALUE_CLEAN]],10,FALSE)</f>
        <v/>
      </c>
      <c r="AH2" s="153" t="str">
        <f ca="1">VLOOKUP(AH1,DB_TBL_DATA_FIELDS[[FIELD_ID]:[FIELD_VALUE_CLEAN]],10,FALSE)</f>
        <v/>
      </c>
      <c r="AI2" s="153" t="str">
        <f ca="1">VLOOKUP(AI1,DB_TBL_DATA_FIELDS[[FIELD_ID]:[FIELD_VALUE_CLEAN]],10,FALSE)</f>
        <v/>
      </c>
      <c r="AJ2" s="153" t="str">
        <f ca="1">VLOOKUP(AJ1,DB_TBL_DATA_FIELDS[[FIELD_ID]:[FIELD_VALUE_CLEAN]],10,FALSE)</f>
        <v/>
      </c>
      <c r="AK2" s="153" t="str">
        <f ca="1">VLOOKUP(AK1,DB_TBL_DATA_FIELDS[[FIELD_ID]:[FIELD_VALUE_CLEAN]],10,FALSE)</f>
        <v/>
      </c>
      <c r="AL2" s="153" t="str">
        <f ca="1">VLOOKUP(AL1,DB_TBL_DATA_FIELDS[[FIELD_ID]:[FIELD_VALUE_CLEAN]],10,FALSE)</f>
        <v/>
      </c>
      <c r="AM2" s="153" t="str">
        <f ca="1">VLOOKUP(AM1,DB_TBL_DATA_FIELDS[[FIELD_ID]:[FIELD_VALUE_CLEAN]],10,FALSE)</f>
        <v/>
      </c>
      <c r="AN2" s="153" t="str">
        <f ca="1">VLOOKUP(AN1,DB_TBL_DATA_FIELDS[[FIELD_ID]:[FIELD_VALUE_CLEAN]],10,FALSE)</f>
        <v/>
      </c>
      <c r="AO2" s="153" t="str">
        <f ca="1">VLOOKUP(AO1,DB_TBL_DATA_FIELDS[[FIELD_ID]:[FIELD_VALUE_CLEAN]],10,FALSE)</f>
        <v/>
      </c>
      <c r="AP2" s="153" t="str">
        <f ca="1">VLOOKUP(AP1,DB_TBL_DATA_FIELDS[[FIELD_ID]:[FIELD_VALUE_CLEAN]],10,FALSE)</f>
        <v/>
      </c>
      <c r="AQ2" s="153" t="str">
        <f ca="1">VLOOKUP(AQ1,DB_TBL_DATA_FIELDS[[FIELD_ID]:[FIELD_VALUE_CLEAN]],10,FALSE)</f>
        <v/>
      </c>
      <c r="AR2" s="153" t="str">
        <f ca="1">VLOOKUP(AR1,DB_TBL_DATA_FIELDS[[FIELD_ID]:[FIELD_VALUE_CLEAN]],10,FALSE)</f>
        <v/>
      </c>
    </row>
  </sheetData>
  <sheetProtection algorithmName="SHA-512" hashValue="2newC+XhSAcEhNPfK/EwuBn7ipzxb412l2YxcusT9wCiZdlqmMjW7jBuJCyjM7foGjK+wCemjrc7c1fizkNgaQ==" saltValue="lPXYsYXGNfwl1x1pHVBgtg==" spinCount="100000" sheet="1" objects="1" scenarios="1"/>
  <pageMargins left="0.7" right="0.7" top="0.75" bottom="0.75" header="0.3" footer="0.3"/>
  <tableParts count="1">
    <tablePart r:id="rId1"/>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FFC000"/>
  </sheetPr>
  <dimension ref="A1:Y2"/>
  <sheetViews>
    <sheetView workbookViewId="0">
      <selection activeCell="K10" sqref="K10:N10"/>
    </sheetView>
  </sheetViews>
  <sheetFormatPr defaultRowHeight="15" x14ac:dyDescent="0.25"/>
  <cols>
    <col min="1" max="1" width="20.7109375" customWidth="1"/>
    <col min="2" max="2" width="28.5703125" bestFit="1" customWidth="1"/>
    <col min="3" max="3" width="22.28515625" customWidth="1"/>
    <col min="4" max="4" width="25.5703125" customWidth="1"/>
    <col min="5" max="5" width="17.7109375" customWidth="1"/>
    <col min="6" max="6" width="32.85546875" customWidth="1"/>
    <col min="7" max="7" width="32.28515625" customWidth="1"/>
    <col min="8" max="8" width="27.140625" customWidth="1"/>
    <col min="9" max="9" width="27.85546875" customWidth="1"/>
    <col min="10" max="10" width="13.85546875" bestFit="1" customWidth="1"/>
    <col min="11" max="11" width="27.42578125" bestFit="1" customWidth="1"/>
    <col min="12" max="12" width="26.85546875" bestFit="1" customWidth="1"/>
    <col min="13" max="13" width="19.7109375" bestFit="1" customWidth="1"/>
    <col min="14" max="14" width="24.42578125" bestFit="1" customWidth="1"/>
    <col min="15" max="15" width="17.140625" bestFit="1" customWidth="1"/>
    <col min="16" max="16" width="30.42578125" bestFit="1" customWidth="1"/>
    <col min="17" max="17" width="16.42578125" bestFit="1" customWidth="1"/>
    <col min="18" max="18" width="22" bestFit="1" customWidth="1"/>
    <col min="19" max="19" width="22.7109375" bestFit="1" customWidth="1"/>
    <col min="20" max="20" width="20.140625" bestFit="1" customWidth="1"/>
    <col min="21" max="21" width="18.5703125" bestFit="1" customWidth="1"/>
    <col min="22" max="22" width="19.5703125" bestFit="1" customWidth="1"/>
    <col min="23" max="23" width="27.85546875" bestFit="1" customWidth="1"/>
    <col min="24" max="24" width="26.5703125" bestFit="1" customWidth="1"/>
    <col min="25" max="25" width="31.7109375" bestFit="1" customWidth="1"/>
  </cols>
  <sheetData>
    <row r="1" spans="1:25" x14ac:dyDescent="0.25">
      <c r="A1" s="148" t="s">
        <v>2200</v>
      </c>
      <c r="B1" s="149" t="s">
        <v>2201</v>
      </c>
      <c r="C1" s="149" t="s">
        <v>189</v>
      </c>
      <c r="D1" s="149" t="s">
        <v>2224</v>
      </c>
      <c r="E1" s="149" t="s">
        <v>2221</v>
      </c>
      <c r="F1" s="149" t="s">
        <v>2222</v>
      </c>
      <c r="G1" s="149" t="s">
        <v>2223</v>
      </c>
      <c r="H1" s="149" t="s">
        <v>2230</v>
      </c>
      <c r="I1" s="152" t="s">
        <v>2231</v>
      </c>
      <c r="J1" s="149" t="s">
        <v>2489</v>
      </c>
      <c r="K1" s="149" t="s">
        <v>2238</v>
      </c>
      <c r="L1" s="149" t="s">
        <v>2239</v>
      </c>
      <c r="M1" s="149" t="s">
        <v>2487</v>
      </c>
      <c r="N1" s="149" t="s">
        <v>2348</v>
      </c>
      <c r="O1" s="149" t="s">
        <v>2844</v>
      </c>
      <c r="P1" s="149" t="s">
        <v>2845</v>
      </c>
      <c r="Q1" s="149" t="s">
        <v>2293</v>
      </c>
      <c r="R1" s="149" t="s">
        <v>2294</v>
      </c>
      <c r="S1" s="149" t="s">
        <v>2295</v>
      </c>
      <c r="T1" s="149" t="s">
        <v>2296</v>
      </c>
      <c r="U1" s="149" t="s">
        <v>2319</v>
      </c>
      <c r="V1" s="149" t="s">
        <v>2320</v>
      </c>
      <c r="W1" s="149" t="s">
        <v>2855</v>
      </c>
      <c r="X1" s="149" t="s">
        <v>2857</v>
      </c>
      <c r="Y1" s="149" t="s">
        <v>2858</v>
      </c>
    </row>
    <row r="2" spans="1:25" x14ac:dyDescent="0.25">
      <c r="A2" s="150" t="e">
        <f>VLOOKUP(A1,DB_TBL_DATA_FIELDS[[FIELD_ID]:[FIELD_VALUE_CLEAN]],10,FALSE)</f>
        <v>#N/A</v>
      </c>
      <c r="B2" s="151" t="str">
        <f ca="1">VLOOKUP(B1,DB_TBL_DATA_FIELDS[[FIELD_ID]:[FIELD_VALUE_CLEAN]],10,FALSE)</f>
        <v>A000XXXXXXXXXN</v>
      </c>
      <c r="C2" s="151" t="str">
        <f>VLOOKUP(C1,DB_TBL_DATA_FIELDS[[FIELD_ID]:[FIELD_VALUE_CLEAN]],10,FALSE)</f>
        <v/>
      </c>
      <c r="D2" s="151" t="str">
        <f ca="1">VLOOKUP(D1,DB_TBL_DATA_FIELDS[[FIELD_ID]:[FIELD_VALUE_CLEAN]],10,FALSE)</f>
        <v>N</v>
      </c>
      <c r="E2" s="151" t="str">
        <f ca="1">VLOOKUP(E1,DB_TBL_DATA_FIELDS[[FIELD_ID]:[FIELD_VALUE_CLEAN]],10,FALSE)</f>
        <v/>
      </c>
      <c r="F2" s="151" t="str">
        <f ca="1">VLOOKUP(F1,DB_TBL_DATA_FIELDS[[FIELD_ID]:[FIELD_VALUE_CLEAN]],10,FALSE)</f>
        <v/>
      </c>
      <c r="G2" s="151" t="str">
        <f ca="1">VLOOKUP(G1,DB_TBL_DATA_FIELDS[[FIELD_ID]:[FIELD_VALUE_CLEAN]],10,FALSE)</f>
        <v/>
      </c>
      <c r="H2" s="151" t="str">
        <f ca="1">VLOOKUP(H1,DB_TBL_DATA_FIELDS[[FIELD_ID]:[FIELD_VALUE_CLEAN]],10,FALSE)</f>
        <v/>
      </c>
      <c r="I2" s="153" t="str">
        <f ca="1">VLOOKUP(I1,DB_TBL_DATA_FIELDS[[FIELD_ID]:[FIELD_VALUE_CLEAN]],10,FALSE)</f>
        <v/>
      </c>
      <c r="J2" s="153" t="str">
        <f ca="1">VLOOKUP(J1,DB_TBL_DATA_FIELDS[[FIELD_ID]:[FIELD_VALUE_CLEAN]],10,FALSE)</f>
        <v/>
      </c>
      <c r="K2" s="153" t="str">
        <f ca="1">VLOOKUP(K1,DB_TBL_DATA_FIELDS[[FIELD_ID]:[FIELD_VALUE_CLEAN]],10,FALSE)</f>
        <v/>
      </c>
      <c r="L2" s="153" t="str">
        <f ca="1">VLOOKUP(L1,DB_TBL_DATA_FIELDS[[FIELD_ID]:[FIELD_VALUE_CLEAN]],10,FALSE)</f>
        <v/>
      </c>
      <c r="M2" s="153" t="str">
        <f ca="1">VLOOKUP(M1,DB_TBL_DATA_FIELDS[[FIELD_ID]:[FIELD_VALUE_CLEAN]],10,FALSE)</f>
        <v/>
      </c>
      <c r="N2" s="153" t="str">
        <f ca="1">VLOOKUP(N1,DB_TBL_DATA_FIELDS[[FIELD_ID]:[FIELD_VALUE_CLEAN]],10,FALSE)</f>
        <v/>
      </c>
      <c r="O2" s="153" t="str">
        <f ca="1">VLOOKUP(O1,DB_TBL_DATA_FIELDS[[FIELD_ID]:[FIELD_VALUE_CLEAN]],10,FALSE)</f>
        <v/>
      </c>
      <c r="P2" s="153" t="str">
        <f ca="1">VLOOKUP(P1,DB_TBL_DATA_FIELDS[[FIELD_ID]:[FIELD_VALUE_CLEAN]],10,FALSE)</f>
        <v/>
      </c>
      <c r="Q2" s="153" t="str">
        <f ca="1">VLOOKUP(Q1,DB_TBL_DATA_FIELDS[[FIELD_ID]:[FIELD_VALUE_CLEAN]],10,FALSE)</f>
        <v/>
      </c>
      <c r="R2" s="153" t="str">
        <f ca="1">VLOOKUP(R1,DB_TBL_DATA_FIELDS[[FIELD_ID]:[FIELD_VALUE_CLEAN]],10,FALSE)</f>
        <v/>
      </c>
      <c r="S2" s="153" t="str">
        <f ca="1">VLOOKUP(S1,DB_TBL_DATA_FIELDS[[FIELD_ID]:[FIELD_VALUE_CLEAN]],10,FALSE)</f>
        <v/>
      </c>
      <c r="T2" s="153" t="str">
        <f ca="1">VLOOKUP(T1,DB_TBL_DATA_FIELDS[[FIELD_ID]:[FIELD_VALUE_CLEAN]],10,FALSE)</f>
        <v/>
      </c>
      <c r="U2" s="153" t="str">
        <f ca="1">VLOOKUP(U1,DB_TBL_DATA_FIELDS[[FIELD_ID]:[FIELD_VALUE_CLEAN]],10,FALSE)</f>
        <v/>
      </c>
      <c r="V2" s="153" t="str">
        <f ca="1">VLOOKUP(V1,DB_TBL_DATA_FIELDS[[FIELD_ID]:[FIELD_VALUE_CLEAN]],10,FALSE)</f>
        <v/>
      </c>
      <c r="W2" s="153" t="str">
        <f ca="1">VLOOKUP(W1,DB_TBL_DATA_FIELDS[[FIELD_ID]:[FIELD_VALUE_CLEAN]],10,FALSE)</f>
        <v/>
      </c>
      <c r="X2" s="153" t="str">
        <f ca="1">VLOOKUP(X1,DB_TBL_DATA_FIELDS[[FIELD_ID]:[FIELD_VALUE_CLEAN]],10,FALSE)</f>
        <v/>
      </c>
      <c r="Y2" s="153" t="str">
        <f ca="1">VLOOKUP(Y1,DB_TBL_DATA_FIELDS[[FIELD_ID]:[FIELD_VALUE_CLEAN]],10,FALSE)</f>
        <v/>
      </c>
    </row>
  </sheetData>
  <sheetProtection algorithmName="SHA-512" hashValue="pq0/6npRkMMnj2Uj0144I4Ocg0OlMVgG7+wQvKWF2taHM4isxAPGoyRizXiA4jB517mW0or3Kf+/1GJ1LI59XQ==" saltValue="i6OqsBwYP4dv7e+WS+bOYw==" spinCount="100000" sheet="1" objects="1" scenarios="1"/>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autoPageBreaks="0" fitToPage="1"/>
  </sheetPr>
  <dimension ref="A1:Y215"/>
  <sheetViews>
    <sheetView showGridLines="0" showRowColHeaders="0" zoomScaleNormal="100" workbookViewId="0">
      <pane ySplit="4" topLeftCell="A5" activePane="bottomLeft" state="frozen"/>
      <selection pane="bottomLeft" activeCell="H5" sqref="H5"/>
    </sheetView>
  </sheetViews>
  <sheetFormatPr defaultColWidth="0" defaultRowHeight="0" customHeight="1" zeroHeight="1" x14ac:dyDescent="0.25"/>
  <cols>
    <col min="1" max="1" width="27.5703125" style="67" hidden="1" customWidth="1"/>
    <col min="2" max="7" width="15.7109375" style="67" hidden="1" customWidth="1"/>
    <col min="8" max="8" width="2.42578125" customWidth="1"/>
    <col min="9" max="9" width="10.7109375" customWidth="1"/>
    <col min="10" max="10" width="2.7109375" style="44" customWidth="1"/>
    <col min="11" max="11" width="10.7109375" customWidth="1"/>
    <col min="12" max="12" width="2.7109375" style="44" customWidth="1"/>
    <col min="13" max="13" width="10.7109375" customWidth="1"/>
    <col min="14" max="14" width="2.7109375" style="44" customWidth="1"/>
    <col min="15" max="15" width="10.7109375" customWidth="1"/>
    <col min="16" max="16" width="2.7109375" style="44" customWidth="1"/>
    <col min="17" max="17" width="10.7109375" customWidth="1"/>
    <col min="18" max="18" width="2.7109375" style="44" customWidth="1"/>
    <col min="19" max="19" width="10.7109375" customWidth="1"/>
    <col min="20" max="20" width="2.7109375" style="44" customWidth="1"/>
    <col min="21" max="21" width="10.7109375" customWidth="1"/>
    <col min="22" max="22" width="2.7109375" style="44" customWidth="1"/>
    <col min="23" max="23" width="10.7109375" customWidth="1"/>
    <col min="24" max="24" width="2.7109375" style="44" customWidth="1"/>
    <col min="25" max="25" width="2.42578125" customWidth="1"/>
    <col min="26" max="16384" width="9.140625" hidden="1"/>
  </cols>
  <sheetData>
    <row r="1" spans="1:25" ht="40.5" customHeight="1" thickBot="1" x14ac:dyDescent="0.3">
      <c r="A1" s="43" t="s">
        <v>179</v>
      </c>
      <c r="B1" s="43" t="s">
        <v>178</v>
      </c>
      <c r="C1" s="43" t="s">
        <v>175</v>
      </c>
      <c r="D1" s="43" t="s">
        <v>176</v>
      </c>
      <c r="E1" s="43" t="s">
        <v>173</v>
      </c>
      <c r="F1" s="43" t="s">
        <v>174</v>
      </c>
      <c r="G1" s="84" t="s">
        <v>177</v>
      </c>
      <c r="H1" s="82"/>
      <c r="I1" s="82"/>
      <c r="J1" s="83"/>
      <c r="K1" s="82"/>
      <c r="L1" s="83"/>
      <c r="M1" s="82"/>
      <c r="N1" s="83"/>
      <c r="O1" s="82"/>
      <c r="P1" s="83"/>
      <c r="Q1" s="82"/>
      <c r="R1" s="83"/>
      <c r="S1" s="82"/>
      <c r="T1" s="83"/>
      <c r="U1" s="82"/>
      <c r="V1" s="83"/>
      <c r="W1" s="82"/>
      <c r="X1" s="83"/>
      <c r="Y1" s="82"/>
    </row>
    <row r="2" spans="1:25" ht="3" customHeight="1" x14ac:dyDescent="0.25">
      <c r="A2" s="45"/>
      <c r="B2" s="45"/>
      <c r="C2" s="45"/>
      <c r="D2" s="45"/>
      <c r="E2" s="45"/>
      <c r="F2" s="45"/>
      <c r="G2" s="45"/>
      <c r="H2" s="46"/>
      <c r="I2" s="75"/>
      <c r="J2" s="75"/>
      <c r="K2" s="75"/>
      <c r="L2" s="75"/>
      <c r="M2" s="75"/>
      <c r="N2" s="75"/>
      <c r="O2" s="75"/>
      <c r="P2" s="76"/>
      <c r="Q2" s="76"/>
      <c r="R2" s="47"/>
      <c r="S2" s="48"/>
      <c r="T2" s="47"/>
      <c r="U2" s="47"/>
      <c r="V2" s="47"/>
      <c r="W2" s="47"/>
      <c r="X2" s="47"/>
      <c r="Y2" s="47"/>
    </row>
    <row r="3" spans="1:25" ht="15" customHeight="1" x14ac:dyDescent="0.25">
      <c r="A3" s="45"/>
      <c r="B3" s="45"/>
      <c r="C3" s="45"/>
      <c r="D3" s="45"/>
      <c r="E3" s="45"/>
      <c r="F3" s="45"/>
      <c r="G3" s="45"/>
      <c r="H3" s="49"/>
      <c r="I3" s="75" t="str">
        <f ca="1">(LEFT($B$8,40)&amp;IF(LEN($B$8)&gt;40,"…",""))</f>
        <v>Household Not Yet Specified</v>
      </c>
      <c r="J3" s="75"/>
      <c r="K3" s="75"/>
      <c r="L3" s="75"/>
      <c r="M3" s="75"/>
      <c r="N3" s="75"/>
      <c r="O3" s="75"/>
      <c r="P3" s="76"/>
      <c r="Q3" s="76"/>
      <c r="R3" s="76" t="s">
        <v>2140</v>
      </c>
      <c r="S3" s="133" t="str">
        <f>IF('$DB.DATA'!G11="DSB",VLOOKUP("APP_PROGRESS_PCT_COMPLETE",DB_TBL_DATA_FIELDS[[FIELD_ID]:[FIELD_VALUE_CLEAN]],10,FALSE),"N/A")</f>
        <v>N/A</v>
      </c>
      <c r="T3" s="117" t="str">
        <f ca="1">IF(DATA_APP_PROGRESS_ERROR_COUNT&gt;0,0,IF(DATA_EFORM_COMPLETE_FLAG,2,""))</f>
        <v/>
      </c>
      <c r="U3" s="49"/>
      <c r="V3" s="50"/>
      <c r="W3" s="49"/>
      <c r="X3" s="50"/>
      <c r="Y3" s="49"/>
    </row>
    <row r="4" spans="1:25" ht="3" customHeight="1" x14ac:dyDescent="0.25">
      <c r="A4" s="45"/>
      <c r="B4" s="45"/>
      <c r="C4" s="45"/>
      <c r="D4" s="45"/>
      <c r="E4" s="45"/>
      <c r="F4" s="45"/>
      <c r="G4" s="45"/>
      <c r="H4" s="34"/>
      <c r="I4" s="85"/>
      <c r="J4" s="85"/>
      <c r="K4" s="85"/>
      <c r="L4" s="85"/>
      <c r="M4" s="85"/>
      <c r="N4" s="85"/>
      <c r="O4" s="85"/>
      <c r="P4" s="86"/>
      <c r="Q4" s="86"/>
      <c r="R4" s="87"/>
      <c r="S4" s="34"/>
      <c r="T4" s="87"/>
      <c r="U4" s="34"/>
      <c r="V4" s="87"/>
      <c r="W4" s="34"/>
      <c r="X4" s="87"/>
      <c r="Y4" s="34"/>
    </row>
    <row r="5" spans="1:25" ht="3.95" customHeight="1" x14ac:dyDescent="0.25">
      <c r="A5" s="45"/>
      <c r="B5" s="45"/>
      <c r="C5" s="45"/>
      <c r="D5" s="45"/>
      <c r="E5" s="45"/>
      <c r="F5" s="45"/>
      <c r="G5" s="45"/>
      <c r="H5" s="39"/>
      <c r="I5" s="79"/>
      <c r="J5" s="79"/>
      <c r="K5" s="79"/>
      <c r="L5" s="79"/>
      <c r="M5" s="79"/>
      <c r="N5" s="79"/>
      <c r="O5" s="79"/>
      <c r="P5" s="80"/>
      <c r="Q5" s="80"/>
    </row>
    <row r="6" spans="1:25" ht="18" customHeight="1" x14ac:dyDescent="0.25">
      <c r="A6" s="51" t="s">
        <v>32</v>
      </c>
      <c r="B6" s="94" t="str">
        <f>LOOKUP_PROGRAM_NAME_HDP&amp;" - "&amp;CONFIG_ENROLL_PERD_DESC</f>
        <v>Homebuyer Dream Program - 2026 Round</v>
      </c>
      <c r="C6" s="51"/>
      <c r="D6" s="51"/>
      <c r="E6" s="51"/>
      <c r="F6" s="51"/>
      <c r="G6" s="51"/>
      <c r="H6" s="59" t="str">
        <f ca="1">B11</f>
        <v/>
      </c>
      <c r="I6" s="381" t="str">
        <f ca="1">B12</f>
        <v/>
      </c>
      <c r="J6" s="381"/>
      <c r="K6" s="381"/>
      <c r="L6" s="381"/>
      <c r="M6" s="381"/>
      <c r="N6" s="381"/>
      <c r="O6" s="381"/>
      <c r="P6" s="381"/>
      <c r="Q6" s="381"/>
      <c r="R6" s="381"/>
      <c r="S6" s="381"/>
      <c r="T6" s="381"/>
      <c r="U6" s="381"/>
      <c r="V6" s="381"/>
      <c r="W6" s="381"/>
      <c r="X6" s="381"/>
      <c r="Y6" s="381"/>
    </row>
    <row r="7" spans="1:25" ht="3.95" customHeight="1" x14ac:dyDescent="0.25">
      <c r="A7" s="51" t="s">
        <v>2208</v>
      </c>
      <c r="B7" s="94" t="str">
        <f>VLOOKUP(A7,DB_TBL_CONFIG_APP[#All],4,FALSE)</f>
        <v>Funding Request</v>
      </c>
      <c r="C7" s="51"/>
      <c r="D7" s="51"/>
      <c r="E7" s="51"/>
      <c r="F7" s="51"/>
      <c r="G7" s="51"/>
      <c r="H7" s="59"/>
      <c r="I7" s="59"/>
      <c r="J7" s="59"/>
      <c r="K7" s="59"/>
      <c r="L7" s="59"/>
      <c r="M7" s="59"/>
      <c r="N7" s="59"/>
      <c r="O7" s="59"/>
      <c r="P7" s="59"/>
      <c r="Q7" s="59"/>
      <c r="R7" s="59"/>
      <c r="S7" s="59"/>
      <c r="T7" s="59"/>
      <c r="U7" s="59"/>
      <c r="V7" s="59"/>
      <c r="W7" s="59"/>
      <c r="X7" s="59"/>
      <c r="Y7" s="59"/>
    </row>
    <row r="8" spans="1:25" s="36" customFormat="1" ht="21.95" customHeight="1" thickBot="1" x14ac:dyDescent="0.25">
      <c r="A8" s="51" t="s">
        <v>2351</v>
      </c>
      <c r="B8" s="94" t="str">
        <f ca="1">IF(DATA_HSEHLD_BANNER="","Household Not Yet Specified",DATA_HSEHLD_BANNER)</f>
        <v>Household Not Yet Specified</v>
      </c>
      <c r="C8" s="54"/>
      <c r="D8" s="54"/>
      <c r="E8" s="51"/>
      <c r="F8" s="51"/>
      <c r="G8" s="51"/>
      <c r="H8" s="59"/>
      <c r="I8" s="114" t="s">
        <v>2354</v>
      </c>
      <c r="J8" s="115"/>
      <c r="K8" s="115"/>
      <c r="L8" s="115"/>
      <c r="M8" s="115"/>
      <c r="N8" s="115"/>
      <c r="O8" s="115"/>
      <c r="P8" s="115"/>
      <c r="Q8" s="115"/>
      <c r="R8" s="115"/>
      <c r="S8" s="115"/>
      <c r="T8" s="115"/>
      <c r="U8" s="115"/>
      <c r="V8" s="115"/>
      <c r="W8" s="115"/>
      <c r="X8" s="115"/>
      <c r="Y8" s="59"/>
    </row>
    <row r="9" spans="1:25" s="36" customFormat="1" ht="99.75" customHeight="1" x14ac:dyDescent="0.25">
      <c r="A9" s="54" t="s">
        <v>2154</v>
      </c>
      <c r="B9" s="65">
        <f ca="1">SUM(B29,B43,B58,B90,B113)</f>
        <v>0</v>
      </c>
      <c r="C9" s="54"/>
      <c r="D9" s="54"/>
      <c r="E9" s="54"/>
      <c r="F9" s="54"/>
      <c r="G9" s="54"/>
      <c r="H9" s="59"/>
      <c r="I9" s="387" t="s">
        <v>9342</v>
      </c>
      <c r="J9" s="387"/>
      <c r="K9" s="387"/>
      <c r="L9" s="387"/>
      <c r="M9" s="387"/>
      <c r="N9" s="387"/>
      <c r="O9" s="387"/>
      <c r="P9" s="387"/>
      <c r="Q9" s="387"/>
      <c r="R9" s="387"/>
      <c r="S9" s="387"/>
      <c r="T9" s="387"/>
      <c r="U9" s="387"/>
      <c r="V9" s="387"/>
      <c r="W9" s="387"/>
      <c r="X9" s="387"/>
      <c r="Y9" s="59"/>
    </row>
    <row r="10" spans="1:25" s="36" customFormat="1" ht="9.9499999999999993" customHeight="1" x14ac:dyDescent="0.25">
      <c r="A10" s="54" t="s">
        <v>2155</v>
      </c>
      <c r="B10" s="65" t="b">
        <f ca="1">B9&gt;0</f>
        <v>0</v>
      </c>
      <c r="C10" s="54"/>
      <c r="D10" s="54"/>
      <c r="E10" s="54"/>
      <c r="F10" s="54"/>
      <c r="G10" s="54"/>
      <c r="H10" s="59"/>
      <c r="I10" s="59"/>
      <c r="J10" s="59"/>
      <c r="K10" s="59"/>
      <c r="L10" s="59"/>
      <c r="M10" s="59"/>
      <c r="N10" s="59"/>
      <c r="O10" s="59"/>
      <c r="P10" s="59"/>
      <c r="Q10" s="59"/>
      <c r="R10" s="59"/>
      <c r="S10" s="59"/>
      <c r="T10" s="59"/>
      <c r="U10" s="59"/>
      <c r="V10" s="59"/>
      <c r="W10" s="59"/>
      <c r="X10" s="59"/>
      <c r="Y10" s="59"/>
    </row>
    <row r="11" spans="1:25" s="36" customFormat="1" ht="21.95" customHeight="1" thickBot="1" x14ac:dyDescent="0.3">
      <c r="A11" s="54" t="s">
        <v>2156</v>
      </c>
      <c r="B11" s="65" t="str">
        <f ca="1">IF(B10,1,"")</f>
        <v/>
      </c>
      <c r="C11" s="54"/>
      <c r="D11" s="54"/>
      <c r="E11" s="54"/>
      <c r="F11" s="54"/>
      <c r="G11" s="54"/>
      <c r="H11" s="59"/>
      <c r="I11" s="114" t="s">
        <v>2879</v>
      </c>
      <c r="J11" s="115"/>
      <c r="K11" s="115"/>
      <c r="L11" s="115"/>
      <c r="M11" s="115"/>
      <c r="N11" s="115"/>
      <c r="O11" s="115"/>
      <c r="P11" s="115"/>
      <c r="Q11" s="115"/>
      <c r="R11" s="115"/>
      <c r="S11" s="115"/>
      <c r="T11" s="115"/>
      <c r="U11" s="115"/>
      <c r="V11" s="115"/>
      <c r="W11" s="115"/>
      <c r="X11" s="115"/>
      <c r="Y11" s="59"/>
    </row>
    <row r="12" spans="1:25" s="36" customFormat="1" ht="6.75" customHeight="1" x14ac:dyDescent="0.2">
      <c r="A12" s="54" t="s">
        <v>2157</v>
      </c>
      <c r="B12" s="94" t="str">
        <f ca="1">IF(B10,B9&amp;" "&amp;'$DB.CONFIG'!$M$4,"")</f>
        <v/>
      </c>
      <c r="C12" s="54"/>
      <c r="D12" s="54"/>
      <c r="E12" s="54"/>
      <c r="F12" s="54"/>
      <c r="G12" s="54"/>
      <c r="H12" s="59"/>
      <c r="I12" s="60"/>
      <c r="J12" s="59"/>
      <c r="K12" s="59"/>
      <c r="L12" s="59"/>
      <c r="M12" s="59"/>
      <c r="N12" s="59"/>
      <c r="O12" s="59"/>
      <c r="P12" s="59"/>
      <c r="Q12" s="59"/>
      <c r="R12" s="59"/>
      <c r="S12" s="59"/>
      <c r="T12" s="59"/>
      <c r="U12" s="59"/>
      <c r="V12" s="59"/>
      <c r="W12" s="59"/>
      <c r="X12" s="59"/>
      <c r="Y12" s="59"/>
    </row>
    <row r="13" spans="1:25" s="36" customFormat="1" ht="21.95" customHeight="1" x14ac:dyDescent="0.25">
      <c r="A13" s="54"/>
      <c r="B13" s="54"/>
      <c r="C13" s="54"/>
      <c r="D13" s="54"/>
      <c r="E13" s="54"/>
      <c r="F13" s="54"/>
      <c r="G13" s="54"/>
      <c r="H13"/>
      <c r="I13" s="53" t="s">
        <v>25</v>
      </c>
      <c r="J13" s="78">
        <f>1</f>
        <v>1</v>
      </c>
      <c r="K13" s="74"/>
      <c r="L13" s="74"/>
      <c r="M13" s="53" t="s">
        <v>2186</v>
      </c>
      <c r="N13" s="78">
        <f>2</f>
        <v>2</v>
      </c>
      <c r="Q13" s="53" t="s">
        <v>2187</v>
      </c>
      <c r="R13" s="78">
        <f>0</f>
        <v>0</v>
      </c>
      <c r="U13" s="384" t="s">
        <v>2188</v>
      </c>
      <c r="V13" s="385"/>
      <c r="W13" s="385"/>
      <c r="X13" s="386"/>
      <c r="Y13"/>
    </row>
    <row r="14" spans="1:25" s="36" customFormat="1" ht="21.95" customHeight="1" x14ac:dyDescent="0.25">
      <c r="A14" s="54"/>
      <c r="B14" s="54"/>
      <c r="C14" s="54"/>
      <c r="D14" s="54"/>
      <c r="E14" s="54"/>
      <c r="F14" s="54"/>
      <c r="G14" s="54"/>
      <c r="H14"/>
      <c r="I14"/>
      <c r="J14" s="44"/>
      <c r="K14"/>
      <c r="L14" s="44"/>
      <c r="M14"/>
      <c r="N14" s="44"/>
      <c r="O14"/>
      <c r="P14" s="44"/>
      <c r="Q14"/>
      <c r="R14" s="44"/>
      <c r="S14"/>
      <c r="T14" s="44"/>
      <c r="U14"/>
      <c r="V14" s="44"/>
      <c r="W14"/>
      <c r="X14" s="44"/>
      <c r="Y14"/>
    </row>
    <row r="15" spans="1:25" s="36" customFormat="1" ht="21.95" customHeight="1" thickBot="1" x14ac:dyDescent="0.3">
      <c r="A15" s="54"/>
      <c r="B15" s="54"/>
      <c r="C15" s="54"/>
      <c r="D15" s="54"/>
      <c r="E15" s="54"/>
      <c r="F15" s="54"/>
      <c r="G15" s="54"/>
      <c r="I15" s="55" t="s">
        <v>186</v>
      </c>
      <c r="J15" s="55"/>
      <c r="K15" s="55"/>
      <c r="L15" s="55"/>
      <c r="M15" s="55"/>
      <c r="N15" s="55"/>
      <c r="O15" s="55"/>
      <c r="P15" s="55"/>
      <c r="Q15" s="55"/>
      <c r="R15" s="55"/>
      <c r="S15" s="55"/>
      <c r="T15" s="55"/>
      <c r="U15" s="55"/>
      <c r="V15" s="55"/>
      <c r="W15" s="55"/>
      <c r="X15" s="56"/>
    </row>
    <row r="16" spans="1:25" s="36" customFormat="1" ht="21.95" customHeight="1" x14ac:dyDescent="0.25">
      <c r="A16" s="54"/>
      <c r="B16" s="54"/>
      <c r="C16" s="54"/>
      <c r="D16" s="54"/>
      <c r="E16" s="54"/>
      <c r="F16" s="54"/>
      <c r="G16" s="54"/>
      <c r="H16" s="57"/>
      <c r="I16" s="37"/>
      <c r="J16" s="37"/>
      <c r="K16" s="37"/>
      <c r="L16" s="37"/>
      <c r="M16" s="37"/>
      <c r="N16" s="37"/>
      <c r="O16" s="58"/>
      <c r="P16" s="58"/>
      <c r="Q16" s="37"/>
      <c r="R16" s="37"/>
      <c r="S16" s="37"/>
      <c r="T16" s="37"/>
      <c r="U16" s="37"/>
      <c r="V16" s="37"/>
      <c r="W16" s="37"/>
      <c r="X16" s="37"/>
    </row>
    <row r="17" spans="1:25" s="36" customFormat="1" ht="21.95" customHeight="1" x14ac:dyDescent="0.25">
      <c r="A17" s="54"/>
      <c r="B17" s="54"/>
      <c r="C17" s="54"/>
      <c r="D17" s="54"/>
      <c r="E17" s="54"/>
      <c r="F17" s="54"/>
      <c r="G17" s="54"/>
      <c r="I17" s="382" t="str">
        <f>"1     "&amp;VLOOKUP("SECTION_1_TOC_LABEL",A:B,2,FALSE)</f>
        <v>1     FHLBNY Member</v>
      </c>
      <c r="J17" s="382"/>
      <c r="K17" s="382"/>
      <c r="L17" s="382"/>
      <c r="M17" s="382"/>
      <c r="N17" s="59" t="str">
        <f>IF($B$30,1,"")</f>
        <v/>
      </c>
      <c r="O17" s="73" t="str">
        <f ca="1">$B$26</f>
        <v>Not Started</v>
      </c>
      <c r="P17" s="59" t="str">
        <f ca="1">B27</f>
        <v/>
      </c>
      <c r="Q17" s="383" t="str">
        <f>"4     "&amp;VLOOKUP("SECTION_4_TOC_LABEL",A:B,2,FALSE)</f>
        <v>4     Mortgage Information</v>
      </c>
      <c r="R17" s="383"/>
      <c r="S17" s="383"/>
      <c r="T17" s="383"/>
      <c r="U17" s="383"/>
      <c r="V17" s="59" t="str">
        <f ca="1">IF($B$91,1,"")</f>
        <v/>
      </c>
      <c r="W17" s="73" t="str">
        <f ca="1">$B$83</f>
        <v>Not Started</v>
      </c>
      <c r="X17" s="59" t="str">
        <f ca="1">$B84</f>
        <v/>
      </c>
    </row>
    <row r="18" spans="1:25" s="36" customFormat="1" ht="21.95" customHeight="1" x14ac:dyDescent="0.25">
      <c r="A18" s="91" t="s">
        <v>118</v>
      </c>
      <c r="B18" s="93" t="s">
        <v>2832</v>
      </c>
      <c r="C18" s="92"/>
      <c r="D18" s="92"/>
      <c r="E18" s="92"/>
      <c r="F18" s="92"/>
      <c r="G18" s="92"/>
      <c r="I18" s="382" t="str">
        <f>"2     "&amp;VLOOKUP("SECTION_2_TOC_LABEL",A:B,2,FALSE)</f>
        <v>2     Household Information</v>
      </c>
      <c r="J18" s="382"/>
      <c r="K18" s="382"/>
      <c r="L18" s="382"/>
      <c r="M18" s="382"/>
      <c r="N18" s="59" t="str">
        <f>IF($B$44,1,"")</f>
        <v/>
      </c>
      <c r="O18" s="73" t="str">
        <f ca="1">$B$40</f>
        <v>Not Started</v>
      </c>
      <c r="P18" s="59" t="str">
        <f ca="1">B41</f>
        <v/>
      </c>
      <c r="Q18" s="383" t="str">
        <f>"5    "&amp;VLOOKUP("SECTION_5_TOC_LABEL",A:B,2,FALSE)</f>
        <v>5    Other Grants</v>
      </c>
      <c r="R18" s="383"/>
      <c r="S18" s="383"/>
      <c r="T18" s="383"/>
      <c r="U18" s="383"/>
      <c r="V18" s="59" t="str">
        <f>IF($B$114,1,"")</f>
        <v/>
      </c>
      <c r="W18" s="73" t="str">
        <f ca="1">$B$110</f>
        <v>Not Started</v>
      </c>
      <c r="X18" s="59" t="str">
        <f ca="1">$B111</f>
        <v/>
      </c>
    </row>
    <row r="19" spans="1:25" s="36" customFormat="1" ht="21.95" customHeight="1" x14ac:dyDescent="0.25">
      <c r="A19" s="61" t="s">
        <v>2221</v>
      </c>
      <c r="B19" s="95" t="str">
        <f>IF(I24="","",I24)</f>
        <v/>
      </c>
      <c r="C19" s="54">
        <f ca="1">VLOOKUP(A19,DB_TBL_DATA_FIELDS[[FIELD_ID]:[PCT_CALC_FIELD_STATUS_CODE]],22,FALSE)</f>
        <v>1</v>
      </c>
      <c r="D19" s="54" t="str">
        <f>IF(VLOOKUP(A19,DB_TBL_DATA_FIELDS[[FIELD_ID]:[ERROR_MESSAGE]],23,FALSE)&lt;&gt;0,VLOOKUP(A19,DB_TBL_DATA_FIELDS[[FIELD_ID]:[ERROR_MESSAGE]],23,FALSE),"")</f>
        <v/>
      </c>
      <c r="E19" s="54">
        <f>VLOOKUP(A19,DB_TBL_DATA_FIELDS[[#All],[FIELD_ID]:[RANGE_VALIDATION_MAX]],18,FALSE)</f>
        <v>0</v>
      </c>
      <c r="F19" s="54">
        <f>VLOOKUP(A19,DB_TBL_DATA_FIELDS[[#All],[FIELD_ID]:[RANGE_VALIDATION_MAX]],19,FALSE)</f>
        <v>100</v>
      </c>
      <c r="G19" s="54">
        <f ca="1">IF(C19&lt;0,"",C19)</f>
        <v>1</v>
      </c>
      <c r="I19" s="382" t="str">
        <f>"3     "&amp;VLOOKUP("SECTION_3_TOC_LABEL",A:B,2,FALSE)</f>
        <v>3     Grant Summary</v>
      </c>
      <c r="J19" s="382"/>
      <c r="K19" s="382"/>
      <c r="L19" s="382"/>
      <c r="M19" s="382"/>
      <c r="N19" s="59" t="str">
        <f>IF($B$59,1,"")</f>
        <v/>
      </c>
      <c r="O19" s="73" t="str">
        <f ca="1">$B$55</f>
        <v>Not Started</v>
      </c>
      <c r="P19" s="59" t="str">
        <f ca="1">B56</f>
        <v/>
      </c>
      <c r="Q19" s="383" t="str">
        <f>"6    "&amp;VLOOKUP("SECTION_6_TOC_LABEL",A:B,2,FALSE)</f>
        <v>6    Member Certification</v>
      </c>
      <c r="R19" s="383"/>
      <c r="S19" s="383"/>
      <c r="T19" s="383"/>
      <c r="U19" s="383"/>
      <c r="V19" s="59" t="str">
        <f>IF($B$130,1,"")</f>
        <v/>
      </c>
      <c r="W19" s="73" t="str">
        <f ca="1">$B$126</f>
        <v>Not Started</v>
      </c>
      <c r="X19" s="59" t="str">
        <f ca="1">$B127</f>
        <v/>
      </c>
    </row>
    <row r="20" spans="1:25" s="36" customFormat="1" ht="21.95" customHeight="1" x14ac:dyDescent="0.25">
      <c r="A20" s="61" t="s">
        <v>2282</v>
      </c>
      <c r="B20" s="116" t="str">
        <f>IF(U24="","",U24)</f>
        <v/>
      </c>
      <c r="C20" s="54" t="str">
        <f>VLOOKUP(A20,DB_TBL_DATA_FIELDS[[FIELD_ID]:[PCT_CALC_FIELD_STATUS_CODE]],22,FALSE)</f>
        <v/>
      </c>
      <c r="D20" s="54" t="str">
        <f>IF(VLOOKUP(A20,DB_TBL_DATA_FIELDS[[FIELD_ID]:[ERROR_MESSAGE]],23,FALSE)&lt;&gt;0,VLOOKUP(A20,DB_TBL_DATA_FIELDS[[FIELD_ID]:[ERROR_MESSAGE]],23,FALSE),"")</f>
        <v/>
      </c>
      <c r="E20" s="54">
        <f>VLOOKUP(A20,DB_TBL_DATA_FIELDS[[#All],[FIELD_ID]:[RANGE_VALIDATION_MAX]],18,FALSE)</f>
        <v>0</v>
      </c>
      <c r="F20" s="54">
        <f>VLOOKUP(A20,DB_TBL_DATA_FIELDS[[#All],[FIELD_ID]:[RANGE_VALIDATION_MAX]],19,FALSE)</f>
        <v>0</v>
      </c>
      <c r="G20" s="54" t="str">
        <f t="shared" ref="G20" si="0">IF(C20&lt;0,"",C20)</f>
        <v/>
      </c>
      <c r="J20" s="44"/>
      <c r="L20" s="44"/>
      <c r="N20" s="44"/>
      <c r="P20" s="44"/>
      <c r="R20" s="44"/>
      <c r="T20" s="44"/>
      <c r="V20" s="44"/>
      <c r="X20" s="44"/>
    </row>
    <row r="21" spans="1:25" s="36" customFormat="1" ht="21.95" customHeight="1" thickBot="1" x14ac:dyDescent="0.3">
      <c r="A21" s="61" t="s">
        <v>117</v>
      </c>
      <c r="B21" s="65" t="str">
        <f>"C"&amp;MATCH(LEFT(A21,LEN(A21)-LEN("_RANGE")),A:A,0)+1&amp;":C"&amp;(ROW()-1)</f>
        <v>C19:C20</v>
      </c>
      <c r="C21" s="54"/>
      <c r="D21" s="54"/>
      <c r="E21" s="54"/>
      <c r="F21" s="54"/>
      <c r="G21" s="54"/>
      <c r="H21" s="37"/>
      <c r="I21" s="55" t="str">
        <f>B18</f>
        <v>Federal Home Loan Bank of New York Member</v>
      </c>
      <c r="J21" s="55"/>
      <c r="K21" s="55"/>
      <c r="L21" s="55"/>
      <c r="M21" s="55"/>
      <c r="N21" s="55"/>
      <c r="O21" s="55"/>
      <c r="P21" s="55"/>
      <c r="Q21" s="55"/>
      <c r="R21" s="55"/>
      <c r="S21" s="55"/>
      <c r="T21" s="55"/>
      <c r="U21" s="55"/>
      <c r="V21" s="55"/>
      <c r="W21" s="55"/>
      <c r="X21" s="56" t="str">
        <f ca="1">"Status: "&amp;$B$26</f>
        <v>Status: Not Started</v>
      </c>
      <c r="Y21" s="37"/>
    </row>
    <row r="22" spans="1:25" s="36" customFormat="1" ht="21.95" customHeight="1" x14ac:dyDescent="0.25">
      <c r="A22" s="61" t="s">
        <v>111</v>
      </c>
      <c r="B22" s="65">
        <f ca="1">COUNTIF(INDIRECT($B21),2)</f>
        <v>0</v>
      </c>
      <c r="C22" s="54"/>
      <c r="D22" s="54"/>
      <c r="E22" s="54"/>
      <c r="F22" s="54"/>
      <c r="G22" s="54"/>
      <c r="H22" s="37"/>
      <c r="I22" s="37"/>
      <c r="J22" s="37"/>
      <c r="K22" s="37"/>
      <c r="L22" s="37"/>
      <c r="M22" s="37"/>
      <c r="N22" s="37"/>
      <c r="O22" s="37"/>
      <c r="P22" s="37"/>
      <c r="Q22" s="37"/>
      <c r="R22" s="37"/>
      <c r="S22" s="37"/>
      <c r="T22" s="37"/>
      <c r="U22" s="37"/>
      <c r="V22" s="37"/>
      <c r="W22" s="37"/>
      <c r="X22" s="37"/>
      <c r="Y22" s="37"/>
    </row>
    <row r="23" spans="1:25" s="36" customFormat="1" ht="21.95" customHeight="1" x14ac:dyDescent="0.25">
      <c r="A23" s="61" t="s">
        <v>112</v>
      </c>
      <c r="B23" s="65">
        <f ca="1">COUNTIF(INDIRECT($B21),0)+COUNTIF(INDIRECT($B21),1)+COUNTIF(INDIRECT($B21),2)</f>
        <v>1</v>
      </c>
      <c r="C23" s="54"/>
      <c r="D23" s="54"/>
      <c r="E23" s="54"/>
      <c r="F23" s="54"/>
      <c r="G23" s="54"/>
      <c r="I23" s="36" t="s">
        <v>129</v>
      </c>
      <c r="J23" s="44"/>
      <c r="L23" s="44"/>
      <c r="N23" s="44"/>
      <c r="P23" s="44"/>
      <c r="R23" s="44"/>
      <c r="T23" s="44"/>
      <c r="U23" s="44"/>
      <c r="V23" s="44"/>
      <c r="W23" s="44"/>
      <c r="X23" s="44"/>
    </row>
    <row r="24" spans="1:25" s="36" customFormat="1" ht="21.95" customHeight="1" x14ac:dyDescent="0.25">
      <c r="A24" s="61" t="s">
        <v>113</v>
      </c>
      <c r="B24" s="65">
        <f ca="1">COUNTIF(INDIRECT($B21),0)</f>
        <v>0</v>
      </c>
      <c r="C24" s="54"/>
      <c r="D24" s="54"/>
      <c r="E24" s="54"/>
      <c r="F24" s="54"/>
      <c r="G24" s="54"/>
      <c r="I24" s="316"/>
      <c r="J24" s="317"/>
      <c r="K24" s="317"/>
      <c r="L24" s="317"/>
      <c r="M24" s="317"/>
      <c r="N24" s="317"/>
      <c r="O24" s="317"/>
      <c r="P24" s="317"/>
      <c r="Q24" s="317"/>
      <c r="R24" s="317"/>
      <c r="S24" s="317"/>
      <c r="T24" s="317"/>
      <c r="U24" s="317"/>
      <c r="V24" s="317"/>
      <c r="W24" s="318"/>
      <c r="X24" s="52">
        <f ca="1">$G19</f>
        <v>1</v>
      </c>
    </row>
    <row r="25" spans="1:25" s="36" customFormat="1" ht="21.95" customHeight="1" x14ac:dyDescent="0.25">
      <c r="A25" s="61" t="s">
        <v>114</v>
      </c>
      <c r="B25" s="97">
        <f ca="1">IFERROR(B22/B23,1.01)</f>
        <v>0</v>
      </c>
      <c r="C25" s="54"/>
      <c r="D25" s="54"/>
      <c r="E25" s="54"/>
      <c r="F25" s="54"/>
      <c r="G25" s="54"/>
      <c r="N25" s="52"/>
      <c r="X25" s="52"/>
    </row>
    <row r="26" spans="1:25" s="36" customFormat="1" ht="21.95" customHeight="1" thickBot="1" x14ac:dyDescent="0.3">
      <c r="A26" s="61" t="s">
        <v>115</v>
      </c>
      <c r="B26" s="65" t="str">
        <f ca="1">IF(B24&gt;0,"Data Error(s)",IF(B25=0,"Not Started",IF(B25&lt;1,ROUNDUP(B25*100,0)&amp;"% Done",IF(B25&gt;1,"Optional","Complete"))))</f>
        <v>Not Started</v>
      </c>
      <c r="C26" s="54"/>
      <c r="D26" s="54"/>
      <c r="E26" s="54"/>
      <c r="F26" s="54"/>
      <c r="G26" s="54"/>
      <c r="I26" s="55" t="str">
        <f>B31</f>
        <v>Household Information</v>
      </c>
      <c r="J26" s="55"/>
      <c r="K26" s="55"/>
      <c r="L26" s="55"/>
      <c r="M26" s="55"/>
      <c r="N26" s="55"/>
      <c r="O26" s="55"/>
      <c r="P26" s="55"/>
      <c r="Q26" s="55"/>
      <c r="R26" s="55"/>
      <c r="S26" s="55"/>
      <c r="T26" s="55"/>
      <c r="U26" s="55"/>
      <c r="V26" s="55"/>
      <c r="W26" s="55"/>
      <c r="X26" s="56" t="str">
        <f ca="1">"Status: "&amp;$B$40</f>
        <v>Status: Not Started</v>
      </c>
    </row>
    <row r="27" spans="1:25" s="36" customFormat="1" ht="21.95" customHeight="1" x14ac:dyDescent="0.25">
      <c r="A27" s="61" t="s">
        <v>116</v>
      </c>
      <c r="B27" s="65" t="str">
        <f ca="1">IF(B24&gt;0,0,IF(B25&lt;1,"",2))</f>
        <v/>
      </c>
      <c r="C27" s="54"/>
      <c r="D27" s="54"/>
      <c r="E27" s="54"/>
      <c r="F27" s="54"/>
      <c r="G27" s="54"/>
      <c r="J27" s="44"/>
      <c r="L27" s="44"/>
      <c r="N27" s="44"/>
      <c r="P27" s="44"/>
      <c r="R27" s="44"/>
      <c r="T27" s="44"/>
      <c r="V27" s="44"/>
      <c r="X27" s="44"/>
    </row>
    <row r="28" spans="1:25" s="36" customFormat="1" ht="21.95" customHeight="1" x14ac:dyDescent="0.25">
      <c r="A28" s="61" t="s">
        <v>119</v>
      </c>
      <c r="B28" s="96" t="s">
        <v>2833</v>
      </c>
      <c r="C28" s="54"/>
      <c r="D28" s="54"/>
      <c r="E28" s="54"/>
      <c r="F28" s="54"/>
      <c r="G28" s="54"/>
      <c r="I28" s="36" t="s">
        <v>2494</v>
      </c>
      <c r="J28" s="44"/>
      <c r="L28" s="44"/>
      <c r="M28" s="36" t="s">
        <v>2495</v>
      </c>
      <c r="N28" s="44"/>
      <c r="P28" s="44"/>
      <c r="S28" s="36" t="s">
        <v>2496</v>
      </c>
      <c r="T28" s="44"/>
      <c r="V28" s="44"/>
      <c r="X28" s="44"/>
    </row>
    <row r="29" spans="1:25" s="36" customFormat="1" ht="21.95" customHeight="1" x14ac:dyDescent="0.25">
      <c r="A29" s="77" t="s">
        <v>2144</v>
      </c>
      <c r="B29" s="65">
        <v>0</v>
      </c>
      <c r="C29" s="54"/>
      <c r="D29" s="54"/>
      <c r="E29" s="54"/>
      <c r="F29" s="54"/>
      <c r="G29" s="54"/>
      <c r="I29" s="316"/>
      <c r="J29" s="317"/>
      <c r="K29" s="318"/>
      <c r="L29" s="52">
        <f ca="1">G32</f>
        <v>1</v>
      </c>
      <c r="M29" s="316"/>
      <c r="N29" s="317"/>
      <c r="O29" s="317"/>
      <c r="P29" s="317"/>
      <c r="Q29" s="318"/>
      <c r="R29" s="52">
        <f ca="1">G33</f>
        <v>1</v>
      </c>
      <c r="S29" s="316"/>
      <c r="T29" s="317"/>
      <c r="U29" s="317"/>
      <c r="V29" s="317"/>
      <c r="W29" s="318"/>
      <c r="X29" s="52">
        <f ca="1">G34</f>
        <v>1</v>
      </c>
    </row>
    <row r="30" spans="1:25" s="36" customFormat="1" ht="21.95" customHeight="1" x14ac:dyDescent="0.25">
      <c r="A30" s="77" t="s">
        <v>2145</v>
      </c>
      <c r="B30" s="65" t="b">
        <f>(B29&gt;0)</f>
        <v>0</v>
      </c>
      <c r="C30" s="54"/>
      <c r="D30" s="54"/>
      <c r="E30" s="54"/>
      <c r="F30" s="54"/>
      <c r="G30" s="54"/>
      <c r="J30" s="44"/>
      <c r="L30" s="44"/>
      <c r="N30" s="44"/>
      <c r="P30" s="44"/>
      <c r="R30" s="44"/>
      <c r="T30" s="44"/>
      <c r="V30" s="44"/>
      <c r="X30" s="44"/>
    </row>
    <row r="31" spans="1:25" s="36" customFormat="1" ht="21.95" customHeight="1" thickBot="1" x14ac:dyDescent="0.3">
      <c r="A31" s="91" t="s">
        <v>120</v>
      </c>
      <c r="B31" s="93" t="s">
        <v>2355</v>
      </c>
      <c r="C31" s="92"/>
      <c r="D31" s="92"/>
      <c r="E31" s="92"/>
      <c r="F31" s="92"/>
      <c r="G31" s="92"/>
      <c r="H31"/>
      <c r="I31" s="55" t="str">
        <f>B45</f>
        <v>Grant Summary</v>
      </c>
      <c r="J31" s="55"/>
      <c r="K31" s="55"/>
      <c r="L31" s="55"/>
      <c r="M31" s="55"/>
      <c r="N31" s="55"/>
      <c r="O31" s="55"/>
      <c r="P31" s="55"/>
      <c r="Q31" s="55"/>
      <c r="R31" s="55"/>
      <c r="S31" s="55"/>
      <c r="T31" s="55"/>
      <c r="U31" s="55"/>
      <c r="V31" s="55"/>
      <c r="W31" s="55"/>
      <c r="X31" s="56" t="str">
        <f ca="1">"Status: "&amp;$B$55</f>
        <v>Status: Not Started</v>
      </c>
    </row>
    <row r="32" spans="1:25" s="36" customFormat="1" ht="21.95" customHeight="1" x14ac:dyDescent="0.25">
      <c r="A32" s="61" t="s">
        <v>2489</v>
      </c>
      <c r="B32" s="95" t="str">
        <f>IF(I29&lt;&gt;"",I29,"")</f>
        <v/>
      </c>
      <c r="C32" s="54">
        <f ca="1">VLOOKUP(A32,DB_TBL_DATA_FIELDS[[FIELD_ID]:[PCT_CALC_FIELD_STATUS_CODE]],22,FALSE)</f>
        <v>1</v>
      </c>
      <c r="D32" s="54" t="str">
        <f>IF(VLOOKUP(A32,DB_TBL_DATA_FIELDS[[FIELD_ID]:[ERROR_MESSAGE]],23,FALSE)&lt;&gt;0,VLOOKUP(A32,DB_TBL_DATA_FIELDS[[FIELD_ID]:[ERROR_MESSAGE]],23,FALSE),"")</f>
        <v/>
      </c>
      <c r="E32" s="54" t="str">
        <f>VLOOKUP(A32,DB_TBL_DATA_FIELDS[[#All],[FIELD_ID]:[RANGE_VALIDATION_MAX]],18,FALSE)</f>
        <v/>
      </c>
      <c r="F32" s="54">
        <f>VLOOKUP(A32,DB_TBL_DATA_FIELDS[[#All],[FIELD_ID]:[RANGE_VALIDATION_MAX]],19,FALSE)</f>
        <v>999999</v>
      </c>
      <c r="G32" s="54">
        <f t="shared" ref="G32:G34" ca="1" si="1">IF(C32&lt;0,"",C32)</f>
        <v>1</v>
      </c>
      <c r="H32"/>
      <c r="I32" s="122"/>
      <c r="J32" s="122"/>
      <c r="K32" s="122"/>
      <c r="L32" s="122"/>
      <c r="M32" s="122"/>
      <c r="N32" s="122"/>
      <c r="O32" s="122"/>
      <c r="P32" s="122"/>
      <c r="Q32" s="122"/>
      <c r="R32" s="122"/>
      <c r="S32" s="122"/>
      <c r="T32" s="122"/>
      <c r="U32" s="122"/>
      <c r="V32" s="122"/>
      <c r="W32" s="122"/>
      <c r="X32" s="123"/>
    </row>
    <row r="33" spans="1:25" s="36" customFormat="1" ht="21.95" customHeight="1" x14ac:dyDescent="0.25">
      <c r="A33" s="61" t="s">
        <v>2238</v>
      </c>
      <c r="B33" s="95" t="str">
        <f>IF(M29&lt;&gt;"",M29,"")</f>
        <v/>
      </c>
      <c r="C33" s="54">
        <f ca="1">VLOOKUP(A33,DB_TBL_DATA_FIELDS[[FIELD_ID]:[PCT_CALC_FIELD_STATUS_CODE]],22,FALSE)</f>
        <v>1</v>
      </c>
      <c r="D33" s="54" t="str">
        <f>IF(VLOOKUP(A33,DB_TBL_DATA_FIELDS[[FIELD_ID]:[ERROR_MESSAGE]],23,FALSE)&lt;&gt;0,VLOOKUP(A33,DB_TBL_DATA_FIELDS[[FIELD_ID]:[ERROR_MESSAGE]],23,FALSE),"")</f>
        <v/>
      </c>
      <c r="E33" s="54">
        <f>VLOOKUP(A33,DB_TBL_DATA_FIELDS[[#All],[FIELD_ID]:[RANGE_VALIDATION_MAX]],18,FALSE)</f>
        <v>0</v>
      </c>
      <c r="F33" s="54">
        <f>VLOOKUP(A33,DB_TBL_DATA_FIELDS[[#All],[FIELD_ID]:[RANGE_VALIDATION_MAX]],19,FALSE)</f>
        <v>30</v>
      </c>
      <c r="G33" s="54">
        <f t="shared" ca="1" si="1"/>
        <v>1</v>
      </c>
      <c r="H33"/>
      <c r="I33" s="122"/>
      <c r="J33" s="122"/>
      <c r="K33" s="122"/>
      <c r="L33" s="122"/>
      <c r="M33" s="122"/>
      <c r="N33" s="122"/>
      <c r="O33" s="122"/>
      <c r="P33" s="122"/>
      <c r="Q33" s="122"/>
      <c r="R33" s="122"/>
      <c r="S33" s="122"/>
      <c r="T33" s="122"/>
      <c r="U33" s="122"/>
      <c r="V33" s="122"/>
      <c r="W33" s="122"/>
      <c r="X33" s="123"/>
    </row>
    <row r="34" spans="1:25" s="36" customFormat="1" ht="21.95" customHeight="1" x14ac:dyDescent="0.25">
      <c r="A34" s="61" t="s">
        <v>2239</v>
      </c>
      <c r="B34" s="95" t="str">
        <f>IF(S29&lt;&gt;"",S29,"")</f>
        <v/>
      </c>
      <c r="C34" s="54">
        <f ca="1">VLOOKUP(A34,DB_TBL_DATA_FIELDS[[FIELD_ID]:[PCT_CALC_FIELD_STATUS_CODE]],22,FALSE)</f>
        <v>1</v>
      </c>
      <c r="D34" s="54" t="str">
        <f>IF(VLOOKUP(A34,DB_TBL_DATA_FIELDS[[FIELD_ID]:[ERROR_MESSAGE]],23,FALSE)&lt;&gt;0,VLOOKUP(A34,DB_TBL_DATA_FIELDS[[FIELD_ID]:[ERROR_MESSAGE]],23,FALSE),"")</f>
        <v/>
      </c>
      <c r="E34" s="54">
        <f>VLOOKUP(A34,DB_TBL_DATA_FIELDS[[#All],[FIELD_ID]:[RANGE_VALIDATION_MAX]],18,FALSE)</f>
        <v>0</v>
      </c>
      <c r="F34" s="54">
        <f>VLOOKUP(A34,DB_TBL_DATA_FIELDS[[#All],[FIELD_ID]:[RANGE_VALIDATION_MAX]],19,FALSE)</f>
        <v>30</v>
      </c>
      <c r="G34" s="54">
        <f t="shared" ca="1" si="1"/>
        <v>1</v>
      </c>
      <c r="H34"/>
      <c r="I34" s="36" t="str">
        <f>"Requested Grant Amount (must not exceed "&amp;TEXT(CONFIG_GRANT_AMT_MAX,"$#,###")&amp;")"</f>
        <v>Requested Grant Amount (must not exceed )</v>
      </c>
      <c r="J34" s="44"/>
      <c r="K34"/>
      <c r="L34" s="121"/>
      <c r="M34"/>
      <c r="N34" s="44"/>
      <c r="O34"/>
      <c r="P34" s="44"/>
      <c r="Q34"/>
      <c r="R34" s="44"/>
      <c r="S34"/>
      <c r="T34" s="44"/>
      <c r="U34" s="388"/>
      <c r="V34" s="388"/>
      <c r="W34" s="388"/>
      <c r="X34" s="52">
        <f ca="1">G46</f>
        <v>1</v>
      </c>
      <c r="Y34"/>
    </row>
    <row r="35" spans="1:25" s="36" customFormat="1" ht="21.95" customHeight="1" x14ac:dyDescent="0.25">
      <c r="A35" s="61" t="s">
        <v>121</v>
      </c>
      <c r="B35" s="65" t="str">
        <f>"C"&amp;MATCH(LEFT(A35,LEN(A35)-LEN("_RANGE")),A:A,0)+1&amp;":C"&amp;(ROW()-1)</f>
        <v>C32:C34</v>
      </c>
      <c r="C35" s="54"/>
      <c r="D35" s="54"/>
      <c r="E35" s="54"/>
      <c r="F35" s="54"/>
      <c r="G35" s="54"/>
      <c r="H35"/>
      <c r="I35" s="124"/>
      <c r="J35" s="124"/>
      <c r="K35" s="124"/>
      <c r="L35" s="124"/>
      <c r="M35" s="124"/>
      <c r="N35" s="124"/>
      <c r="O35" s="124"/>
      <c r="P35" s="124"/>
      <c r="Q35" s="350" t="str">
        <f ca="1">D48</f>
        <v/>
      </c>
      <c r="R35" s="350"/>
      <c r="S35" s="350"/>
      <c r="T35" s="350"/>
      <c r="U35" s="350"/>
      <c r="V35" s="350"/>
      <c r="W35" s="350"/>
      <c r="X35" s="124"/>
    </row>
    <row r="36" spans="1:25" s="36" customFormat="1" ht="21.95" customHeight="1" x14ac:dyDescent="0.25">
      <c r="A36" s="61" t="s">
        <v>122</v>
      </c>
      <c r="B36" s="65">
        <f ca="1">COUNTIF(INDIRECT($B$35),2)</f>
        <v>0</v>
      </c>
      <c r="C36" s="54"/>
      <c r="D36" s="54"/>
      <c r="E36" s="54"/>
      <c r="F36" s="54"/>
      <c r="G36" s="54"/>
      <c r="H36"/>
      <c r="I36" s="367" t="s">
        <v>2381</v>
      </c>
      <c r="J36" s="367"/>
      <c r="K36" s="367"/>
      <c r="L36" s="367"/>
      <c r="M36" s="367"/>
      <c r="N36" s="367"/>
      <c r="O36" s="367"/>
      <c r="P36" s="367"/>
      <c r="Q36" s="367"/>
      <c r="R36" s="367"/>
      <c r="S36" s="367"/>
      <c r="T36" s="125"/>
      <c r="U36" s="125"/>
      <c r="W36" s="40"/>
      <c r="X36" s="52" t="str">
        <f ca="1">G49</f>
        <v/>
      </c>
    </row>
    <row r="37" spans="1:25" ht="21.95" customHeight="1" x14ac:dyDescent="0.25">
      <c r="A37" s="61" t="s">
        <v>123</v>
      </c>
      <c r="B37" s="65">
        <f ca="1">COUNTIF(INDIRECT($B$35),0)+COUNTIF(INDIRECT($B$35),1)+COUNTIF(INDIRECT($B$35),2)</f>
        <v>3</v>
      </c>
      <c r="C37" s="54"/>
      <c r="D37" s="54"/>
      <c r="E37" s="54"/>
      <c r="F37" s="54"/>
      <c r="G37" s="54"/>
      <c r="I37" s="367"/>
      <c r="J37" s="367"/>
      <c r="K37" s="367"/>
      <c r="L37" s="367"/>
      <c r="M37" s="367"/>
      <c r="N37" s="367"/>
      <c r="O37" s="367"/>
      <c r="P37" s="367"/>
      <c r="Q37" s="367"/>
      <c r="R37" s="367"/>
      <c r="S37" s="367"/>
      <c r="T37" s="125"/>
      <c r="U37" s="125"/>
      <c r="V37"/>
      <c r="X37"/>
      <c r="Y37" s="36"/>
    </row>
    <row r="38" spans="1:25" ht="21.95" customHeight="1" x14ac:dyDescent="0.25">
      <c r="A38" s="61" t="s">
        <v>124</v>
      </c>
      <c r="B38" s="65">
        <f ca="1">COUNTIF(INDIRECT($B$35),0)</f>
        <v>0</v>
      </c>
      <c r="C38" s="54"/>
      <c r="D38" s="54"/>
      <c r="E38" s="54"/>
      <c r="F38" s="54"/>
      <c r="G38" s="54"/>
      <c r="J38"/>
      <c r="L38"/>
      <c r="N38"/>
      <c r="P38"/>
      <c r="R38"/>
      <c r="T38"/>
      <c r="V38"/>
      <c r="X38"/>
      <c r="Y38" s="36"/>
    </row>
    <row r="39" spans="1:25" ht="21.95" customHeight="1" thickBot="1" x14ac:dyDescent="0.3">
      <c r="A39" s="61" t="s">
        <v>125</v>
      </c>
      <c r="B39" s="97">
        <f ca="1">IFERROR(B36/B37,1.01)</f>
        <v>0</v>
      </c>
      <c r="C39" s="54"/>
      <c r="D39" s="54"/>
      <c r="E39" s="54"/>
      <c r="F39" s="54"/>
      <c r="G39" s="54"/>
      <c r="I39" s="55" t="str">
        <f>B60</f>
        <v>Mortgage Information</v>
      </c>
      <c r="J39" s="55"/>
      <c r="K39" s="55"/>
      <c r="L39" s="55"/>
      <c r="M39" s="55"/>
      <c r="N39" s="55"/>
      <c r="O39" s="55"/>
      <c r="P39" s="55"/>
      <c r="Q39" s="55"/>
      <c r="R39" s="55"/>
      <c r="S39" s="55"/>
      <c r="T39" s="55"/>
      <c r="U39" s="55"/>
      <c r="V39" s="55"/>
      <c r="W39" s="55"/>
      <c r="X39" s="56" t="str">
        <f ca="1">"Status: "&amp;$B$83</f>
        <v>Status: Not Started</v>
      </c>
    </row>
    <row r="40" spans="1:25" ht="21.95" customHeight="1" x14ac:dyDescent="0.25">
      <c r="A40" s="61" t="s">
        <v>126</v>
      </c>
      <c r="B40" s="65" t="str">
        <f ca="1">IF(B38&gt;0,"Data Error(s)",IF(B39=0,"Not Started",IF(B39&lt;1,ROUNDUP(B39*100,0)&amp;"% Done",IF(B39&gt;1,"Optional","Complete"))))</f>
        <v>Not Started</v>
      </c>
      <c r="C40" s="54"/>
      <c r="D40" s="54"/>
      <c r="E40" s="54"/>
      <c r="F40" s="54"/>
      <c r="G40" s="54"/>
    </row>
    <row r="41" spans="1:25" ht="21.95" customHeight="1" x14ac:dyDescent="0.25">
      <c r="A41" s="61" t="s">
        <v>127</v>
      </c>
      <c r="B41" s="65" t="str">
        <f ca="1">IF(B38&gt;0,0,IF(B39&lt;1,"",2))</f>
        <v/>
      </c>
      <c r="C41" s="54"/>
      <c r="D41" s="54"/>
      <c r="E41" s="54"/>
      <c r="F41" s="54"/>
      <c r="G41" s="54"/>
      <c r="I41" s="36"/>
      <c r="J41" s="36"/>
      <c r="K41" s="36"/>
      <c r="L41" s="36"/>
      <c r="M41" s="36"/>
      <c r="N41" s="36"/>
      <c r="O41" s="36"/>
      <c r="P41" s="36"/>
      <c r="Q41" s="36"/>
      <c r="R41" s="36"/>
      <c r="S41" s="36"/>
      <c r="T41" s="36"/>
      <c r="U41" s="36"/>
      <c r="V41" s="36"/>
      <c r="W41" s="36"/>
      <c r="X41" s="36"/>
    </row>
    <row r="42" spans="1:25" ht="21.95" customHeight="1" thickBot="1" x14ac:dyDescent="0.3">
      <c r="A42" s="61" t="s">
        <v>128</v>
      </c>
      <c r="B42" s="96" t="s">
        <v>2355</v>
      </c>
      <c r="C42" s="54"/>
      <c r="D42" s="54"/>
      <c r="E42" s="54"/>
      <c r="F42" s="54"/>
      <c r="G42" s="54"/>
      <c r="I42" s="64" t="s">
        <v>2566</v>
      </c>
      <c r="J42" s="64"/>
      <c r="K42" s="64"/>
      <c r="L42" s="64"/>
      <c r="M42" s="64"/>
      <c r="N42" s="64"/>
      <c r="O42" s="64"/>
      <c r="P42" s="64"/>
      <c r="Q42" s="64"/>
      <c r="R42" s="64"/>
      <c r="S42" s="64"/>
      <c r="T42" s="64"/>
      <c r="U42" s="64"/>
      <c r="V42" s="64"/>
      <c r="W42" s="157" t="str">
        <f ca="1">IF(B86&lt;&gt;"",B86,IF(B87&lt;&gt;"",B87,IF(B88&lt;&gt;"",B88,IF(B89&lt;&gt;"",B89,""))))</f>
        <v/>
      </c>
      <c r="X42" s="132" t="str">
        <f ca="1">IF(SUM(C86:C89)&gt;0,1,"")</f>
        <v/>
      </c>
    </row>
    <row r="43" spans="1:25" ht="21.95" customHeight="1" thickTop="1" x14ac:dyDescent="0.25">
      <c r="A43" s="77" t="s">
        <v>2152</v>
      </c>
      <c r="B43" s="65">
        <v>0</v>
      </c>
      <c r="C43" s="54"/>
      <c r="D43" s="54"/>
      <c r="E43" s="54"/>
      <c r="F43" s="54"/>
      <c r="G43" s="54"/>
      <c r="I43" s="36"/>
      <c r="J43" s="36"/>
      <c r="K43" s="36"/>
      <c r="L43" s="36"/>
      <c r="M43" s="36"/>
      <c r="N43" s="36"/>
      <c r="O43" s="36"/>
      <c r="P43" s="36"/>
      <c r="Q43" s="36"/>
      <c r="R43" s="36"/>
      <c r="S43" s="36"/>
      <c r="T43" s="36"/>
      <c r="U43" s="36"/>
      <c r="V43" s="36"/>
      <c r="W43" s="36"/>
      <c r="X43" s="36"/>
    </row>
    <row r="44" spans="1:25" ht="21.95" customHeight="1" x14ac:dyDescent="0.25">
      <c r="A44" s="77" t="s">
        <v>2153</v>
      </c>
      <c r="B44" s="65" t="b">
        <f>(B43&gt;0)</f>
        <v>0</v>
      </c>
      <c r="C44" s="54"/>
      <c r="D44" s="54"/>
      <c r="E44" s="54"/>
      <c r="F44" s="54"/>
      <c r="G44" s="54"/>
      <c r="I44" s="36" t="s">
        <v>2567</v>
      </c>
      <c r="J44" s="36"/>
      <c r="K44" s="36"/>
      <c r="L44" s="36"/>
      <c r="M44" s="237" t="s">
        <v>2539</v>
      </c>
      <c r="N44" s="36"/>
      <c r="O44" s="36"/>
      <c r="P44" s="36"/>
      <c r="Q44" s="36" t="s">
        <v>2569</v>
      </c>
      <c r="R44" s="36"/>
      <c r="S44" s="237" t="s">
        <v>2570</v>
      </c>
      <c r="T44" s="36"/>
      <c r="U44" s="36" t="s">
        <v>2571</v>
      </c>
      <c r="V44" s="36"/>
      <c r="X44" s="36"/>
    </row>
    <row r="45" spans="1:25" ht="21.95" customHeight="1" x14ac:dyDescent="0.25">
      <c r="A45" s="91" t="s">
        <v>141</v>
      </c>
      <c r="B45" s="93" t="s">
        <v>2356</v>
      </c>
      <c r="C45" s="92"/>
      <c r="D45" s="92"/>
      <c r="E45" s="92"/>
      <c r="F45" s="92"/>
      <c r="G45" s="92"/>
      <c r="I45" s="338"/>
      <c r="J45" s="339"/>
      <c r="K45" s="340"/>
      <c r="L45" s="52">
        <f ca="1">G61</f>
        <v>1</v>
      </c>
      <c r="M45" s="388"/>
      <c r="N45" s="388"/>
      <c r="O45" s="388"/>
      <c r="P45" s="52">
        <f ca="1">G70</f>
        <v>1</v>
      </c>
      <c r="Q45" s="238"/>
      <c r="R45" s="52">
        <f ca="1">G71</f>
        <v>1</v>
      </c>
      <c r="S45" s="236"/>
      <c r="T45" s="52">
        <f ca="1">G72</f>
        <v>1</v>
      </c>
      <c r="U45" s="316"/>
      <c r="V45" s="317"/>
      <c r="W45" s="318"/>
      <c r="X45" s="52">
        <f ca="1">G73</f>
        <v>1</v>
      </c>
    </row>
    <row r="46" spans="1:25" ht="21.95" customHeight="1" x14ac:dyDescent="0.25">
      <c r="A46" s="61" t="s">
        <v>2283</v>
      </c>
      <c r="B46" s="95" t="str">
        <f>IF(U34&lt;&gt;"",U34,"")</f>
        <v/>
      </c>
      <c r="C46" s="54">
        <f ca="1">VLOOKUP(A46,DB_TBL_DATA_FIELDS[[FIELD_ID]:[PCT_CALC_FIELD_STATUS_CODE]],22,FALSE)</f>
        <v>1</v>
      </c>
      <c r="D46" s="54" t="str">
        <f>IF(VLOOKUP(A46,DB_TBL_DATA_FIELDS[[FIELD_ID]:[ERROR_MESSAGE]],23,FALSE)&lt;&gt;0,VLOOKUP(A46,DB_TBL_DATA_FIELDS[[FIELD_ID]:[ERROR_MESSAGE]],23,FALSE),"")</f>
        <v/>
      </c>
      <c r="E46" s="54">
        <f>VLOOKUP(A46,DB_TBL_DATA_FIELDS[[#All],[FIELD_ID]:[RANGE_VALIDATION_MAX]],18,FALSE)</f>
        <v>1</v>
      </c>
      <c r="F46" s="54" t="str">
        <f>VLOOKUP(A46,DB_TBL_DATA_FIELDS[[#All],[FIELD_ID]:[RANGE_VALIDATION_MAX]],19,FALSE)</f>
        <v/>
      </c>
      <c r="G46" s="54">
        <f t="shared" ref="G46:G49" ca="1" si="2">IF(C46&lt;0,"",C46)</f>
        <v>1</v>
      </c>
      <c r="I46" s="36" t="s">
        <v>9297</v>
      </c>
      <c r="J46" s="36"/>
      <c r="K46" s="36"/>
      <c r="L46" s="36"/>
      <c r="M46" s="36" t="s">
        <v>9298</v>
      </c>
      <c r="N46" s="36"/>
      <c r="O46" s="36"/>
      <c r="P46" s="36"/>
      <c r="Q46" s="36"/>
      <c r="R46" s="36"/>
      <c r="S46" s="36"/>
      <c r="T46" s="36"/>
      <c r="U46" s="36"/>
      <c r="V46" s="36"/>
      <c r="W46" s="36"/>
      <c r="X46" s="36"/>
    </row>
    <row r="47" spans="1:25" ht="21.95" customHeight="1" x14ac:dyDescent="0.25">
      <c r="A47" s="244" t="s">
        <v>2284</v>
      </c>
      <c r="B47" s="245" t="str">
        <f>""</f>
        <v/>
      </c>
      <c r="C47" s="245" t="str">
        <f>VLOOKUP(A47,DB_TBL_DATA_FIELDS[[FIELD_ID]:[PCT_CALC_FIELD_STATUS_CODE]],22,FALSE)</f>
        <v/>
      </c>
      <c r="D47" s="245" t="str">
        <f>IF(VLOOKUP(A47,DB_TBL_DATA_FIELDS[[FIELD_ID]:[ERROR_MESSAGE]],23,FALSE)&lt;&gt;0,VLOOKUP(A47,DB_TBL_DATA_FIELDS[[FIELD_ID]:[ERROR_MESSAGE]],23,FALSE),"")</f>
        <v/>
      </c>
      <c r="E47" s="245">
        <f>VLOOKUP(A47,DB_TBL_DATA_FIELDS[[#All],[FIELD_ID]:[RANGE_VALIDATION_MAX]],18,FALSE)</f>
        <v>0</v>
      </c>
      <c r="F47" s="245" t="str">
        <f>VLOOKUP(A47,DB_TBL_DATA_FIELDS[[#All],[FIELD_ID]:[RANGE_VALIDATION_MAX]],19,FALSE)</f>
        <v/>
      </c>
      <c r="G47" s="245" t="str">
        <f t="shared" si="2"/>
        <v/>
      </c>
      <c r="I47" s="388"/>
      <c r="J47" s="388"/>
      <c r="K47" s="388"/>
      <c r="L47" s="52">
        <f ca="1">C65</f>
        <v>1</v>
      </c>
      <c r="M47" s="388"/>
      <c r="N47" s="388"/>
      <c r="O47" s="388"/>
      <c r="P47" s="52" t="str">
        <f ca="1">G66</f>
        <v/>
      </c>
      <c r="Q47" s="36"/>
      <c r="R47" s="36"/>
      <c r="S47" s="36"/>
      <c r="T47" s="36"/>
      <c r="U47" s="36"/>
      <c r="V47" s="36"/>
      <c r="W47" s="36"/>
      <c r="X47" s="36"/>
    </row>
    <row r="48" spans="1:25" ht="21.95" customHeight="1" x14ac:dyDescent="0.25">
      <c r="A48" s="61" t="s">
        <v>2285</v>
      </c>
      <c r="B48" s="65">
        <f ca="1">VLOOKUP(A48,DB_TBL_DATA_FIELDS[[#All],[FIELD_ID]:[FIELD_VALUE_RAW]],5,FALSE)</f>
        <v>0</v>
      </c>
      <c r="C48" s="54" t="str">
        <f ca="1">VLOOKUP(A48,DB_TBL_DATA_FIELDS[[FIELD_ID]:[PCT_CALC_FIELD_STATUS_CODE]],22,FALSE)</f>
        <v/>
      </c>
      <c r="D48" s="54" t="str">
        <f ca="1">IF(VLOOKUP(A48,DB_TBL_DATA_FIELDS[[FIELD_ID]:[ERROR_MESSAGE]],23,FALSE)&lt;&gt;0,VLOOKUP(A48,DB_TBL_DATA_FIELDS[[FIELD_ID]:[ERROR_MESSAGE]],23,FALSE),"")</f>
        <v/>
      </c>
      <c r="E48" s="54">
        <f>VLOOKUP(A48,DB_TBL_DATA_FIELDS[[#All],[FIELD_ID]:[RANGE_VALIDATION_MAX]],18,FALSE)</f>
        <v>0</v>
      </c>
      <c r="F48" s="54" t="str">
        <f>VLOOKUP(A48,DB_TBL_DATA_FIELDS[[#All],[FIELD_ID]:[RANGE_VALIDATION_MAX]],19,FALSE)</f>
        <v/>
      </c>
      <c r="G48" s="54" t="str">
        <f t="shared" ca="1" si="2"/>
        <v/>
      </c>
      <c r="I48" s="36"/>
      <c r="J48" s="36"/>
      <c r="K48" s="36"/>
      <c r="L48" s="36"/>
      <c r="M48" s="36"/>
      <c r="N48" s="36"/>
      <c r="O48" s="36"/>
      <c r="P48" s="36"/>
      <c r="Q48" s="36"/>
      <c r="R48" s="36"/>
      <c r="S48" s="36"/>
      <c r="T48" s="36"/>
      <c r="U48" s="36"/>
      <c r="V48" s="36"/>
      <c r="W48" s="36"/>
      <c r="X48" s="36"/>
    </row>
    <row r="49" spans="1:24" ht="21.95" customHeight="1" x14ac:dyDescent="0.25">
      <c r="A49" s="61" t="s">
        <v>2348</v>
      </c>
      <c r="B49" s="95" t="str">
        <f>IF(W36="","",IF(UPPER(W36)="YES",TRUE,FALSE))</f>
        <v/>
      </c>
      <c r="C49" s="54">
        <f ca="1">VLOOKUP(A49,DB_TBL_DATA_FIELDS[[FIELD_ID]:[PCT_CALC_FIELD_STATUS_CODE]],22,FALSE)</f>
        <v>-1</v>
      </c>
      <c r="D49" s="54" t="str">
        <f>IF(VLOOKUP(A49,DB_TBL_DATA_FIELDS[[FIELD_ID]:[ERROR_MESSAGE]],23,FALSE)&lt;&gt;0,VLOOKUP(A49,DB_TBL_DATA_FIELDS[[FIELD_ID]:[ERROR_MESSAGE]],23,FALSE),"")</f>
        <v/>
      </c>
      <c r="E49" s="54">
        <f>VLOOKUP(A49,DB_TBL_DATA_FIELDS[[#All],[FIELD_ID]:[RANGE_VALIDATION_MAX]],18,FALSE)</f>
        <v>0</v>
      </c>
      <c r="F49" s="54">
        <f>VLOOKUP(A49,DB_TBL_DATA_FIELDS[[#All],[FIELD_ID]:[RANGE_VALIDATION_MAX]],19,FALSE)</f>
        <v>0</v>
      </c>
      <c r="G49" s="54" t="str">
        <f t="shared" ca="1" si="2"/>
        <v/>
      </c>
      <c r="I49" s="36" t="s">
        <v>2510</v>
      </c>
      <c r="L49" s="121"/>
      <c r="U49" s="36"/>
      <c r="V49" s="36"/>
      <c r="W49" s="294" t="str">
        <f ca="1">B67</f>
        <v/>
      </c>
      <c r="X49" s="52">
        <f ca="1">G67</f>
        <v>1</v>
      </c>
    </row>
    <row r="50" spans="1:24" ht="21.95" customHeight="1" x14ac:dyDescent="0.25">
      <c r="A50" s="61" t="s">
        <v>142</v>
      </c>
      <c r="B50" s="65" t="str">
        <f>"C"&amp;MATCH(LEFT(A50,LEN(A50)-LEN("_RANGE")),A:A,0)+1&amp;":C"&amp;(ROW()-1)</f>
        <v>C46:C49</v>
      </c>
      <c r="C50" s="54"/>
      <c r="D50" s="54"/>
      <c r="E50" s="54"/>
      <c r="F50" s="54"/>
      <c r="G50" s="54"/>
      <c r="I50" s="36" t="s">
        <v>2535</v>
      </c>
      <c r="L50" s="121"/>
      <c r="U50" s="36"/>
      <c r="V50" s="36"/>
      <c r="W50" s="159"/>
      <c r="X50" s="52">
        <f ca="1">G62</f>
        <v>1</v>
      </c>
    </row>
    <row r="51" spans="1:24" ht="21.95" customHeight="1" x14ac:dyDescent="0.25">
      <c r="A51" s="61" t="s">
        <v>143</v>
      </c>
      <c r="B51" s="65">
        <f ca="1">COUNTIF(INDIRECT($B50),2)</f>
        <v>0</v>
      </c>
      <c r="C51" s="54"/>
      <c r="D51" s="54"/>
      <c r="E51" s="54"/>
      <c r="F51" s="54"/>
      <c r="G51" s="54"/>
      <c r="I51" s="36" t="s">
        <v>2536</v>
      </c>
      <c r="L51" s="121"/>
      <c r="U51" s="36"/>
      <c r="V51" s="36"/>
      <c r="W51" s="159"/>
      <c r="X51" s="52">
        <f ca="1">G63</f>
        <v>1</v>
      </c>
    </row>
    <row r="52" spans="1:24" ht="21.95" customHeight="1" x14ac:dyDescent="0.25">
      <c r="A52" s="61" t="s">
        <v>144</v>
      </c>
      <c r="B52" s="65">
        <f ca="1">COUNTIF(INDIRECT($B50),0)+COUNTIF(INDIRECT($B50),1)+COUNTIF(INDIRECT($B50),2)</f>
        <v>1</v>
      </c>
      <c r="C52" s="54"/>
      <c r="D52" s="54"/>
      <c r="E52" s="54"/>
      <c r="F52" s="54"/>
      <c r="G52" s="54"/>
      <c r="I52" s="36"/>
      <c r="L52" s="121"/>
      <c r="N52" s="162"/>
      <c r="O52" s="350" t="str">
        <f ca="1">D63</f>
        <v/>
      </c>
      <c r="P52" s="350"/>
      <c r="Q52" s="350"/>
      <c r="R52" s="350"/>
      <c r="S52" s="350"/>
      <c r="T52" s="350"/>
      <c r="U52" s="350"/>
      <c r="V52" s="350"/>
      <c r="W52" s="350"/>
      <c r="X52" s="52"/>
    </row>
    <row r="53" spans="1:24" ht="21.95" customHeight="1" x14ac:dyDescent="0.25">
      <c r="A53" s="61" t="s">
        <v>145</v>
      </c>
      <c r="B53" s="65">
        <f ca="1">COUNTIF(INDIRECT($B50),0)</f>
        <v>0</v>
      </c>
      <c r="C53" s="54"/>
      <c r="D53" s="54"/>
      <c r="E53" s="54"/>
      <c r="F53" s="54"/>
      <c r="G53" s="54"/>
      <c r="I53" s="36" t="str">
        <f>"If Total Debt to Income Ratio is greater than "&amp;TEXT(CONFIG_DTI_THRESH_AFFORDABILITY,"0%")&amp;", provide an explanation of affordability:"</f>
        <v>If Total Debt to Income Ratio is greater than , provide an explanation of affordability:</v>
      </c>
      <c r="J53" s="36"/>
      <c r="K53" s="36"/>
      <c r="L53" s="36"/>
      <c r="M53" s="36"/>
      <c r="N53" s="36"/>
      <c r="O53" s="36"/>
      <c r="P53" s="36"/>
      <c r="Q53" s="36"/>
      <c r="R53" s="36"/>
      <c r="S53" s="36"/>
      <c r="T53" s="36"/>
      <c r="U53" s="36"/>
      <c r="V53" s="36"/>
      <c r="W53" s="155" t="str">
        <f ca="1">IF(DATA_EXPLANATION_OF_AFFORDABILITY_REQ_FLAG,SUBSTITUTE(SUBSTITUTE(SUBSTITUTE(IF(LEN(B64)&gt;F64,CONFIG_CHAR_LIMIT_TEMPLATE_ERR,CONFIG_CHAR_LIMIT_TEMPLATE),"[diff]",ABS(LEN(B64)-F64)),"[limit]",F64),"[used]",LEN(B64)),"")</f>
        <v/>
      </c>
      <c r="X53" s="36"/>
    </row>
    <row r="54" spans="1:24" ht="21.95" customHeight="1" x14ac:dyDescent="0.25">
      <c r="A54" s="61" t="s">
        <v>146</v>
      </c>
      <c r="B54" s="97">
        <f ca="1">IFERROR(B51/B52,1.01)</f>
        <v>0</v>
      </c>
      <c r="C54" s="54"/>
      <c r="D54" s="54"/>
      <c r="E54" s="54"/>
      <c r="F54" s="54"/>
      <c r="G54" s="54"/>
      <c r="I54" s="389"/>
      <c r="J54" s="390"/>
      <c r="K54" s="390"/>
      <c r="L54" s="390"/>
      <c r="M54" s="390"/>
      <c r="N54" s="390"/>
      <c r="O54" s="390"/>
      <c r="P54" s="390"/>
      <c r="Q54" s="390"/>
      <c r="R54" s="390"/>
      <c r="S54" s="390"/>
      <c r="T54" s="390"/>
      <c r="U54" s="390"/>
      <c r="V54" s="390"/>
      <c r="W54" s="391"/>
      <c r="X54" s="52" t="str">
        <f ca="1">G64</f>
        <v/>
      </c>
    </row>
    <row r="55" spans="1:24" ht="21.95" customHeight="1" x14ac:dyDescent="0.25">
      <c r="A55" s="61" t="s">
        <v>147</v>
      </c>
      <c r="B55" s="65" t="str">
        <f ca="1">IF(B53&gt;0,"Data Error(s)",IF(B54=0,"Not Started",IF(B54&lt;1,ROUNDUP(B54*100,0)&amp;"% Done",IF(B54&gt;1,"Optional","Complete"))))</f>
        <v>Not Started</v>
      </c>
      <c r="C55" s="54"/>
      <c r="D55" s="54"/>
      <c r="E55" s="54"/>
      <c r="F55" s="54"/>
      <c r="G55" s="54"/>
      <c r="I55" s="392"/>
      <c r="J55" s="393"/>
      <c r="K55" s="393"/>
      <c r="L55" s="393"/>
      <c r="M55" s="393"/>
      <c r="N55" s="393"/>
      <c r="O55" s="393"/>
      <c r="P55" s="393"/>
      <c r="Q55" s="393"/>
      <c r="R55" s="393"/>
      <c r="S55" s="393"/>
      <c r="T55" s="393"/>
      <c r="U55" s="393"/>
      <c r="V55" s="393"/>
      <c r="W55" s="394"/>
      <c r="X55" s="36"/>
    </row>
    <row r="56" spans="1:24" ht="21.95" customHeight="1" x14ac:dyDescent="0.25">
      <c r="A56" s="61" t="s">
        <v>148</v>
      </c>
      <c r="B56" s="65" t="str">
        <f ca="1">IF(B53&gt;0,0,IF(B54&lt;1,"",2))</f>
        <v/>
      </c>
      <c r="C56" s="54"/>
      <c r="D56" s="54"/>
      <c r="E56" s="54"/>
      <c r="F56" s="54"/>
      <c r="G56" s="54"/>
      <c r="I56" s="392"/>
      <c r="J56" s="393"/>
      <c r="K56" s="393"/>
      <c r="L56" s="393"/>
      <c r="M56" s="393"/>
      <c r="N56" s="393"/>
      <c r="O56" s="393"/>
      <c r="P56" s="393"/>
      <c r="Q56" s="393"/>
      <c r="R56" s="393"/>
      <c r="S56" s="393"/>
      <c r="T56" s="393"/>
      <c r="U56" s="393"/>
      <c r="V56" s="393"/>
      <c r="W56" s="394"/>
      <c r="X56" s="36"/>
    </row>
    <row r="57" spans="1:24" ht="21.95" customHeight="1" x14ac:dyDescent="0.25">
      <c r="A57" s="61" t="s">
        <v>149</v>
      </c>
      <c r="B57" s="96" t="s">
        <v>2356</v>
      </c>
      <c r="C57" s="54"/>
      <c r="D57" s="54"/>
      <c r="E57" s="54"/>
      <c r="F57" s="54"/>
      <c r="G57" s="54"/>
      <c r="I57" s="392"/>
      <c r="J57" s="393"/>
      <c r="K57" s="393"/>
      <c r="L57" s="393"/>
      <c r="M57" s="393"/>
      <c r="N57" s="393"/>
      <c r="O57" s="393"/>
      <c r="P57" s="393"/>
      <c r="Q57" s="393"/>
      <c r="R57" s="393"/>
      <c r="S57" s="393"/>
      <c r="T57" s="393"/>
      <c r="U57" s="393"/>
      <c r="V57" s="393"/>
      <c r="W57" s="394"/>
      <c r="X57" s="36"/>
    </row>
    <row r="58" spans="1:24" ht="21.95" customHeight="1" x14ac:dyDescent="0.25">
      <c r="A58" s="77" t="s">
        <v>2150</v>
      </c>
      <c r="B58" s="65">
        <v>0</v>
      </c>
      <c r="C58" s="54"/>
      <c r="D58" s="54"/>
      <c r="E58" s="54"/>
      <c r="F58" s="54"/>
      <c r="G58" s="54"/>
      <c r="I58" s="392"/>
      <c r="J58" s="393"/>
      <c r="K58" s="393"/>
      <c r="L58" s="393"/>
      <c r="M58" s="393"/>
      <c r="N58" s="393"/>
      <c r="O58" s="393"/>
      <c r="P58" s="393"/>
      <c r="Q58" s="393"/>
      <c r="R58" s="393"/>
      <c r="S58" s="393"/>
      <c r="T58" s="393"/>
      <c r="U58" s="393"/>
      <c r="V58" s="393"/>
      <c r="W58" s="394"/>
      <c r="X58" s="36"/>
    </row>
    <row r="59" spans="1:24" ht="21.95" customHeight="1" x14ac:dyDescent="0.25">
      <c r="A59" s="77" t="s">
        <v>2151</v>
      </c>
      <c r="B59" s="65" t="b">
        <f>(B58&gt;0)</f>
        <v>0</v>
      </c>
      <c r="C59" s="54"/>
      <c r="D59" s="54"/>
      <c r="E59" s="54"/>
      <c r="F59" s="54"/>
      <c r="G59" s="54"/>
      <c r="I59" s="395"/>
      <c r="J59" s="396"/>
      <c r="K59" s="396"/>
      <c r="L59" s="396"/>
      <c r="M59" s="396"/>
      <c r="N59" s="396"/>
      <c r="O59" s="396"/>
      <c r="P59" s="396"/>
      <c r="Q59" s="396"/>
      <c r="R59" s="396"/>
      <c r="S59" s="396"/>
      <c r="T59" s="396"/>
      <c r="U59" s="396"/>
      <c r="V59" s="396"/>
      <c r="W59" s="397"/>
      <c r="X59" s="36"/>
    </row>
    <row r="60" spans="1:24" ht="21.95" customHeight="1" x14ac:dyDescent="0.25">
      <c r="A60" s="91" t="s">
        <v>152</v>
      </c>
      <c r="B60" s="93" t="s">
        <v>2564</v>
      </c>
      <c r="C60" s="92"/>
      <c r="D60" s="92"/>
      <c r="E60" s="92"/>
      <c r="F60" s="92"/>
      <c r="G60" s="92"/>
      <c r="I60" s="36"/>
      <c r="J60" s="36"/>
      <c r="K60" s="36"/>
      <c r="L60" s="36"/>
      <c r="M60" s="36"/>
      <c r="N60" s="36"/>
      <c r="O60" s="36"/>
      <c r="P60" s="36"/>
      <c r="Q60" s="36"/>
      <c r="R60" s="36"/>
      <c r="S60" s="36"/>
      <c r="T60" s="36"/>
      <c r="U60" s="36"/>
      <c r="V60" s="36"/>
      <c r="W60" s="36"/>
      <c r="X60" s="36"/>
    </row>
    <row r="61" spans="1:24" ht="21.95" customHeight="1" x14ac:dyDescent="0.25">
      <c r="A61" s="61" t="s">
        <v>2513</v>
      </c>
      <c r="B61" s="95" t="str">
        <f>IF(I45&lt;&gt;"",I45,"")</f>
        <v/>
      </c>
      <c r="C61" s="54">
        <f ca="1">VLOOKUP(A61,DB_TBL_DATA_FIELDS[[FIELD_ID]:[PCT_CALC_FIELD_STATUS_CODE]],22,FALSE)</f>
        <v>1</v>
      </c>
      <c r="D61" s="54" t="str">
        <f>IF(VLOOKUP(A61,DB_TBL_DATA_FIELDS[[FIELD_ID]:[ERROR_MESSAGE]],23,FALSE)&lt;&gt;0,VLOOKUP(A61,DB_TBL_DATA_FIELDS[[FIELD_ID]:[ERROR_MESSAGE]],23,FALSE),"")</f>
        <v/>
      </c>
      <c r="E61" s="54">
        <f>VLOOKUP(A61,DB_TBL_DATA_FIELDS[[#All],[FIELD_ID]:[RANGE_VALIDATION_MAX]],18,FALSE)</f>
        <v>0</v>
      </c>
      <c r="F61" s="54">
        <f>VLOOKUP(A61,DB_TBL_DATA_FIELDS[[#All],[FIELD_ID]:[RANGE_VALIDATION_MAX]],19,FALSE)</f>
        <v>0</v>
      </c>
      <c r="G61" s="54">
        <f t="shared" ref="G61" ca="1" si="3">IF(C61&lt;0,"",C61)</f>
        <v>1</v>
      </c>
      <c r="I61" s="36" t="s">
        <v>2538</v>
      </c>
      <c r="L61" s="121"/>
      <c r="U61" s="388"/>
      <c r="V61" s="388"/>
      <c r="W61" s="388"/>
      <c r="X61" s="52">
        <f ca="1">G69</f>
        <v>1</v>
      </c>
    </row>
    <row r="62" spans="1:24" ht="21.95" customHeight="1" x14ac:dyDescent="0.25">
      <c r="A62" s="61" t="s">
        <v>2508</v>
      </c>
      <c r="B62" s="95" t="str">
        <f>IF(W50&lt;&gt;"",W50,"")</f>
        <v/>
      </c>
      <c r="C62" s="54">
        <f ca="1">VLOOKUP(A62,DB_TBL_DATA_FIELDS[[FIELD_ID]:[PCT_CALC_FIELD_STATUS_CODE]],22,FALSE)</f>
        <v>1</v>
      </c>
      <c r="D62" s="54" t="str">
        <f>IF(VLOOKUP(A62,DB_TBL_DATA_FIELDS[[FIELD_ID]:[ERROR_MESSAGE]],23,FALSE)&lt;&gt;0,VLOOKUP(A62,DB_TBL_DATA_FIELDS[[FIELD_ID]:[ERROR_MESSAGE]],23,FALSE),"")</f>
        <v/>
      </c>
      <c r="E62" s="54">
        <f>VLOOKUP(A62,DB_TBL_DATA_FIELDS[[#All],[FIELD_ID]:[RANGE_VALIDATION_MAX]],18,FALSE)</f>
        <v>0</v>
      </c>
      <c r="F62" s="54">
        <f>VLOOKUP(A62,DB_TBL_DATA_FIELDS[[#All],[FIELD_ID]:[RANGE_VALIDATION_MAX]],19,FALSE)</f>
        <v>999999999</v>
      </c>
      <c r="G62" s="54">
        <f t="shared" ref="G62:G77" ca="1" si="4">IF(C62&lt;0,"",C62)</f>
        <v>1</v>
      </c>
      <c r="I62" s="36" t="s">
        <v>2537</v>
      </c>
      <c r="L62" s="121"/>
      <c r="U62" s="388"/>
      <c r="V62" s="388"/>
      <c r="W62" s="388"/>
      <c r="X62" s="52">
        <f ca="1">G68</f>
        <v>1</v>
      </c>
    </row>
    <row r="63" spans="1:24" ht="21.95" customHeight="1" x14ac:dyDescent="0.25">
      <c r="A63" s="61" t="s">
        <v>2509</v>
      </c>
      <c r="B63" s="95" t="str">
        <f>IF(W51&lt;&gt;"",W51,"")</f>
        <v/>
      </c>
      <c r="C63" s="54">
        <f ca="1">VLOOKUP(A63,DB_TBL_DATA_FIELDS[[FIELD_ID]:[PCT_CALC_FIELD_STATUS_CODE]],22,FALSE)</f>
        <v>1</v>
      </c>
      <c r="D63" s="54" t="str">
        <f ca="1">IF(VLOOKUP(A63,DB_TBL_DATA_FIELDS[[FIELD_ID]:[ERROR_MESSAGE]],23,FALSE)&lt;&gt;0,VLOOKUP(A63,DB_TBL_DATA_FIELDS[[FIELD_ID]:[ERROR_MESSAGE]],23,FALSE),"")</f>
        <v/>
      </c>
      <c r="E63" s="54">
        <f>VLOOKUP(A63,DB_TBL_DATA_FIELDS[[#All],[FIELD_ID]:[RANGE_VALIDATION_MAX]],18,FALSE)</f>
        <v>0</v>
      </c>
      <c r="F63" s="54">
        <f>VLOOKUP(A63,DB_TBL_DATA_FIELDS[[#All],[FIELD_ID]:[RANGE_VALIDATION_MAX]],19,FALSE)</f>
        <v>999999999</v>
      </c>
      <c r="G63" s="54">
        <f t="shared" ca="1" si="4"/>
        <v>1</v>
      </c>
      <c r="I63" s="36"/>
      <c r="J63" s="36"/>
      <c r="K63" s="36"/>
      <c r="L63" s="36"/>
      <c r="M63" s="36"/>
      <c r="N63" s="36"/>
      <c r="O63" s="36"/>
      <c r="P63" s="36"/>
      <c r="Q63" s="36"/>
      <c r="R63" s="36"/>
      <c r="S63" s="36"/>
      <c r="T63" s="36"/>
      <c r="U63" s="36"/>
      <c r="V63" s="36"/>
      <c r="W63" s="36"/>
      <c r="X63" s="36"/>
    </row>
    <row r="64" spans="1:24" ht="21.95" customHeight="1" thickBot="1" x14ac:dyDescent="0.3">
      <c r="A64" s="61" t="s">
        <v>2840</v>
      </c>
      <c r="B64" s="95" t="str">
        <f>IF(I54&lt;&gt;"",I54,"")</f>
        <v/>
      </c>
      <c r="C64" s="54">
        <f ca="1">VLOOKUP(A64,DB_TBL_DATA_FIELDS[[FIELD_ID]:[PCT_CALC_FIELD_STATUS_CODE]],22,FALSE)</f>
        <v>-1</v>
      </c>
      <c r="D64" s="54" t="str">
        <f>IF(VLOOKUP(A64,DB_TBL_DATA_FIELDS[[FIELD_ID]:[ERROR_MESSAGE]],23,FALSE)&lt;&gt;0,VLOOKUP(A64,DB_TBL_DATA_FIELDS[[FIELD_ID]:[ERROR_MESSAGE]],23,FALSE),"")</f>
        <v/>
      </c>
      <c r="E64" s="54">
        <f>VLOOKUP(A64,DB_TBL_DATA_FIELDS[[#All],[FIELD_ID]:[RANGE_VALIDATION_MAX]],18,FALSE)</f>
        <v>0</v>
      </c>
      <c r="F64" s="54">
        <f>VLOOKUP(A64,DB_TBL_DATA_FIELDS[[#All],[FIELD_ID]:[RANGE_VALIDATION_MAX]],19,FALSE)</f>
        <v>1000</v>
      </c>
      <c r="G64" s="54" t="str">
        <f t="shared" ref="G64" ca="1" si="5">IF(C64&lt;0,"",C64)</f>
        <v/>
      </c>
      <c r="I64" s="64" t="s">
        <v>2572</v>
      </c>
      <c r="J64" s="64"/>
      <c r="K64" s="64"/>
      <c r="L64" s="64"/>
      <c r="M64" s="64"/>
      <c r="N64" s="64"/>
      <c r="O64" s="64"/>
      <c r="P64" s="64"/>
      <c r="Q64" s="64"/>
      <c r="R64" s="64"/>
      <c r="S64" s="64"/>
      <c r="T64" s="64"/>
      <c r="U64" s="64"/>
      <c r="V64" s="64"/>
      <c r="W64" s="64"/>
      <c r="X64" s="36"/>
    </row>
    <row r="65" spans="1:24" ht="21.95" customHeight="1" thickTop="1" x14ac:dyDescent="0.25">
      <c r="A65" s="61" t="s">
        <v>9293</v>
      </c>
      <c r="B65" s="95" t="str">
        <f>IF(I47&lt;&gt;"",I47,"")</f>
        <v/>
      </c>
      <c r="C65" s="54">
        <f ca="1">VLOOKUP(A65,DB_TBL_DATA_FIELDS[[FIELD_ID]:[PCT_CALC_FIELD_STATUS_CODE]],22,FALSE)</f>
        <v>1</v>
      </c>
      <c r="D65" s="54" t="str">
        <f>IF(VLOOKUP(A65,DB_TBL_DATA_FIELDS[[FIELD_ID]:[ERROR_MESSAGE]],23,FALSE)&lt;&gt;0,VLOOKUP(A65,DB_TBL_DATA_FIELDS[[FIELD_ID]:[ERROR_MESSAGE]],23,FALSE),"")</f>
        <v/>
      </c>
      <c r="E65" s="54">
        <f>VLOOKUP(A65,DB_TBL_DATA_FIELDS[[#All],[FIELD_ID]:[RANGE_VALIDATION_MAX]],18,FALSE)</f>
        <v>1</v>
      </c>
      <c r="F65" s="54">
        <f>VLOOKUP(A65,DB_TBL_DATA_FIELDS[[#All],[FIELD_ID]:[RANGE_VALIDATION_MAX]],19,FALSE)</f>
        <v>999999999</v>
      </c>
      <c r="G65" s="54">
        <f t="shared" ref="G65:G66" ca="1" si="6">IF(C65&lt;0,"",C65)</f>
        <v>1</v>
      </c>
      <c r="I65" s="36"/>
      <c r="J65" s="36"/>
      <c r="K65" s="36"/>
      <c r="L65" s="36"/>
      <c r="M65" s="36"/>
      <c r="N65" s="36"/>
      <c r="O65" s="36"/>
      <c r="P65" s="36"/>
      <c r="Q65" s="36"/>
      <c r="R65" s="36"/>
      <c r="S65" s="36"/>
      <c r="T65" s="36"/>
      <c r="U65" s="36"/>
      <c r="V65" s="36"/>
      <c r="W65" s="36"/>
      <c r="X65" s="36"/>
    </row>
    <row r="66" spans="1:24" ht="21.95" customHeight="1" x14ac:dyDescent="0.25">
      <c r="A66" s="61" t="s">
        <v>9294</v>
      </c>
      <c r="B66" s="95" t="str">
        <f>IF(M47&lt;&gt;"",M47,"")</f>
        <v/>
      </c>
      <c r="C66" s="54">
        <f ca="1">VLOOKUP(A66,DB_TBL_DATA_FIELDS[[FIELD_ID]:[PCT_CALC_FIELD_STATUS_CODE]],22,FALSE)</f>
        <v>-1</v>
      </c>
      <c r="D66" s="54" t="str">
        <f>IF(VLOOKUP(A66,DB_TBL_DATA_FIELDS[[FIELD_ID]:[ERROR_MESSAGE]],23,FALSE)&lt;&gt;0,VLOOKUP(A66,DB_TBL_DATA_FIELDS[[FIELD_ID]:[ERROR_MESSAGE]],23,FALSE),"")</f>
        <v/>
      </c>
      <c r="E66" s="54">
        <f>VLOOKUP(A66,DB_TBL_DATA_FIELDS[[#All],[FIELD_ID]:[RANGE_VALIDATION_MAX]],18,FALSE)</f>
        <v>0</v>
      </c>
      <c r="F66" s="54">
        <f>VLOOKUP(A66,DB_TBL_DATA_FIELDS[[#All],[FIELD_ID]:[RANGE_VALIDATION_MAX]],19,FALSE)</f>
        <v>999999999</v>
      </c>
      <c r="G66" s="54" t="str">
        <f t="shared" ca="1" si="6"/>
        <v/>
      </c>
      <c r="I66" s="36" t="s">
        <v>2576</v>
      </c>
      <c r="J66" s="36"/>
      <c r="K66" s="36"/>
      <c r="L66" s="36"/>
      <c r="M66" s="36"/>
      <c r="N66" s="36"/>
      <c r="O66" s="36"/>
      <c r="P66" s="36"/>
      <c r="Q66" s="36"/>
      <c r="R66" s="36"/>
      <c r="S66" s="36"/>
      <c r="T66" s="125"/>
      <c r="U66" s="125"/>
      <c r="V66" s="36"/>
      <c r="W66" s="40"/>
      <c r="X66" s="52">
        <f ca="1">G74</f>
        <v>1</v>
      </c>
    </row>
    <row r="67" spans="1:24" ht="21.95" customHeight="1" x14ac:dyDescent="0.25">
      <c r="A67" s="61" t="s">
        <v>2510</v>
      </c>
      <c r="B67" s="65" t="str">
        <f ca="1">VLOOKUP(A67,DB_TBL_DATA_FIELDS[[#All],[FIELD_ID]:[FIELD_VALUE_RAW]],5,FALSE)</f>
        <v/>
      </c>
      <c r="C67" s="54">
        <f ca="1">VLOOKUP(A67,DB_TBL_DATA_FIELDS[[FIELD_ID]:[PCT_CALC_FIELD_STATUS_CODE]],22,FALSE)</f>
        <v>1</v>
      </c>
      <c r="D67" s="54" t="str">
        <f>IF(VLOOKUP(A67,DB_TBL_DATA_FIELDS[[FIELD_ID]:[ERROR_MESSAGE]],23,FALSE)&lt;&gt;0,VLOOKUP(A67,DB_TBL_DATA_FIELDS[[FIELD_ID]:[ERROR_MESSAGE]],23,FALSE),"")</f>
        <v/>
      </c>
      <c r="E67" s="54">
        <f>VLOOKUP(A67,DB_TBL_DATA_FIELDS[[#All],[FIELD_ID]:[RANGE_VALIDATION_MAX]],18,FALSE)</f>
        <v>0</v>
      </c>
      <c r="F67" s="54">
        <f>VLOOKUP(A67,DB_TBL_DATA_FIELDS[[#All],[FIELD_ID]:[RANGE_VALIDATION_MAX]],19,FALSE)</f>
        <v>999999999</v>
      </c>
      <c r="G67" s="54">
        <f t="shared" ca="1" si="4"/>
        <v>1</v>
      </c>
      <c r="I67" s="36"/>
      <c r="J67" s="36"/>
      <c r="K67" s="36"/>
      <c r="L67" s="36"/>
      <c r="M67" s="36"/>
      <c r="N67" s="36"/>
      <c r="O67" s="36"/>
      <c r="P67" s="36"/>
      <c r="Q67" s="36"/>
      <c r="R67" s="36"/>
      <c r="S67" s="36"/>
      <c r="T67" s="36"/>
      <c r="U67" s="36"/>
      <c r="V67" s="36"/>
      <c r="W67" s="36"/>
      <c r="X67" s="36"/>
    </row>
    <row r="68" spans="1:24" ht="21.95" customHeight="1" x14ac:dyDescent="0.25">
      <c r="A68" s="61" t="s">
        <v>2511</v>
      </c>
      <c r="B68" s="95" t="str">
        <f>IF(U62&lt;&gt;"",U62,"")</f>
        <v/>
      </c>
      <c r="C68" s="54">
        <f ca="1">VLOOKUP(A68,DB_TBL_DATA_FIELDS[[FIELD_ID]:[PCT_CALC_FIELD_STATUS_CODE]],22,FALSE)</f>
        <v>1</v>
      </c>
      <c r="D68" s="54" t="str">
        <f>IF(VLOOKUP(A68,DB_TBL_DATA_FIELDS[[FIELD_ID]:[ERROR_MESSAGE]],23,FALSE)&lt;&gt;0,VLOOKUP(A68,DB_TBL_DATA_FIELDS[[FIELD_ID]:[ERROR_MESSAGE]],23,FALSE),"")</f>
        <v/>
      </c>
      <c r="E68" s="54">
        <f>VLOOKUP(A68,DB_TBL_DATA_FIELDS[[#All],[FIELD_ID]:[RANGE_VALIDATION_MAX]],18,FALSE)</f>
        <v>0</v>
      </c>
      <c r="F68" s="54">
        <f>VLOOKUP(A68,DB_TBL_DATA_FIELDS[[#All],[FIELD_ID]:[RANGE_VALIDATION_MAX]],19,FALSE)</f>
        <v>999999999</v>
      </c>
      <c r="G68" s="54">
        <f t="shared" ca="1" si="4"/>
        <v>1</v>
      </c>
      <c r="I68" s="36" t="s">
        <v>2545</v>
      </c>
      <c r="J68" s="36"/>
      <c r="K68" s="36"/>
      <c r="L68" s="36"/>
      <c r="O68" s="36" t="s">
        <v>2569</v>
      </c>
      <c r="P68" s="36"/>
      <c r="S68" s="36"/>
      <c r="T68" s="36"/>
      <c r="U68" s="36" t="s">
        <v>2570</v>
      </c>
      <c r="V68" s="36"/>
      <c r="W68" s="36"/>
      <c r="X68" s="36"/>
    </row>
    <row r="69" spans="1:24" ht="21.95" customHeight="1" x14ac:dyDescent="0.25">
      <c r="A69" s="61" t="s">
        <v>2514</v>
      </c>
      <c r="B69" s="95" t="str">
        <f>IF(U61&lt;&gt;"",U61,"")</f>
        <v/>
      </c>
      <c r="C69" s="54">
        <f ca="1">VLOOKUP(A69,DB_TBL_DATA_FIELDS[[FIELD_ID]:[PCT_CALC_FIELD_STATUS_CODE]],22,FALSE)</f>
        <v>1</v>
      </c>
      <c r="D69" s="54" t="str">
        <f>IF(VLOOKUP(A69,DB_TBL_DATA_FIELDS[[FIELD_ID]:[ERROR_MESSAGE]],23,FALSE)&lt;&gt;0,VLOOKUP(A69,DB_TBL_DATA_FIELDS[[FIELD_ID]:[ERROR_MESSAGE]],23,FALSE),"")</f>
        <v/>
      </c>
      <c r="E69" s="54">
        <f>VLOOKUP(A69,DB_TBL_DATA_FIELDS[[#All],[FIELD_ID]:[RANGE_VALIDATION_MAX]],18,FALSE)</f>
        <v>0</v>
      </c>
      <c r="F69" s="54">
        <f>VLOOKUP(A69,DB_TBL_DATA_FIELDS[[#All],[FIELD_ID]:[RANGE_VALIDATION_MAX]],19,FALSE)</f>
        <v>999999999</v>
      </c>
      <c r="G69" s="54">
        <f t="shared" ca="1" si="4"/>
        <v>1</v>
      </c>
      <c r="I69" s="325"/>
      <c r="J69" s="325"/>
      <c r="K69" s="325"/>
      <c r="L69" s="52" t="str">
        <f ca="1">G75</f>
        <v/>
      </c>
      <c r="O69" s="404"/>
      <c r="P69" s="405"/>
      <c r="Q69" s="406"/>
      <c r="R69" s="52" t="str">
        <f ca="1">G76</f>
        <v/>
      </c>
      <c r="S69" s="36"/>
      <c r="T69" s="36"/>
      <c r="U69" s="401"/>
      <c r="V69" s="402"/>
      <c r="W69" s="403"/>
      <c r="X69" s="52" t="str">
        <f ca="1">G77</f>
        <v/>
      </c>
    </row>
    <row r="70" spans="1:24" ht="21.95" customHeight="1" x14ac:dyDescent="0.25">
      <c r="A70" s="61" t="s">
        <v>2512</v>
      </c>
      <c r="B70" s="95" t="str">
        <f>IF(M45&lt;&gt;"",M45,"")</f>
        <v/>
      </c>
      <c r="C70" s="54">
        <f ca="1">VLOOKUP(A70,DB_TBL_DATA_FIELDS[[FIELD_ID]:[PCT_CALC_FIELD_STATUS_CODE]],22,FALSE)</f>
        <v>1</v>
      </c>
      <c r="D70" s="54" t="str">
        <f>IF(VLOOKUP(A70,DB_TBL_DATA_FIELDS[[FIELD_ID]:[ERROR_MESSAGE]],23,FALSE)&lt;&gt;0,VLOOKUP(A70,DB_TBL_DATA_FIELDS[[FIELD_ID]:[ERROR_MESSAGE]],23,FALSE),"")</f>
        <v/>
      </c>
      <c r="E70" s="54">
        <f>VLOOKUP(A70,DB_TBL_DATA_FIELDS[[#All],[FIELD_ID]:[RANGE_VALIDATION_MAX]],18,FALSE)</f>
        <v>1</v>
      </c>
      <c r="F70" s="54">
        <f>VLOOKUP(A70,DB_TBL_DATA_FIELDS[[#All],[FIELD_ID]:[RANGE_VALIDATION_MAX]],19,FALSE)</f>
        <v>999999999</v>
      </c>
      <c r="G70" s="54">
        <f t="shared" ca="1" si="4"/>
        <v>1</v>
      </c>
      <c r="I70" s="36"/>
      <c r="J70" s="36"/>
      <c r="K70" s="36"/>
      <c r="L70" s="36"/>
      <c r="M70" s="36"/>
      <c r="N70" s="36"/>
      <c r="O70" s="36"/>
      <c r="P70" s="36"/>
      <c r="Q70" s="36"/>
      <c r="R70" s="36"/>
      <c r="S70" s="36"/>
      <c r="T70" s="36"/>
      <c r="U70" s="36"/>
      <c r="V70" s="36"/>
      <c r="W70" s="36"/>
      <c r="X70" s="36"/>
    </row>
    <row r="71" spans="1:24" ht="21.95" customHeight="1" thickBot="1" x14ac:dyDescent="0.3">
      <c r="A71" s="61" t="s">
        <v>2515</v>
      </c>
      <c r="B71" s="95" t="str">
        <f>IF(Q45&lt;&gt;"",Q45,"")</f>
        <v/>
      </c>
      <c r="C71" s="54">
        <f ca="1">VLOOKUP(A71,DB_TBL_DATA_FIELDS[[FIELD_ID]:[PCT_CALC_FIELD_STATUS_CODE]],22,FALSE)</f>
        <v>1</v>
      </c>
      <c r="D71" s="54" t="str">
        <f>IF(VLOOKUP(A71,DB_TBL_DATA_FIELDS[[FIELD_ID]:[ERROR_MESSAGE]],23,FALSE)&lt;&gt;0,VLOOKUP(A71,DB_TBL_DATA_FIELDS[[FIELD_ID]:[ERROR_MESSAGE]],23,FALSE),"")</f>
        <v/>
      </c>
      <c r="E71" s="54">
        <f>VLOOKUP(A71,DB_TBL_DATA_FIELDS[[#All],[FIELD_ID]:[RANGE_VALIDATION_MAX]],18,FALSE)</f>
        <v>0</v>
      </c>
      <c r="F71" s="54">
        <f>VLOOKUP(A71,DB_TBL_DATA_FIELDS[[#All],[FIELD_ID]:[RANGE_VALIDATION_MAX]],19,FALSE)</f>
        <v>0.5</v>
      </c>
      <c r="G71" s="54">
        <f t="shared" ca="1" si="4"/>
        <v>1</v>
      </c>
      <c r="I71" s="55" t="str">
        <f>B92</f>
        <v>Other Grants</v>
      </c>
      <c r="J71" s="55"/>
      <c r="K71" s="55"/>
      <c r="L71" s="55"/>
      <c r="M71" s="55"/>
      <c r="N71" s="55"/>
      <c r="O71" s="55"/>
      <c r="P71" s="55"/>
      <c r="Q71" s="55"/>
      <c r="R71" s="55"/>
      <c r="S71" s="55"/>
      <c r="T71" s="55"/>
      <c r="U71" s="55"/>
      <c r="V71" s="55"/>
      <c r="W71" s="55"/>
      <c r="X71" s="56" t="str">
        <f ca="1">"Status: "&amp;$B$110</f>
        <v>Status: Not Started</v>
      </c>
    </row>
    <row r="72" spans="1:24" ht="21.95" customHeight="1" x14ac:dyDescent="0.25">
      <c r="A72" s="61" t="s">
        <v>2516</v>
      </c>
      <c r="B72" s="95" t="str">
        <f>IF(S45&lt;&gt;"",S45,"")</f>
        <v/>
      </c>
      <c r="C72" s="54">
        <f ca="1">VLOOKUP(A72,DB_TBL_DATA_FIELDS[[FIELD_ID]:[PCT_CALC_FIELD_STATUS_CODE]],22,FALSE)</f>
        <v>1</v>
      </c>
      <c r="D72" s="54" t="str">
        <f>IF(VLOOKUP(A72,DB_TBL_DATA_FIELDS[[FIELD_ID]:[ERROR_MESSAGE]],23,FALSE)&lt;&gt;0,VLOOKUP(A72,DB_TBL_DATA_FIELDS[[FIELD_ID]:[ERROR_MESSAGE]],23,FALSE),"")</f>
        <v/>
      </c>
      <c r="E72" s="54">
        <f>VLOOKUP(A72,DB_TBL_DATA_FIELDS[[#All],[FIELD_ID]:[RANGE_VALIDATION_MAX]],18,FALSE)</f>
        <v>1</v>
      </c>
      <c r="F72" s="54">
        <f>VLOOKUP(A72,DB_TBL_DATA_FIELDS[[#All],[FIELD_ID]:[RANGE_VALIDATION_MAX]],19,FALSE)</f>
        <v>600</v>
      </c>
      <c r="G72" s="54">
        <f t="shared" ca="1" si="4"/>
        <v>1</v>
      </c>
    </row>
    <row r="73" spans="1:24" ht="21.95" customHeight="1" x14ac:dyDescent="0.25">
      <c r="A73" s="61" t="s">
        <v>2517</v>
      </c>
      <c r="B73" s="95" t="str">
        <f>IF(U45&lt;&gt;"",U45,"")</f>
        <v/>
      </c>
      <c r="C73" s="54">
        <f ca="1">VLOOKUP(A73,DB_TBL_DATA_FIELDS[[FIELD_ID]:[PCT_CALC_FIELD_STATUS_CODE]],22,FALSE)</f>
        <v>1</v>
      </c>
      <c r="D73" s="54" t="str">
        <f>IF(VLOOKUP(A73,DB_TBL_DATA_FIELDS[[FIELD_ID]:[ERROR_MESSAGE]],23,FALSE)&lt;&gt;0,VLOOKUP(A73,DB_TBL_DATA_FIELDS[[FIELD_ID]:[ERROR_MESSAGE]],23,FALSE),"")</f>
        <v/>
      </c>
      <c r="E73" s="54">
        <f>VLOOKUP(A73,DB_TBL_DATA_FIELDS[[#All],[FIELD_ID]:[RANGE_VALIDATION_MAX]],18,FALSE)</f>
        <v>0</v>
      </c>
      <c r="F73" s="54">
        <f>VLOOKUP(A73,DB_TBL_DATA_FIELDS[[#All],[FIELD_ID]:[RANGE_VALIDATION_MAX]],19,FALSE)</f>
        <v>100</v>
      </c>
      <c r="G73" s="54">
        <f t="shared" ca="1" si="4"/>
        <v>1</v>
      </c>
      <c r="J73"/>
      <c r="L73"/>
      <c r="N73"/>
      <c r="P73"/>
      <c r="R73"/>
      <c r="T73"/>
      <c r="V73"/>
      <c r="X73"/>
    </row>
    <row r="74" spans="1:24" ht="21.95" customHeight="1" x14ac:dyDescent="0.25">
      <c r="A74" s="61" t="s">
        <v>2532</v>
      </c>
      <c r="B74" s="95" t="str">
        <f>IF(W66="","",IF(UPPER(W66)="YES",TRUE,FALSE))</f>
        <v/>
      </c>
      <c r="C74" s="54">
        <f ca="1">VLOOKUP(A74,DB_TBL_DATA_FIELDS[[FIELD_ID]:[PCT_CALC_FIELD_STATUS_CODE]],22,FALSE)</f>
        <v>1</v>
      </c>
      <c r="D74" s="54" t="str">
        <f>IF(VLOOKUP(A74,DB_TBL_DATA_FIELDS[[FIELD_ID]:[ERROR_MESSAGE]],23,FALSE)&lt;&gt;0,VLOOKUP(A74,DB_TBL_DATA_FIELDS[[FIELD_ID]:[ERROR_MESSAGE]],23,FALSE),"")</f>
        <v/>
      </c>
      <c r="E74" s="54">
        <f>VLOOKUP(A74,DB_TBL_DATA_FIELDS[[#All],[FIELD_ID]:[RANGE_VALIDATION_MAX]],18,FALSE)</f>
        <v>0</v>
      </c>
      <c r="F74" s="54">
        <f>VLOOKUP(A74,DB_TBL_DATA_FIELDS[[#All],[FIELD_ID]:[RANGE_VALIDATION_MAX]],19,FALSE)</f>
        <v>0</v>
      </c>
      <c r="G74" s="54">
        <f t="shared" ca="1" si="4"/>
        <v>1</v>
      </c>
      <c r="I74" s="36" t="s">
        <v>2575</v>
      </c>
      <c r="J74" s="36"/>
      <c r="K74" s="36"/>
      <c r="L74" s="36"/>
      <c r="M74" s="36"/>
      <c r="N74" s="36"/>
      <c r="O74" s="36"/>
      <c r="P74" s="36"/>
      <c r="Q74" s="36"/>
      <c r="R74" s="36"/>
      <c r="S74" s="36"/>
      <c r="T74" s="125"/>
      <c r="U74" s="125"/>
      <c r="V74" s="36"/>
      <c r="W74" s="40"/>
      <c r="X74" s="52">
        <f ca="1">G102</f>
        <v>1</v>
      </c>
    </row>
    <row r="75" spans="1:24" ht="21.95" customHeight="1" x14ac:dyDescent="0.25">
      <c r="A75" s="61" t="s">
        <v>2519</v>
      </c>
      <c r="B75" s="95" t="str">
        <f>IF(I69&lt;&gt;"",I69,"")</f>
        <v/>
      </c>
      <c r="C75" s="54">
        <f ca="1">VLOOKUP(A75,DB_TBL_DATA_FIELDS[[FIELD_ID]:[PCT_CALC_FIELD_STATUS_CODE]],22,FALSE)</f>
        <v>-1</v>
      </c>
      <c r="D75" s="54" t="str">
        <f>IF(VLOOKUP(A75,DB_TBL_DATA_FIELDS[[FIELD_ID]:[ERROR_MESSAGE]],23,FALSE)&lt;&gt;0,VLOOKUP(A75,DB_TBL_DATA_FIELDS[[FIELD_ID]:[ERROR_MESSAGE]],23,FALSE),"")</f>
        <v/>
      </c>
      <c r="E75" s="54">
        <f>VLOOKUP(A75,DB_TBL_DATA_FIELDS[[#All],[FIELD_ID]:[RANGE_VALIDATION_MAX]],18,FALSE)</f>
        <v>1</v>
      </c>
      <c r="F75" s="54">
        <f>VLOOKUP(A75,DB_TBL_DATA_FIELDS[[#All],[FIELD_ID]:[RANGE_VALIDATION_MAX]],19,FALSE)</f>
        <v>999999999</v>
      </c>
      <c r="G75" s="54" t="str">
        <f t="shared" ca="1" si="4"/>
        <v/>
      </c>
      <c r="I75" s="407" t="s">
        <v>9001</v>
      </c>
      <c r="J75" s="407"/>
      <c r="K75" s="407"/>
      <c r="L75" s="407"/>
      <c r="M75" s="407"/>
      <c r="N75" s="407"/>
      <c r="O75" s="407"/>
      <c r="P75" s="407"/>
      <c r="Q75" s="407"/>
      <c r="R75" s="407"/>
      <c r="S75" s="407"/>
      <c r="T75" s="407"/>
      <c r="U75" s="407"/>
      <c r="V75" s="407"/>
      <c r="W75" s="407"/>
      <c r="X75"/>
    </row>
    <row r="76" spans="1:24" ht="21.95" customHeight="1" x14ac:dyDescent="0.25">
      <c r="A76" s="61" t="s">
        <v>2520</v>
      </c>
      <c r="B76" s="95" t="str">
        <f>IF(O69&lt;&gt;"",O69,"")</f>
        <v/>
      </c>
      <c r="C76" s="54">
        <f ca="1">VLOOKUP(A76,DB_TBL_DATA_FIELDS[[FIELD_ID]:[PCT_CALC_FIELD_STATUS_CODE]],22,FALSE)</f>
        <v>-1</v>
      </c>
      <c r="D76" s="54" t="str">
        <f>IF(VLOOKUP(A76,DB_TBL_DATA_FIELDS[[FIELD_ID]:[ERROR_MESSAGE]],23,FALSE)&lt;&gt;0,VLOOKUP(A76,DB_TBL_DATA_FIELDS[[FIELD_ID]:[ERROR_MESSAGE]],23,FALSE),"")</f>
        <v/>
      </c>
      <c r="E76" s="54">
        <f>VLOOKUP(A76,DB_TBL_DATA_FIELDS[[#All],[FIELD_ID]:[RANGE_VALIDATION_MAX]],18,FALSE)</f>
        <v>0</v>
      </c>
      <c r="F76" s="54">
        <f>VLOOKUP(A76,DB_TBL_DATA_FIELDS[[#All],[FIELD_ID]:[RANGE_VALIDATION_MAX]],19,FALSE)</f>
        <v>0.5</v>
      </c>
      <c r="G76" s="54" t="str">
        <f t="shared" ca="1" si="4"/>
        <v/>
      </c>
      <c r="I76" s="407"/>
      <c r="J76" s="407"/>
      <c r="K76" s="407"/>
      <c r="L76" s="407"/>
      <c r="M76" s="407"/>
      <c r="N76" s="407"/>
      <c r="O76" s="407"/>
      <c r="P76" s="407"/>
      <c r="Q76" s="407"/>
      <c r="R76" s="407"/>
      <c r="S76" s="407"/>
      <c r="T76" s="407"/>
      <c r="U76" s="407"/>
      <c r="V76" s="407"/>
      <c r="W76" s="407"/>
      <c r="X76"/>
    </row>
    <row r="77" spans="1:24" ht="21.95" customHeight="1" x14ac:dyDescent="0.25">
      <c r="A77" s="61" t="s">
        <v>2521</v>
      </c>
      <c r="B77" s="95" t="str">
        <f>IF(U69&lt;&gt;"",U69,"")</f>
        <v/>
      </c>
      <c r="C77" s="54">
        <f ca="1">VLOOKUP(A77,DB_TBL_DATA_FIELDS[[FIELD_ID]:[PCT_CALC_FIELD_STATUS_CODE]],22,FALSE)</f>
        <v>-1</v>
      </c>
      <c r="D77" s="54" t="str">
        <f>IF(VLOOKUP(A77,DB_TBL_DATA_FIELDS[[FIELD_ID]:[ERROR_MESSAGE]],23,FALSE)&lt;&gt;0,VLOOKUP(A77,DB_TBL_DATA_FIELDS[[FIELD_ID]:[ERROR_MESSAGE]],23,FALSE),"")</f>
        <v/>
      </c>
      <c r="E77" s="54">
        <f>VLOOKUP(A77,DB_TBL_DATA_FIELDS[[#All],[FIELD_ID]:[RANGE_VALIDATION_MAX]],18,FALSE)</f>
        <v>1</v>
      </c>
      <c r="F77" s="54">
        <f>VLOOKUP(A77,DB_TBL_DATA_FIELDS[[#All],[FIELD_ID]:[RANGE_VALIDATION_MAX]],19,FALSE)</f>
        <v>600</v>
      </c>
      <c r="G77" s="54" t="str">
        <f t="shared" ca="1" si="4"/>
        <v/>
      </c>
      <c r="I77" s="36" t="s">
        <v>8999</v>
      </c>
      <c r="J77"/>
      <c r="L77"/>
      <c r="N77"/>
      <c r="P77"/>
      <c r="R77"/>
      <c r="T77"/>
      <c r="U77" s="36" t="s">
        <v>9000</v>
      </c>
    </row>
    <row r="78" spans="1:24" ht="21.95" customHeight="1" x14ac:dyDescent="0.25">
      <c r="A78" s="61" t="s">
        <v>153</v>
      </c>
      <c r="B78" s="65" t="str">
        <f>"C"&amp;MATCH(LEFT(A78,LEN(A78)-LEN("_RANGE")),A:A,0)+1&amp;":C"&amp;(ROW()-1)</f>
        <v>C61:C77</v>
      </c>
      <c r="C78" s="54"/>
      <c r="D78" s="54"/>
      <c r="E78" s="54"/>
      <c r="F78" s="54"/>
      <c r="G78" s="54"/>
      <c r="I78" s="355"/>
      <c r="J78" s="356"/>
      <c r="K78" s="356"/>
      <c r="L78" s="356"/>
      <c r="M78" s="356"/>
      <c r="N78" s="356"/>
      <c r="O78" s="356"/>
      <c r="P78" s="356"/>
      <c r="Q78" s="356"/>
      <c r="R78" s="356"/>
      <c r="S78" s="357"/>
      <c r="T78" s="52" t="str">
        <f ca="1">G103</f>
        <v/>
      </c>
      <c r="U78" s="388"/>
      <c r="V78" s="388"/>
      <c r="W78" s="388"/>
      <c r="X78" s="52" t="str">
        <f ca="1">G104</f>
        <v/>
      </c>
    </row>
    <row r="79" spans="1:24" ht="21.95" customHeight="1" thickBot="1" x14ac:dyDescent="0.3">
      <c r="A79" s="61" t="s">
        <v>154</v>
      </c>
      <c r="B79" s="65">
        <f ca="1">COUNTIF(INDIRECT($B78),2)</f>
        <v>0</v>
      </c>
      <c r="C79" s="54"/>
      <c r="D79" s="54"/>
      <c r="E79" s="54"/>
      <c r="F79" s="54"/>
      <c r="G79" s="54"/>
      <c r="I79" s="130"/>
      <c r="J79" s="130"/>
      <c r="K79" s="130"/>
      <c r="L79" s="130"/>
      <c r="M79" s="130"/>
      <c r="N79" s="130"/>
      <c r="O79" s="130"/>
      <c r="P79" s="130"/>
      <c r="Q79" s="130"/>
      <c r="R79" s="130"/>
      <c r="S79" s="130"/>
      <c r="T79" s="130"/>
      <c r="U79" s="130"/>
      <c r="V79" s="130"/>
      <c r="W79" s="130"/>
      <c r="X79"/>
    </row>
    <row r="80" spans="1:24" ht="21.95" customHeight="1" thickTop="1" x14ac:dyDescent="0.25">
      <c r="A80" s="61" t="s">
        <v>155</v>
      </c>
      <c r="B80" s="65">
        <f ca="1">COUNTIF(INDIRECT($B78),0)+COUNTIF(INDIRECT($B78),1)+COUNTIF(INDIRECT($B78),2)</f>
        <v>12</v>
      </c>
      <c r="C80" s="54"/>
      <c r="D80" s="54"/>
      <c r="E80" s="54"/>
      <c r="F80" s="54"/>
      <c r="G80" s="54"/>
    </row>
    <row r="81" spans="1:24" ht="21.95" customHeight="1" x14ac:dyDescent="0.25">
      <c r="A81" s="61" t="s">
        <v>156</v>
      </c>
      <c r="B81" s="65">
        <f ca="1">COUNTIF(INDIRECT($B78),0)</f>
        <v>0</v>
      </c>
      <c r="C81" s="54"/>
      <c r="D81" s="54"/>
      <c r="E81" s="54"/>
      <c r="F81" s="54"/>
      <c r="G81" s="54"/>
      <c r="I81" s="36" t="s">
        <v>2574</v>
      </c>
      <c r="J81" s="36"/>
      <c r="K81" s="36"/>
      <c r="L81" s="36"/>
      <c r="M81" s="36"/>
      <c r="N81" s="36"/>
      <c r="O81" s="36"/>
      <c r="P81" s="36"/>
      <c r="Q81" s="36"/>
      <c r="R81" s="36"/>
      <c r="S81" s="36"/>
      <c r="T81" s="125"/>
      <c r="U81" s="125"/>
      <c r="V81" s="36"/>
      <c r="W81" s="40"/>
      <c r="X81" s="52">
        <f ca="1">G93</f>
        <v>1</v>
      </c>
    </row>
    <row r="82" spans="1:24" ht="21.95" customHeight="1" x14ac:dyDescent="0.25">
      <c r="A82" s="61" t="s">
        <v>157</v>
      </c>
      <c r="B82" s="97">
        <f ca="1">IFERROR(B79/B80,1.01)</f>
        <v>0</v>
      </c>
      <c r="C82" s="54"/>
      <c r="D82" s="54"/>
      <c r="E82" s="54"/>
      <c r="F82" s="54"/>
      <c r="G82" s="54"/>
      <c r="J82"/>
      <c r="L82"/>
      <c r="N82"/>
      <c r="P82"/>
      <c r="R82"/>
      <c r="T82"/>
      <c r="V82"/>
      <c r="X82"/>
    </row>
    <row r="83" spans="1:24" ht="21.95" customHeight="1" x14ac:dyDescent="0.25">
      <c r="A83" s="61" t="s">
        <v>158</v>
      </c>
      <c r="B83" s="65" t="str">
        <f ca="1">IF(B81&gt;0,"Data Error(s)",IF(B82=0,"Not Started",IF(B82&lt;1,ROUNDUP(B82*100,0)&amp;"% Done",IF(B82&gt;1,"Optional","Complete"))))</f>
        <v>Not Started</v>
      </c>
      <c r="C83" s="54"/>
      <c r="D83" s="54"/>
      <c r="E83" s="54"/>
      <c r="F83" s="54"/>
      <c r="G83" s="54"/>
      <c r="I83" s="343" t="s">
        <v>2573</v>
      </c>
      <c r="J83" s="343"/>
      <c r="K83" s="343"/>
      <c r="L83" s="343"/>
      <c r="M83" s="343"/>
      <c r="N83" s="343"/>
      <c r="O83" s="343"/>
      <c r="P83" s="343"/>
      <c r="Q83" s="343"/>
      <c r="R83" s="343"/>
      <c r="S83" s="343"/>
      <c r="T83" s="343"/>
      <c r="U83" s="400" t="s">
        <v>2568</v>
      </c>
      <c r="V83" s="400"/>
      <c r="W83" s="400"/>
      <c r="X83" s="400"/>
    </row>
    <row r="84" spans="1:24" ht="21.95" customHeight="1" x14ac:dyDescent="0.25">
      <c r="A84" s="61" t="s">
        <v>159</v>
      </c>
      <c r="B84" s="65" t="str">
        <f ca="1">IF(B81&gt;0,0,IF(B82&lt;1,"",2))</f>
        <v/>
      </c>
      <c r="C84" s="54"/>
      <c r="D84" s="54"/>
      <c r="E84" s="54"/>
      <c r="F84" s="54"/>
      <c r="G84" s="54"/>
      <c r="I84" s="316"/>
      <c r="J84" s="317"/>
      <c r="K84" s="317"/>
      <c r="L84" s="317"/>
      <c r="M84" s="317"/>
      <c r="N84" s="317"/>
      <c r="O84" s="317"/>
      <c r="P84" s="317"/>
      <c r="Q84" s="317"/>
      <c r="R84" s="317"/>
      <c r="S84" s="317"/>
      <c r="T84" s="66" t="str">
        <f ca="1">G94</f>
        <v/>
      </c>
      <c r="U84" s="398"/>
      <c r="V84" s="399"/>
      <c r="W84" s="399"/>
      <c r="X84" s="66" t="str">
        <f ca="1">G95</f>
        <v/>
      </c>
    </row>
    <row r="85" spans="1:24" ht="21.95" customHeight="1" x14ac:dyDescent="0.25">
      <c r="A85" s="61" t="s">
        <v>160</v>
      </c>
      <c r="B85" s="96" t="s">
        <v>2564</v>
      </c>
      <c r="C85" s="54"/>
      <c r="D85" s="54"/>
      <c r="E85" s="54"/>
      <c r="F85" s="54"/>
      <c r="G85" s="54"/>
      <c r="I85" s="316"/>
      <c r="J85" s="317"/>
      <c r="K85" s="317"/>
      <c r="L85" s="317"/>
      <c r="M85" s="317"/>
      <c r="N85" s="317"/>
      <c r="O85" s="317"/>
      <c r="P85" s="317"/>
      <c r="Q85" s="317"/>
      <c r="R85" s="317"/>
      <c r="S85" s="317"/>
      <c r="T85" s="66" t="str">
        <f ca="1">G96</f>
        <v/>
      </c>
      <c r="U85" s="398"/>
      <c r="V85" s="399"/>
      <c r="W85" s="399"/>
      <c r="X85" s="66" t="str">
        <f ca="1">G97</f>
        <v/>
      </c>
    </row>
    <row r="86" spans="1:24" ht="21.95" customHeight="1" x14ac:dyDescent="0.25">
      <c r="A86" s="77" t="s">
        <v>2813</v>
      </c>
      <c r="B86" s="65" t="str">
        <f ca="1">IF(DATA_HSEHLD_CONTRIBUTION_AMT&lt;&gt;"",IF(VALUE(DATA_HSEHLD_CONTRIBUTION_AMT)&lt;VALUE(CONFIG_MIN_HOUSEHOLD_CONTRIB_AMT),'$DB.CONFIG'!$M$3,""),"")</f>
        <v/>
      </c>
      <c r="C86" s="54">
        <f ca="1">IF(B86="",0,1)</f>
        <v>0</v>
      </c>
      <c r="D86" s="54"/>
      <c r="E86" s="54"/>
      <c r="F86" s="54"/>
      <c r="G86" s="54"/>
      <c r="I86" s="316"/>
      <c r="J86" s="317"/>
      <c r="K86" s="317"/>
      <c r="L86" s="317"/>
      <c r="M86" s="317"/>
      <c r="N86" s="317"/>
      <c r="O86" s="317"/>
      <c r="P86" s="317"/>
      <c r="Q86" s="317"/>
      <c r="R86" s="317"/>
      <c r="S86" s="317"/>
      <c r="T86" s="66" t="str">
        <f ca="1">G98</f>
        <v/>
      </c>
      <c r="U86" s="398"/>
      <c r="V86" s="399"/>
      <c r="W86" s="399"/>
      <c r="X86" s="66" t="str">
        <f ca="1">G99</f>
        <v/>
      </c>
    </row>
    <row r="87" spans="1:24" ht="21.95" customHeight="1" x14ac:dyDescent="0.25">
      <c r="A87" s="77" t="s">
        <v>2823</v>
      </c>
      <c r="B87" s="65" t="str">
        <f ca="1">IF(DATA_LTV&lt;&gt;"",IF(VALUE(DATA_LTV)&gt;VALUE(CONFIG_MAX_LTV_RATIO),'$DB.CONFIG'!$M$3,""),"")</f>
        <v/>
      </c>
      <c r="C87" s="54">
        <f t="shared" ref="C87:C89" ca="1" si="7">IF(B87="",0,1)</f>
        <v>0</v>
      </c>
      <c r="D87" s="54"/>
      <c r="E87" s="54"/>
      <c r="F87" s="54"/>
      <c r="G87" s="54"/>
      <c r="I87" s="316"/>
      <c r="J87" s="317"/>
      <c r="K87" s="317"/>
      <c r="L87" s="317"/>
      <c r="M87" s="317"/>
      <c r="N87" s="317"/>
      <c r="O87" s="317"/>
      <c r="P87" s="317"/>
      <c r="Q87" s="317"/>
      <c r="R87" s="317"/>
      <c r="S87" s="317"/>
      <c r="T87" s="66" t="str">
        <f ca="1">G100</f>
        <v/>
      </c>
      <c r="U87" s="398"/>
      <c r="V87" s="399"/>
      <c r="W87" s="399"/>
      <c r="X87" s="66" t="str">
        <f ca="1">G101</f>
        <v/>
      </c>
    </row>
    <row r="88" spans="1:24" ht="21.95" customHeight="1" x14ac:dyDescent="0.25">
      <c r="A88" s="77" t="s">
        <v>2824</v>
      </c>
      <c r="B88" s="65" t="str">
        <f ca="1">IF(DATA_HOUSING_EXP_INC_RATIO&lt;&gt;"",IF(VALUE(DATA_HOUSING_EXP_INC_RATIO)&gt;VALUE(CONFIG_MAX_DTI_FE_RATIO),'$DB.CONFIG'!$M$3,""),"")</f>
        <v/>
      </c>
      <c r="C88" s="54">
        <f t="shared" ca="1" si="7"/>
        <v>0</v>
      </c>
      <c r="D88" s="54"/>
      <c r="E88" s="54"/>
      <c r="F88" s="54"/>
      <c r="G88" s="54"/>
      <c r="J88"/>
      <c r="L88"/>
      <c r="N88"/>
      <c r="P88"/>
      <c r="R88"/>
      <c r="T88"/>
      <c r="V88"/>
      <c r="X88"/>
    </row>
    <row r="89" spans="1:24" ht="21.95" customHeight="1" thickBot="1" x14ac:dyDescent="0.3">
      <c r="A89" s="77" t="s">
        <v>2825</v>
      </c>
      <c r="B89" s="65" t="str">
        <f ca="1">IF(DATA_TOTAL_DEBT_INC_RATIO&lt;&gt;"",IF(VALUE(DATA_TOTAL_DEBT_INC_RATIO)&gt;VALUE(CONFIG_MAX_DTI_BE_RATIO),'$DB.CONFIG'!$M$3,""),"")</f>
        <v/>
      </c>
      <c r="C89" s="54">
        <f t="shared" ca="1" si="7"/>
        <v>0</v>
      </c>
      <c r="D89" s="54"/>
      <c r="E89" s="54"/>
      <c r="F89" s="54"/>
      <c r="G89" s="54"/>
      <c r="I89" s="55" t="str">
        <f>B115</f>
        <v>Member Certification</v>
      </c>
      <c r="J89" s="55"/>
      <c r="K89" s="55"/>
      <c r="L89" s="55"/>
      <c r="M89" s="55"/>
      <c r="N89" s="55"/>
      <c r="O89" s="55"/>
      <c r="P89" s="55"/>
      <c r="Q89" s="55"/>
      <c r="R89" s="55"/>
      <c r="S89" s="55"/>
      <c r="T89" s="55"/>
      <c r="U89" s="55"/>
      <c r="V89" s="55"/>
      <c r="W89" s="55"/>
      <c r="X89" s="56" t="str">
        <f ca="1">"Status: "&amp;$B$126</f>
        <v>Status: Not Started</v>
      </c>
    </row>
    <row r="90" spans="1:24" ht="21.95" customHeight="1" x14ac:dyDescent="0.25">
      <c r="A90" s="77" t="s">
        <v>2148</v>
      </c>
      <c r="B90" s="65">
        <f ca="1">COUNTIF(C86:C89,1)</f>
        <v>0</v>
      </c>
      <c r="C90" s="54"/>
      <c r="D90" s="54"/>
      <c r="E90" s="54"/>
      <c r="F90" s="54"/>
      <c r="G90" s="54"/>
      <c r="J90"/>
      <c r="V90"/>
      <c r="X90"/>
    </row>
    <row r="91" spans="1:24" ht="21.95" customHeight="1" x14ac:dyDescent="0.25">
      <c r="A91" s="77" t="s">
        <v>2149</v>
      </c>
      <c r="B91" s="65" t="b">
        <f ca="1">(B90&gt;0)</f>
        <v>0</v>
      </c>
      <c r="C91" s="54"/>
      <c r="D91" s="54"/>
      <c r="E91" s="54"/>
      <c r="F91" s="54"/>
      <c r="G91" s="54"/>
      <c r="I91" s="367" t="s">
        <v>2900</v>
      </c>
      <c r="J91" s="367"/>
      <c r="K91" s="367"/>
      <c r="L91" s="367"/>
      <c r="M91" s="367"/>
      <c r="N91" s="367"/>
      <c r="O91" s="367"/>
      <c r="P91" s="367"/>
      <c r="Q91" s="367"/>
      <c r="R91" s="367"/>
      <c r="S91" s="367"/>
      <c r="T91" s="367"/>
      <c r="U91" s="367"/>
      <c r="V91" s="367"/>
      <c r="W91" s="367"/>
      <c r="X91" s="367"/>
    </row>
    <row r="92" spans="1:24" ht="21.95" customHeight="1" x14ac:dyDescent="0.25">
      <c r="A92" s="91" t="s">
        <v>162</v>
      </c>
      <c r="B92" s="93" t="s">
        <v>2565</v>
      </c>
      <c r="C92" s="92"/>
      <c r="D92" s="92"/>
      <c r="E92" s="92"/>
      <c r="F92" s="92"/>
      <c r="G92" s="92"/>
      <c r="I92" s="367"/>
      <c r="J92" s="367"/>
      <c r="K92" s="367"/>
      <c r="L92" s="367"/>
      <c r="M92" s="367"/>
      <c r="N92" s="367"/>
      <c r="O92" s="367"/>
      <c r="P92" s="367"/>
      <c r="Q92" s="367"/>
      <c r="R92" s="367"/>
      <c r="S92" s="367"/>
      <c r="T92" s="367"/>
      <c r="U92" s="367"/>
      <c r="V92" s="367"/>
      <c r="W92" s="367"/>
      <c r="X92" s="367"/>
    </row>
    <row r="93" spans="1:24" ht="21.95" customHeight="1" x14ac:dyDescent="0.25">
      <c r="A93" s="61" t="s">
        <v>2533</v>
      </c>
      <c r="B93" s="95" t="str">
        <f>IF(W81="","",IF(UPPER(W81)="YES",TRUE,FALSE))</f>
        <v/>
      </c>
      <c r="C93" s="54">
        <f ca="1">VLOOKUP(A93,DB_TBL_DATA_FIELDS[[FIELD_ID]:[PCT_CALC_FIELD_STATUS_CODE]],22,FALSE)</f>
        <v>1</v>
      </c>
      <c r="D93" s="54" t="str">
        <f>IF(VLOOKUP(A93,DB_TBL_DATA_FIELDS[[FIELD_ID]:[ERROR_MESSAGE]],23,FALSE)&lt;&gt;0,VLOOKUP(A93,DB_TBL_DATA_FIELDS[[FIELD_ID]:[ERROR_MESSAGE]],23,FALSE),"")</f>
        <v/>
      </c>
      <c r="E93" s="54">
        <f>VLOOKUP(A93,DB_TBL_DATA_FIELDS[[#All],[FIELD_ID]:[RANGE_VALIDATION_MAX]],18,FALSE)</f>
        <v>0</v>
      </c>
      <c r="F93" s="54">
        <f>VLOOKUP(A93,DB_TBL_DATA_FIELDS[[#All],[FIELD_ID]:[RANGE_VALIDATION_MAX]],19,FALSE)</f>
        <v>0</v>
      </c>
      <c r="G93" s="54">
        <f t="shared" ref="G93" ca="1" si="8">IF(C93&lt;0,"",C93)</f>
        <v>1</v>
      </c>
      <c r="I93" s="367"/>
      <c r="J93" s="367"/>
      <c r="K93" s="367"/>
      <c r="L93" s="367"/>
      <c r="M93" s="367"/>
      <c r="N93" s="367"/>
      <c r="O93" s="367"/>
      <c r="P93" s="367"/>
      <c r="Q93" s="367"/>
      <c r="R93" s="367"/>
      <c r="S93" s="367"/>
      <c r="T93" s="367"/>
      <c r="U93" s="367"/>
      <c r="V93" s="367"/>
      <c r="W93" s="367"/>
      <c r="X93" s="367"/>
    </row>
    <row r="94" spans="1:24" ht="21.95" customHeight="1" x14ac:dyDescent="0.25">
      <c r="A94" s="61" t="s">
        <v>2522</v>
      </c>
      <c r="B94" s="95" t="str">
        <f>IF(I84&lt;&gt;"",I84,"")</f>
        <v/>
      </c>
      <c r="C94" s="54">
        <f ca="1">VLOOKUP(A94,DB_TBL_DATA_FIELDS[[FIELD_ID]:[PCT_CALC_FIELD_STATUS_CODE]],22,FALSE)</f>
        <v>-1</v>
      </c>
      <c r="D94" s="54" t="str">
        <f>IF(VLOOKUP(A94,DB_TBL_DATA_FIELDS[[FIELD_ID]:[ERROR_MESSAGE]],23,FALSE)&lt;&gt;0,VLOOKUP(A94,DB_TBL_DATA_FIELDS[[FIELD_ID]:[ERROR_MESSAGE]],23,FALSE),"")</f>
        <v/>
      </c>
      <c r="E94" s="54">
        <f>VLOOKUP(A94,DB_TBL_DATA_FIELDS[[#All],[FIELD_ID]:[RANGE_VALIDATION_MAX]],18,FALSE)</f>
        <v>0</v>
      </c>
      <c r="F94" s="54">
        <f>VLOOKUP(A94,DB_TBL_DATA_FIELDS[[#All],[FIELD_ID]:[RANGE_VALIDATION_MAX]],19,FALSE)</f>
        <v>100</v>
      </c>
      <c r="G94" s="54" t="str">
        <f t="shared" ref="G94:G104" ca="1" si="9">IF(C94&lt;0,"",C94)</f>
        <v/>
      </c>
      <c r="I94" s="367"/>
      <c r="J94" s="367"/>
      <c r="K94" s="367"/>
      <c r="L94" s="367"/>
      <c r="M94" s="367"/>
      <c r="N94" s="367"/>
      <c r="O94" s="367"/>
      <c r="P94" s="367"/>
      <c r="Q94" s="367"/>
      <c r="R94" s="367"/>
      <c r="S94" s="367"/>
      <c r="T94" s="367"/>
      <c r="U94" s="367"/>
      <c r="V94" s="367"/>
      <c r="W94" s="367"/>
      <c r="X94" s="367"/>
    </row>
    <row r="95" spans="1:24" ht="21.95" customHeight="1" x14ac:dyDescent="0.25">
      <c r="A95" s="61" t="s">
        <v>2523</v>
      </c>
      <c r="B95" s="95" t="str">
        <f>IF(U84&lt;&gt;"",U84,"")</f>
        <v/>
      </c>
      <c r="C95" s="54">
        <f ca="1">VLOOKUP(A95,DB_TBL_DATA_FIELDS[[FIELD_ID]:[PCT_CALC_FIELD_STATUS_CODE]],22,FALSE)</f>
        <v>-1</v>
      </c>
      <c r="D95" s="54" t="str">
        <f>IF(VLOOKUP(A95,DB_TBL_DATA_FIELDS[[FIELD_ID]:[ERROR_MESSAGE]],23,FALSE)&lt;&gt;0,VLOOKUP(A95,DB_TBL_DATA_FIELDS[[FIELD_ID]:[ERROR_MESSAGE]],23,FALSE),"")</f>
        <v/>
      </c>
      <c r="E95" s="54">
        <f>VLOOKUP(A95,DB_TBL_DATA_FIELDS[[#All],[FIELD_ID]:[RANGE_VALIDATION_MAX]],18,FALSE)</f>
        <v>0</v>
      </c>
      <c r="F95" s="54">
        <f>VLOOKUP(A95,DB_TBL_DATA_FIELDS[[#All],[FIELD_ID]:[RANGE_VALIDATION_MAX]],19,FALSE)</f>
        <v>999999999</v>
      </c>
      <c r="G95" s="54" t="str">
        <f t="shared" ca="1" si="9"/>
        <v/>
      </c>
      <c r="I95" s="367"/>
      <c r="J95" s="367"/>
      <c r="K95" s="367"/>
      <c r="L95" s="367"/>
      <c r="M95" s="367"/>
      <c r="N95" s="367"/>
      <c r="O95" s="367"/>
      <c r="P95" s="367"/>
      <c r="Q95" s="367"/>
      <c r="R95" s="367"/>
      <c r="S95" s="367"/>
      <c r="T95" s="367"/>
      <c r="U95" s="367"/>
      <c r="V95" s="367"/>
      <c r="W95" s="367"/>
      <c r="X95" s="367"/>
    </row>
    <row r="96" spans="1:24" ht="21.95" customHeight="1" x14ac:dyDescent="0.25">
      <c r="A96" s="61" t="s">
        <v>2524</v>
      </c>
      <c r="B96" s="95" t="str">
        <f>IF(I85&lt;&gt;"",I85,"")</f>
        <v/>
      </c>
      <c r="C96" s="54">
        <f ca="1">VLOOKUP(A96,DB_TBL_DATA_FIELDS[[FIELD_ID]:[PCT_CALC_FIELD_STATUS_CODE]],22,FALSE)</f>
        <v>-1</v>
      </c>
      <c r="D96" s="54" t="str">
        <f>IF(VLOOKUP(A96,DB_TBL_DATA_FIELDS[[FIELD_ID]:[ERROR_MESSAGE]],23,FALSE)&lt;&gt;0,VLOOKUP(A96,DB_TBL_DATA_FIELDS[[FIELD_ID]:[ERROR_MESSAGE]],23,FALSE),"")</f>
        <v/>
      </c>
      <c r="E96" s="54">
        <f>VLOOKUP(A96,DB_TBL_DATA_FIELDS[[#All],[FIELD_ID]:[RANGE_VALIDATION_MAX]],18,FALSE)</f>
        <v>0</v>
      </c>
      <c r="F96" s="54">
        <f>VLOOKUP(A96,DB_TBL_DATA_FIELDS[[#All],[FIELD_ID]:[RANGE_VALIDATION_MAX]],19,FALSE)</f>
        <v>100</v>
      </c>
      <c r="G96" s="54" t="str">
        <f t="shared" ca="1" si="9"/>
        <v/>
      </c>
      <c r="I96" s="367"/>
      <c r="J96" s="367"/>
      <c r="K96" s="367"/>
      <c r="L96" s="367"/>
      <c r="M96" s="367"/>
      <c r="N96" s="367"/>
      <c r="O96" s="367"/>
      <c r="P96" s="367"/>
      <c r="Q96" s="367"/>
      <c r="R96" s="367"/>
      <c r="S96" s="367"/>
      <c r="T96" s="367"/>
      <c r="U96" s="367"/>
      <c r="V96" s="367"/>
      <c r="W96" s="367"/>
      <c r="X96" s="367"/>
    </row>
    <row r="97" spans="1:24" ht="21.95" customHeight="1" x14ac:dyDescent="0.25">
      <c r="A97" s="61" t="s">
        <v>2525</v>
      </c>
      <c r="B97" s="95" t="str">
        <f>IF(U85&lt;&gt;"",U85,"")</f>
        <v/>
      </c>
      <c r="C97" s="54">
        <f ca="1">VLOOKUP(A97,DB_TBL_DATA_FIELDS[[FIELD_ID]:[PCT_CALC_FIELD_STATUS_CODE]],22,FALSE)</f>
        <v>-1</v>
      </c>
      <c r="D97" s="54" t="str">
        <f>IF(VLOOKUP(A97,DB_TBL_DATA_FIELDS[[FIELD_ID]:[ERROR_MESSAGE]],23,FALSE)&lt;&gt;0,VLOOKUP(A97,DB_TBL_DATA_FIELDS[[FIELD_ID]:[ERROR_MESSAGE]],23,FALSE),"")</f>
        <v/>
      </c>
      <c r="E97" s="54">
        <f>VLOOKUP(A97,DB_TBL_DATA_FIELDS[[#All],[FIELD_ID]:[RANGE_VALIDATION_MAX]],18,FALSE)</f>
        <v>0</v>
      </c>
      <c r="F97" s="54">
        <f>VLOOKUP(A97,DB_TBL_DATA_FIELDS[[#All],[FIELD_ID]:[RANGE_VALIDATION_MAX]],19,FALSE)</f>
        <v>999999999</v>
      </c>
      <c r="G97" s="54" t="str">
        <f t="shared" ca="1" si="9"/>
        <v/>
      </c>
      <c r="I97" s="367"/>
      <c r="J97" s="367"/>
      <c r="K97" s="367"/>
      <c r="L97" s="367"/>
      <c r="M97" s="367"/>
      <c r="N97" s="367"/>
      <c r="O97" s="367"/>
      <c r="P97" s="367"/>
      <c r="Q97" s="367"/>
      <c r="R97" s="367"/>
      <c r="S97" s="367"/>
      <c r="T97" s="367"/>
      <c r="U97" s="367"/>
      <c r="V97" s="367"/>
      <c r="W97" s="367"/>
      <c r="X97" s="367"/>
    </row>
    <row r="98" spans="1:24" ht="21.95" customHeight="1" x14ac:dyDescent="0.25">
      <c r="A98" s="61" t="s">
        <v>2526</v>
      </c>
      <c r="B98" s="95" t="str">
        <f>IF(I86&lt;&gt;"",I86,"")</f>
        <v/>
      </c>
      <c r="C98" s="54">
        <f ca="1">VLOOKUP(A98,DB_TBL_DATA_FIELDS[[FIELD_ID]:[PCT_CALC_FIELD_STATUS_CODE]],22,FALSE)</f>
        <v>-1</v>
      </c>
      <c r="D98" s="54" t="str">
        <f>IF(VLOOKUP(A98,DB_TBL_DATA_FIELDS[[FIELD_ID]:[ERROR_MESSAGE]],23,FALSE)&lt;&gt;0,VLOOKUP(A98,DB_TBL_DATA_FIELDS[[FIELD_ID]:[ERROR_MESSAGE]],23,FALSE),"")</f>
        <v/>
      </c>
      <c r="E98" s="54">
        <f>VLOOKUP(A98,DB_TBL_DATA_FIELDS[[#All],[FIELD_ID]:[RANGE_VALIDATION_MAX]],18,FALSE)</f>
        <v>0</v>
      </c>
      <c r="F98" s="54">
        <f>VLOOKUP(A98,DB_TBL_DATA_FIELDS[[#All],[FIELD_ID]:[RANGE_VALIDATION_MAX]],19,FALSE)</f>
        <v>100</v>
      </c>
      <c r="G98" s="54" t="str">
        <f t="shared" ca="1" si="9"/>
        <v/>
      </c>
      <c r="I98" s="367"/>
      <c r="J98" s="367"/>
      <c r="K98" s="367"/>
      <c r="L98" s="367"/>
      <c r="M98" s="367"/>
      <c r="N98" s="367"/>
      <c r="O98" s="367"/>
      <c r="P98" s="367"/>
      <c r="Q98" s="367"/>
      <c r="R98" s="367"/>
      <c r="S98" s="367"/>
      <c r="T98" s="367"/>
      <c r="U98" s="367"/>
      <c r="V98" s="367"/>
      <c r="W98" s="367"/>
      <c r="X98" s="367"/>
    </row>
    <row r="99" spans="1:24" ht="21.95" customHeight="1" x14ac:dyDescent="0.25">
      <c r="A99" s="61" t="s">
        <v>2527</v>
      </c>
      <c r="B99" s="95" t="str">
        <f>IF(U86&lt;&gt;"",U86,"")</f>
        <v/>
      </c>
      <c r="C99" s="54">
        <f ca="1">VLOOKUP(A99,DB_TBL_DATA_FIELDS[[FIELD_ID]:[PCT_CALC_FIELD_STATUS_CODE]],22,FALSE)</f>
        <v>-1</v>
      </c>
      <c r="D99" s="54" t="str">
        <f>IF(VLOOKUP(A99,DB_TBL_DATA_FIELDS[[FIELD_ID]:[ERROR_MESSAGE]],23,FALSE)&lt;&gt;0,VLOOKUP(A99,DB_TBL_DATA_FIELDS[[FIELD_ID]:[ERROR_MESSAGE]],23,FALSE),"")</f>
        <v/>
      </c>
      <c r="E99" s="54">
        <f>VLOOKUP(A99,DB_TBL_DATA_FIELDS[[#All],[FIELD_ID]:[RANGE_VALIDATION_MAX]],18,FALSE)</f>
        <v>0</v>
      </c>
      <c r="F99" s="54">
        <f>VLOOKUP(A99,DB_TBL_DATA_FIELDS[[#All],[FIELD_ID]:[RANGE_VALIDATION_MAX]],19,FALSE)</f>
        <v>999999999</v>
      </c>
      <c r="G99" s="54" t="str">
        <f t="shared" ca="1" si="9"/>
        <v/>
      </c>
      <c r="I99" s="367"/>
      <c r="J99" s="367"/>
      <c r="K99" s="367"/>
      <c r="L99" s="367"/>
      <c r="M99" s="367"/>
      <c r="N99" s="367"/>
      <c r="O99" s="367"/>
      <c r="P99" s="367"/>
      <c r="Q99" s="367"/>
      <c r="R99" s="367"/>
      <c r="S99" s="367"/>
      <c r="T99" s="367"/>
      <c r="U99" s="367"/>
      <c r="V99" s="367"/>
      <c r="W99" s="367"/>
      <c r="X99" s="367"/>
    </row>
    <row r="100" spans="1:24" ht="21.95" customHeight="1" x14ac:dyDescent="0.25">
      <c r="A100" s="61" t="s">
        <v>2528</v>
      </c>
      <c r="B100" s="95" t="str">
        <f>IF(I87&lt;&gt;"",I87,"")</f>
        <v/>
      </c>
      <c r="C100" s="54">
        <f ca="1">VLOOKUP(A100,DB_TBL_DATA_FIELDS[[FIELD_ID]:[PCT_CALC_FIELD_STATUS_CODE]],22,FALSE)</f>
        <v>-1</v>
      </c>
      <c r="D100" s="54" t="str">
        <f>IF(VLOOKUP(A100,DB_TBL_DATA_FIELDS[[FIELD_ID]:[ERROR_MESSAGE]],23,FALSE)&lt;&gt;0,VLOOKUP(A100,DB_TBL_DATA_FIELDS[[FIELD_ID]:[ERROR_MESSAGE]],23,FALSE),"")</f>
        <v/>
      </c>
      <c r="E100" s="54">
        <f>VLOOKUP(A100,DB_TBL_DATA_FIELDS[[#All],[FIELD_ID]:[RANGE_VALIDATION_MAX]],18,FALSE)</f>
        <v>0</v>
      </c>
      <c r="F100" s="54">
        <f>VLOOKUP(A100,DB_TBL_DATA_FIELDS[[#All],[FIELD_ID]:[RANGE_VALIDATION_MAX]],19,FALSE)</f>
        <v>100</v>
      </c>
      <c r="G100" s="54" t="str">
        <f t="shared" ca="1" si="9"/>
        <v/>
      </c>
      <c r="I100" s="367"/>
      <c r="J100" s="367"/>
      <c r="K100" s="367"/>
      <c r="L100" s="367"/>
      <c r="M100" s="367"/>
      <c r="N100" s="367"/>
      <c r="O100" s="367"/>
      <c r="P100" s="367"/>
      <c r="Q100" s="367"/>
      <c r="R100" s="367"/>
      <c r="S100" s="367"/>
      <c r="T100" s="367"/>
      <c r="U100" s="367"/>
      <c r="V100" s="367"/>
      <c r="W100" s="367"/>
      <c r="X100" s="367"/>
    </row>
    <row r="101" spans="1:24" ht="21.95" customHeight="1" x14ac:dyDescent="0.25">
      <c r="A101" s="61" t="s">
        <v>2529</v>
      </c>
      <c r="B101" s="95" t="str">
        <f>IF(U87&lt;&gt;"",U87,"")</f>
        <v/>
      </c>
      <c r="C101" s="54">
        <f ca="1">VLOOKUP(A101,DB_TBL_DATA_FIELDS[[FIELD_ID]:[PCT_CALC_FIELD_STATUS_CODE]],22,FALSE)</f>
        <v>-1</v>
      </c>
      <c r="D101" s="54" t="str">
        <f>IF(VLOOKUP(A101,DB_TBL_DATA_FIELDS[[FIELD_ID]:[ERROR_MESSAGE]],23,FALSE)&lt;&gt;0,VLOOKUP(A101,DB_TBL_DATA_FIELDS[[FIELD_ID]:[ERROR_MESSAGE]],23,FALSE),"")</f>
        <v/>
      </c>
      <c r="E101" s="54">
        <f>VLOOKUP(A101,DB_TBL_DATA_FIELDS[[#All],[FIELD_ID]:[RANGE_VALIDATION_MAX]],18,FALSE)</f>
        <v>0</v>
      </c>
      <c r="F101" s="54">
        <f>VLOOKUP(A101,DB_TBL_DATA_FIELDS[[#All],[FIELD_ID]:[RANGE_VALIDATION_MAX]],19,FALSE)</f>
        <v>999999999</v>
      </c>
      <c r="G101" s="54" t="str">
        <f t="shared" ca="1" si="9"/>
        <v/>
      </c>
      <c r="I101" s="367"/>
      <c r="J101" s="367"/>
      <c r="K101" s="367"/>
      <c r="L101" s="367"/>
      <c r="M101" s="367"/>
      <c r="N101" s="367"/>
      <c r="O101" s="367"/>
      <c r="P101" s="367"/>
      <c r="Q101" s="367"/>
      <c r="R101" s="367"/>
      <c r="S101" s="367"/>
      <c r="T101" s="367"/>
      <c r="U101" s="367"/>
      <c r="V101" s="367"/>
      <c r="W101" s="367"/>
      <c r="X101" s="367"/>
    </row>
    <row r="102" spans="1:24" ht="21.95" customHeight="1" x14ac:dyDescent="0.25">
      <c r="A102" s="61" t="s">
        <v>2534</v>
      </c>
      <c r="B102" s="95" t="str">
        <f>IF(W74="","",IF(UPPER(W74)="YES",TRUE,FALSE))</f>
        <v/>
      </c>
      <c r="C102" s="54">
        <f ca="1">VLOOKUP(A102,DB_TBL_DATA_FIELDS[[FIELD_ID]:[PCT_CALC_FIELD_STATUS_CODE]],22,FALSE)</f>
        <v>1</v>
      </c>
      <c r="D102" s="54" t="str">
        <f>IF(VLOOKUP(A102,DB_TBL_DATA_FIELDS[[FIELD_ID]:[ERROR_MESSAGE]],23,FALSE)&lt;&gt;0,VLOOKUP(A102,DB_TBL_DATA_FIELDS[[FIELD_ID]:[ERROR_MESSAGE]],23,FALSE),"")</f>
        <v/>
      </c>
      <c r="E102" s="54">
        <f>VLOOKUP(A102,DB_TBL_DATA_FIELDS[[#All],[FIELD_ID]:[RANGE_VALIDATION_MAX]],18,FALSE)</f>
        <v>0</v>
      </c>
      <c r="F102" s="54">
        <f>VLOOKUP(A102,DB_TBL_DATA_FIELDS[[#All],[FIELD_ID]:[RANGE_VALIDATION_MAX]],19,FALSE)</f>
        <v>0</v>
      </c>
      <c r="G102" s="54">
        <f t="shared" ca="1" si="9"/>
        <v>1</v>
      </c>
      <c r="I102" s="367"/>
      <c r="J102" s="367"/>
      <c r="K102" s="367"/>
      <c r="L102" s="367"/>
      <c r="M102" s="367"/>
      <c r="N102" s="367"/>
      <c r="O102" s="367"/>
      <c r="P102" s="367"/>
      <c r="Q102" s="367"/>
      <c r="R102" s="367"/>
      <c r="S102" s="367"/>
      <c r="T102" s="367"/>
      <c r="U102" s="367"/>
      <c r="V102" s="367"/>
      <c r="W102" s="367"/>
      <c r="X102" s="367"/>
    </row>
    <row r="103" spans="1:24" ht="21.95" customHeight="1" x14ac:dyDescent="0.25">
      <c r="A103" s="61" t="s">
        <v>2531</v>
      </c>
      <c r="B103" s="95" t="str">
        <f>IF(I78&lt;&gt;"",I78,"")</f>
        <v/>
      </c>
      <c r="C103" s="54">
        <f ca="1">VLOOKUP(A103,DB_TBL_DATA_FIELDS[[FIELD_ID]:[PCT_CALC_FIELD_STATUS_CODE]],22,FALSE)</f>
        <v>-1</v>
      </c>
      <c r="D103" s="54" t="str">
        <f>IF(VLOOKUP(A103,DB_TBL_DATA_FIELDS[[FIELD_ID]:[ERROR_MESSAGE]],23,FALSE)&lt;&gt;0,VLOOKUP(A103,DB_TBL_DATA_FIELDS[[FIELD_ID]:[ERROR_MESSAGE]],23,FALSE),"")</f>
        <v/>
      </c>
      <c r="E103" s="54">
        <f>VLOOKUP(A103,DB_TBL_DATA_FIELDS[[#All],[FIELD_ID]:[RANGE_VALIDATION_MAX]],18,FALSE)</f>
        <v>0</v>
      </c>
      <c r="F103" s="54">
        <f>VLOOKUP(A103,DB_TBL_DATA_FIELDS[[#All],[FIELD_ID]:[RANGE_VALIDATION_MAX]],19,FALSE)</f>
        <v>100</v>
      </c>
      <c r="G103" s="54" t="str">
        <f t="shared" ca="1" si="9"/>
        <v/>
      </c>
      <c r="I103" s="367"/>
      <c r="J103" s="367"/>
      <c r="K103" s="367"/>
      <c r="L103" s="367"/>
      <c r="M103" s="367"/>
      <c r="N103" s="367"/>
      <c r="O103" s="367"/>
      <c r="P103" s="367"/>
      <c r="Q103" s="367"/>
      <c r="R103" s="367"/>
      <c r="S103" s="367"/>
      <c r="T103" s="367"/>
      <c r="U103" s="367"/>
      <c r="V103" s="367"/>
      <c r="W103" s="367"/>
      <c r="X103" s="367"/>
    </row>
    <row r="104" spans="1:24" ht="21.95" customHeight="1" x14ac:dyDescent="0.25">
      <c r="A104" s="61" t="s">
        <v>2530</v>
      </c>
      <c r="B104" s="95" t="str">
        <f>IF(U78&lt;&gt;"",U78,"")</f>
        <v/>
      </c>
      <c r="C104" s="54">
        <f ca="1">VLOOKUP(A104,DB_TBL_DATA_FIELDS[[FIELD_ID]:[PCT_CALC_FIELD_STATUS_CODE]],22,FALSE)</f>
        <v>-1</v>
      </c>
      <c r="D104" s="54" t="str">
        <f>IF(VLOOKUP(A104,DB_TBL_DATA_FIELDS[[FIELD_ID]:[ERROR_MESSAGE]],23,FALSE)&lt;&gt;0,VLOOKUP(A104,DB_TBL_DATA_FIELDS[[FIELD_ID]:[ERROR_MESSAGE]],23,FALSE),"")</f>
        <v/>
      </c>
      <c r="E104" s="54">
        <f>VLOOKUP(A104,DB_TBL_DATA_FIELDS[[#All],[FIELD_ID]:[RANGE_VALIDATION_MAX]],18,FALSE)</f>
        <v>0</v>
      </c>
      <c r="F104" s="54">
        <f>VLOOKUP(A104,DB_TBL_DATA_FIELDS[[#All],[FIELD_ID]:[RANGE_VALIDATION_MAX]],19,FALSE)</f>
        <v>999999999</v>
      </c>
      <c r="G104" s="54" t="str">
        <f t="shared" ca="1" si="9"/>
        <v/>
      </c>
      <c r="I104" s="367"/>
      <c r="J104" s="367"/>
      <c r="K104" s="367"/>
      <c r="L104" s="367"/>
      <c r="M104" s="367"/>
      <c r="N104" s="367"/>
      <c r="O104" s="367"/>
      <c r="P104" s="367"/>
      <c r="Q104" s="367"/>
      <c r="R104" s="367"/>
      <c r="S104" s="367"/>
      <c r="T104" s="367"/>
      <c r="U104" s="367"/>
      <c r="V104" s="367"/>
      <c r="W104" s="367"/>
      <c r="X104" s="367"/>
    </row>
    <row r="105" spans="1:24" ht="21.95" customHeight="1" x14ac:dyDescent="0.25">
      <c r="A105" s="61" t="s">
        <v>164</v>
      </c>
      <c r="B105" s="65" t="str">
        <f>"C"&amp;MATCH(LEFT(A105,LEN(A105)-LEN("_RANGE")),A:A,0)+1&amp;":C"&amp;(ROW()-1)</f>
        <v>C93:C104</v>
      </c>
      <c r="C105" s="54"/>
      <c r="D105" s="54"/>
      <c r="E105" s="54"/>
      <c r="F105" s="54"/>
      <c r="G105" s="54"/>
      <c r="I105" s="367"/>
      <c r="J105" s="367"/>
      <c r="K105" s="367"/>
      <c r="L105" s="367"/>
      <c r="M105" s="367"/>
      <c r="N105" s="367"/>
      <c r="O105" s="367"/>
      <c r="P105" s="367"/>
      <c r="Q105" s="367"/>
      <c r="R105" s="367"/>
      <c r="S105" s="367"/>
      <c r="T105" s="367"/>
      <c r="U105" s="367"/>
      <c r="V105" s="367"/>
      <c r="W105" s="367"/>
      <c r="X105" s="367"/>
    </row>
    <row r="106" spans="1:24" ht="21.95" customHeight="1" x14ac:dyDescent="0.25">
      <c r="A106" s="61" t="s">
        <v>165</v>
      </c>
      <c r="B106" s="65">
        <f ca="1">COUNTIF(INDIRECT($B105),2)</f>
        <v>0</v>
      </c>
      <c r="C106" s="54"/>
      <c r="D106" s="54"/>
      <c r="E106" s="54"/>
      <c r="F106" s="54"/>
      <c r="G106" s="54"/>
      <c r="I106" s="367"/>
      <c r="J106" s="367"/>
      <c r="K106" s="367"/>
      <c r="L106" s="367"/>
      <c r="M106" s="367"/>
      <c r="N106" s="367"/>
      <c r="O106" s="367"/>
      <c r="P106" s="367"/>
      <c r="Q106" s="367"/>
      <c r="R106" s="367"/>
      <c r="S106" s="367"/>
      <c r="T106" s="367"/>
      <c r="U106" s="367"/>
      <c r="V106" s="367"/>
      <c r="W106" s="367"/>
      <c r="X106" s="367"/>
    </row>
    <row r="107" spans="1:24" ht="21.95" customHeight="1" x14ac:dyDescent="0.25">
      <c r="A107" s="61" t="s">
        <v>166</v>
      </c>
      <c r="B107" s="65">
        <f ca="1">COUNTIF(INDIRECT($B105),0)+COUNTIF(INDIRECT($B105),1)+COUNTIF(INDIRECT($B105),2)</f>
        <v>2</v>
      </c>
      <c r="C107" s="54"/>
      <c r="D107" s="54"/>
      <c r="E107" s="54"/>
      <c r="F107" s="54"/>
      <c r="G107" s="54"/>
      <c r="I107" s="367"/>
      <c r="J107" s="367"/>
      <c r="K107" s="367"/>
      <c r="L107" s="367"/>
      <c r="M107" s="367"/>
      <c r="N107" s="367"/>
      <c r="O107" s="367"/>
      <c r="P107" s="367"/>
      <c r="Q107" s="367"/>
      <c r="R107" s="367"/>
      <c r="S107" s="367"/>
      <c r="T107" s="367"/>
      <c r="U107" s="367"/>
      <c r="V107" s="367"/>
      <c r="W107" s="367"/>
      <c r="X107" s="367"/>
    </row>
    <row r="108" spans="1:24" ht="21.95" customHeight="1" x14ac:dyDescent="0.25">
      <c r="A108" s="61" t="s">
        <v>167</v>
      </c>
      <c r="B108" s="65">
        <f ca="1">COUNTIF(INDIRECT($B105),0)</f>
        <v>0</v>
      </c>
      <c r="C108" s="54"/>
      <c r="D108" s="54"/>
      <c r="E108" s="54"/>
      <c r="F108" s="54"/>
      <c r="G108" s="54"/>
      <c r="I108" s="367"/>
      <c r="J108" s="367"/>
      <c r="K108" s="367"/>
      <c r="L108" s="367"/>
      <c r="M108" s="367"/>
      <c r="N108" s="367"/>
      <c r="O108" s="367"/>
      <c r="P108" s="367"/>
      <c r="Q108" s="367"/>
      <c r="R108" s="367"/>
      <c r="S108" s="367"/>
      <c r="T108" s="367"/>
      <c r="U108" s="367"/>
      <c r="V108" s="367"/>
      <c r="W108" s="367"/>
      <c r="X108" s="367"/>
    </row>
    <row r="109" spans="1:24" ht="21.95" customHeight="1" x14ac:dyDescent="0.25">
      <c r="A109" s="61" t="s">
        <v>168</v>
      </c>
      <c r="B109" s="97">
        <f ca="1">IFERROR(B106/B107,1.01)</f>
        <v>0</v>
      </c>
      <c r="C109" s="54"/>
      <c r="D109" s="54"/>
      <c r="E109" s="54"/>
      <c r="F109" s="54"/>
      <c r="G109" s="54"/>
      <c r="I109" s="367"/>
      <c r="J109" s="367"/>
      <c r="K109" s="367"/>
      <c r="L109" s="367"/>
      <c r="M109" s="367"/>
      <c r="N109" s="367"/>
      <c r="O109" s="367"/>
      <c r="P109" s="367"/>
      <c r="Q109" s="367"/>
      <c r="R109" s="367"/>
      <c r="S109" s="367"/>
      <c r="T109" s="367"/>
      <c r="U109" s="367"/>
      <c r="V109" s="367"/>
      <c r="W109" s="367"/>
      <c r="X109" s="367"/>
    </row>
    <row r="110" spans="1:24" ht="21.95" customHeight="1" x14ac:dyDescent="0.25">
      <c r="A110" s="61" t="s">
        <v>169</v>
      </c>
      <c r="B110" s="65" t="str">
        <f ca="1">IF(B108&gt;0,"Data Error(s)",IF(B109=0,"Not Started",IF(B109&lt;1,ROUNDUP(B109*100,0)&amp;"% Done",IF(B109&gt;1,"Optional","Complete"))))</f>
        <v>Not Started</v>
      </c>
      <c r="C110" s="54"/>
      <c r="D110" s="54"/>
      <c r="E110" s="54"/>
      <c r="F110" s="54"/>
      <c r="G110" s="54"/>
      <c r="I110" s="367"/>
      <c r="J110" s="367"/>
      <c r="K110" s="367"/>
      <c r="L110" s="367"/>
      <c r="M110" s="367"/>
      <c r="N110" s="367"/>
      <c r="O110" s="367"/>
      <c r="P110" s="367"/>
      <c r="Q110" s="367"/>
      <c r="R110" s="367"/>
      <c r="S110" s="367"/>
      <c r="T110" s="367"/>
      <c r="U110" s="367"/>
      <c r="V110" s="367"/>
      <c r="W110" s="367"/>
      <c r="X110" s="367"/>
    </row>
    <row r="111" spans="1:24" ht="21.95" customHeight="1" x14ac:dyDescent="0.25">
      <c r="A111" s="61" t="s">
        <v>170</v>
      </c>
      <c r="B111" s="65" t="str">
        <f ca="1">IF(B108&gt;0,0,IF(B109&lt;1,"",2))</f>
        <v/>
      </c>
      <c r="C111" s="54"/>
      <c r="D111" s="54"/>
      <c r="E111" s="54"/>
      <c r="F111" s="54"/>
      <c r="G111" s="54"/>
      <c r="I111" s="367"/>
      <c r="J111" s="367"/>
      <c r="K111" s="367"/>
      <c r="L111" s="367"/>
      <c r="M111" s="367"/>
      <c r="N111" s="367"/>
      <c r="O111" s="367"/>
      <c r="P111" s="367"/>
      <c r="Q111" s="367"/>
      <c r="R111" s="367"/>
      <c r="S111" s="367"/>
      <c r="T111" s="367"/>
      <c r="U111" s="367"/>
      <c r="V111" s="367"/>
      <c r="W111" s="367"/>
      <c r="X111" s="367"/>
    </row>
    <row r="112" spans="1:24" ht="21.95" customHeight="1" x14ac:dyDescent="0.25">
      <c r="A112" s="61" t="s">
        <v>171</v>
      </c>
      <c r="B112" s="96" t="s">
        <v>2565</v>
      </c>
      <c r="C112" s="54"/>
      <c r="D112" s="54"/>
      <c r="E112" s="54"/>
      <c r="F112" s="54"/>
      <c r="G112" s="54"/>
      <c r="I112" s="367"/>
      <c r="J112" s="367"/>
      <c r="K112" s="367"/>
      <c r="L112" s="367"/>
      <c r="M112" s="367"/>
      <c r="N112" s="367"/>
      <c r="O112" s="367"/>
      <c r="P112" s="367"/>
      <c r="Q112" s="367"/>
      <c r="R112" s="367"/>
      <c r="S112" s="367"/>
      <c r="T112" s="367"/>
      <c r="U112" s="367"/>
      <c r="V112" s="367"/>
      <c r="W112" s="367"/>
      <c r="X112" s="367"/>
    </row>
    <row r="113" spans="1:24" ht="21.95" customHeight="1" x14ac:dyDescent="0.25">
      <c r="A113" s="77" t="s">
        <v>2146</v>
      </c>
      <c r="B113" s="65">
        <v>0</v>
      </c>
      <c r="C113" s="54"/>
      <c r="D113" s="54"/>
      <c r="E113" s="54"/>
      <c r="F113" s="54"/>
      <c r="G113" s="54"/>
      <c r="I113" s="367"/>
      <c r="J113" s="367"/>
      <c r="K113" s="367"/>
      <c r="L113" s="367"/>
      <c r="M113" s="367"/>
      <c r="N113" s="367"/>
      <c r="O113" s="367"/>
      <c r="P113" s="367"/>
      <c r="Q113" s="367"/>
      <c r="R113" s="367"/>
      <c r="S113" s="367"/>
      <c r="T113" s="367"/>
      <c r="U113" s="367"/>
      <c r="V113" s="367"/>
      <c r="W113" s="367"/>
      <c r="X113" s="367"/>
    </row>
    <row r="114" spans="1:24" ht="21.95" customHeight="1" x14ac:dyDescent="0.25">
      <c r="A114" s="77" t="s">
        <v>2147</v>
      </c>
      <c r="B114" s="65" t="b">
        <f>(B113&gt;0)</f>
        <v>0</v>
      </c>
      <c r="C114" s="54"/>
      <c r="D114" s="54"/>
      <c r="E114" s="54"/>
      <c r="F114" s="54"/>
      <c r="G114" s="54"/>
      <c r="I114" s="367"/>
      <c r="J114" s="367"/>
      <c r="K114" s="367"/>
      <c r="L114" s="367"/>
      <c r="M114" s="367"/>
      <c r="N114" s="367"/>
      <c r="O114" s="367"/>
      <c r="P114" s="367"/>
      <c r="Q114" s="367"/>
      <c r="R114" s="367"/>
      <c r="S114" s="367"/>
      <c r="T114" s="367"/>
      <c r="U114" s="367"/>
      <c r="V114" s="367"/>
      <c r="W114" s="367"/>
      <c r="X114" s="367"/>
    </row>
    <row r="115" spans="1:24" ht="21.95" customHeight="1" x14ac:dyDescent="0.25">
      <c r="A115" s="91" t="s">
        <v>2861</v>
      </c>
      <c r="B115" s="93" t="s">
        <v>2862</v>
      </c>
      <c r="C115" s="92"/>
      <c r="D115" s="92"/>
      <c r="E115" s="92"/>
      <c r="F115" s="92"/>
      <c r="G115" s="92"/>
      <c r="J115"/>
      <c r="L115"/>
      <c r="N115"/>
      <c r="P115"/>
      <c r="R115"/>
      <c r="T115"/>
      <c r="V115"/>
      <c r="X115"/>
    </row>
    <row r="116" spans="1:24" ht="21.95" customHeight="1" x14ac:dyDescent="0.25">
      <c r="A116" s="61" t="s">
        <v>2855</v>
      </c>
      <c r="B116" s="95" t="str">
        <f>IF(I117&lt;&gt;"",I117,"")</f>
        <v/>
      </c>
      <c r="C116" s="54">
        <f ca="1">VLOOKUP(A116,DB_TBL_DATA_FIELDS[[FIELD_ID]:[PCT_CALC_FIELD_STATUS_CODE]],22,FALSE)</f>
        <v>1</v>
      </c>
      <c r="D116" s="54" t="str">
        <f ca="1">IF(VLOOKUP(A116,DB_TBL_DATA_FIELDS[[FIELD_ID]:[ERROR_MESSAGE]],23,FALSE)&lt;&gt;0,VLOOKUP(A116,DB_TBL_DATA_FIELDS[[FIELD_ID]:[ERROR_MESSAGE]],23,FALSE),"")</f>
        <v/>
      </c>
      <c r="E116" s="54">
        <f>VLOOKUP(A116,DB_TBL_DATA_FIELDS[[#All],[FIELD_ID]:[RANGE_VALIDATION_MAX]],18,FALSE)</f>
        <v>0</v>
      </c>
      <c r="F116" s="54">
        <f>VLOOKUP(A116,DB_TBL_DATA_FIELDS[[#All],[FIELD_ID]:[RANGE_VALIDATION_MAX]],19,FALSE)</f>
        <v>100</v>
      </c>
      <c r="G116" s="54">
        <f t="shared" ref="G116:G120" ca="1" si="10">IF(C116&lt;0,"",C116)</f>
        <v>1</v>
      </c>
      <c r="I116" s="36" t="s">
        <v>2873</v>
      </c>
      <c r="K116" s="36"/>
      <c r="M116" s="36"/>
      <c r="N116" s="36"/>
      <c r="O116" s="36" t="s">
        <v>2874</v>
      </c>
      <c r="Q116" s="36"/>
      <c r="S116" s="36"/>
      <c r="T116" s="36"/>
      <c r="U116" s="36" t="s">
        <v>31</v>
      </c>
      <c r="V116" s="36"/>
      <c r="W116" s="36"/>
      <c r="X116" s="36"/>
    </row>
    <row r="117" spans="1:24" ht="21.95" customHeight="1" x14ac:dyDescent="0.25">
      <c r="A117" s="61" t="s">
        <v>2857</v>
      </c>
      <c r="B117" s="95" t="str">
        <f>IF(O117&lt;&gt;"",O117,"")</f>
        <v/>
      </c>
      <c r="C117" s="54">
        <f ca="1">VLOOKUP(A117,DB_TBL_DATA_FIELDS[[FIELD_ID]:[PCT_CALC_FIELD_STATUS_CODE]],22,FALSE)</f>
        <v>1</v>
      </c>
      <c r="D117" s="54" t="str">
        <f ca="1">IF(VLOOKUP(A117,DB_TBL_DATA_FIELDS[[FIELD_ID]:[ERROR_MESSAGE]],23,FALSE)&lt;&gt;0,VLOOKUP(A117,DB_TBL_DATA_FIELDS[[FIELD_ID]:[ERROR_MESSAGE]],23,FALSE),"")</f>
        <v/>
      </c>
      <c r="E117" s="54">
        <f>VLOOKUP(A117,DB_TBL_DATA_FIELDS[[#All],[FIELD_ID]:[RANGE_VALIDATION_MAX]],18,FALSE)</f>
        <v>0</v>
      </c>
      <c r="F117" s="54">
        <f>VLOOKUP(A117,DB_TBL_DATA_FIELDS[[#All],[FIELD_ID]:[RANGE_VALIDATION_MAX]],19,FALSE)</f>
        <v>100</v>
      </c>
      <c r="G117" s="54">
        <f t="shared" ca="1" si="10"/>
        <v>1</v>
      </c>
      <c r="I117" s="316"/>
      <c r="J117" s="317"/>
      <c r="K117" s="317"/>
      <c r="L117" s="317"/>
      <c r="M117" s="318"/>
      <c r="N117" s="52">
        <f ca="1">G116</f>
        <v>1</v>
      </c>
      <c r="O117" s="316"/>
      <c r="P117" s="317"/>
      <c r="Q117" s="317"/>
      <c r="R117" s="317"/>
      <c r="S117" s="318"/>
      <c r="T117" s="52">
        <f ca="1">G117</f>
        <v>1</v>
      </c>
      <c r="U117" s="338"/>
      <c r="V117" s="339"/>
      <c r="W117" s="340"/>
      <c r="X117" s="52">
        <f ca="1">G118</f>
        <v>1</v>
      </c>
    </row>
    <row r="118" spans="1:24" ht="21.95" customHeight="1" x14ac:dyDescent="0.25">
      <c r="A118" s="61" t="s">
        <v>2858</v>
      </c>
      <c r="B118" s="95" t="str">
        <f>IF(U117&lt;&gt;"",U117,"")</f>
        <v/>
      </c>
      <c r="C118" s="54">
        <f ca="1">VLOOKUP(A118,DB_TBL_DATA_FIELDS[[FIELD_ID]:[PCT_CALC_FIELD_STATUS_CODE]],22,FALSE)</f>
        <v>1</v>
      </c>
      <c r="D118" s="54" t="str">
        <f ca="1">IF(VLOOKUP(A118,DB_TBL_DATA_FIELDS[[FIELD_ID]:[ERROR_MESSAGE]],23,FALSE)&lt;&gt;0,VLOOKUP(A118,DB_TBL_DATA_FIELDS[[FIELD_ID]:[ERROR_MESSAGE]],23,FALSE),"")</f>
        <v/>
      </c>
      <c r="E118" s="54">
        <f>VLOOKUP(A118,DB_TBL_DATA_FIELDS[[#All],[FIELD_ID]:[RANGE_VALIDATION_MAX]],18,FALSE)</f>
        <v>0</v>
      </c>
      <c r="F118" s="54">
        <f>VLOOKUP(A118,DB_TBL_DATA_FIELDS[[#All],[FIELD_ID]:[RANGE_VALIDATION_MAX]],19,FALSE)</f>
        <v>0</v>
      </c>
      <c r="G118" s="54">
        <f t="shared" ca="1" si="10"/>
        <v>1</v>
      </c>
      <c r="I118" s="36" t="s">
        <v>132</v>
      </c>
      <c r="K118" s="36"/>
      <c r="M118" s="36"/>
      <c r="N118" s="36"/>
      <c r="O118" s="36"/>
      <c r="P118" s="36"/>
      <c r="S118" s="36" t="s">
        <v>2158</v>
      </c>
      <c r="W118" s="36"/>
    </row>
    <row r="119" spans="1:24" ht="21.95" customHeight="1" x14ac:dyDescent="0.25">
      <c r="A119" s="61" t="s">
        <v>2230</v>
      </c>
      <c r="B119" s="95" t="str">
        <f>IF(I119&lt;&gt;"",I119,"")</f>
        <v/>
      </c>
      <c r="C119" s="54">
        <f ca="1">VLOOKUP(A119,DB_TBL_DATA_FIELDS[[FIELD_ID]:[PCT_CALC_FIELD_STATUS_CODE]],22,FALSE)</f>
        <v>1</v>
      </c>
      <c r="D119" s="54" t="str">
        <f ca="1">IF(VLOOKUP(A119,DB_TBL_DATA_FIELDS[[FIELD_ID]:[ERROR_MESSAGE]],23,FALSE)&lt;&gt;0,VLOOKUP(A119,DB_TBL_DATA_FIELDS[[FIELD_ID]:[ERROR_MESSAGE]],23,FALSE),"")</f>
        <v/>
      </c>
      <c r="E119" s="54">
        <f>VLOOKUP(A119,DB_TBL_DATA_FIELDS[[#All],[FIELD_ID]:[RANGE_VALIDATION_MAX]],18,FALSE)</f>
        <v>0</v>
      </c>
      <c r="F119" s="54">
        <f>VLOOKUP(A119,DB_TBL_DATA_FIELDS[[#All],[FIELD_ID]:[RANGE_VALIDATION_MAX]],19,FALSE)</f>
        <v>60</v>
      </c>
      <c r="G119" s="54">
        <f t="shared" ca="1" si="10"/>
        <v>1</v>
      </c>
      <c r="I119" s="316"/>
      <c r="J119" s="317"/>
      <c r="K119" s="317"/>
      <c r="L119" s="317"/>
      <c r="M119" s="317"/>
      <c r="N119" s="317"/>
      <c r="O119" s="317"/>
      <c r="P119" s="317"/>
      <c r="Q119" s="318"/>
      <c r="R119" s="52">
        <f ca="1">G119</f>
        <v>1</v>
      </c>
      <c r="S119" s="313"/>
      <c r="T119" s="314"/>
      <c r="U119" s="314"/>
      <c r="V119" s="314"/>
      <c r="W119" s="315"/>
      <c r="X119" s="52">
        <f ca="1">G120</f>
        <v>1</v>
      </c>
    </row>
    <row r="120" spans="1:24" ht="21.95" customHeight="1" x14ac:dyDescent="0.25">
      <c r="A120" s="61" t="s">
        <v>2231</v>
      </c>
      <c r="B120" s="95" t="str">
        <f>IF(S119&lt;&gt;"",S119,"")</f>
        <v/>
      </c>
      <c r="C120" s="54">
        <f ca="1">VLOOKUP(A120,DB_TBL_DATA_FIELDS[[FIELD_ID]:[PCT_CALC_FIELD_STATUS_CODE]],22,FALSE)</f>
        <v>1</v>
      </c>
      <c r="D120" s="54" t="str">
        <f>IF(VLOOKUP(A120,DB_TBL_DATA_FIELDS[[FIELD_ID]:[ERROR_MESSAGE]],23,FALSE)&lt;&gt;0,VLOOKUP(A120,DB_TBL_DATA_FIELDS[[FIELD_ID]:[ERROR_MESSAGE]],23,FALSE),"")</f>
        <v/>
      </c>
      <c r="E120" s="54">
        <f>VLOOKUP(A120,DB_TBL_DATA_FIELDS[[#All],[FIELD_ID]:[RANGE_VALIDATION_MAX]],18,FALSE)</f>
        <v>0</v>
      </c>
      <c r="F120" s="54">
        <f>VLOOKUP(A120,DB_TBL_DATA_FIELDS[[#All],[FIELD_ID]:[RANGE_VALIDATION_MAX]],19,FALSE)</f>
        <v>50</v>
      </c>
      <c r="G120" s="54">
        <f t="shared" ca="1" si="10"/>
        <v>1</v>
      </c>
      <c r="I120" s="331" t="str">
        <f ca="1">D119</f>
        <v/>
      </c>
      <c r="J120" s="331"/>
      <c r="K120" s="331"/>
      <c r="L120" s="331"/>
      <c r="M120" s="331"/>
      <c r="N120" s="331"/>
      <c r="O120" s="331"/>
      <c r="P120" s="331"/>
      <c r="Q120" s="331"/>
      <c r="R120"/>
      <c r="T120"/>
      <c r="V120"/>
      <c r="X120"/>
    </row>
    <row r="121" spans="1:24" ht="21.95" customHeight="1" x14ac:dyDescent="0.25">
      <c r="A121" s="61" t="s">
        <v>2863</v>
      </c>
      <c r="B121" s="65" t="str">
        <f>"C"&amp;MATCH(LEFT(A121,LEN(A121)-LEN("_RANGE")),A:A,0)+1&amp;":C"&amp;(ROW()-1)</f>
        <v>C116:C120</v>
      </c>
      <c r="C121" s="54"/>
      <c r="D121" s="54"/>
      <c r="E121" s="54"/>
      <c r="F121" s="54"/>
      <c r="G121" s="54"/>
      <c r="J121"/>
      <c r="L121"/>
      <c r="N121"/>
      <c r="P121"/>
    </row>
    <row r="122" spans="1:24" ht="21.95" customHeight="1" x14ac:dyDescent="0.25">
      <c r="A122" s="61" t="s">
        <v>2864</v>
      </c>
      <c r="B122" s="65">
        <f ca="1">COUNTIF(INDIRECT($B121),2)</f>
        <v>0</v>
      </c>
      <c r="C122" s="54"/>
      <c r="D122" s="54"/>
      <c r="E122" s="54"/>
      <c r="F122" s="54"/>
      <c r="G122" s="54"/>
    </row>
    <row r="123" spans="1:24" ht="21.95" hidden="1" customHeight="1" x14ac:dyDescent="0.25">
      <c r="A123" s="61" t="s">
        <v>2865</v>
      </c>
      <c r="B123" s="65">
        <f ca="1">COUNTIF(INDIRECT($B121),0)+COUNTIF(INDIRECT($B121),1)+COUNTIF(INDIRECT($B121),2)</f>
        <v>5</v>
      </c>
      <c r="C123" s="54"/>
      <c r="D123" s="54"/>
      <c r="E123" s="54"/>
      <c r="F123" s="54"/>
      <c r="G123" s="54"/>
    </row>
    <row r="124" spans="1:24" ht="21.95" hidden="1" customHeight="1" x14ac:dyDescent="0.25">
      <c r="A124" s="61" t="s">
        <v>2866</v>
      </c>
      <c r="B124" s="65">
        <f ca="1">COUNTIF(INDIRECT($B121),0)</f>
        <v>0</v>
      </c>
      <c r="C124" s="54"/>
      <c r="D124" s="54"/>
      <c r="E124" s="54"/>
      <c r="F124" s="54"/>
      <c r="G124" s="54"/>
    </row>
    <row r="125" spans="1:24" ht="21.95" hidden="1" customHeight="1" x14ac:dyDescent="0.25">
      <c r="A125" s="61" t="s">
        <v>2867</v>
      </c>
      <c r="B125" s="97">
        <f ca="1">IFERROR(B122/B123,1.01)</f>
        <v>0</v>
      </c>
      <c r="C125" s="54"/>
      <c r="D125" s="54"/>
      <c r="E125" s="54"/>
      <c r="F125" s="54"/>
      <c r="G125" s="54"/>
    </row>
    <row r="126" spans="1:24" ht="21.95" hidden="1" customHeight="1" x14ac:dyDescent="0.25">
      <c r="A126" s="61" t="s">
        <v>2868</v>
      </c>
      <c r="B126" s="65" t="str">
        <f ca="1">IF(B124&gt;0,"Data Error(s)",IF(B125=0,"Not Started",IF(B125&lt;1,ROUNDUP(B125*100,0)&amp;"% Done",IF(B125&gt;1,"Optional","Complete"))))</f>
        <v>Not Started</v>
      </c>
      <c r="C126" s="54"/>
      <c r="D126" s="54"/>
      <c r="E126" s="54"/>
      <c r="F126" s="54"/>
      <c r="G126" s="54"/>
    </row>
    <row r="127" spans="1:24" ht="21.95" hidden="1" customHeight="1" x14ac:dyDescent="0.25">
      <c r="A127" s="61" t="s">
        <v>2869</v>
      </c>
      <c r="B127" s="65" t="str">
        <f ca="1">IF(B124&gt;0,0,IF(B125&lt;1,"",2))</f>
        <v/>
      </c>
      <c r="C127" s="54"/>
      <c r="D127" s="54"/>
      <c r="E127" s="54"/>
      <c r="F127" s="54"/>
      <c r="G127" s="54"/>
    </row>
    <row r="128" spans="1:24" ht="21.95" hidden="1" customHeight="1" x14ac:dyDescent="0.25">
      <c r="A128" s="61" t="s">
        <v>2870</v>
      </c>
      <c r="B128" s="96" t="s">
        <v>2862</v>
      </c>
      <c r="C128" s="54"/>
      <c r="D128" s="54"/>
      <c r="E128" s="54"/>
      <c r="F128" s="54"/>
      <c r="G128" s="54"/>
    </row>
    <row r="129" spans="1:7" ht="21.95" hidden="1" customHeight="1" x14ac:dyDescent="0.25">
      <c r="A129" s="77" t="s">
        <v>2871</v>
      </c>
      <c r="B129" s="65">
        <v>0</v>
      </c>
      <c r="C129" s="54"/>
      <c r="D129" s="54"/>
      <c r="E129" s="54"/>
      <c r="F129" s="54"/>
      <c r="G129" s="54"/>
    </row>
    <row r="130" spans="1:7" ht="21.95" hidden="1" customHeight="1" x14ac:dyDescent="0.25">
      <c r="A130" s="77" t="s">
        <v>2872</v>
      </c>
      <c r="B130" s="65" t="b">
        <f>(B129&gt;0)</f>
        <v>0</v>
      </c>
      <c r="C130" s="54"/>
      <c r="D130" s="54"/>
      <c r="E130" s="54"/>
      <c r="F130" s="54"/>
      <c r="G130" s="54"/>
    </row>
    <row r="131" spans="1:7" ht="21.95" hidden="1" customHeight="1" x14ac:dyDescent="0.25"/>
    <row r="132" spans="1:7" ht="21.95" hidden="1" customHeight="1" x14ac:dyDescent="0.25"/>
    <row r="133" spans="1:7" ht="21.95" hidden="1" customHeight="1" x14ac:dyDescent="0.25"/>
    <row r="134" spans="1:7" ht="21.95" hidden="1" customHeight="1" x14ac:dyDescent="0.25"/>
    <row r="135" spans="1:7" ht="21.95" hidden="1" customHeight="1" x14ac:dyDescent="0.25"/>
    <row r="136" spans="1:7" ht="21.95" hidden="1" customHeight="1" x14ac:dyDescent="0.25"/>
    <row r="137" spans="1:7" ht="21.95" hidden="1" customHeight="1" x14ac:dyDescent="0.25"/>
    <row r="138" spans="1:7" ht="15" hidden="1" x14ac:dyDescent="0.25"/>
    <row r="139" spans="1:7" ht="15" hidden="1" x14ac:dyDescent="0.25"/>
    <row r="140" spans="1:7" ht="15" hidden="1" x14ac:dyDescent="0.25"/>
    <row r="141" spans="1:7" ht="15" hidden="1" x14ac:dyDescent="0.25"/>
    <row r="142" spans="1:7" ht="15" hidden="1" x14ac:dyDescent="0.25"/>
    <row r="143" spans="1:7" ht="15" hidden="1" x14ac:dyDescent="0.25"/>
    <row r="144" spans="1:7" ht="15" hidden="1" x14ac:dyDescent="0.25"/>
    <row r="145" ht="15" hidden="1" x14ac:dyDescent="0.25"/>
    <row r="146" ht="15" hidden="1" x14ac:dyDescent="0.25"/>
    <row r="147" ht="15" hidden="1" x14ac:dyDescent="0.25"/>
    <row r="148" ht="15" hidden="1" x14ac:dyDescent="0.25"/>
    <row r="149" ht="15" hidden="1" x14ac:dyDescent="0.25"/>
    <row r="150" ht="15" hidden="1" x14ac:dyDescent="0.25"/>
    <row r="151" ht="15" hidden="1" x14ac:dyDescent="0.25"/>
    <row r="152" ht="15" hidden="1" x14ac:dyDescent="0.25"/>
    <row r="153" ht="15" hidden="1" x14ac:dyDescent="0.25"/>
    <row r="154" ht="15" hidden="1" x14ac:dyDescent="0.25"/>
    <row r="155" ht="15" hidden="1" x14ac:dyDescent="0.25"/>
    <row r="156" ht="15" hidden="1" x14ac:dyDescent="0.25"/>
    <row r="157" ht="15" hidden="1" x14ac:dyDescent="0.25"/>
    <row r="158" ht="15" hidden="1" x14ac:dyDescent="0.25"/>
    <row r="159" ht="15" hidden="1" x14ac:dyDescent="0.25"/>
    <row r="160" ht="15" hidden="1" x14ac:dyDescent="0.25"/>
    <row r="161" ht="15" hidden="1" x14ac:dyDescent="0.25"/>
    <row r="162" ht="15" hidden="1" x14ac:dyDescent="0.25"/>
    <row r="163" ht="15" hidden="1" x14ac:dyDescent="0.25"/>
    <row r="164" ht="15" hidden="1" x14ac:dyDescent="0.25"/>
    <row r="165" ht="15" hidden="1" x14ac:dyDescent="0.25"/>
    <row r="166" ht="15" hidden="1" x14ac:dyDescent="0.25"/>
    <row r="167" ht="15" hidden="1" x14ac:dyDescent="0.25"/>
    <row r="168" ht="15" hidden="1" x14ac:dyDescent="0.25"/>
    <row r="169" ht="15" hidden="1" x14ac:dyDescent="0.25"/>
    <row r="170" ht="15" hidden="1" x14ac:dyDescent="0.25"/>
    <row r="171" ht="15" hidden="1" x14ac:dyDescent="0.25"/>
    <row r="172" ht="15" hidden="1" x14ac:dyDescent="0.25"/>
    <row r="173" ht="15" hidden="1" x14ac:dyDescent="0.25"/>
    <row r="174" ht="15" hidden="1" x14ac:dyDescent="0.25"/>
    <row r="175" ht="15" hidden="1" x14ac:dyDescent="0.25"/>
    <row r="176" ht="15" hidden="1" x14ac:dyDescent="0.25"/>
    <row r="177" ht="15" hidden="1" x14ac:dyDescent="0.25"/>
    <row r="178" ht="15" hidden="1" x14ac:dyDescent="0.25"/>
    <row r="179" ht="15" hidden="1" x14ac:dyDescent="0.25"/>
    <row r="180" ht="15" hidden="1" x14ac:dyDescent="0.25"/>
    <row r="181" ht="15" hidden="1" x14ac:dyDescent="0.25"/>
    <row r="182" ht="15" hidden="1" x14ac:dyDescent="0.25"/>
    <row r="183" ht="15" hidden="1" x14ac:dyDescent="0.25"/>
    <row r="184" ht="15" hidden="1" x14ac:dyDescent="0.25"/>
    <row r="185" ht="15" hidden="1" x14ac:dyDescent="0.25"/>
    <row r="186" ht="15" hidden="1" x14ac:dyDescent="0.25"/>
    <row r="187" ht="15" hidden="1" x14ac:dyDescent="0.25"/>
    <row r="188" ht="15" hidden="1" x14ac:dyDescent="0.25"/>
    <row r="189" ht="15" hidden="1" x14ac:dyDescent="0.25"/>
    <row r="190" ht="15" hidden="1" x14ac:dyDescent="0.25"/>
    <row r="191" ht="15" hidden="1" x14ac:dyDescent="0.25"/>
    <row r="192" ht="15" hidden="1" x14ac:dyDescent="0.25"/>
    <row r="193" ht="15" hidden="1" x14ac:dyDescent="0.25"/>
    <row r="194" ht="15" hidden="1" x14ac:dyDescent="0.25"/>
    <row r="195" ht="15" hidden="1" x14ac:dyDescent="0.25"/>
    <row r="196" ht="15" hidden="1" x14ac:dyDescent="0.25"/>
    <row r="197" ht="15" hidden="1" x14ac:dyDescent="0.25"/>
    <row r="198" ht="15" hidden="1" x14ac:dyDescent="0.25"/>
    <row r="199" ht="15" hidden="1" x14ac:dyDescent="0.25"/>
    <row r="200" ht="15" hidden="1" x14ac:dyDescent="0.25"/>
    <row r="201" ht="15" hidden="1" x14ac:dyDescent="0.25"/>
    <row r="202" ht="15" hidden="1" x14ac:dyDescent="0.25"/>
    <row r="203" ht="15" hidden="1" x14ac:dyDescent="0.25"/>
    <row r="204" ht="15" hidden="1" x14ac:dyDescent="0.25"/>
    <row r="205" ht="15" hidden="1" x14ac:dyDescent="0.25"/>
    <row r="206" ht="15" hidden="1" x14ac:dyDescent="0.25"/>
    <row r="207" ht="15" hidden="1" x14ac:dyDescent="0.25"/>
    <row r="208" ht="15" hidden="1" x14ac:dyDescent="0.25"/>
    <row r="209" ht="15" hidden="1" x14ac:dyDescent="0.25"/>
    <row r="210" ht="15" hidden="1" x14ac:dyDescent="0.25"/>
    <row r="211" ht="15" hidden="1" x14ac:dyDescent="0.25"/>
    <row r="212" ht="15" hidden="1" x14ac:dyDescent="0.25"/>
    <row r="213" ht="15" hidden="1" x14ac:dyDescent="0.25"/>
    <row r="214" ht="15" hidden="1" x14ac:dyDescent="0.25"/>
    <row r="215" ht="15" hidden="1" customHeight="1" x14ac:dyDescent="0.25"/>
  </sheetData>
  <sheetProtection algorithmName="SHA-512" hashValue="PiEEOP5P5ZiV1enjnyVsFuHt0pWXRgihSzwNFVLuD+FmX52iZSBPET5QkKEdTkDfznZzU4n1mmfcqJXZQw7+kA==" saltValue="yVdiPrBbSuZsrlObKn9xrg==" spinCount="100000" sheet="1" objects="1" scenarios="1" selectLockedCells="1"/>
  <dataConsolidate/>
  <mergeCells count="48">
    <mergeCell ref="I91:X114"/>
    <mergeCell ref="I120:Q120"/>
    <mergeCell ref="U83:X83"/>
    <mergeCell ref="I83:T83"/>
    <mergeCell ref="U61:W61"/>
    <mergeCell ref="U62:W62"/>
    <mergeCell ref="I69:K69"/>
    <mergeCell ref="U69:W69"/>
    <mergeCell ref="O69:Q69"/>
    <mergeCell ref="I75:W76"/>
    <mergeCell ref="I78:S78"/>
    <mergeCell ref="U78:W78"/>
    <mergeCell ref="I117:M117"/>
    <mergeCell ref="O117:S117"/>
    <mergeCell ref="U117:W117"/>
    <mergeCell ref="I119:Q119"/>
    <mergeCell ref="O52:W52"/>
    <mergeCell ref="I47:K47"/>
    <mergeCell ref="M47:O47"/>
    <mergeCell ref="I87:S87"/>
    <mergeCell ref="U87:W87"/>
    <mergeCell ref="I84:S84"/>
    <mergeCell ref="U84:W84"/>
    <mergeCell ref="I85:S85"/>
    <mergeCell ref="U85:W85"/>
    <mergeCell ref="I86:S86"/>
    <mergeCell ref="U86:W86"/>
    <mergeCell ref="S119:W119"/>
    <mergeCell ref="I6:Y6"/>
    <mergeCell ref="I9:X9"/>
    <mergeCell ref="U13:X13"/>
    <mergeCell ref="I17:M17"/>
    <mergeCell ref="Q17:U17"/>
    <mergeCell ref="U45:W45"/>
    <mergeCell ref="I54:W59"/>
    <mergeCell ref="I18:M18"/>
    <mergeCell ref="Q18:U18"/>
    <mergeCell ref="I19:M19"/>
    <mergeCell ref="I24:W24"/>
    <mergeCell ref="I45:K45"/>
    <mergeCell ref="M45:O45"/>
    <mergeCell ref="I36:S37"/>
    <mergeCell ref="I29:K29"/>
    <mergeCell ref="M29:Q29"/>
    <mergeCell ref="S29:W29"/>
    <mergeCell ref="U34:W34"/>
    <mergeCell ref="Q35:W35"/>
    <mergeCell ref="Q19:U19"/>
  </mergeCells>
  <conditionalFormatting sqref="H6">
    <cfRule type="iconSet" priority="118">
      <iconSet iconSet="3Flags" showValue="0">
        <cfvo type="percent" val="0"/>
        <cfvo type="num" val="1"/>
        <cfvo type="num" val="2" gte="0"/>
      </iconSet>
    </cfRule>
    <cfRule type="expression" dxfId="144" priority="119">
      <formula>($B$10=TRUE)</formula>
    </cfRule>
  </conditionalFormatting>
  <conditionalFormatting sqref="I120">
    <cfRule type="notContainsBlanks" dxfId="143" priority="14">
      <formula>LEN(TRIM(I120))&gt;0</formula>
    </cfRule>
  </conditionalFormatting>
  <conditionalFormatting sqref="I69:K69 O69 U69">
    <cfRule type="expression" dxfId="142" priority="42">
      <formula>(DATA_SECOND_MTG_FLAG&lt;&gt;TRUE)</formula>
    </cfRule>
  </conditionalFormatting>
  <conditionalFormatting sqref="I78:S78 U78">
    <cfRule type="expression" dxfId="141" priority="29">
      <formula>(DATA_OTHER_FHLB_GRANT_FLAG&lt;&gt;TRUE)</formula>
    </cfRule>
  </conditionalFormatting>
  <conditionalFormatting sqref="I85:T87">
    <cfRule type="expression" dxfId="140" priority="27">
      <formula>OR(DATA_OTHER_NON_FHLB_GRANT_FLAG&lt;&gt;TRUE,$I84="",$T84=0)</formula>
    </cfRule>
  </conditionalFormatting>
  <conditionalFormatting sqref="I54:W59">
    <cfRule type="expression" dxfId="139" priority="19">
      <formula>NOT(DATA_EXPLANATION_OF_AFFORDABILITY_REQ_FLAG)</formula>
    </cfRule>
  </conditionalFormatting>
  <conditionalFormatting sqref="I42:X42">
    <cfRule type="expression" dxfId="138" priority="23">
      <formula>$X$42=1</formula>
    </cfRule>
  </conditionalFormatting>
  <conditionalFormatting sqref="I84:X87">
    <cfRule type="expression" dxfId="137" priority="28">
      <formula>(DATA_OTHER_NON_FHLB_GRANT_FLAG&lt;&gt;TRUE)</formula>
    </cfRule>
  </conditionalFormatting>
  <conditionalFormatting sqref="I6:Y6">
    <cfRule type="expression" dxfId="136" priority="120">
      <formula>($B$10=TRUE)</formula>
    </cfRule>
  </conditionalFormatting>
  <conditionalFormatting sqref="L29">
    <cfRule type="iconSet" priority="68">
      <iconSet iconSet="3Symbols" showValue="0">
        <cfvo type="percent" val="0"/>
        <cfvo type="num" val="0" gte="0"/>
        <cfvo type="num" val="2"/>
      </iconSet>
    </cfRule>
    <cfRule type="iconSet" priority="69">
      <iconSet iconSet="3Symbols" showValue="0">
        <cfvo type="percent" val="0"/>
        <cfvo type="num" val="0" gte="0"/>
        <cfvo type="num" val="2"/>
      </iconSet>
    </cfRule>
  </conditionalFormatting>
  <conditionalFormatting sqref="L45">
    <cfRule type="iconSet" priority="64">
      <iconSet iconSet="3Symbols" showValue="0">
        <cfvo type="percent" val="0"/>
        <cfvo type="num" val="0" gte="0"/>
        <cfvo type="num" val="2"/>
      </iconSet>
    </cfRule>
    <cfRule type="iconSet" priority="63">
      <iconSet iconSet="3Symbols" showValue="0">
        <cfvo type="percent" val="0"/>
        <cfvo type="num" val="0" gte="0"/>
        <cfvo type="num" val="2"/>
      </iconSet>
    </cfRule>
  </conditionalFormatting>
  <conditionalFormatting sqref="L46">
    <cfRule type="iconSet" priority="4">
      <iconSet iconSet="3Symbols" showValue="0">
        <cfvo type="percent" val="0"/>
        <cfvo type="num" val="0" gte="0"/>
        <cfvo type="num" val="2"/>
      </iconSet>
    </cfRule>
  </conditionalFormatting>
  <conditionalFormatting sqref="L47">
    <cfRule type="iconSet" priority="3">
      <iconSet iconSet="3Symbols" showValue="0">
        <cfvo type="percent" val="0"/>
        <cfvo type="num" val="0" gte="0"/>
        <cfvo type="num" val="2"/>
      </iconSet>
    </cfRule>
  </conditionalFormatting>
  <conditionalFormatting sqref="L68">
    <cfRule type="iconSet" priority="48">
      <iconSet iconSet="3Symbols" showValue="0">
        <cfvo type="percent" val="0"/>
        <cfvo type="num" val="0" gte="0"/>
        <cfvo type="num" val="2"/>
      </iconSet>
    </cfRule>
  </conditionalFormatting>
  <conditionalFormatting sqref="L69">
    <cfRule type="iconSet" priority="45">
      <iconSet iconSet="3Symbols" showValue="0">
        <cfvo type="percent" val="0"/>
        <cfvo type="num" val="0" gte="0"/>
        <cfvo type="num" val="2"/>
      </iconSet>
    </cfRule>
  </conditionalFormatting>
  <conditionalFormatting sqref="N17:N19 V17:V18">
    <cfRule type="iconSet" priority="127">
      <iconSet iconSet="3Flags">
        <cfvo type="percent" val="0"/>
        <cfvo type="num" val="0" gte="0"/>
        <cfvo type="num" val="1000" gte="0"/>
      </iconSet>
    </cfRule>
  </conditionalFormatting>
  <conditionalFormatting sqref="N25">
    <cfRule type="iconSet" priority="128">
      <iconSet iconSet="3Symbols" showValue="0">
        <cfvo type="percent" val="0"/>
        <cfvo type="num" val="0" gte="0"/>
        <cfvo type="num" val="2"/>
      </iconSet>
    </cfRule>
  </conditionalFormatting>
  <conditionalFormatting sqref="N117">
    <cfRule type="iconSet" priority="16">
      <iconSet iconSet="3Symbols" showValue="0">
        <cfvo type="percent" val="0"/>
        <cfvo type="num" val="0" gte="0"/>
        <cfvo type="num" val="2"/>
      </iconSet>
    </cfRule>
  </conditionalFormatting>
  <conditionalFormatting sqref="O52">
    <cfRule type="notContainsBlanks" dxfId="135" priority="5">
      <formula>LEN(TRIM(O52))&gt;0</formula>
    </cfRule>
  </conditionalFormatting>
  <conditionalFormatting sqref="O17:P19">
    <cfRule type="expression" dxfId="134" priority="122">
      <formula>($P17=2)</formula>
    </cfRule>
    <cfRule type="expression" dxfId="133" priority="121">
      <formula>($P17=0)</formula>
    </cfRule>
  </conditionalFormatting>
  <conditionalFormatting sqref="P17:P19">
    <cfRule type="iconSet" priority="126">
      <iconSet iconSet="3Symbols2" showValue="0">
        <cfvo type="percent" val="0"/>
        <cfvo type="num" val="0" gte="0"/>
        <cfvo type="num" val="1" gte="0"/>
      </iconSet>
    </cfRule>
  </conditionalFormatting>
  <conditionalFormatting sqref="P42 T42 V42">
    <cfRule type="iconSet" priority="84">
      <iconSet iconSet="3Symbols" showValue="0">
        <cfvo type="percent" val="0"/>
        <cfvo type="num" val="0" gte="0"/>
        <cfvo type="num" val="2"/>
      </iconSet>
    </cfRule>
  </conditionalFormatting>
  <conditionalFormatting sqref="P44">
    <cfRule type="iconSet" priority="83">
      <iconSet iconSet="3Symbols" showValue="0">
        <cfvo type="percent" val="0"/>
        <cfvo type="num" val="0" gte="0"/>
        <cfvo type="num" val="2"/>
      </iconSet>
    </cfRule>
  </conditionalFormatting>
  <conditionalFormatting sqref="P45">
    <cfRule type="iconSet" priority="61">
      <iconSet iconSet="3Symbols" showValue="0">
        <cfvo type="percent" val="0"/>
        <cfvo type="num" val="0" gte="0"/>
        <cfvo type="num" val="2"/>
      </iconSet>
    </cfRule>
  </conditionalFormatting>
  <conditionalFormatting sqref="P46">
    <cfRule type="iconSet" priority="2">
      <iconSet iconSet="3Symbols" showValue="0">
        <cfvo type="percent" val="0"/>
        <cfvo type="num" val="0" gte="0"/>
        <cfvo type="num" val="2"/>
      </iconSet>
    </cfRule>
  </conditionalFormatting>
  <conditionalFormatting sqref="P47">
    <cfRule type="iconSet" priority="1">
      <iconSet iconSet="3Symbols" showValue="0">
        <cfvo type="percent" val="0"/>
        <cfvo type="num" val="0" gte="0"/>
        <cfvo type="num" val="2"/>
      </iconSet>
    </cfRule>
  </conditionalFormatting>
  <conditionalFormatting sqref="P64 T64 V64">
    <cfRule type="iconSet" priority="50">
      <iconSet iconSet="3Symbols" showValue="0">
        <cfvo type="percent" val="0"/>
        <cfvo type="num" val="0" gte="0"/>
        <cfvo type="num" val="2"/>
      </iconSet>
    </cfRule>
  </conditionalFormatting>
  <conditionalFormatting sqref="Q35">
    <cfRule type="notContainsBlanks" dxfId="132" priority="25">
      <formula>LEN(TRIM(Q35))&gt;0</formula>
    </cfRule>
  </conditionalFormatting>
  <conditionalFormatting sqref="R13 N13 J13">
    <cfRule type="iconSet" priority="123">
      <iconSet iconSet="3Symbols" showValue="0">
        <cfvo type="percent" val="0"/>
        <cfvo type="num" val="0" gte="0"/>
        <cfvo type="num" val="2"/>
      </iconSet>
    </cfRule>
  </conditionalFormatting>
  <conditionalFormatting sqref="R29">
    <cfRule type="iconSet" priority="66">
      <iconSet iconSet="3Symbols" showValue="0">
        <cfvo type="percent" val="0"/>
        <cfvo type="num" val="0" gte="0"/>
        <cfvo type="num" val="2"/>
      </iconSet>
    </cfRule>
  </conditionalFormatting>
  <conditionalFormatting sqref="R45">
    <cfRule type="iconSet" priority="60">
      <iconSet iconSet="3Symbols" showValue="0">
        <cfvo type="percent" val="0"/>
        <cfvo type="num" val="0" gte="0"/>
        <cfvo type="num" val="2"/>
      </iconSet>
    </cfRule>
  </conditionalFormatting>
  <conditionalFormatting sqref="R69">
    <cfRule type="iconSet" priority="44">
      <iconSet iconSet="3Symbols" showValue="0">
        <cfvo type="percent" val="0"/>
        <cfvo type="num" val="0" gte="0"/>
        <cfvo type="num" val="2"/>
      </iconSet>
    </cfRule>
  </conditionalFormatting>
  <conditionalFormatting sqref="R119 X119 N117">
    <cfRule type="iconSet" priority="17">
      <iconSet iconSet="3Symbols" showValue="0">
        <cfvo type="percent" val="0"/>
        <cfvo type="num" val="0" gte="0"/>
        <cfvo type="num" val="2"/>
      </iconSet>
    </cfRule>
  </conditionalFormatting>
  <conditionalFormatting sqref="R119">
    <cfRule type="iconSet" priority="18">
      <iconSet iconSet="3Symbols" showValue="0">
        <cfvo type="percent" val="0"/>
        <cfvo type="num" val="0" gte="0"/>
        <cfvo type="num" val="2"/>
      </iconSet>
    </cfRule>
  </conditionalFormatting>
  <conditionalFormatting sqref="S3">
    <cfRule type="dataBar" priority="125">
      <dataBar>
        <cfvo type="num" val="0"/>
        <cfvo type="num" val="1"/>
        <color theme="6" tint="-0.249977111117893"/>
      </dataBar>
      <extLst>
        <ext xmlns:x14="http://schemas.microsoft.com/office/spreadsheetml/2009/9/main" uri="{B025F937-C7B1-47D3-B67F-A62EFF666E3E}">
          <x14:id>{7B29BB36-1987-467D-B0AD-6A4C2CA540EB}</x14:id>
        </ext>
      </extLst>
    </cfRule>
  </conditionalFormatting>
  <conditionalFormatting sqref="T3">
    <cfRule type="iconSet" priority="105">
      <iconSet iconSet="3Symbols2" showValue="0">
        <cfvo type="percent" val="0"/>
        <cfvo type="num" val="0" gte="0"/>
        <cfvo type="num" val="1" gte="0"/>
      </iconSet>
    </cfRule>
  </conditionalFormatting>
  <conditionalFormatting sqref="T44">
    <cfRule type="iconSet" priority="82">
      <iconSet iconSet="3Symbols" showValue="0">
        <cfvo type="percent" val="0"/>
        <cfvo type="num" val="0" gte="0"/>
        <cfvo type="num" val="2"/>
      </iconSet>
    </cfRule>
  </conditionalFormatting>
  <conditionalFormatting sqref="T45">
    <cfRule type="iconSet" priority="58">
      <iconSet iconSet="3Symbols" showValue="0">
        <cfvo type="percent" val="0"/>
        <cfvo type="num" val="0" gte="0"/>
        <cfvo type="num" val="2"/>
      </iconSet>
    </cfRule>
  </conditionalFormatting>
  <conditionalFormatting sqref="T78">
    <cfRule type="iconSet" priority="39">
      <iconSet iconSet="3Symbols" showValue="0">
        <cfvo type="percent" val="0"/>
        <cfvo type="num" val="0" gte="0"/>
        <cfvo type="num" val="2"/>
      </iconSet>
    </cfRule>
  </conditionalFormatting>
  <conditionalFormatting sqref="T84">
    <cfRule type="iconSet" priority="37">
      <iconSet iconSet="3Symbols" showValue="0">
        <cfvo type="percent" val="0"/>
        <cfvo type="num" val="0" gte="0"/>
        <cfvo type="num" val="2"/>
      </iconSet>
    </cfRule>
  </conditionalFormatting>
  <conditionalFormatting sqref="T85">
    <cfRule type="iconSet" priority="35">
      <iconSet iconSet="3Symbols" showValue="0">
        <cfvo type="percent" val="0"/>
        <cfvo type="num" val="0" gte="0"/>
        <cfvo type="num" val="2"/>
      </iconSet>
    </cfRule>
  </conditionalFormatting>
  <conditionalFormatting sqref="T86">
    <cfRule type="iconSet" priority="33">
      <iconSet iconSet="3Symbols" showValue="0">
        <cfvo type="percent" val="0"/>
        <cfvo type="num" val="0" gte="0"/>
        <cfvo type="num" val="2"/>
      </iconSet>
    </cfRule>
  </conditionalFormatting>
  <conditionalFormatting sqref="T87">
    <cfRule type="iconSet" priority="31">
      <iconSet iconSet="3Symbols" showValue="0">
        <cfvo type="percent" val="0"/>
        <cfvo type="num" val="0" gte="0"/>
        <cfvo type="num" val="2"/>
      </iconSet>
    </cfRule>
  </conditionalFormatting>
  <conditionalFormatting sqref="T117">
    <cfRule type="iconSet" priority="13">
      <iconSet iconSet="3Symbols" showValue="0">
        <cfvo type="percent" val="0"/>
        <cfvo type="num" val="0" gte="0"/>
        <cfvo type="num" val="2"/>
      </iconSet>
    </cfRule>
    <cfRule type="iconSet" priority="12">
      <iconSet iconSet="3Symbols" showValue="0">
        <cfvo type="percent" val="0"/>
        <cfvo type="num" val="0" gte="0"/>
        <cfvo type="num" val="2"/>
      </iconSet>
    </cfRule>
  </conditionalFormatting>
  <conditionalFormatting sqref="U62:W62">
    <cfRule type="expression" dxfId="131" priority="22">
      <formula>$C$86=1</formula>
    </cfRule>
  </conditionalFormatting>
  <conditionalFormatting sqref="U85:X87">
    <cfRule type="expression" dxfId="130" priority="26">
      <formula>OR(DATA_OTHER_NON_FHLB_GRANT_FLAG&lt;&gt;TRUE,$I85="",$T85=0)</formula>
    </cfRule>
  </conditionalFormatting>
  <conditionalFormatting sqref="V19">
    <cfRule type="iconSet" priority="9">
      <iconSet iconSet="3Flags">
        <cfvo type="percent" val="0"/>
        <cfvo type="num" val="0" gte="0"/>
        <cfvo type="num" val="1000" gte="0"/>
      </iconSet>
    </cfRule>
  </conditionalFormatting>
  <conditionalFormatting sqref="V68">
    <cfRule type="iconSet" priority="47">
      <iconSet iconSet="3Symbols" showValue="0">
        <cfvo type="percent" val="0"/>
        <cfvo type="num" val="0" gte="0"/>
        <cfvo type="num" val="2"/>
      </iconSet>
    </cfRule>
  </conditionalFormatting>
  <conditionalFormatting sqref="W49:W51">
    <cfRule type="expression" dxfId="129" priority="21">
      <formula>$C87=1</formula>
    </cfRule>
  </conditionalFormatting>
  <conditionalFormatting sqref="W17:X19">
    <cfRule type="expression" dxfId="128" priority="6">
      <formula>($X17=0)</formula>
    </cfRule>
    <cfRule type="expression" dxfId="127" priority="7">
      <formula>($X17=2)</formula>
    </cfRule>
  </conditionalFormatting>
  <conditionalFormatting sqref="X17">
    <cfRule type="iconSet" priority="117">
      <iconSet iconSet="3Symbols2" showValue="0">
        <cfvo type="percent" val="0"/>
        <cfvo type="num" val="0" gte="0"/>
        <cfvo type="num" val="1" gte="0"/>
      </iconSet>
    </cfRule>
  </conditionalFormatting>
  <conditionalFormatting sqref="X18">
    <cfRule type="iconSet" priority="114">
      <iconSet iconSet="3Symbols2" showValue="0">
        <cfvo type="percent" val="0"/>
        <cfvo type="num" val="0" gte="0"/>
        <cfvo type="num" val="1" gte="0"/>
      </iconSet>
    </cfRule>
  </conditionalFormatting>
  <conditionalFormatting sqref="X19">
    <cfRule type="iconSet" priority="8">
      <iconSet iconSet="3Symbols2" showValue="0">
        <cfvo type="percent" val="0"/>
        <cfvo type="num" val="0" gte="0"/>
        <cfvo type="num" val="1" gte="0"/>
      </iconSet>
    </cfRule>
  </conditionalFormatting>
  <conditionalFormatting sqref="X24">
    <cfRule type="iconSet" priority="2452">
      <iconSet iconSet="3Symbols" showValue="0">
        <cfvo type="percent" val="0"/>
        <cfvo type="num" val="0" gte="0"/>
        <cfvo type="num" val="2"/>
      </iconSet>
    </cfRule>
  </conditionalFormatting>
  <conditionalFormatting sqref="X25">
    <cfRule type="iconSet" priority="2453">
      <iconSet iconSet="3Symbols" showValue="0">
        <cfvo type="percent" val="0"/>
        <cfvo type="num" val="0" gte="0"/>
        <cfvo type="num" val="2"/>
      </iconSet>
    </cfRule>
  </conditionalFormatting>
  <conditionalFormatting sqref="X29 R29">
    <cfRule type="iconSet" priority="67">
      <iconSet iconSet="3Symbols" showValue="0">
        <cfvo type="percent" val="0"/>
        <cfvo type="num" val="0" gte="0"/>
        <cfvo type="num" val="2"/>
      </iconSet>
    </cfRule>
  </conditionalFormatting>
  <conditionalFormatting sqref="X29">
    <cfRule type="iconSet" priority="65">
      <iconSet iconSet="3Symbols" showValue="0">
        <cfvo type="percent" val="0"/>
        <cfvo type="num" val="0" gte="0"/>
        <cfvo type="num" val="2"/>
      </iconSet>
    </cfRule>
  </conditionalFormatting>
  <conditionalFormatting sqref="X34">
    <cfRule type="iconSet" priority="89">
      <iconSet iconSet="3Symbols" showValue="0">
        <cfvo type="percent" val="0"/>
        <cfvo type="num" val="0" gte="0"/>
        <cfvo type="num" val="2"/>
      </iconSet>
    </cfRule>
  </conditionalFormatting>
  <conditionalFormatting sqref="X36">
    <cfRule type="iconSet" priority="85">
      <iconSet iconSet="3Symbols" showValue="0">
        <cfvo type="percent" val="0"/>
        <cfvo type="num" val="0" gte="0"/>
        <cfvo type="num" val="2"/>
      </iconSet>
    </cfRule>
  </conditionalFormatting>
  <conditionalFormatting sqref="X42">
    <cfRule type="iconSet" priority="24">
      <iconSet iconSet="3Flags" showValue="0">
        <cfvo type="percent" val="0"/>
        <cfvo type="num" val="1"/>
        <cfvo type="num" val="2" gte="0"/>
      </iconSet>
    </cfRule>
  </conditionalFormatting>
  <conditionalFormatting sqref="X44">
    <cfRule type="iconSet" priority="81">
      <iconSet iconSet="3Symbols" showValue="0">
        <cfvo type="percent" val="0"/>
        <cfvo type="num" val="0" gte="0"/>
        <cfvo type="num" val="2"/>
      </iconSet>
    </cfRule>
  </conditionalFormatting>
  <conditionalFormatting sqref="X45">
    <cfRule type="iconSet" priority="59">
      <iconSet iconSet="3Symbols" showValue="0">
        <cfvo type="percent" val="0"/>
        <cfvo type="num" val="0" gte="0"/>
        <cfvo type="num" val="2"/>
      </iconSet>
    </cfRule>
  </conditionalFormatting>
  <conditionalFormatting sqref="X49">
    <cfRule type="iconSet" priority="57">
      <iconSet iconSet="3Symbols" showValue="0">
        <cfvo type="percent" val="0"/>
        <cfvo type="num" val="0" gte="0"/>
        <cfvo type="num" val="2"/>
      </iconSet>
    </cfRule>
  </conditionalFormatting>
  <conditionalFormatting sqref="X50">
    <cfRule type="iconSet" priority="56">
      <iconSet iconSet="3Symbols" showValue="0">
        <cfvo type="percent" val="0"/>
        <cfvo type="num" val="0" gte="0"/>
        <cfvo type="num" val="2"/>
      </iconSet>
    </cfRule>
  </conditionalFormatting>
  <conditionalFormatting sqref="X51:X52">
    <cfRule type="iconSet" priority="55">
      <iconSet iconSet="3Symbols" showValue="0">
        <cfvo type="percent" val="0"/>
        <cfvo type="num" val="0" gte="0"/>
        <cfvo type="num" val="2"/>
      </iconSet>
    </cfRule>
  </conditionalFormatting>
  <conditionalFormatting sqref="X54">
    <cfRule type="iconSet" priority="20">
      <iconSet iconSet="3Symbols" showValue="0">
        <cfvo type="percent" val="0"/>
        <cfvo type="num" val="0" gte="0"/>
        <cfvo type="num" val="2"/>
      </iconSet>
    </cfRule>
  </conditionalFormatting>
  <conditionalFormatting sqref="X61">
    <cfRule type="iconSet" priority="53">
      <iconSet iconSet="3Symbols" showValue="0">
        <cfvo type="percent" val="0"/>
        <cfvo type="num" val="0" gte="0"/>
        <cfvo type="num" val="2"/>
      </iconSet>
    </cfRule>
  </conditionalFormatting>
  <conditionalFormatting sqref="X62">
    <cfRule type="iconSet" priority="51">
      <iconSet iconSet="3Symbols" showValue="0">
        <cfvo type="percent" val="0"/>
        <cfvo type="num" val="0" gte="0"/>
        <cfvo type="num" val="2"/>
      </iconSet>
    </cfRule>
  </conditionalFormatting>
  <conditionalFormatting sqref="X66">
    <cfRule type="iconSet" priority="49">
      <iconSet iconSet="3Symbols" showValue="0">
        <cfvo type="percent" val="0"/>
        <cfvo type="num" val="0" gte="0"/>
        <cfvo type="num" val="2"/>
      </iconSet>
    </cfRule>
  </conditionalFormatting>
  <conditionalFormatting sqref="X69">
    <cfRule type="iconSet" priority="43">
      <iconSet iconSet="3Symbols" showValue="0">
        <cfvo type="percent" val="0"/>
        <cfvo type="num" val="0" gte="0"/>
        <cfvo type="num" val="2"/>
      </iconSet>
    </cfRule>
  </conditionalFormatting>
  <conditionalFormatting sqref="X74">
    <cfRule type="iconSet" priority="40">
      <iconSet iconSet="3Symbols" showValue="0">
        <cfvo type="percent" val="0"/>
        <cfvo type="num" val="0" gte="0"/>
        <cfvo type="num" val="2"/>
      </iconSet>
    </cfRule>
  </conditionalFormatting>
  <conditionalFormatting sqref="X78">
    <cfRule type="iconSet" priority="38">
      <iconSet iconSet="3Symbols" showValue="0">
        <cfvo type="percent" val="0"/>
        <cfvo type="num" val="0" gte="0"/>
        <cfvo type="num" val="2"/>
      </iconSet>
    </cfRule>
  </conditionalFormatting>
  <conditionalFormatting sqref="X81">
    <cfRule type="iconSet" priority="41">
      <iconSet iconSet="3Symbols" showValue="0">
        <cfvo type="percent" val="0"/>
        <cfvo type="num" val="0" gte="0"/>
        <cfvo type="num" val="2"/>
      </iconSet>
    </cfRule>
  </conditionalFormatting>
  <conditionalFormatting sqref="X84">
    <cfRule type="iconSet" priority="36">
      <iconSet iconSet="3Symbols" showValue="0">
        <cfvo type="percent" val="0"/>
        <cfvo type="num" val="0" gte="0"/>
        <cfvo type="num" val="2"/>
      </iconSet>
    </cfRule>
  </conditionalFormatting>
  <conditionalFormatting sqref="X85">
    <cfRule type="iconSet" priority="34">
      <iconSet iconSet="3Symbols" showValue="0">
        <cfvo type="percent" val="0"/>
        <cfvo type="num" val="0" gte="0"/>
        <cfvo type="num" val="2"/>
      </iconSet>
    </cfRule>
  </conditionalFormatting>
  <conditionalFormatting sqref="X86">
    <cfRule type="iconSet" priority="32">
      <iconSet iconSet="3Symbols" showValue="0">
        <cfvo type="percent" val="0"/>
        <cfvo type="num" val="0" gte="0"/>
        <cfvo type="num" val="2"/>
      </iconSet>
    </cfRule>
  </conditionalFormatting>
  <conditionalFormatting sqref="X87">
    <cfRule type="iconSet" priority="30">
      <iconSet iconSet="3Symbols" showValue="0">
        <cfvo type="percent" val="0"/>
        <cfvo type="num" val="0" gte="0"/>
        <cfvo type="num" val="2"/>
      </iconSet>
    </cfRule>
  </conditionalFormatting>
  <conditionalFormatting sqref="X117">
    <cfRule type="iconSet" priority="10">
      <iconSet iconSet="3Symbols" showValue="0">
        <cfvo type="percent" val="0"/>
        <cfvo type="num" val="0" gte="0"/>
        <cfvo type="num" val="2"/>
      </iconSet>
    </cfRule>
    <cfRule type="iconSet" priority="11">
      <iconSet iconSet="3Symbols" showValue="0">
        <cfvo type="percent" val="0"/>
        <cfvo type="num" val="0" gte="0"/>
        <cfvo type="num" val="2"/>
      </iconSet>
    </cfRule>
  </conditionalFormatting>
  <conditionalFormatting sqref="X119">
    <cfRule type="iconSet" priority="15">
      <iconSet iconSet="3Symbols" showValue="0">
        <cfvo type="percent" val="0"/>
        <cfvo type="num" val="0" gte="0"/>
        <cfvo type="num" val="2"/>
      </iconSet>
    </cfRule>
  </conditionalFormatting>
  <dataValidations count="32">
    <dataValidation type="date" operator="greaterThanOrEqual" allowBlank="1" showInputMessage="1" showErrorMessage="1" sqref="I45:K45" xr:uid="{46F86210-2B4D-4096-8548-B65409C2F4C0}">
      <formula1>43101</formula1>
    </dataValidation>
    <dataValidation type="custom" showInputMessage="1" showErrorMessage="1" errorTitle="No Data Entry" error="Field is Read-Only" sqref="H15" xr:uid="{768287EA-A655-4682-B552-31B4B190537F}">
      <formula1>"&lt;0&gt;0"</formula1>
    </dataValidation>
    <dataValidation type="list" allowBlank="1" showInputMessage="1" showErrorMessage="1" error="Select 'Yes' or 'No'" sqref="W36 W66 W81 W74" xr:uid="{1FC0FB0D-C7FC-46BD-81F4-5981543E7401}">
      <formula1>RANGE_LOOKUP_YESNO</formula1>
    </dataValidation>
    <dataValidation type="textLength" allowBlank="1" showInputMessage="1" showErrorMessage="1" error="Maximum Number of Characters Exceeded" sqref="I24" xr:uid="{90541E98-96C1-49BB-A501-70DD70BB90C8}">
      <formula1>E19</formula1>
      <formula2>F19</formula2>
    </dataValidation>
    <dataValidation type="list" allowBlank="1" showInputMessage="1" showErrorMessage="1" error="Invalid Mortgage Type Selected" sqref="U45" xr:uid="{667BE08A-B306-4469-ADE1-2D4349244930}">
      <formula1>RANGE_LOOKUP_MTG_TYPE</formula1>
    </dataValidation>
    <dataValidation type="decimal" allowBlank="1" showInputMessage="1" showErrorMessage="1" sqref="M45:O45" xr:uid="{1A8DD8BF-6191-4DEA-8DD3-9157503222E9}">
      <formula1>$E70</formula1>
      <formula2>$F70</formula2>
    </dataValidation>
    <dataValidation type="decimal" allowBlank="1" showInputMessage="1" showErrorMessage="1" sqref="Q45 U78:W78" xr:uid="{5894DDB2-3787-4807-855F-4C5D9CAF7CB4}">
      <formula1>$E71</formula1>
      <formula2>$F71</formula2>
    </dataValidation>
    <dataValidation type="whole" allowBlank="1" showInputMessage="1" showErrorMessage="1" sqref="S45" xr:uid="{469427C0-1F8A-4407-A866-37E3351C773D}">
      <formula1>$E72</formula1>
      <formula2>$F72</formula2>
    </dataValidation>
    <dataValidation type="decimal" allowBlank="1" showInputMessage="1" showErrorMessage="1" sqref="U86:W86" xr:uid="{349CB011-B6ED-496D-9C39-A72967E224B7}">
      <formula1>$E99</formula1>
      <formula2>$F99</formula2>
    </dataValidation>
    <dataValidation type="decimal" allowBlank="1" showInputMessage="1" showErrorMessage="1" sqref="U61:W61" xr:uid="{7674E551-93D1-4555-9229-943C63ECB0BE}">
      <formula1>$E69</formula1>
      <formula2>$F69</formula2>
    </dataValidation>
    <dataValidation type="whole" allowBlank="1" showInputMessage="1" showErrorMessage="1" sqref="U69:W69" xr:uid="{09AAE950-813E-4923-B7ED-AF25ABC3C6E9}">
      <formula1>$E77</formula1>
      <formula2>$F77</formula2>
    </dataValidation>
    <dataValidation type="textLength" allowBlank="1" showInputMessage="1" showErrorMessage="1" sqref="I84:S84" xr:uid="{809E8848-DD54-4159-8B57-787A6F2E8A4E}">
      <formula1>$E94</formula1>
      <formula2>$F94</formula2>
    </dataValidation>
    <dataValidation type="textLength" allowBlank="1" showInputMessage="1" showErrorMessage="1" sqref="I85:S85" xr:uid="{1EBD1305-B194-420F-B5EF-79504C49CF93}">
      <formula1>$E96</formula1>
      <formula2>$F96</formula2>
    </dataValidation>
    <dataValidation type="textLength" allowBlank="1" showInputMessage="1" showErrorMessage="1" sqref="I86:S86" xr:uid="{456EDE1B-9DAE-4F2C-A25A-B4817FE0A5B6}">
      <formula1>$E98</formula1>
      <formula2>$F98</formula2>
    </dataValidation>
    <dataValidation type="textLength" allowBlank="1" showInputMessage="1" showErrorMessage="1" sqref="I87:S87" xr:uid="{35769A06-D9DA-4BF4-858E-354210206F5F}">
      <formula1>$E100</formula1>
      <formula2>$F100</formula2>
    </dataValidation>
    <dataValidation type="textLength" allowBlank="1" showInputMessage="1" showErrorMessage="1" error="Maximum Number of Characters Exceeded" sqref="I78:S78" xr:uid="{4D3F41C1-9DCD-4452-87CD-A5CA7390C964}">
      <formula1>$E103</formula1>
      <formula2>$F103</formula2>
    </dataValidation>
    <dataValidation type="decimal" allowBlank="1" showInputMessage="1" showErrorMessage="1" sqref="U84:W84" xr:uid="{38B6697E-2B8A-4FFF-8BB2-3F316ACE8466}">
      <formula1>$E95</formula1>
      <formula2>$F95</formula2>
    </dataValidation>
    <dataValidation type="decimal" allowBlank="1" showInputMessage="1" showErrorMessage="1" sqref="O69:Q69" xr:uid="{B75A40AC-4C47-42BD-A361-48E1DECCDC58}">
      <formula1>$E76</formula1>
      <formula2>$F76</formula2>
    </dataValidation>
    <dataValidation type="decimal" allowBlank="1" showInputMessage="1" showErrorMessage="1" sqref="W50:W51 U85:W85" xr:uid="{874F005D-8B4F-4E30-81B1-B2CFCF1C820F}">
      <formula1>$E62</formula1>
      <formula2>$F62</formula2>
    </dataValidation>
    <dataValidation type="decimal" allowBlank="1" showInputMessage="1" showErrorMessage="1" sqref="U62:W62 I69:K69" xr:uid="{87454131-38B0-4D64-8C10-F62441912D0B}">
      <formula1>$E68</formula1>
      <formula2>$F68</formula2>
    </dataValidation>
    <dataValidation type="date" operator="greaterThanOrEqual" allowBlank="1" showErrorMessage="1" sqref="U117:W117" xr:uid="{18255941-B217-4A3C-970C-E1A4209FA9C1}">
      <formula1>43466</formula1>
    </dataValidation>
    <dataValidation type="whole" allowBlank="1" showInputMessage="1" showErrorMessage="1" error="Invalid Household ID Entered" sqref="I29:K29" xr:uid="{38BEBA85-401F-4F2B-A213-54D9B188FA14}">
      <formula1>E32</formula1>
      <formula2>F32</formula2>
    </dataValidation>
    <dataValidation type="textLength" allowBlank="1" showInputMessage="1" showErrorMessage="1" error="Maximum Number of Characters Exceeded" sqref="M29:Q29" xr:uid="{595F9947-4D03-4A47-A3F0-65D7780B8C15}">
      <formula1>E33</formula1>
      <formula2>F33</formula2>
    </dataValidation>
    <dataValidation type="textLength" allowBlank="1" showInputMessage="1" showErrorMessage="1" error="Maximum Number of Characters Exceeded" sqref="S29:W29" xr:uid="{E35F6698-65CB-452F-8CDA-1979FD42B29D}">
      <formula1>E34</formula1>
      <formula2>F34</formula2>
    </dataValidation>
    <dataValidation type="decimal" allowBlank="1" showInputMessage="1" showErrorMessage="1" error="Invalid Grant Amount Requested" sqref="U34:W34" xr:uid="{4A410D80-EA95-4070-84AF-6D0929EBDDCF}">
      <formula1>E46</formula1>
      <formula2>F46</formula2>
    </dataValidation>
    <dataValidation type="decimal" allowBlank="1" showInputMessage="1" showErrorMessage="1" sqref="U87:W87" xr:uid="{31B5E155-67B8-4A4A-8BBA-6652387EEC77}">
      <formula1>$E101</formula1>
      <formula2>$F101</formula2>
    </dataValidation>
    <dataValidation type="textLength" allowBlank="1" showInputMessage="1" showErrorMessage="1" error="Invalid Phone Number Entered" sqref="S119:W119" xr:uid="{6370F389-FC23-43AB-B072-30A631CDCE13}">
      <formula1>E120</formula1>
      <formula2>F120</formula2>
    </dataValidation>
    <dataValidation type="textLength" allowBlank="1" showInputMessage="1" showErrorMessage="1" error="Maximum Number of Characters Exceeded" sqref="O117:S117" xr:uid="{DD533B17-7DE5-495C-B2C8-B98D331F7110}">
      <formula1>E117</formula1>
      <formula2>F117</formula2>
    </dataValidation>
    <dataValidation type="textLength" allowBlank="1" showInputMessage="1" showErrorMessage="1" error="Maximum Number of Characters Exceeded" sqref="I119:Q119" xr:uid="{C52095B8-AA85-4B0C-9619-35EA2E8ABF7F}">
      <formula1>E119</formula1>
      <formula2>F119</formula2>
    </dataValidation>
    <dataValidation type="textLength" allowBlank="1" showInputMessage="1" showErrorMessage="1" error="Maximum Number of Characters Exceeded" sqref="I117:M117" xr:uid="{EA8D1EEF-557F-453C-ABF9-97DE99F42C36}">
      <formula1>E116</formula1>
      <formula2>F116</formula2>
    </dataValidation>
    <dataValidation type="decimal" allowBlank="1" showInputMessage="1" showErrorMessage="1" sqref="I47:K47" xr:uid="{41F8F5E0-2E30-4D6F-AF44-47F4F0167927}">
      <formula1>E65</formula1>
      <formula2>F65</formula2>
    </dataValidation>
    <dataValidation type="decimal" allowBlank="1" showInputMessage="1" showErrorMessage="1" sqref="M47:O47" xr:uid="{D91F3927-8219-4D1D-A7EB-612E95EF19F7}">
      <formula1>E66</formula1>
      <formula2>F66</formula2>
    </dataValidation>
  </dataValidations>
  <pageMargins left="0.25" right="0.25" top="0.5" bottom="0.5" header="0.3" footer="0.3"/>
  <pageSetup scale="90" fitToHeight="0" orientation="portrait" r:id="rId1"/>
  <headerFooter>
    <oddFooter>&amp;R&amp;8&amp;P of &amp;N</oddFooter>
  </headerFooter>
  <rowBreaks count="3" manualBreakCount="3">
    <brk id="30" min="7" max="24" man="1"/>
    <brk id="63" min="7" max="24" man="1"/>
    <brk id="88" min="7" max="24" man="1"/>
  </rowBreaks>
  <drawing r:id="rId2"/>
  <extLst>
    <ext xmlns:x14="http://schemas.microsoft.com/office/spreadsheetml/2009/9/main" uri="{78C0D931-6437-407d-A8EE-F0AAD7539E65}">
      <x14:conditionalFormattings>
        <x14:conditionalFormatting xmlns:xm="http://schemas.microsoft.com/office/excel/2006/main">
          <x14:cfRule type="dataBar" id="{7B29BB36-1987-467D-B0AD-6A4C2CA540EB}">
            <x14:dataBar direction="leftToRight" axisPosition="none">
              <x14:cfvo type="num">
                <xm:f>0</xm:f>
              </x14:cfvo>
              <x14:cfvo type="num">
                <xm:f>1</xm:f>
              </x14:cfvo>
              <x14:negativeFillColor theme="5"/>
            </x14:dataBar>
          </x14:cfRule>
          <xm:sqref>S3</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autoPageBreaks="0" fitToPage="1"/>
  </sheetPr>
  <dimension ref="A1:Y156"/>
  <sheetViews>
    <sheetView showGridLines="0" showRowColHeaders="0" topLeftCell="H1" workbookViewId="0">
      <pane ySplit="4" topLeftCell="A5" activePane="bottomLeft" state="frozen"/>
      <selection pane="bottomLeft" activeCell="H5" sqref="H5"/>
    </sheetView>
  </sheetViews>
  <sheetFormatPr defaultColWidth="0" defaultRowHeight="15" customHeight="1" zeroHeight="1" x14ac:dyDescent="0.25"/>
  <cols>
    <col min="1" max="1" width="27.5703125" style="67" hidden="1" customWidth="1"/>
    <col min="2" max="7" width="15.7109375" style="67" hidden="1" customWidth="1"/>
    <col min="8" max="8" width="2.42578125" customWidth="1"/>
    <col min="9" max="9" width="10.7109375" customWidth="1"/>
    <col min="10" max="10" width="2.7109375" style="44" customWidth="1"/>
    <col min="11" max="11" width="10.7109375" customWidth="1"/>
    <col min="12" max="12" width="2.7109375" style="44" customWidth="1"/>
    <col min="13" max="13" width="10.7109375" customWidth="1"/>
    <col min="14" max="14" width="2.7109375" style="44" customWidth="1"/>
    <col min="15" max="15" width="10.7109375" customWidth="1"/>
    <col min="16" max="16" width="2.7109375" style="44" customWidth="1"/>
    <col min="17" max="17" width="10.7109375" customWidth="1"/>
    <col min="18" max="18" width="2.7109375" style="44" customWidth="1"/>
    <col min="19" max="19" width="10.7109375" customWidth="1"/>
    <col min="20" max="20" width="2.7109375" style="44" customWidth="1"/>
    <col min="21" max="21" width="10.7109375" customWidth="1"/>
    <col min="22" max="22" width="2.7109375" style="44" customWidth="1"/>
    <col min="23" max="23" width="10.7109375" customWidth="1"/>
    <col min="24" max="24" width="2.7109375" style="44" customWidth="1"/>
    <col min="25" max="25" width="2.42578125" customWidth="1"/>
    <col min="26" max="16384" width="9.140625" hidden="1"/>
  </cols>
  <sheetData>
    <row r="1" spans="1:25" ht="40.5" customHeight="1" thickBot="1" x14ac:dyDescent="0.3">
      <c r="A1" s="43" t="s">
        <v>179</v>
      </c>
      <c r="B1" s="43" t="s">
        <v>178</v>
      </c>
      <c r="C1" s="43" t="s">
        <v>175</v>
      </c>
      <c r="D1" s="43" t="s">
        <v>176</v>
      </c>
      <c r="E1" s="43" t="s">
        <v>173</v>
      </c>
      <c r="F1" s="43" t="s">
        <v>174</v>
      </c>
      <c r="G1" s="84" t="s">
        <v>177</v>
      </c>
      <c r="H1" s="82"/>
      <c r="I1" s="82"/>
      <c r="J1" s="83"/>
      <c r="K1" s="82"/>
      <c r="L1" s="83"/>
      <c r="M1" s="82"/>
      <c r="N1" s="83"/>
      <c r="O1" s="82"/>
      <c r="P1" s="83"/>
      <c r="Q1" s="82"/>
      <c r="R1" s="83"/>
      <c r="S1" s="82"/>
      <c r="T1" s="83"/>
      <c r="U1" s="82"/>
      <c r="V1" s="83"/>
      <c r="W1" s="82"/>
      <c r="X1" s="83"/>
      <c r="Y1" s="82"/>
    </row>
    <row r="2" spans="1:25" ht="3" customHeight="1" x14ac:dyDescent="0.25">
      <c r="A2" s="45"/>
      <c r="B2" s="45"/>
      <c r="C2" s="45"/>
      <c r="D2" s="45"/>
      <c r="E2" s="45"/>
      <c r="F2" s="45"/>
      <c r="G2" s="45"/>
      <c r="H2" s="46"/>
      <c r="I2" s="75"/>
      <c r="J2" s="75"/>
      <c r="K2" s="75"/>
      <c r="L2" s="75"/>
      <c r="M2" s="75"/>
      <c r="N2" s="75"/>
      <c r="O2" s="75"/>
      <c r="P2" s="76"/>
      <c r="Q2" s="76"/>
      <c r="R2" s="47"/>
      <c r="S2" s="48"/>
      <c r="T2" s="47"/>
      <c r="U2" s="47"/>
      <c r="V2" s="47"/>
      <c r="W2" s="47"/>
      <c r="X2" s="47"/>
      <c r="Y2" s="47"/>
    </row>
    <row r="3" spans="1:25" ht="15" customHeight="1" x14ac:dyDescent="0.25">
      <c r="A3" s="45"/>
      <c r="B3" s="45"/>
      <c r="C3" s="45"/>
      <c r="D3" s="45"/>
      <c r="E3" s="45"/>
      <c r="F3" s="45"/>
      <c r="G3" s="45"/>
      <c r="H3" s="49"/>
      <c r="I3" s="75" t="str">
        <f ca="1">(LEFT($B$8,40)&amp;IF(LEN($B$8)&gt;40,"…",""))</f>
        <v>Household Not Yet Specified</v>
      </c>
      <c r="J3" s="75"/>
      <c r="K3" s="75"/>
      <c r="L3" s="75"/>
      <c r="M3" s="75"/>
      <c r="N3" s="75"/>
      <c r="O3" s="75"/>
      <c r="P3" s="76"/>
      <c r="Q3" s="76"/>
      <c r="R3" s="76" t="s">
        <v>2140</v>
      </c>
      <c r="S3" s="133" t="str">
        <f>IF('$DB.DATA'!G11="ADL",VLOOKUP("APP_PROGRESS_PCT_COMPLETE",DB_TBL_DATA_FIELDS[[FIELD_ID]:[FIELD_VALUE_CLEAN]],10,FALSE),"N/A")</f>
        <v>N/A</v>
      </c>
      <c r="T3" s="117" t="str">
        <f ca="1">IF(DATA_APP_PROGRESS_ERROR_COUNT&gt;0,0,IF(DATA_EFORM_COMPLETE_FLAG,2,""))</f>
        <v/>
      </c>
      <c r="U3" s="49"/>
      <c r="V3" s="50"/>
      <c r="W3" s="49"/>
      <c r="X3" s="50"/>
      <c r="Y3" s="49"/>
    </row>
    <row r="4" spans="1:25" ht="3" customHeight="1" x14ac:dyDescent="0.25">
      <c r="A4" s="45"/>
      <c r="B4" s="45"/>
      <c r="C4" s="45"/>
      <c r="D4" s="45"/>
      <c r="E4" s="45"/>
      <c r="F4" s="45"/>
      <c r="G4" s="45"/>
      <c r="H4" s="34"/>
      <c r="I4" s="85"/>
      <c r="J4" s="85"/>
      <c r="K4" s="85"/>
      <c r="L4" s="85"/>
      <c r="M4" s="85"/>
      <c r="N4" s="85"/>
      <c r="O4" s="85"/>
      <c r="P4" s="86"/>
      <c r="Q4" s="86"/>
      <c r="R4" s="87"/>
      <c r="S4" s="34"/>
      <c r="T4" s="87"/>
      <c r="U4" s="34"/>
      <c r="V4" s="87"/>
      <c r="W4" s="34"/>
      <c r="X4" s="87"/>
      <c r="Y4" s="34"/>
    </row>
    <row r="5" spans="1:25" ht="3.95" customHeight="1" x14ac:dyDescent="0.25">
      <c r="A5" s="45"/>
      <c r="B5" s="45"/>
      <c r="C5" s="45"/>
      <c r="D5" s="45"/>
      <c r="E5" s="45"/>
      <c r="F5" s="45"/>
      <c r="G5" s="45"/>
      <c r="H5" s="39"/>
      <c r="I5" s="79"/>
      <c r="J5" s="79"/>
      <c r="K5" s="79"/>
      <c r="L5" s="79"/>
      <c r="M5" s="79"/>
      <c r="N5" s="79"/>
      <c r="O5" s="79"/>
      <c r="P5" s="80"/>
      <c r="Q5" s="80"/>
    </row>
    <row r="6" spans="1:25" ht="18" customHeight="1" x14ac:dyDescent="0.25">
      <c r="A6" s="51" t="s">
        <v>32</v>
      </c>
      <c r="B6" s="94" t="str">
        <f>LOOKUP_PROGRAM_NAME_HDP&amp;" - "&amp;CONFIG_ENROLL_PERD_DESC</f>
        <v>Homebuyer Dream Program - 2026 Round</v>
      </c>
      <c r="C6" s="51"/>
      <c r="D6" s="51"/>
      <c r="E6" s="51"/>
      <c r="F6" s="51"/>
      <c r="G6" s="51"/>
      <c r="H6" s="59" t="str">
        <f>B11</f>
        <v/>
      </c>
      <c r="I6" s="381" t="str">
        <f>B12</f>
        <v/>
      </c>
      <c r="J6" s="381"/>
      <c r="K6" s="381"/>
      <c r="L6" s="381"/>
      <c r="M6" s="381"/>
      <c r="N6" s="381"/>
      <c r="O6" s="381"/>
      <c r="P6" s="381"/>
      <c r="Q6" s="381"/>
      <c r="R6" s="381"/>
      <c r="S6" s="381"/>
      <c r="T6" s="381"/>
      <c r="U6" s="381"/>
      <c r="V6" s="381"/>
      <c r="W6" s="381"/>
      <c r="X6" s="381"/>
      <c r="Y6" s="381"/>
    </row>
    <row r="7" spans="1:25" ht="3.95" customHeight="1" x14ac:dyDescent="0.25">
      <c r="A7" s="51" t="s">
        <v>2207</v>
      </c>
      <c r="B7" s="94" t="str">
        <f>VLOOKUP(A7,DB_TBL_CONFIG_APP[#All],4,FALSE)</f>
        <v xml:space="preserve">Other Documentation Request </v>
      </c>
      <c r="C7" s="51"/>
      <c r="D7" s="51"/>
      <c r="E7" s="51"/>
      <c r="F7" s="51"/>
      <c r="G7" s="51"/>
      <c r="H7" s="59"/>
      <c r="I7" s="59"/>
      <c r="J7" s="59"/>
      <c r="K7" s="59"/>
      <c r="L7" s="59"/>
      <c r="M7" s="59"/>
      <c r="N7" s="59"/>
      <c r="O7" s="59"/>
      <c r="P7" s="59"/>
      <c r="Q7" s="59"/>
      <c r="R7" s="59"/>
      <c r="S7" s="59"/>
      <c r="T7" s="59"/>
      <c r="U7" s="59"/>
      <c r="V7" s="59"/>
      <c r="W7" s="59"/>
      <c r="X7" s="59"/>
      <c r="Y7" s="59"/>
    </row>
    <row r="8" spans="1:25" s="36" customFormat="1" ht="21.95" customHeight="1" thickBot="1" x14ac:dyDescent="0.25">
      <c r="A8" s="51" t="s">
        <v>2351</v>
      </c>
      <c r="B8" s="94" t="str">
        <f ca="1">IF(DATA_HSEHLD_BANNER="","Household Not Yet Specified",DATA_HSEHLD_BANNER)</f>
        <v>Household Not Yet Specified</v>
      </c>
      <c r="C8" s="54"/>
      <c r="D8" s="54"/>
      <c r="E8" s="51"/>
      <c r="F8" s="51"/>
      <c r="G8" s="51"/>
      <c r="H8" s="59"/>
      <c r="I8" s="114" t="s">
        <v>2354</v>
      </c>
      <c r="J8" s="115"/>
      <c r="K8" s="115"/>
      <c r="L8" s="115"/>
      <c r="M8" s="115"/>
      <c r="N8" s="115"/>
      <c r="O8" s="115"/>
      <c r="P8" s="115"/>
      <c r="Q8" s="115"/>
      <c r="R8" s="115"/>
      <c r="S8" s="115"/>
      <c r="T8" s="115"/>
      <c r="U8" s="115"/>
      <c r="V8" s="115"/>
      <c r="W8" s="115"/>
      <c r="X8" s="115"/>
      <c r="Y8" s="59"/>
    </row>
    <row r="9" spans="1:25" s="36" customFormat="1" ht="99.75" customHeight="1" x14ac:dyDescent="0.25">
      <c r="A9" s="54" t="s">
        <v>2154</v>
      </c>
      <c r="B9" s="65">
        <f>SUM(B28,B54)</f>
        <v>0</v>
      </c>
      <c r="C9" s="54"/>
      <c r="D9" s="54"/>
      <c r="E9" s="54"/>
      <c r="F9" s="54"/>
      <c r="G9" s="54"/>
      <c r="H9" s="59"/>
      <c r="I9" s="387" t="s">
        <v>9342</v>
      </c>
      <c r="J9" s="387"/>
      <c r="K9" s="387"/>
      <c r="L9" s="387"/>
      <c r="M9" s="387"/>
      <c r="N9" s="387"/>
      <c r="O9" s="387"/>
      <c r="P9" s="387"/>
      <c r="Q9" s="387"/>
      <c r="R9" s="387"/>
      <c r="S9" s="387"/>
      <c r="T9" s="387"/>
      <c r="U9" s="387"/>
      <c r="V9" s="387"/>
      <c r="W9" s="387"/>
      <c r="X9" s="387"/>
      <c r="Y9" s="59"/>
    </row>
    <row r="10" spans="1:25" s="36" customFormat="1" ht="9.9499999999999993" customHeight="1" x14ac:dyDescent="0.25">
      <c r="A10" s="54" t="s">
        <v>2155</v>
      </c>
      <c r="B10" s="65" t="b">
        <f>B9&gt;0</f>
        <v>0</v>
      </c>
      <c r="C10" s="54"/>
      <c r="D10" s="54"/>
      <c r="E10" s="54"/>
      <c r="F10" s="54"/>
      <c r="G10" s="54"/>
      <c r="H10" s="59"/>
      <c r="I10" s="59"/>
      <c r="J10" s="59"/>
      <c r="K10" s="59"/>
      <c r="L10" s="59"/>
      <c r="M10" s="59"/>
      <c r="N10" s="59"/>
      <c r="O10" s="59"/>
      <c r="P10" s="59"/>
      <c r="Q10" s="59"/>
      <c r="R10" s="59"/>
      <c r="S10" s="59"/>
      <c r="T10" s="59"/>
      <c r="U10" s="59"/>
      <c r="V10" s="59"/>
      <c r="W10" s="59"/>
      <c r="X10" s="59"/>
      <c r="Y10" s="59"/>
    </row>
    <row r="11" spans="1:25" s="36" customFormat="1" ht="21.95" customHeight="1" thickBot="1" x14ac:dyDescent="0.3">
      <c r="A11" s="54" t="s">
        <v>2156</v>
      </c>
      <c r="B11" s="65" t="str">
        <f>IF(B10,1,"")</f>
        <v/>
      </c>
      <c r="C11" s="54"/>
      <c r="D11" s="54"/>
      <c r="E11" s="54"/>
      <c r="F11" s="54"/>
      <c r="G11" s="54"/>
      <c r="H11" s="59"/>
      <c r="I11" s="114" t="s">
        <v>2879</v>
      </c>
      <c r="J11" s="115"/>
      <c r="K11" s="115"/>
      <c r="L11" s="115"/>
      <c r="M11" s="115"/>
      <c r="N11" s="115"/>
      <c r="O11" s="115"/>
      <c r="P11" s="115"/>
      <c r="Q11" s="115"/>
      <c r="R11" s="115"/>
      <c r="S11" s="115"/>
      <c r="T11" s="115"/>
      <c r="U11" s="115"/>
      <c r="V11" s="115"/>
      <c r="W11" s="115"/>
      <c r="X11" s="115"/>
      <c r="Y11" s="59"/>
    </row>
    <row r="12" spans="1:25" s="36" customFormat="1" ht="6.75" customHeight="1" x14ac:dyDescent="0.2">
      <c r="A12" s="54" t="s">
        <v>2157</v>
      </c>
      <c r="B12" s="94" t="str">
        <f>IF(B10,B9&amp;" "&amp;'$DB.CONFIG'!$M$5,"")</f>
        <v/>
      </c>
      <c r="C12" s="54"/>
      <c r="D12" s="54"/>
      <c r="E12" s="54"/>
      <c r="F12" s="54"/>
      <c r="G12" s="54"/>
      <c r="H12" s="59"/>
      <c r="I12" s="60"/>
      <c r="J12" s="59"/>
      <c r="K12" s="59"/>
      <c r="L12" s="59"/>
      <c r="M12" s="59"/>
      <c r="N12" s="59"/>
      <c r="O12" s="59"/>
      <c r="P12" s="59"/>
      <c r="Q12" s="59"/>
      <c r="R12" s="59"/>
      <c r="S12" s="59"/>
      <c r="T12" s="59"/>
      <c r="U12" s="59"/>
      <c r="V12" s="59"/>
      <c r="W12" s="59"/>
      <c r="X12" s="59"/>
      <c r="Y12" s="59"/>
    </row>
    <row r="13" spans="1:25" s="36" customFormat="1" ht="21.95" customHeight="1" x14ac:dyDescent="0.25">
      <c r="A13" s="54"/>
      <c r="B13" s="54"/>
      <c r="C13" s="54"/>
      <c r="D13" s="54"/>
      <c r="E13" s="54"/>
      <c r="F13" s="54"/>
      <c r="G13" s="54"/>
      <c r="H13"/>
      <c r="I13" s="53" t="s">
        <v>25</v>
      </c>
      <c r="J13" s="78">
        <f>1</f>
        <v>1</v>
      </c>
      <c r="K13" s="74"/>
      <c r="L13" s="74"/>
      <c r="M13" s="53" t="s">
        <v>2186</v>
      </c>
      <c r="N13" s="78">
        <f>2</f>
        <v>2</v>
      </c>
      <c r="Q13" s="53" t="s">
        <v>2187</v>
      </c>
      <c r="R13" s="78">
        <f>0</f>
        <v>0</v>
      </c>
      <c r="U13" s="384" t="s">
        <v>2188</v>
      </c>
      <c r="V13" s="385"/>
      <c r="W13" s="385"/>
      <c r="X13" s="386"/>
      <c r="Y13"/>
    </row>
    <row r="14" spans="1:25" s="36" customFormat="1" ht="21.95" customHeight="1" x14ac:dyDescent="0.25">
      <c r="A14" s="54"/>
      <c r="B14" s="54"/>
      <c r="C14" s="54"/>
      <c r="D14" s="54"/>
      <c r="E14" s="54"/>
      <c r="F14" s="54"/>
      <c r="G14" s="54"/>
      <c r="H14"/>
      <c r="I14"/>
      <c r="J14" s="44"/>
      <c r="K14"/>
      <c r="L14" s="44"/>
      <c r="M14"/>
      <c r="N14" s="44"/>
      <c r="O14"/>
      <c r="P14" s="44"/>
      <c r="Q14"/>
      <c r="R14" s="44"/>
      <c r="S14"/>
      <c r="T14" s="44"/>
      <c r="U14"/>
      <c r="V14" s="44"/>
      <c r="W14"/>
      <c r="X14" s="44"/>
      <c r="Y14"/>
    </row>
    <row r="15" spans="1:25" s="36" customFormat="1" ht="21.95" customHeight="1" thickBot="1" x14ac:dyDescent="0.3">
      <c r="A15" s="54"/>
      <c r="B15" s="54"/>
      <c r="C15" s="54"/>
      <c r="D15" s="54"/>
      <c r="E15" s="54"/>
      <c r="F15" s="54"/>
      <c r="G15" s="54"/>
      <c r="I15" s="55" t="s">
        <v>186</v>
      </c>
      <c r="J15" s="55"/>
      <c r="K15" s="55"/>
      <c r="L15" s="55"/>
      <c r="M15" s="55"/>
      <c r="N15" s="55"/>
      <c r="O15" s="55"/>
      <c r="P15" s="55"/>
      <c r="Q15" s="55"/>
      <c r="R15" s="55"/>
      <c r="S15" s="55"/>
      <c r="T15" s="55"/>
      <c r="U15" s="55"/>
      <c r="V15" s="55"/>
      <c r="W15" s="55"/>
      <c r="X15" s="56"/>
    </row>
    <row r="16" spans="1:25" s="36" customFormat="1" ht="21.95" customHeight="1" x14ac:dyDescent="0.25">
      <c r="A16" s="54"/>
      <c r="B16" s="54"/>
      <c r="C16" s="54"/>
      <c r="D16" s="54"/>
      <c r="E16" s="54"/>
      <c r="F16" s="54"/>
      <c r="G16" s="54"/>
      <c r="H16" s="57"/>
      <c r="I16" s="37"/>
      <c r="J16" s="37"/>
      <c r="K16" s="37"/>
      <c r="L16" s="37"/>
      <c r="M16" s="37"/>
      <c r="N16" s="37"/>
      <c r="O16" s="58"/>
      <c r="P16" s="58"/>
      <c r="Q16" s="37"/>
      <c r="R16" s="37"/>
      <c r="S16" s="37"/>
      <c r="T16" s="37"/>
      <c r="U16" s="37"/>
      <c r="V16" s="37"/>
      <c r="W16" s="37"/>
      <c r="X16" s="37"/>
    </row>
    <row r="17" spans="1:25" s="36" customFormat="1" ht="21.95" customHeight="1" x14ac:dyDescent="0.25">
      <c r="A17" s="54"/>
      <c r="B17" s="54"/>
      <c r="C17" s="54"/>
      <c r="D17" s="54"/>
      <c r="E17" s="54"/>
      <c r="F17" s="54"/>
      <c r="G17" s="54"/>
      <c r="I17" s="382" t="str">
        <f>"1     "&amp;VLOOKUP("SECTION_1_TOC_LABEL",A:B,2,FALSE)</f>
        <v>1     FHLBNY Member</v>
      </c>
      <c r="J17" s="382"/>
      <c r="K17" s="382"/>
      <c r="L17" s="382"/>
      <c r="M17" s="382"/>
      <c r="N17" s="59" t="str">
        <f>IF($B$29,1,"")</f>
        <v/>
      </c>
      <c r="O17" s="73" t="str">
        <f ca="1">$B$25</f>
        <v>Not Started</v>
      </c>
      <c r="P17" s="59" t="str">
        <f ca="1">B26</f>
        <v/>
      </c>
      <c r="Q17" s="383" t="str">
        <f>"3     "&amp;VLOOKUP("SECTION_3_TOC_LABEL",$A:$B,2,FALSE)</f>
        <v>3     Member Certification</v>
      </c>
      <c r="R17" s="383"/>
      <c r="S17" s="383"/>
      <c r="T17" s="383"/>
      <c r="U17" s="383"/>
      <c r="V17" s="59" t="str">
        <f>IF($B$71,1,"")</f>
        <v/>
      </c>
      <c r="W17" s="73" t="str">
        <f ca="1">$B$67</f>
        <v>Not Started</v>
      </c>
      <c r="X17" s="59" t="str">
        <f ca="1">$B$68</f>
        <v/>
      </c>
    </row>
    <row r="18" spans="1:25" s="36" customFormat="1" ht="21.95" customHeight="1" x14ac:dyDescent="0.25">
      <c r="A18" s="91" t="s">
        <v>118</v>
      </c>
      <c r="B18" s="222" t="s">
        <v>2832</v>
      </c>
      <c r="C18" s="92"/>
      <c r="D18" s="92"/>
      <c r="E18" s="92"/>
      <c r="F18" s="92"/>
      <c r="G18" s="92"/>
      <c r="I18" s="382" t="str">
        <f>"2     "&amp;VLOOKUP("SECTION_2_TOC_LABEL",$A:$B,2,FALSE)</f>
        <v>2     Household &amp; Submission Details</v>
      </c>
      <c r="J18" s="382"/>
      <c r="K18" s="382"/>
      <c r="L18" s="382"/>
      <c r="M18" s="382"/>
      <c r="N18" s="59" t="str">
        <f>IF($B$55,1,"")</f>
        <v/>
      </c>
      <c r="O18" s="73" t="str">
        <f ca="1">$B$51</f>
        <v>Not Started</v>
      </c>
      <c r="P18" s="59" t="str">
        <f ca="1">$B$52</f>
        <v/>
      </c>
      <c r="Q18" s="229"/>
      <c r="R18" s="229"/>
      <c r="S18" s="229"/>
      <c r="T18" s="229"/>
      <c r="U18" s="229"/>
      <c r="V18" s="59"/>
      <c r="W18" s="73"/>
      <c r="X18" s="59" t="s">
        <v>53</v>
      </c>
    </row>
    <row r="19" spans="1:25" s="36" customFormat="1" ht="21.95" customHeight="1" x14ac:dyDescent="0.25">
      <c r="A19" s="61" t="s">
        <v>2221</v>
      </c>
      <c r="B19" s="95" t="str">
        <f>IF(I23="","",I23)</f>
        <v/>
      </c>
      <c r="C19" s="54">
        <f ca="1">VLOOKUP(A19,DB_TBL_DATA_FIELDS[[FIELD_ID]:[PCT_CALC_FIELD_STATUS_CODE]],22,FALSE)</f>
        <v>1</v>
      </c>
      <c r="D19" s="54" t="str">
        <f>IF(VLOOKUP(A19,DB_TBL_DATA_FIELDS[[FIELD_ID]:[ERROR_MESSAGE]],23,FALSE)&lt;&gt;0,VLOOKUP(A19,DB_TBL_DATA_FIELDS[[FIELD_ID]:[ERROR_MESSAGE]],23,FALSE),"")</f>
        <v/>
      </c>
      <c r="E19" s="54">
        <f>VLOOKUP(A19,DB_TBL_DATA_FIELDS[[#All],[FIELD_ID]:[RANGE_VALIDATION_MAX]],18,FALSE)</f>
        <v>0</v>
      </c>
      <c r="F19" s="54">
        <f>VLOOKUP(A19,DB_TBL_DATA_FIELDS[[#All],[FIELD_ID]:[RANGE_VALIDATION_MAX]],19,FALSE)</f>
        <v>100</v>
      </c>
      <c r="G19" s="54">
        <f ca="1">IF(C19&lt;0,"",C19)</f>
        <v>1</v>
      </c>
      <c r="J19" s="44"/>
      <c r="L19" s="44"/>
      <c r="N19" s="44"/>
      <c r="P19" s="44"/>
      <c r="R19" s="44"/>
      <c r="T19" s="44"/>
      <c r="V19" s="44"/>
      <c r="X19" s="44"/>
    </row>
    <row r="20" spans="1:25" s="36" customFormat="1" ht="21.95" customHeight="1" thickBot="1" x14ac:dyDescent="0.3">
      <c r="A20" s="61" t="s">
        <v>117</v>
      </c>
      <c r="B20" s="65" t="str">
        <f>"C"&amp;MATCH(LEFT(A20,LEN(A20)-LEN("_RANGE")),A:A,0)+1&amp;":C"&amp;(ROW()-1)</f>
        <v>C19:C19</v>
      </c>
      <c r="C20" s="54"/>
      <c r="D20" s="54"/>
      <c r="E20" s="54"/>
      <c r="F20" s="54"/>
      <c r="G20" s="54"/>
      <c r="H20" s="37"/>
      <c r="I20" s="55" t="str">
        <f>B18</f>
        <v>Federal Home Loan Bank of New York Member</v>
      </c>
      <c r="J20" s="55"/>
      <c r="K20" s="55"/>
      <c r="L20" s="55"/>
      <c r="M20" s="55"/>
      <c r="N20" s="55"/>
      <c r="O20" s="55"/>
      <c r="P20" s="55"/>
      <c r="Q20" s="55"/>
      <c r="R20" s="55"/>
      <c r="S20" s="55"/>
      <c r="T20" s="55"/>
      <c r="U20" s="55"/>
      <c r="V20" s="55"/>
      <c r="W20" s="55"/>
      <c r="X20" s="56" t="str">
        <f ca="1">"Status: "&amp;$B$25</f>
        <v>Status: Not Started</v>
      </c>
      <c r="Y20" s="37"/>
    </row>
    <row r="21" spans="1:25" s="36" customFormat="1" ht="21.95" customHeight="1" x14ac:dyDescent="0.25">
      <c r="A21" s="61" t="s">
        <v>111</v>
      </c>
      <c r="B21" s="65">
        <f ca="1">COUNTIF(INDIRECT($B20),2)</f>
        <v>0</v>
      </c>
      <c r="C21" s="54"/>
      <c r="D21" s="54"/>
      <c r="E21" s="54"/>
      <c r="F21" s="54"/>
      <c r="G21" s="54"/>
      <c r="H21" s="37"/>
      <c r="I21" s="37"/>
      <c r="J21" s="37"/>
      <c r="K21" s="37"/>
      <c r="L21" s="37"/>
      <c r="M21" s="37"/>
      <c r="N21" s="37"/>
      <c r="O21" s="37"/>
      <c r="P21" s="37"/>
      <c r="Q21" s="37"/>
      <c r="R21" s="37"/>
      <c r="S21" s="37"/>
      <c r="T21" s="37"/>
      <c r="U21" s="37"/>
      <c r="V21" s="37"/>
      <c r="W21" s="37"/>
      <c r="X21" s="37"/>
      <c r="Y21" s="37"/>
    </row>
    <row r="22" spans="1:25" s="36" customFormat="1" ht="21.95" customHeight="1" x14ac:dyDescent="0.25">
      <c r="A22" s="61" t="s">
        <v>112</v>
      </c>
      <c r="B22" s="65">
        <f ca="1">COUNTIF(INDIRECT($B20),0)+COUNTIF(INDIRECT($B20),1)+COUNTIF(INDIRECT($B20),2)</f>
        <v>1</v>
      </c>
      <c r="C22" s="54"/>
      <c r="D22" s="54"/>
      <c r="E22" s="54"/>
      <c r="F22" s="54"/>
      <c r="G22" s="54"/>
      <c r="I22" s="36" t="s">
        <v>129</v>
      </c>
      <c r="J22" s="44"/>
      <c r="L22" s="44"/>
      <c r="N22" s="44"/>
      <c r="P22" s="44"/>
      <c r="R22" s="44"/>
      <c r="T22" s="44"/>
      <c r="U22" s="154"/>
      <c r="V22" s="154"/>
      <c r="W22" s="154"/>
      <c r="X22" s="154"/>
    </row>
    <row r="23" spans="1:25" s="36" customFormat="1" ht="21.95" customHeight="1" x14ac:dyDescent="0.25">
      <c r="A23" s="61" t="s">
        <v>113</v>
      </c>
      <c r="B23" s="65">
        <f ca="1">COUNTIF(INDIRECT($B20),0)</f>
        <v>0</v>
      </c>
      <c r="C23" s="54"/>
      <c r="D23" s="54"/>
      <c r="E23" s="54"/>
      <c r="F23" s="54"/>
      <c r="G23" s="54"/>
      <c r="I23" s="316"/>
      <c r="J23" s="317"/>
      <c r="K23" s="317"/>
      <c r="L23" s="317"/>
      <c r="M23" s="317"/>
      <c r="N23" s="317"/>
      <c r="O23" s="317"/>
      <c r="P23" s="317"/>
      <c r="Q23" s="317"/>
      <c r="R23" s="317"/>
      <c r="S23" s="317"/>
      <c r="T23" s="317"/>
      <c r="U23" s="317"/>
      <c r="V23" s="317"/>
      <c r="W23" s="318"/>
      <c r="X23" s="52">
        <f ca="1">$G19</f>
        <v>1</v>
      </c>
    </row>
    <row r="24" spans="1:25" s="36" customFormat="1" ht="21.95" customHeight="1" x14ac:dyDescent="0.25">
      <c r="A24" s="61" t="s">
        <v>114</v>
      </c>
      <c r="B24" s="97">
        <f ca="1">IFERROR(B21/B22,1.01)</f>
        <v>0</v>
      </c>
      <c r="C24" s="54"/>
      <c r="D24" s="54"/>
      <c r="E24" s="54"/>
      <c r="F24" s="54"/>
      <c r="G24" s="54"/>
      <c r="N24" s="52"/>
      <c r="X24" s="52"/>
    </row>
    <row r="25" spans="1:25" s="36" customFormat="1" ht="21.95" customHeight="1" thickBot="1" x14ac:dyDescent="0.3">
      <c r="A25" s="61" t="s">
        <v>115</v>
      </c>
      <c r="B25" s="65" t="str">
        <f ca="1">IF(B23&gt;0,"Data Error(s)",IF(B24=0,"Not Started",IF(B24&lt;1,ROUNDUP(B24*100,0)&amp;"% Done",IF(B24&gt;1,"Optional","Complete"))))</f>
        <v>Not Started</v>
      </c>
      <c r="C25" s="54"/>
      <c r="D25" s="54"/>
      <c r="E25" s="54"/>
      <c r="F25" s="54"/>
      <c r="G25" s="54"/>
      <c r="I25" s="55" t="str">
        <f>B30</f>
        <v>Household &amp; Submission Details</v>
      </c>
      <c r="J25" s="55"/>
      <c r="K25" s="55"/>
      <c r="L25" s="55"/>
      <c r="M25" s="55"/>
      <c r="N25" s="55"/>
      <c r="O25" s="55"/>
      <c r="P25" s="55"/>
      <c r="Q25" s="55"/>
      <c r="R25" s="55"/>
      <c r="S25" s="55"/>
      <c r="T25" s="55"/>
      <c r="U25" s="55"/>
      <c r="V25" s="55"/>
      <c r="W25" s="55"/>
      <c r="X25" s="56" t="str">
        <f ca="1">"Status: "&amp;$B$51</f>
        <v>Status: Not Started</v>
      </c>
    </row>
    <row r="26" spans="1:25" s="36" customFormat="1" ht="21.95" customHeight="1" x14ac:dyDescent="0.25">
      <c r="A26" s="61" t="s">
        <v>116</v>
      </c>
      <c r="B26" s="65" t="str">
        <f ca="1">IF(B23&gt;0,0,IF(B24&lt;1,"",2))</f>
        <v/>
      </c>
      <c r="C26" s="54"/>
      <c r="D26" s="54"/>
      <c r="E26" s="54"/>
      <c r="F26" s="54"/>
      <c r="G26" s="54"/>
      <c r="J26" s="44"/>
      <c r="L26" s="44"/>
      <c r="N26" s="44"/>
      <c r="P26" s="44"/>
      <c r="R26" s="44"/>
      <c r="T26" s="44"/>
      <c r="V26" s="44"/>
      <c r="X26" s="44"/>
    </row>
    <row r="27" spans="1:25" s="36" customFormat="1" ht="21.95" customHeight="1" x14ac:dyDescent="0.25">
      <c r="A27" s="61" t="s">
        <v>119</v>
      </c>
      <c r="B27" s="96" t="s">
        <v>2833</v>
      </c>
      <c r="C27" s="54"/>
      <c r="D27" s="54"/>
      <c r="E27" s="54"/>
      <c r="F27" s="54"/>
      <c r="G27" s="54"/>
      <c r="I27" s="36" t="s">
        <v>2494</v>
      </c>
      <c r="J27" s="44"/>
      <c r="L27" s="44"/>
      <c r="M27" s="36" t="s">
        <v>2495</v>
      </c>
      <c r="N27" s="44"/>
      <c r="P27" s="44"/>
      <c r="S27" s="36" t="s">
        <v>2496</v>
      </c>
      <c r="T27" s="44"/>
      <c r="V27" s="44"/>
      <c r="X27" s="44"/>
    </row>
    <row r="28" spans="1:25" s="36" customFormat="1" ht="21.95" customHeight="1" x14ac:dyDescent="0.25">
      <c r="A28" s="77" t="s">
        <v>2144</v>
      </c>
      <c r="B28" s="65">
        <v>0</v>
      </c>
      <c r="C28" s="54"/>
      <c r="D28" s="54"/>
      <c r="E28" s="54"/>
      <c r="F28" s="54"/>
      <c r="G28" s="54"/>
      <c r="I28" s="316"/>
      <c r="J28" s="317"/>
      <c r="K28" s="318"/>
      <c r="L28" s="52">
        <f ca="1">G35</f>
        <v>1</v>
      </c>
      <c r="M28" s="316"/>
      <c r="N28" s="317"/>
      <c r="O28" s="317"/>
      <c r="P28" s="317"/>
      <c r="Q28" s="318"/>
      <c r="R28" s="52">
        <f ca="1">G31</f>
        <v>1</v>
      </c>
      <c r="S28" s="316"/>
      <c r="T28" s="317"/>
      <c r="U28" s="317"/>
      <c r="V28" s="317"/>
      <c r="W28" s="318"/>
      <c r="X28" s="52">
        <f ca="1">G32</f>
        <v>1</v>
      </c>
    </row>
    <row r="29" spans="1:25" s="36" customFormat="1" ht="21.95" customHeight="1" x14ac:dyDescent="0.25">
      <c r="A29" s="77" t="s">
        <v>2145</v>
      </c>
      <c r="B29" s="65" t="b">
        <f>(B28&gt;0)</f>
        <v>0</v>
      </c>
      <c r="C29" s="54"/>
      <c r="D29" s="54"/>
      <c r="E29" s="54"/>
      <c r="F29" s="54"/>
      <c r="G29" s="54"/>
      <c r="I29" s="36" t="s">
        <v>2497</v>
      </c>
      <c r="J29" s="44"/>
      <c r="L29" s="44"/>
      <c r="N29" s="44"/>
      <c r="P29" s="44"/>
      <c r="R29" s="44"/>
      <c r="W29" s="155" t="str">
        <f>SUBSTITUTE(SUBSTITUTE(SUBSTITUTE(IF(LEN(B34)&gt;F34,CONFIG_CHAR_LIMIT_TEMPLATE_ERR,CONFIG_CHAR_LIMIT_TEMPLATE),"[diff]",ABS(LEN(B34)-F34)),"[limit]",F34),"[used]",LEN(B34))</f>
        <v>400 character(s) remaining</v>
      </c>
      <c r="X29" s="44"/>
    </row>
    <row r="30" spans="1:25" s="36" customFormat="1" ht="21.95" customHeight="1" x14ac:dyDescent="0.25">
      <c r="A30" s="91" t="s">
        <v>120</v>
      </c>
      <c r="B30" s="93" t="s">
        <v>2493</v>
      </c>
      <c r="C30" s="92"/>
      <c r="D30" s="92"/>
      <c r="E30" s="92"/>
      <c r="F30" s="92"/>
      <c r="G30" s="92"/>
      <c r="I30" s="389"/>
      <c r="J30" s="390"/>
      <c r="K30" s="390"/>
      <c r="L30" s="390"/>
      <c r="M30" s="390"/>
      <c r="N30" s="390"/>
      <c r="O30" s="390"/>
      <c r="P30" s="390"/>
      <c r="Q30" s="390"/>
      <c r="R30" s="390"/>
      <c r="S30" s="390"/>
      <c r="T30" s="390"/>
      <c r="U30" s="390"/>
      <c r="V30" s="390"/>
      <c r="W30" s="391"/>
      <c r="X30" s="52">
        <f ca="1">G34</f>
        <v>1</v>
      </c>
    </row>
    <row r="31" spans="1:25" s="36" customFormat="1" ht="21.95" customHeight="1" x14ac:dyDescent="0.25">
      <c r="A31" s="61" t="s">
        <v>2238</v>
      </c>
      <c r="B31" s="95" t="str">
        <f>IF(M28&lt;&gt;"",M28,"")</f>
        <v/>
      </c>
      <c r="C31" s="54">
        <f ca="1">VLOOKUP(A31,DB_TBL_DATA_FIELDS[[FIELD_ID]:[PCT_CALC_FIELD_STATUS_CODE]],22,FALSE)</f>
        <v>1</v>
      </c>
      <c r="D31" s="54" t="str">
        <f>IF(VLOOKUP(A31,DB_TBL_DATA_FIELDS[[FIELD_ID]:[ERROR_MESSAGE]],23,FALSE)&lt;&gt;0,VLOOKUP(A31,DB_TBL_DATA_FIELDS[[FIELD_ID]:[ERROR_MESSAGE]],23,FALSE),"")</f>
        <v/>
      </c>
      <c r="E31" s="54">
        <f>VLOOKUP(A31,DB_TBL_DATA_FIELDS[[#All],[FIELD_ID]:[RANGE_VALIDATION_MAX]],18,FALSE)</f>
        <v>0</v>
      </c>
      <c r="F31" s="54">
        <f>VLOOKUP(A31,DB_TBL_DATA_FIELDS[[#All],[FIELD_ID]:[RANGE_VALIDATION_MAX]],19,FALSE)</f>
        <v>30</v>
      </c>
      <c r="G31" s="54">
        <f t="shared" ref="G31:G35" ca="1" si="0">IF(C31&lt;0,"",C31)</f>
        <v>1</v>
      </c>
      <c r="I31" s="392"/>
      <c r="J31" s="393"/>
      <c r="K31" s="393"/>
      <c r="L31" s="393"/>
      <c r="M31" s="393"/>
      <c r="N31" s="393"/>
      <c r="O31" s="393"/>
      <c r="P31" s="393"/>
      <c r="Q31" s="393"/>
      <c r="R31" s="393"/>
      <c r="S31" s="393"/>
      <c r="T31" s="393"/>
      <c r="U31" s="393"/>
      <c r="V31" s="393"/>
      <c r="W31" s="394"/>
      <c r="X31" s="44"/>
    </row>
    <row r="32" spans="1:25" s="36" customFormat="1" ht="21.95" customHeight="1" x14ac:dyDescent="0.25">
      <c r="A32" s="61" t="s">
        <v>2239</v>
      </c>
      <c r="B32" s="95" t="str">
        <f>IF(S28&lt;&gt;"",S28,"")</f>
        <v/>
      </c>
      <c r="C32" s="54">
        <f ca="1">VLOOKUP(A32,DB_TBL_DATA_FIELDS[[FIELD_ID]:[PCT_CALC_FIELD_STATUS_CODE]],22,FALSE)</f>
        <v>1</v>
      </c>
      <c r="D32" s="54" t="str">
        <f>IF(VLOOKUP(A32,DB_TBL_DATA_FIELDS[[FIELD_ID]:[ERROR_MESSAGE]],23,FALSE)&lt;&gt;0,VLOOKUP(A32,DB_TBL_DATA_FIELDS[[FIELD_ID]:[ERROR_MESSAGE]],23,FALSE),"")</f>
        <v/>
      </c>
      <c r="E32" s="54">
        <f>VLOOKUP(A32,DB_TBL_DATA_FIELDS[[#All],[FIELD_ID]:[RANGE_VALIDATION_MAX]],18,FALSE)</f>
        <v>0</v>
      </c>
      <c r="F32" s="54">
        <f>VLOOKUP(A32,DB_TBL_DATA_FIELDS[[#All],[FIELD_ID]:[RANGE_VALIDATION_MAX]],19,FALSE)</f>
        <v>30</v>
      </c>
      <c r="G32" s="54">
        <f t="shared" ca="1" si="0"/>
        <v>1</v>
      </c>
      <c r="I32" s="392"/>
      <c r="J32" s="393"/>
      <c r="K32" s="393"/>
      <c r="L32" s="393"/>
      <c r="M32" s="393"/>
      <c r="N32" s="393"/>
      <c r="O32" s="393"/>
      <c r="P32" s="393"/>
      <c r="Q32" s="393"/>
      <c r="R32" s="393"/>
      <c r="S32" s="393"/>
      <c r="T32" s="393"/>
      <c r="U32" s="393"/>
      <c r="V32" s="393"/>
      <c r="W32" s="394"/>
      <c r="X32" s="44"/>
    </row>
    <row r="33" spans="1:25" s="36" customFormat="1" ht="21.95" customHeight="1" x14ac:dyDescent="0.25">
      <c r="A33" s="61" t="s">
        <v>2348</v>
      </c>
      <c r="B33" s="95" t="str">
        <f>IF(W38="","",IF(UPPER(W38)="YES",TRUE,FALSE))</f>
        <v/>
      </c>
      <c r="C33" s="54">
        <f ca="1">VLOOKUP(A33,DB_TBL_DATA_FIELDS[[FIELD_ID]:[PCT_CALC_FIELD_STATUS_CODE]],22,FALSE)</f>
        <v>-1</v>
      </c>
      <c r="D33" s="54" t="str">
        <f>IF(VLOOKUP(A33,DB_TBL_DATA_FIELDS[[FIELD_ID]:[ERROR_MESSAGE]],23,FALSE)&lt;&gt;0,VLOOKUP(A33,DB_TBL_DATA_FIELDS[[FIELD_ID]:[ERROR_MESSAGE]],23,FALSE),"")</f>
        <v/>
      </c>
      <c r="E33" s="54">
        <f>VLOOKUP(A33,DB_TBL_DATA_FIELDS[[#All],[FIELD_ID]:[RANGE_VALIDATION_MAX]],18,FALSE)</f>
        <v>0</v>
      </c>
      <c r="F33" s="54">
        <f>VLOOKUP(A33,DB_TBL_DATA_FIELDS[[#All],[FIELD_ID]:[RANGE_VALIDATION_MAX]],19,FALSE)</f>
        <v>0</v>
      </c>
      <c r="G33" s="54" t="str">
        <f t="shared" ca="1" si="0"/>
        <v/>
      </c>
      <c r="I33" s="392"/>
      <c r="J33" s="393"/>
      <c r="K33" s="393"/>
      <c r="L33" s="393"/>
      <c r="M33" s="393"/>
      <c r="N33" s="393"/>
      <c r="O33" s="393"/>
      <c r="P33" s="393"/>
      <c r="Q33" s="393"/>
      <c r="R33" s="393"/>
      <c r="S33" s="393"/>
      <c r="T33" s="393"/>
      <c r="U33" s="393"/>
      <c r="V33" s="393"/>
      <c r="W33" s="394"/>
      <c r="X33" s="44"/>
    </row>
    <row r="34" spans="1:25" s="36" customFormat="1" ht="21.95" customHeight="1" x14ac:dyDescent="0.25">
      <c r="A34" s="61" t="s">
        <v>2487</v>
      </c>
      <c r="B34" s="95" t="str">
        <f>IF(I30&lt;&gt;"",I30,"")</f>
        <v/>
      </c>
      <c r="C34" s="54">
        <f ca="1">VLOOKUP(A34,DB_TBL_DATA_FIELDS[[FIELD_ID]:[PCT_CALC_FIELD_STATUS_CODE]],22,FALSE)</f>
        <v>1</v>
      </c>
      <c r="D34" s="54" t="str">
        <f>IF(VLOOKUP(A34,DB_TBL_DATA_FIELDS[[FIELD_ID]:[ERROR_MESSAGE]],23,FALSE)&lt;&gt;0,VLOOKUP(A34,DB_TBL_DATA_FIELDS[[FIELD_ID]:[ERROR_MESSAGE]],23,FALSE),"")</f>
        <v/>
      </c>
      <c r="E34" s="54">
        <f>VLOOKUP(A34,DB_TBL_DATA_FIELDS[[#All],[FIELD_ID]:[RANGE_VALIDATION_MAX]],18,FALSE)</f>
        <v>1</v>
      </c>
      <c r="F34" s="54">
        <f>VLOOKUP(A34,DB_TBL_DATA_FIELDS[[#All],[FIELD_ID]:[RANGE_VALIDATION_MAX]],19,FALSE)</f>
        <v>400</v>
      </c>
      <c r="G34" s="54">
        <f t="shared" ca="1" si="0"/>
        <v>1</v>
      </c>
      <c r="I34" s="395"/>
      <c r="J34" s="396"/>
      <c r="K34" s="396"/>
      <c r="L34" s="396"/>
      <c r="M34" s="396"/>
      <c r="N34" s="396"/>
      <c r="O34" s="396"/>
      <c r="P34" s="396"/>
      <c r="Q34" s="396"/>
      <c r="R34" s="396"/>
      <c r="S34" s="396"/>
      <c r="T34" s="396"/>
      <c r="U34" s="396"/>
      <c r="V34" s="396"/>
      <c r="W34" s="397"/>
      <c r="X34" s="44"/>
    </row>
    <row r="35" spans="1:25" s="36" customFormat="1" ht="21.95" customHeight="1" x14ac:dyDescent="0.25">
      <c r="A35" s="61" t="s">
        <v>2489</v>
      </c>
      <c r="B35" s="95" t="str">
        <f>IF(I28&lt;&gt;"",I28,"")</f>
        <v/>
      </c>
      <c r="C35" s="54">
        <f ca="1">VLOOKUP(A35,DB_TBL_DATA_FIELDS[[FIELD_ID]:[PCT_CALC_FIELD_STATUS_CODE]],22,FALSE)</f>
        <v>1</v>
      </c>
      <c r="D35" s="54" t="str">
        <f>IF(VLOOKUP(A35,DB_TBL_DATA_FIELDS[[FIELD_ID]:[ERROR_MESSAGE]],23,FALSE)&lt;&gt;0,VLOOKUP(A35,DB_TBL_DATA_FIELDS[[FIELD_ID]:[ERROR_MESSAGE]],23,FALSE),"")</f>
        <v/>
      </c>
      <c r="E35" s="54" t="str">
        <f>VLOOKUP(A35,DB_TBL_DATA_FIELDS[[#All],[FIELD_ID]:[RANGE_VALIDATION_MAX]],18,FALSE)</f>
        <v/>
      </c>
      <c r="F35" s="54">
        <f>VLOOKUP(A35,DB_TBL_DATA_FIELDS[[#All],[FIELD_ID]:[RANGE_VALIDATION_MAX]],19,FALSE)</f>
        <v>999999</v>
      </c>
      <c r="G35" s="54">
        <f t="shared" ca="1" si="0"/>
        <v>1</v>
      </c>
      <c r="I35" s="226"/>
      <c r="J35" s="227"/>
      <c r="K35" s="226"/>
      <c r="L35" s="227"/>
      <c r="M35" s="226"/>
      <c r="N35" s="227"/>
      <c r="O35" s="226"/>
      <c r="P35" s="227"/>
      <c r="Q35" s="226"/>
      <c r="R35" s="227"/>
      <c r="S35" s="226"/>
      <c r="T35" s="227"/>
      <c r="U35" s="226"/>
      <c r="V35" s="227"/>
      <c r="W35" s="226"/>
      <c r="X35" s="44"/>
    </row>
    <row r="36" spans="1:25" s="36" customFormat="1" ht="21.95" customHeight="1" thickBot="1" x14ac:dyDescent="0.3">
      <c r="A36" s="61" t="s">
        <v>2844</v>
      </c>
      <c r="B36" s="95" t="str">
        <f>IF(W43="","",IF(UPPER(W43)="YES",TRUE,FALSE))</f>
        <v/>
      </c>
      <c r="C36" s="54">
        <f ca="1">VLOOKUP(A36,DB_TBL_DATA_FIELDS[[FIELD_ID]:[PCT_CALC_FIELD_STATUS_CODE]],22,FALSE)</f>
        <v>-1</v>
      </c>
      <c r="D36" s="54" t="str">
        <f ca="1">IF(VLOOKUP(A36,DB_TBL_DATA_FIELDS[[FIELD_ID]:[ERROR_MESSAGE]],23,FALSE)&lt;&gt;0,VLOOKUP(A36,DB_TBL_DATA_FIELDS[[FIELD_ID]:[ERROR_MESSAGE]],23,FALSE),"")</f>
        <v/>
      </c>
      <c r="E36" s="54">
        <f>VLOOKUP(A36,DB_TBL_DATA_FIELDS[[#All],[FIELD_ID]:[RANGE_VALIDATION_MAX]],18,FALSE)</f>
        <v>0</v>
      </c>
      <c r="F36" s="54">
        <f>VLOOKUP(A36,DB_TBL_DATA_FIELDS[[#All],[FIELD_ID]:[RANGE_VALIDATION_MAX]],19,FALSE)</f>
        <v>0</v>
      </c>
      <c r="G36" s="54" t="str">
        <f t="shared" ref="G36:G45" ca="1" si="1">IF(C36&lt;0,"",C36)</f>
        <v/>
      </c>
      <c r="I36" s="64" t="s">
        <v>2849</v>
      </c>
      <c r="J36" s="129"/>
      <c r="K36" s="135"/>
      <c r="L36" s="129"/>
      <c r="M36" s="135"/>
      <c r="N36" s="129"/>
      <c r="O36" s="135"/>
      <c r="P36" s="129"/>
      <c r="Q36" s="135"/>
      <c r="R36" s="129"/>
      <c r="S36" s="135"/>
      <c r="T36" s="129"/>
      <c r="U36" s="135"/>
      <c r="V36" s="129"/>
      <c r="W36" s="135"/>
      <c r="X36" s="44"/>
    </row>
    <row r="37" spans="1:25" s="36" customFormat="1" ht="21.95" customHeight="1" thickTop="1" x14ac:dyDescent="0.25">
      <c r="A37" s="61" t="s">
        <v>2293</v>
      </c>
      <c r="B37" s="95" t="str">
        <f>IF(I48&lt;&gt;"",I48,"")</f>
        <v/>
      </c>
      <c r="C37" s="54">
        <f ca="1">VLOOKUP(A37,DB_TBL_DATA_FIELDS[[FIELD_ID]:[PCT_CALC_FIELD_STATUS_CODE]],22,FALSE)</f>
        <v>-1</v>
      </c>
      <c r="D37" s="54" t="str">
        <f>IF(VLOOKUP(A37,DB_TBL_DATA_FIELDS[[FIELD_ID]:[ERROR_MESSAGE]],23,FALSE)&lt;&gt;0,VLOOKUP(A37,DB_TBL_DATA_FIELDS[[FIELD_ID]:[ERROR_MESSAGE]],23,FALSE),"")</f>
        <v/>
      </c>
      <c r="E37" s="54">
        <f>VLOOKUP(A37,DB_TBL_DATA_FIELDS[[#All],[FIELD_ID]:[RANGE_VALIDATION_MAX]],18,FALSE)</f>
        <v>0</v>
      </c>
      <c r="F37" s="54">
        <f>VLOOKUP(A37,DB_TBL_DATA_FIELDS[[#All],[FIELD_ID]:[RANGE_VALIDATION_MAX]],19,FALSE)</f>
        <v>75</v>
      </c>
      <c r="G37" s="54" t="str">
        <f t="shared" ca="1" si="1"/>
        <v/>
      </c>
      <c r="J37" s="44"/>
      <c r="L37" s="44"/>
      <c r="N37" s="44"/>
      <c r="P37" s="44"/>
      <c r="R37" s="44"/>
      <c r="T37" s="44"/>
      <c r="V37" s="44"/>
      <c r="X37" s="44"/>
    </row>
    <row r="38" spans="1:25" s="36" customFormat="1" ht="21.95" customHeight="1" x14ac:dyDescent="0.25">
      <c r="A38" s="61" t="s">
        <v>2294</v>
      </c>
      <c r="B38" s="95" t="str">
        <f>IF(Q48&lt;&gt;"",Q48,"")</f>
        <v/>
      </c>
      <c r="C38" s="54">
        <f ca="1">VLOOKUP(A38,DB_TBL_DATA_FIELDS[[FIELD_ID]:[PCT_CALC_FIELD_STATUS_CODE]],22,FALSE)</f>
        <v>-1</v>
      </c>
      <c r="D38" s="54" t="str">
        <f>IF(VLOOKUP(A38,DB_TBL_DATA_FIELDS[[FIELD_ID]:[ERROR_MESSAGE]],23,FALSE)&lt;&gt;0,VLOOKUP(A38,DB_TBL_DATA_FIELDS[[FIELD_ID]:[ERROR_MESSAGE]],23,FALSE),"")</f>
        <v/>
      </c>
      <c r="E38" s="54">
        <f>VLOOKUP(A38,DB_TBL_DATA_FIELDS[[#All],[FIELD_ID]:[RANGE_VALIDATION_MAX]],18,FALSE)</f>
        <v>0</v>
      </c>
      <c r="F38" s="54">
        <f>VLOOKUP(A38,DB_TBL_DATA_FIELDS[[#All],[FIELD_ID]:[RANGE_VALIDATION_MAX]],19,FALSE)</f>
        <v>30</v>
      </c>
      <c r="G38" s="54" t="str">
        <f t="shared" ca="1" si="1"/>
        <v/>
      </c>
      <c r="I38" s="367" t="s">
        <v>2381</v>
      </c>
      <c r="J38" s="367"/>
      <c r="K38" s="367"/>
      <c r="L38" s="367"/>
      <c r="M38" s="367"/>
      <c r="N38" s="367"/>
      <c r="O38" s="367"/>
      <c r="P38" s="367"/>
      <c r="Q38" s="367"/>
      <c r="R38" s="367"/>
      <c r="S38" s="367"/>
      <c r="T38" s="125"/>
      <c r="U38" s="125"/>
      <c r="W38" s="40"/>
      <c r="X38" s="52" t="str">
        <f ca="1">G33</f>
        <v/>
      </c>
    </row>
    <row r="39" spans="1:25" s="36" customFormat="1" ht="21.95" customHeight="1" x14ac:dyDescent="0.25">
      <c r="A39" s="61" t="s">
        <v>2295</v>
      </c>
      <c r="B39" s="95" t="str">
        <f>IF(U48&lt;&gt;"",U48,"")</f>
        <v/>
      </c>
      <c r="C39" s="54">
        <f ca="1">VLOOKUP(A39,DB_TBL_DATA_FIELDS[[FIELD_ID]:[PCT_CALC_FIELD_STATUS_CODE]],22,FALSE)</f>
        <v>-1</v>
      </c>
      <c r="D39" s="54" t="str">
        <f>IF(VLOOKUP(A39,DB_TBL_DATA_FIELDS[[FIELD_ID]:[ERROR_MESSAGE]],23,FALSE)&lt;&gt;0,VLOOKUP(A39,DB_TBL_DATA_FIELDS[[FIELD_ID]:[ERROR_MESSAGE]],23,FALSE),"")</f>
        <v/>
      </c>
      <c r="E39" s="54">
        <f>VLOOKUP(A39,DB_TBL_DATA_FIELDS[[#All],[FIELD_ID]:[RANGE_VALIDATION_MAX]],18,FALSE)</f>
        <v>0</v>
      </c>
      <c r="F39" s="54">
        <f>VLOOKUP(A39,DB_TBL_DATA_FIELDS[[#All],[FIELD_ID]:[RANGE_VALIDATION_MAX]],19,FALSE)</f>
        <v>2</v>
      </c>
      <c r="G39" s="54" t="str">
        <f t="shared" ca="1" si="1"/>
        <v/>
      </c>
      <c r="I39" s="367"/>
      <c r="J39" s="367"/>
      <c r="K39" s="367"/>
      <c r="L39" s="367"/>
      <c r="M39" s="367"/>
      <c r="N39" s="367"/>
      <c r="O39" s="367"/>
      <c r="P39" s="367"/>
      <c r="Q39" s="367"/>
      <c r="R39" s="367"/>
      <c r="S39" s="367"/>
      <c r="T39" s="125"/>
      <c r="U39" s="125"/>
      <c r="V39"/>
      <c r="W39"/>
      <c r="X39"/>
    </row>
    <row r="40" spans="1:25" ht="21.95" customHeight="1" x14ac:dyDescent="0.25">
      <c r="A40" s="61" t="s">
        <v>2296</v>
      </c>
      <c r="B40" s="95" t="str">
        <f>IF(W48&lt;&gt;"",TEXT(W48,"00000"),"")</f>
        <v/>
      </c>
      <c r="C40" s="54">
        <f ca="1">VLOOKUP(A40,DB_TBL_DATA_FIELDS[[FIELD_ID]:[PCT_CALC_FIELD_STATUS_CODE]],22,FALSE)</f>
        <v>-1</v>
      </c>
      <c r="D40" s="54" t="str">
        <f>IF(VLOOKUP(A40,DB_TBL_DATA_FIELDS[[FIELD_ID]:[ERROR_MESSAGE]],23,FALSE)&lt;&gt;0,VLOOKUP(A40,DB_TBL_DATA_FIELDS[[FIELD_ID]:[ERROR_MESSAGE]],23,FALSE),"")</f>
        <v/>
      </c>
      <c r="E40" s="54">
        <f>VLOOKUP(A40,DB_TBL_DATA_FIELDS[[#All],[FIELD_ID]:[RANGE_VALIDATION_MAX]],18,FALSE)</f>
        <v>5</v>
      </c>
      <c r="F40" s="54">
        <f>VLOOKUP(A40,DB_TBL_DATA_FIELDS[[#All],[FIELD_ID]:[RANGE_VALIDATION_MAX]],19,FALSE)</f>
        <v>10</v>
      </c>
      <c r="G40" s="54" t="str">
        <f t="shared" ca="1" si="1"/>
        <v/>
      </c>
      <c r="H40" s="36"/>
      <c r="I40" s="225"/>
      <c r="J40" s="225"/>
      <c r="K40" s="225"/>
      <c r="L40" s="225"/>
      <c r="M40" s="225"/>
      <c r="N40" s="225"/>
      <c r="O40" s="225"/>
      <c r="P40" s="225"/>
      <c r="Q40" s="225"/>
      <c r="R40" s="225"/>
      <c r="S40" s="225"/>
      <c r="T40" s="125"/>
      <c r="U40" s="125"/>
      <c r="V40"/>
      <c r="X40"/>
      <c r="Y40" s="36"/>
    </row>
    <row r="41" spans="1:25" ht="21.95" customHeight="1" thickBot="1" x14ac:dyDescent="0.3">
      <c r="A41" s="61" t="s">
        <v>2845</v>
      </c>
      <c r="B41" s="95" t="str">
        <f>IF(I51&lt;&gt;"",I51,"")</f>
        <v/>
      </c>
      <c r="C41" s="54">
        <f ca="1">VLOOKUP(A41,DB_TBL_DATA_FIELDS[[FIELD_ID]:[PCT_CALC_FIELD_STATUS_CODE]],22,FALSE)</f>
        <v>-1</v>
      </c>
      <c r="D41" s="54" t="str">
        <f ca="1">IF(VLOOKUP(A41,DB_TBL_DATA_FIELDS[[FIELD_ID]:[ERROR_MESSAGE]],23,FALSE)&lt;&gt;0,VLOOKUP(A41,DB_TBL_DATA_FIELDS[[FIELD_ID]:[ERROR_MESSAGE]],23,FALSE),"")</f>
        <v/>
      </c>
      <c r="E41" s="54">
        <f>VLOOKUP(A41,DB_TBL_DATA_FIELDS[[#All],[FIELD_ID]:[RANGE_VALIDATION_MAX]],18,FALSE)</f>
        <v>0</v>
      </c>
      <c r="F41" s="54">
        <f>VLOOKUP(A41,DB_TBL_DATA_FIELDS[[#All],[FIELD_ID]:[RANGE_VALIDATION_MAX]],19,FALSE)</f>
        <v>0</v>
      </c>
      <c r="G41" s="54" t="str">
        <f t="shared" ca="1" si="1"/>
        <v/>
      </c>
      <c r="H41" s="36"/>
      <c r="I41" s="64" t="s">
        <v>2801</v>
      </c>
      <c r="J41" s="129"/>
      <c r="K41" s="135"/>
      <c r="L41" s="129"/>
      <c r="M41" s="135"/>
      <c r="N41" s="129"/>
      <c r="O41" s="135"/>
      <c r="P41" s="129"/>
      <c r="Q41" s="135"/>
      <c r="R41" s="129"/>
      <c r="S41" s="135"/>
      <c r="T41" s="129"/>
      <c r="U41" s="135"/>
      <c r="V41" s="129"/>
      <c r="W41" s="135"/>
      <c r="Y41" s="36"/>
    </row>
    <row r="42" spans="1:25" ht="21.95" customHeight="1" thickTop="1" x14ac:dyDescent="0.25">
      <c r="A42" s="61" t="s">
        <v>2319</v>
      </c>
      <c r="B42" s="95" t="str">
        <f>IF(O51&lt;&gt;"",O51,"")</f>
        <v/>
      </c>
      <c r="C42" s="54">
        <f ca="1">VLOOKUP(A42,DB_TBL_DATA_FIELDS[[FIELD_ID]:[PCT_CALC_FIELD_STATUS_CODE]],22,FALSE)</f>
        <v>-1</v>
      </c>
      <c r="D42" s="54" t="str">
        <f>IF(VLOOKUP(A42,DB_TBL_DATA_FIELDS[[FIELD_ID]:[ERROR_MESSAGE]],23,FALSE)&lt;&gt;0,VLOOKUP(A42,DB_TBL_DATA_FIELDS[[FIELD_ID]:[ERROR_MESSAGE]],23,FALSE),"")</f>
        <v/>
      </c>
      <c r="E42" s="54">
        <f>VLOOKUP(A42,DB_TBL_DATA_FIELDS[[#All],[FIELD_ID]:[RANGE_VALIDATION_MAX]],18,FALSE)</f>
        <v>1</v>
      </c>
      <c r="F42" s="54">
        <f>VLOOKUP(A42,DB_TBL_DATA_FIELDS[[#All],[FIELD_ID]:[RANGE_VALIDATION_MAX]],19,FALSE)</f>
        <v>20</v>
      </c>
      <c r="G42" s="54" t="str">
        <f t="shared" ca="1" si="1"/>
        <v/>
      </c>
      <c r="H42" s="36"/>
      <c r="I42" s="36"/>
      <c r="K42" s="36"/>
      <c r="M42" s="36"/>
      <c r="O42" s="36"/>
      <c r="Q42" s="36"/>
      <c r="S42" s="36"/>
      <c r="U42" s="36"/>
      <c r="W42" s="36"/>
      <c r="Y42" s="36"/>
    </row>
    <row r="43" spans="1:25" ht="21.95" customHeight="1" x14ac:dyDescent="0.25">
      <c r="A43" s="61" t="s">
        <v>2320</v>
      </c>
      <c r="B43" s="95" t="str">
        <f>IF(U51&lt;&gt;"",U51,"")</f>
        <v/>
      </c>
      <c r="C43" s="54">
        <f ca="1">VLOOKUP(A43,DB_TBL_DATA_FIELDS[[FIELD_ID]:[PCT_CALC_FIELD_STATUS_CODE]],22,FALSE)</f>
        <v>-1</v>
      </c>
      <c r="D43" s="54" t="str">
        <f>IF(VLOOKUP(A43,DB_TBL_DATA_FIELDS[[FIELD_ID]:[ERROR_MESSAGE]],23,FALSE)&lt;&gt;0,VLOOKUP(A43,DB_TBL_DATA_FIELDS[[FIELD_ID]:[ERROR_MESSAGE]],23,FALSE),"")</f>
        <v/>
      </c>
      <c r="E43" s="54">
        <f>VLOOKUP(A43,DB_TBL_DATA_FIELDS[[#All],[FIELD_ID]:[RANGE_VALIDATION_MAX]],18,FALSE)</f>
        <v>0</v>
      </c>
      <c r="F43" s="54">
        <f>VLOOKUP(A43,DB_TBL_DATA_FIELDS[[#All],[FIELD_ID]:[RANGE_VALIDATION_MAX]],19,FALSE)</f>
        <v>999999999</v>
      </c>
      <c r="G43" s="54" t="str">
        <f t="shared" ref="G43" ca="1" si="2">IF(C43&lt;0,"",C43)</f>
        <v/>
      </c>
      <c r="H43" s="36"/>
      <c r="I43" s="36" t="s">
        <v>2881</v>
      </c>
      <c r="J43" s="228"/>
      <c r="K43" s="228"/>
      <c r="L43" s="228"/>
      <c r="M43" s="228"/>
      <c r="N43" s="228"/>
      <c r="O43" s="228"/>
      <c r="P43" s="228"/>
      <c r="Q43" s="228"/>
      <c r="R43" s="228"/>
      <c r="S43" s="228"/>
      <c r="T43" s="125"/>
      <c r="U43" s="125"/>
      <c r="V43" s="36"/>
      <c r="W43" s="40"/>
      <c r="X43" s="52" t="str">
        <f ca="1">G36</f>
        <v/>
      </c>
      <c r="Y43" s="36"/>
    </row>
    <row r="44" spans="1:25" ht="21.95" customHeight="1" x14ac:dyDescent="0.25">
      <c r="A44" s="61" t="s">
        <v>2314</v>
      </c>
      <c r="B44" s="134" t="b">
        <v>0</v>
      </c>
      <c r="C44" s="54" t="str">
        <f ca="1">VLOOKUP(A44,DB_TBL_DATA_FIELDS[[FIELD_ID]:[PCT_CALC_FIELD_STATUS_CODE]],22,FALSE)</f>
        <v/>
      </c>
      <c r="D44" s="54" t="str">
        <f>IF(VLOOKUP(A44,DB_TBL_DATA_FIELDS[[FIELD_ID]:[ERROR_MESSAGE]],23,FALSE)&lt;&gt;0,VLOOKUP(A44,DB_TBL_DATA_FIELDS[[FIELD_ID]:[ERROR_MESSAGE]],23,FALSE),"")</f>
        <v/>
      </c>
      <c r="E44" s="54">
        <f>VLOOKUP(A44,DB_TBL_DATA_FIELDS[[#All],[FIELD_ID]:[RANGE_VALIDATION_MAX]],18,FALSE)</f>
        <v>0</v>
      </c>
      <c r="F44" s="54">
        <f>VLOOKUP(A44,DB_TBL_DATA_FIELDS[[#All],[FIELD_ID]:[RANGE_VALIDATION_MAX]],19,FALSE)</f>
        <v>0</v>
      </c>
      <c r="G44" s="54" t="str">
        <f t="shared" ca="1" si="1"/>
        <v/>
      </c>
      <c r="H44" s="36"/>
      <c r="I44" s="408" t="s">
        <v>2851</v>
      </c>
      <c r="J44" s="408"/>
      <c r="K44" s="408"/>
      <c r="L44" s="408"/>
      <c r="M44" s="408"/>
      <c r="N44" s="408"/>
      <c r="O44" s="408"/>
      <c r="P44" s="408"/>
      <c r="Q44" s="408"/>
      <c r="R44" s="408"/>
      <c r="S44" s="408"/>
      <c r="T44" s="408"/>
      <c r="U44" s="408"/>
      <c r="V44" s="408"/>
      <c r="W44" s="408"/>
      <c r="X44"/>
      <c r="Y44" s="36"/>
    </row>
    <row r="45" spans="1:25" ht="21.95" customHeight="1" x14ac:dyDescent="0.25">
      <c r="A45" s="61" t="s">
        <v>2316</v>
      </c>
      <c r="B45" s="65" t="str">
        <f ca="1">VLOOKUP(A45,DB_TBL_DATA_FIELDS[[#All],[FIELD_ID]:[FIELD_VALUE_RAW]],5,FALSE)</f>
        <v/>
      </c>
      <c r="C45" s="54">
        <f ca="1">VLOOKUP(A45,DB_TBL_DATA_FIELDS[[FIELD_ID]:[PCT_CALC_FIELD_STATUS_CODE]],22,FALSE)</f>
        <v>-1</v>
      </c>
      <c r="D45" s="54" t="str">
        <f ca="1">IF(VLOOKUP(A45,DB_TBL_DATA_FIELDS[[FIELD_ID]:[ERROR_MESSAGE]],23,FALSE)&lt;&gt;0,VLOOKUP(A45,DB_TBL_DATA_FIELDS[[FIELD_ID]:[ERROR_MESSAGE]],23,FALSE),"")</f>
        <v/>
      </c>
      <c r="E45" s="54">
        <f>VLOOKUP(A45,DB_TBL_DATA_FIELDS[[#All],[FIELD_ID]:[RANGE_VALIDATION_MAX]],18,FALSE)</f>
        <v>0</v>
      </c>
      <c r="F45" s="54">
        <f>VLOOKUP(A45,DB_TBL_DATA_FIELDS[[#All],[FIELD_ID]:[RANGE_VALIDATION_MAX]],19,FALSE)</f>
        <v>0</v>
      </c>
      <c r="G45" s="54" t="str">
        <f t="shared" ca="1" si="1"/>
        <v/>
      </c>
      <c r="H45" s="36"/>
      <c r="I45" s="408"/>
      <c r="J45" s="408"/>
      <c r="K45" s="408"/>
      <c r="L45" s="408"/>
      <c r="M45" s="408"/>
      <c r="N45" s="408"/>
      <c r="O45" s="408"/>
      <c r="P45" s="408"/>
      <c r="Q45" s="408"/>
      <c r="R45" s="408"/>
      <c r="S45" s="408"/>
      <c r="T45" s="408"/>
      <c r="U45" s="408"/>
      <c r="V45" s="408"/>
      <c r="W45" s="408"/>
      <c r="X45"/>
      <c r="Y45" s="36"/>
    </row>
    <row r="46" spans="1:25" ht="21.95" customHeight="1" x14ac:dyDescent="0.25">
      <c r="A46" s="61" t="s">
        <v>121</v>
      </c>
      <c r="B46" s="65" t="str">
        <f>"C"&amp;MATCH(LEFT(A46,LEN(A46)-LEN("_RANGE")),A:A,0)+1&amp;":C"&amp;(ROW()-1)</f>
        <v>C31:C45</v>
      </c>
      <c r="C46" s="54"/>
      <c r="D46" s="54"/>
      <c r="E46" s="54"/>
      <c r="F46" s="54"/>
      <c r="G46" s="54"/>
      <c r="H46" s="36"/>
      <c r="I46" s="230"/>
      <c r="J46" s="230"/>
      <c r="K46" s="230"/>
      <c r="L46" s="230"/>
      <c r="M46" s="230"/>
      <c r="N46" s="230"/>
      <c r="O46" s="230"/>
      <c r="P46" s="230"/>
      <c r="Q46" s="230"/>
      <c r="R46" s="230"/>
      <c r="S46" s="230"/>
      <c r="T46" s="230"/>
      <c r="U46" s="230"/>
      <c r="V46" s="230"/>
      <c r="W46" s="230"/>
      <c r="X46"/>
      <c r="Y46" s="36"/>
    </row>
    <row r="47" spans="1:25" ht="21.95" customHeight="1" x14ac:dyDescent="0.25">
      <c r="A47" s="61" t="s">
        <v>122</v>
      </c>
      <c r="B47" s="65">
        <f ca="1">COUNTIF(INDIRECT($B$46),2)</f>
        <v>0</v>
      </c>
      <c r="C47" s="54"/>
      <c r="D47" s="54"/>
      <c r="E47" s="54"/>
      <c r="F47" s="54"/>
      <c r="G47" s="54"/>
      <c r="H47" s="36"/>
      <c r="I47" s="36" t="s">
        <v>2848</v>
      </c>
      <c r="K47" s="36"/>
      <c r="M47" s="36"/>
      <c r="Q47" s="36" t="s">
        <v>50</v>
      </c>
      <c r="S47" s="36"/>
      <c r="U47" s="36" t="s">
        <v>51</v>
      </c>
      <c r="W47" s="36" t="s">
        <v>52</v>
      </c>
      <c r="Y47" s="36"/>
    </row>
    <row r="48" spans="1:25" ht="21.95" customHeight="1" x14ac:dyDescent="0.25">
      <c r="A48" s="61" t="s">
        <v>123</v>
      </c>
      <c r="B48" s="65">
        <f ca="1">COUNTIF(INDIRECT($B$46),0)+COUNTIF(INDIRECT($B$46),1)+COUNTIF(INDIRECT($B$46),2)</f>
        <v>4</v>
      </c>
      <c r="C48" s="54"/>
      <c r="D48" s="54"/>
      <c r="E48" s="54"/>
      <c r="F48" s="54"/>
      <c r="G48" s="54"/>
      <c r="H48" s="36"/>
      <c r="I48" s="354"/>
      <c r="J48" s="354"/>
      <c r="K48" s="354"/>
      <c r="L48" s="354"/>
      <c r="M48" s="354"/>
      <c r="N48" s="354"/>
      <c r="O48" s="354"/>
      <c r="P48" s="52" t="str">
        <f ca="1">G37</f>
        <v/>
      </c>
      <c r="Q48" s="316"/>
      <c r="R48" s="317"/>
      <c r="S48" s="318"/>
      <c r="T48" s="52" t="str">
        <f ca="1">G38</f>
        <v/>
      </c>
      <c r="U48" s="40"/>
      <c r="V48" s="52" t="str">
        <f ca="1">G39</f>
        <v/>
      </c>
      <c r="W48" s="120"/>
      <c r="X48" s="52" t="str">
        <f ca="1">G40</f>
        <v/>
      </c>
      <c r="Y48" s="36"/>
    </row>
    <row r="49" spans="1:25" ht="21.95" customHeight="1" x14ac:dyDescent="0.25">
      <c r="A49" s="61" t="s">
        <v>124</v>
      </c>
      <c r="B49" s="65">
        <f ca="1">COUNTIF(INDIRECT($B$46),0)</f>
        <v>0</v>
      </c>
      <c r="C49" s="54"/>
      <c r="D49" s="54"/>
      <c r="E49" s="54"/>
      <c r="F49" s="54"/>
      <c r="G49" s="54"/>
      <c r="H49" s="36"/>
      <c r="I49" s="225"/>
      <c r="J49" s="225"/>
      <c r="K49" s="225"/>
      <c r="L49" s="225"/>
      <c r="M49" s="225"/>
      <c r="N49" s="225"/>
      <c r="O49" s="225"/>
      <c r="P49" s="225"/>
      <c r="Q49" s="225"/>
      <c r="R49" s="225"/>
      <c r="S49" s="225"/>
      <c r="T49" s="125"/>
      <c r="U49" s="125"/>
      <c r="V49"/>
      <c r="X49"/>
      <c r="Y49" s="36"/>
    </row>
    <row r="50" spans="1:25" ht="21.95" customHeight="1" x14ac:dyDescent="0.25">
      <c r="A50" s="61" t="s">
        <v>125</v>
      </c>
      <c r="B50" s="97">
        <f ca="1">IFERROR(B47/B48,1.01)</f>
        <v>0</v>
      </c>
      <c r="C50" s="54"/>
      <c r="D50" s="54"/>
      <c r="E50" s="54"/>
      <c r="F50" s="54"/>
      <c r="G50" s="54"/>
      <c r="H50" s="36"/>
      <c r="I50" s="36" t="s">
        <v>2850</v>
      </c>
      <c r="M50" s="225"/>
      <c r="N50" s="225"/>
      <c r="O50" s="36" t="s">
        <v>2327</v>
      </c>
      <c r="U50" s="109" t="s">
        <v>2387</v>
      </c>
      <c r="V50" s="109"/>
      <c r="W50" s="109"/>
      <c r="X50" s="36"/>
      <c r="Y50" s="36"/>
    </row>
    <row r="51" spans="1:25" ht="21.95" customHeight="1" x14ac:dyDescent="0.25">
      <c r="A51" s="61" t="s">
        <v>126</v>
      </c>
      <c r="B51" s="65" t="str">
        <f ca="1">IF(B49&gt;0,"Data Error(s)",IF(B50=0,"Not Started",IF(B50&lt;1,ROUNDUP(B50*100,0)&amp;"% Done",IF(B50&gt;1,"Optional","Complete"))))</f>
        <v>Not Started</v>
      </c>
      <c r="C51" s="54"/>
      <c r="D51" s="54"/>
      <c r="E51" s="54"/>
      <c r="F51" s="54"/>
      <c r="G51" s="54"/>
      <c r="H51" s="36"/>
      <c r="I51" s="338"/>
      <c r="J51" s="339"/>
      <c r="K51" s="340"/>
      <c r="L51" s="52" t="str">
        <f ca="1">G41</f>
        <v/>
      </c>
      <c r="M51" s="225"/>
      <c r="N51" s="225"/>
      <c r="O51" s="326" t="str">
        <f>IF(ICW_HOUSEHOLD_SIZE&lt;&gt;"",IF(VALUE(ICW_HOUSEHOLD_SIZE)&gt;0,ICW_HOUSEHOLD_SIZE,""),"")</f>
        <v/>
      </c>
      <c r="P51" s="327"/>
      <c r="Q51" s="328"/>
      <c r="R51" s="52" t="str">
        <f ca="1">G42</f>
        <v/>
      </c>
      <c r="U51" s="368" t="str">
        <f>IF(VALUE(ICW_TOTAL_INCOME)&gt;0,ICW_TOTAL_INCOME,"")</f>
        <v/>
      </c>
      <c r="V51" s="369"/>
      <c r="W51" s="370"/>
      <c r="X51" s="52" t="str">
        <f ca="1">G43</f>
        <v/>
      </c>
      <c r="Y51" s="36"/>
    </row>
    <row r="52" spans="1:25" ht="21.95" customHeight="1" x14ac:dyDescent="0.25">
      <c r="A52" s="61" t="s">
        <v>127</v>
      </c>
      <c r="B52" s="65" t="str">
        <f ca="1">IF(B49&gt;0,0,IF(B50&lt;1,"",2))</f>
        <v/>
      </c>
      <c r="C52" s="54"/>
      <c r="D52" s="54"/>
      <c r="E52" s="54"/>
      <c r="F52" s="54"/>
      <c r="G52" s="54"/>
      <c r="H52" s="36"/>
      <c r="S52" s="225"/>
      <c r="T52" s="125"/>
      <c r="Y52" s="36"/>
    </row>
    <row r="53" spans="1:25" ht="21.95" customHeight="1" x14ac:dyDescent="0.25">
      <c r="A53" s="61" t="s">
        <v>128</v>
      </c>
      <c r="B53" s="96" t="s">
        <v>2493</v>
      </c>
      <c r="C53" s="54"/>
      <c r="D53" s="54"/>
      <c r="E53" s="54"/>
      <c r="F53" s="54"/>
      <c r="G53" s="54"/>
      <c r="H53" s="36"/>
      <c r="J53"/>
      <c r="L53"/>
      <c r="N53"/>
      <c r="P53"/>
      <c r="R53"/>
      <c r="T53"/>
      <c r="V53"/>
      <c r="X53"/>
      <c r="Y53" s="36"/>
    </row>
    <row r="54" spans="1:25" ht="21.95" customHeight="1" x14ac:dyDescent="0.25">
      <c r="A54" s="77" t="s">
        <v>2152</v>
      </c>
      <c r="B54" s="65">
        <v>0</v>
      </c>
      <c r="C54" s="54"/>
      <c r="D54" s="54"/>
      <c r="E54" s="54"/>
      <c r="F54" s="54"/>
      <c r="G54" s="54"/>
      <c r="H54" s="36"/>
      <c r="J54"/>
      <c r="L54"/>
      <c r="N54"/>
      <c r="P54"/>
      <c r="R54"/>
      <c r="T54"/>
      <c r="V54"/>
      <c r="X54"/>
      <c r="Y54" s="36"/>
    </row>
    <row r="55" spans="1:25" ht="21.95" customHeight="1" x14ac:dyDescent="0.25">
      <c r="A55" s="77" t="s">
        <v>2153</v>
      </c>
      <c r="B55" s="65" t="b">
        <f>(B54&gt;0)</f>
        <v>0</v>
      </c>
      <c r="C55" s="54"/>
      <c r="D55" s="54"/>
      <c r="E55" s="54"/>
      <c r="F55" s="54"/>
      <c r="G55" s="54"/>
      <c r="H55" s="36"/>
      <c r="I55" s="330" t="s">
        <v>2386</v>
      </c>
      <c r="J55" s="330"/>
      <c r="K55" s="330"/>
      <c r="L55" s="330"/>
      <c r="M55" s="330"/>
      <c r="N55" s="330"/>
      <c r="O55" s="330"/>
      <c r="P55" s="330"/>
      <c r="Q55" s="330"/>
      <c r="R55" s="330"/>
      <c r="S55" s="330"/>
      <c r="T55" s="330"/>
      <c r="U55" s="330"/>
      <c r="V55" s="330"/>
      <c r="W55" s="330"/>
      <c r="X55" s="330"/>
      <c r="Y55" s="36"/>
    </row>
    <row r="56" spans="1:25" ht="21.95" customHeight="1" x14ac:dyDescent="0.25">
      <c r="A56" s="91" t="s">
        <v>141</v>
      </c>
      <c r="B56" s="93" t="s">
        <v>2862</v>
      </c>
      <c r="C56" s="92"/>
      <c r="D56" s="92"/>
      <c r="E56" s="92"/>
      <c r="F56" s="92"/>
      <c r="G56" s="92"/>
      <c r="H56" s="231"/>
      <c r="J56"/>
      <c r="L56"/>
      <c r="M56" s="126"/>
      <c r="N56" s="127"/>
      <c r="O56" s="127"/>
      <c r="P56" s="127"/>
      <c r="Q56" s="127"/>
      <c r="R56" s="127"/>
      <c r="S56" s="128"/>
      <c r="T56" s="52" t="str">
        <f ca="1">G45</f>
        <v/>
      </c>
      <c r="V56"/>
      <c r="X56"/>
      <c r="Y56" s="36"/>
    </row>
    <row r="57" spans="1:25" ht="21.95" customHeight="1" x14ac:dyDescent="0.25">
      <c r="A57" s="61" t="s">
        <v>2855</v>
      </c>
      <c r="B57" s="95" t="str">
        <f>IF(I87&lt;&gt;"",I87,"")</f>
        <v/>
      </c>
      <c r="C57" s="54">
        <f ca="1">VLOOKUP(A57,DB_TBL_DATA_FIELDS[[FIELD_ID]:[PCT_CALC_FIELD_STATUS_CODE]],22,FALSE)</f>
        <v>1</v>
      </c>
      <c r="D57" s="54" t="str">
        <f ca="1">IF(VLOOKUP(A57,DB_TBL_DATA_FIELDS[[FIELD_ID]:[ERROR_MESSAGE]],23,FALSE)&lt;&gt;0,VLOOKUP(A57,DB_TBL_DATA_FIELDS[[FIELD_ID]:[ERROR_MESSAGE]],23,FALSE),"")</f>
        <v/>
      </c>
      <c r="E57" s="54">
        <f>VLOOKUP(A57,DB_TBL_DATA_FIELDS[[#All],[FIELD_ID]:[RANGE_VALIDATION_MAX]],18,FALSE)</f>
        <v>0</v>
      </c>
      <c r="F57" s="54">
        <f>VLOOKUP(A57,DB_TBL_DATA_FIELDS[[#All],[FIELD_ID]:[RANGE_VALIDATION_MAX]],19,FALSE)</f>
        <v>100</v>
      </c>
      <c r="G57" s="54">
        <f t="shared" ref="G57:G61" ca="1" si="3">IF(C57&lt;0,"",C57)</f>
        <v>1</v>
      </c>
      <c r="H57" s="36"/>
      <c r="J57" s="162"/>
      <c r="K57" s="162"/>
      <c r="L57" s="162"/>
      <c r="M57" s="331" t="str">
        <f ca="1">D45</f>
        <v/>
      </c>
      <c r="N57" s="331"/>
      <c r="O57" s="331"/>
      <c r="P57" s="331"/>
      <c r="Q57" s="331"/>
      <c r="R57" s="331"/>
      <c r="S57" s="331"/>
      <c r="T57" s="162"/>
      <c r="U57" s="162"/>
      <c r="V57" s="162"/>
      <c r="W57" s="162"/>
      <c r="X57" s="162"/>
      <c r="Y57" s="36"/>
    </row>
    <row r="58" spans="1:25" ht="21.95" customHeight="1" x14ac:dyDescent="0.25">
      <c r="A58" s="61" t="s">
        <v>2857</v>
      </c>
      <c r="B58" s="95" t="str">
        <f>IF(O87&lt;&gt;"",O87,"")</f>
        <v/>
      </c>
      <c r="C58" s="54">
        <f ca="1">VLOOKUP(A58,DB_TBL_DATA_FIELDS[[FIELD_ID]:[PCT_CALC_FIELD_STATUS_CODE]],22,FALSE)</f>
        <v>1</v>
      </c>
      <c r="D58" s="54" t="str">
        <f ca="1">IF(VLOOKUP(A58,DB_TBL_DATA_FIELDS[[FIELD_ID]:[ERROR_MESSAGE]],23,FALSE)&lt;&gt;0,VLOOKUP(A58,DB_TBL_DATA_FIELDS[[FIELD_ID]:[ERROR_MESSAGE]],23,FALSE),"")</f>
        <v/>
      </c>
      <c r="E58" s="54">
        <f>VLOOKUP(A58,DB_TBL_DATA_FIELDS[[#All],[FIELD_ID]:[RANGE_VALIDATION_MAX]],18,FALSE)</f>
        <v>0</v>
      </c>
      <c r="F58" s="54">
        <f>VLOOKUP(A58,DB_TBL_DATA_FIELDS[[#All],[FIELD_ID]:[RANGE_VALIDATION_MAX]],19,FALSE)</f>
        <v>100</v>
      </c>
      <c r="G58" s="54">
        <f t="shared" ca="1" si="3"/>
        <v>1</v>
      </c>
      <c r="J58"/>
      <c r="L58"/>
      <c r="N58"/>
      <c r="P58"/>
      <c r="R58"/>
      <c r="T58"/>
      <c r="V58"/>
      <c r="X58"/>
    </row>
    <row r="59" spans="1:25" ht="21.95" customHeight="1" thickBot="1" x14ac:dyDescent="0.3">
      <c r="A59" s="61" t="s">
        <v>2858</v>
      </c>
      <c r="B59" s="95" t="str">
        <f>IF(U87&lt;&gt;"",U87,"")</f>
        <v/>
      </c>
      <c r="C59" s="54">
        <f ca="1">VLOOKUP(A59,DB_TBL_DATA_FIELDS[[FIELD_ID]:[PCT_CALC_FIELD_STATUS_CODE]],22,FALSE)</f>
        <v>1</v>
      </c>
      <c r="D59" s="54" t="str">
        <f ca="1">IF(VLOOKUP(A59,DB_TBL_DATA_FIELDS[[FIELD_ID]:[ERROR_MESSAGE]],23,FALSE)&lt;&gt;0,VLOOKUP(A59,DB_TBL_DATA_FIELDS[[FIELD_ID]:[ERROR_MESSAGE]],23,FALSE),"")</f>
        <v/>
      </c>
      <c r="E59" s="54">
        <f>VLOOKUP(A59,DB_TBL_DATA_FIELDS[[#All],[FIELD_ID]:[RANGE_VALIDATION_MAX]],18,FALSE)</f>
        <v>0</v>
      </c>
      <c r="F59" s="54">
        <f>VLOOKUP(A59,DB_TBL_DATA_FIELDS[[#All],[FIELD_ID]:[RANGE_VALIDATION_MAX]],19,FALSE)</f>
        <v>0</v>
      </c>
      <c r="G59" s="54">
        <f t="shared" ca="1" si="3"/>
        <v>1</v>
      </c>
      <c r="I59" s="55" t="str">
        <f>B56</f>
        <v>Member Certification</v>
      </c>
      <c r="J59" s="55"/>
      <c r="K59" s="55"/>
      <c r="L59" s="55"/>
      <c r="M59" s="55"/>
      <c r="N59" s="55"/>
      <c r="O59" s="55"/>
      <c r="P59" s="55"/>
      <c r="Q59" s="55"/>
      <c r="R59" s="55"/>
      <c r="S59" s="55"/>
      <c r="T59" s="55"/>
      <c r="U59" s="55"/>
      <c r="V59" s="55"/>
      <c r="W59" s="55"/>
      <c r="X59" s="56" t="str">
        <f ca="1">"Status: "&amp;$B$67</f>
        <v>Status: Not Started</v>
      </c>
    </row>
    <row r="60" spans="1:25" ht="21.95" customHeight="1" x14ac:dyDescent="0.25">
      <c r="A60" s="61" t="s">
        <v>2230</v>
      </c>
      <c r="B60" s="95" t="str">
        <f>IF(I89&lt;&gt;"",I89,"")</f>
        <v/>
      </c>
      <c r="C60" s="54">
        <f ca="1">VLOOKUP(A60,DB_TBL_DATA_FIELDS[[FIELD_ID]:[PCT_CALC_FIELD_STATUS_CODE]],22,FALSE)</f>
        <v>1</v>
      </c>
      <c r="D60" s="54" t="str">
        <f ca="1">IF(VLOOKUP(A60,DB_TBL_DATA_FIELDS[[FIELD_ID]:[ERROR_MESSAGE]],23,FALSE)&lt;&gt;0,VLOOKUP(A60,DB_TBL_DATA_FIELDS[[FIELD_ID]:[ERROR_MESSAGE]],23,FALSE),"")</f>
        <v/>
      </c>
      <c r="E60" s="54">
        <f>VLOOKUP(A60,DB_TBL_DATA_FIELDS[[#All],[FIELD_ID]:[RANGE_VALIDATION_MAX]],18,FALSE)</f>
        <v>0</v>
      </c>
      <c r="F60" s="54">
        <f>VLOOKUP(A60,DB_TBL_DATA_FIELDS[[#All],[FIELD_ID]:[RANGE_VALIDATION_MAX]],19,FALSE)</f>
        <v>60</v>
      </c>
      <c r="G60" s="54">
        <f t="shared" ca="1" si="3"/>
        <v>1</v>
      </c>
      <c r="J60"/>
      <c r="V60"/>
      <c r="X60"/>
    </row>
    <row r="61" spans="1:25" ht="21.95" customHeight="1" x14ac:dyDescent="0.25">
      <c r="A61" s="61" t="s">
        <v>2231</v>
      </c>
      <c r="B61" s="95" t="str">
        <f>IF(S89&lt;&gt;"",S89,"")</f>
        <v/>
      </c>
      <c r="C61" s="54">
        <f ca="1">VLOOKUP(A61,DB_TBL_DATA_FIELDS[[FIELD_ID]:[PCT_CALC_FIELD_STATUS_CODE]],22,FALSE)</f>
        <v>1</v>
      </c>
      <c r="D61" s="54" t="str">
        <f>IF(VLOOKUP(A61,DB_TBL_DATA_FIELDS[[FIELD_ID]:[ERROR_MESSAGE]],23,FALSE)&lt;&gt;0,VLOOKUP(A61,DB_TBL_DATA_FIELDS[[FIELD_ID]:[ERROR_MESSAGE]],23,FALSE),"")</f>
        <v/>
      </c>
      <c r="E61" s="54">
        <f>VLOOKUP(A61,DB_TBL_DATA_FIELDS[[#All],[FIELD_ID]:[RANGE_VALIDATION_MAX]],18,FALSE)</f>
        <v>0</v>
      </c>
      <c r="F61" s="54">
        <f>VLOOKUP(A61,DB_TBL_DATA_FIELDS[[#All],[FIELD_ID]:[RANGE_VALIDATION_MAX]],19,FALSE)</f>
        <v>50</v>
      </c>
      <c r="G61" s="54">
        <f t="shared" ca="1" si="3"/>
        <v>1</v>
      </c>
      <c r="I61" s="367" t="s">
        <v>2900</v>
      </c>
      <c r="J61" s="367"/>
      <c r="K61" s="367"/>
      <c r="L61" s="367"/>
      <c r="M61" s="367"/>
      <c r="N61" s="367"/>
      <c r="O61" s="367"/>
      <c r="P61" s="367"/>
      <c r="Q61" s="367"/>
      <c r="R61" s="367"/>
      <c r="S61" s="367"/>
      <c r="T61" s="367"/>
      <c r="U61" s="367"/>
      <c r="V61" s="367"/>
      <c r="W61" s="367"/>
      <c r="X61" s="367"/>
    </row>
    <row r="62" spans="1:25" ht="21.95" customHeight="1" x14ac:dyDescent="0.25">
      <c r="A62" s="61" t="s">
        <v>142</v>
      </c>
      <c r="B62" s="65" t="str">
        <f>"C"&amp;MATCH(LEFT(A62,LEN(A62)-LEN("_RANGE")),A:A,0)+1&amp;":C"&amp;(ROW()-1)</f>
        <v>C57:C61</v>
      </c>
      <c r="C62" s="54"/>
      <c r="D62" s="54"/>
      <c r="E62" s="54"/>
      <c r="F62" s="54"/>
      <c r="G62" s="54"/>
      <c r="I62" s="367"/>
      <c r="J62" s="367"/>
      <c r="K62" s="367"/>
      <c r="L62" s="367"/>
      <c r="M62" s="367"/>
      <c r="N62" s="367"/>
      <c r="O62" s="367"/>
      <c r="P62" s="367"/>
      <c r="Q62" s="367"/>
      <c r="R62" s="367"/>
      <c r="S62" s="367"/>
      <c r="T62" s="367"/>
      <c r="U62" s="367"/>
      <c r="V62" s="367"/>
      <c r="W62" s="367"/>
      <c r="X62" s="367"/>
    </row>
    <row r="63" spans="1:25" ht="21.95" customHeight="1" x14ac:dyDescent="0.25">
      <c r="A63" s="61" t="s">
        <v>143</v>
      </c>
      <c r="B63" s="65">
        <f ca="1">COUNTIF(INDIRECT($B62),2)</f>
        <v>0</v>
      </c>
      <c r="C63" s="54"/>
      <c r="D63" s="54"/>
      <c r="E63" s="54"/>
      <c r="F63" s="54"/>
      <c r="G63" s="54"/>
      <c r="I63" s="367"/>
      <c r="J63" s="367"/>
      <c r="K63" s="367"/>
      <c r="L63" s="367"/>
      <c r="M63" s="367"/>
      <c r="N63" s="367"/>
      <c r="O63" s="367"/>
      <c r="P63" s="367"/>
      <c r="Q63" s="367"/>
      <c r="R63" s="367"/>
      <c r="S63" s="367"/>
      <c r="T63" s="367"/>
      <c r="U63" s="367"/>
      <c r="V63" s="367"/>
      <c r="W63" s="367"/>
      <c r="X63" s="367"/>
    </row>
    <row r="64" spans="1:25" ht="21.95" customHeight="1" x14ac:dyDescent="0.25">
      <c r="A64" s="61" t="s">
        <v>144</v>
      </c>
      <c r="B64" s="65">
        <f ca="1">COUNTIF(INDIRECT($B62),0)+COUNTIF(INDIRECT($B62),1)+COUNTIF(INDIRECT($B62),2)</f>
        <v>5</v>
      </c>
      <c r="C64" s="54"/>
      <c r="D64" s="54"/>
      <c r="E64" s="54"/>
      <c r="F64" s="54"/>
      <c r="G64" s="54"/>
      <c r="I64" s="367"/>
      <c r="J64" s="367"/>
      <c r="K64" s="367"/>
      <c r="L64" s="367"/>
      <c r="M64" s="367"/>
      <c r="N64" s="367"/>
      <c r="O64" s="367"/>
      <c r="P64" s="367"/>
      <c r="Q64" s="367"/>
      <c r="R64" s="367"/>
      <c r="S64" s="367"/>
      <c r="T64" s="367"/>
      <c r="U64" s="367"/>
      <c r="V64" s="367"/>
      <c r="W64" s="367"/>
      <c r="X64" s="367"/>
    </row>
    <row r="65" spans="1:24" ht="21.95" customHeight="1" x14ac:dyDescent="0.25">
      <c r="A65" s="61" t="s">
        <v>145</v>
      </c>
      <c r="B65" s="65">
        <f ca="1">COUNTIF(INDIRECT($B62),0)</f>
        <v>0</v>
      </c>
      <c r="C65" s="54"/>
      <c r="D65" s="54"/>
      <c r="E65" s="54"/>
      <c r="F65" s="54"/>
      <c r="G65" s="54"/>
      <c r="I65" s="367"/>
      <c r="J65" s="367"/>
      <c r="K65" s="367"/>
      <c r="L65" s="367"/>
      <c r="M65" s="367"/>
      <c r="N65" s="367"/>
      <c r="O65" s="367"/>
      <c r="P65" s="367"/>
      <c r="Q65" s="367"/>
      <c r="R65" s="367"/>
      <c r="S65" s="367"/>
      <c r="T65" s="367"/>
      <c r="U65" s="367"/>
      <c r="V65" s="367"/>
      <c r="W65" s="367"/>
      <c r="X65" s="367"/>
    </row>
    <row r="66" spans="1:24" ht="21.95" customHeight="1" x14ac:dyDescent="0.25">
      <c r="A66" s="61" t="s">
        <v>146</v>
      </c>
      <c r="B66" s="97">
        <f ca="1">IFERROR(B63/B64,1.01)</f>
        <v>0</v>
      </c>
      <c r="C66" s="54"/>
      <c r="D66" s="54"/>
      <c r="E66" s="54"/>
      <c r="F66" s="54"/>
      <c r="G66" s="54"/>
      <c r="I66" s="367"/>
      <c r="J66" s="367"/>
      <c r="K66" s="367"/>
      <c r="L66" s="367"/>
      <c r="M66" s="367"/>
      <c r="N66" s="367"/>
      <c r="O66" s="367"/>
      <c r="P66" s="367"/>
      <c r="Q66" s="367"/>
      <c r="R66" s="367"/>
      <c r="S66" s="367"/>
      <c r="T66" s="367"/>
      <c r="U66" s="367"/>
      <c r="V66" s="367"/>
      <c r="W66" s="367"/>
      <c r="X66" s="367"/>
    </row>
    <row r="67" spans="1:24" ht="21.95" customHeight="1" x14ac:dyDescent="0.25">
      <c r="A67" s="61" t="s">
        <v>147</v>
      </c>
      <c r="B67" s="65" t="str">
        <f ca="1">IF(B65&gt;0,"Data Error(s)",IF(B66=0,"Not Started",IF(B66&lt;1,ROUNDUP(B66*100,0)&amp;"% Done",IF(B66&gt;1,"Optional","Complete"))))</f>
        <v>Not Started</v>
      </c>
      <c r="C67" s="54"/>
      <c r="D67" s="54"/>
      <c r="E67" s="54"/>
      <c r="F67" s="54"/>
      <c r="G67" s="54"/>
      <c r="I67" s="367"/>
      <c r="J67" s="367"/>
      <c r="K67" s="367"/>
      <c r="L67" s="367"/>
      <c r="M67" s="367"/>
      <c r="N67" s="367"/>
      <c r="O67" s="367"/>
      <c r="P67" s="367"/>
      <c r="Q67" s="367"/>
      <c r="R67" s="367"/>
      <c r="S67" s="367"/>
      <c r="T67" s="367"/>
      <c r="U67" s="367"/>
      <c r="V67" s="367"/>
      <c r="W67" s="367"/>
      <c r="X67" s="367"/>
    </row>
    <row r="68" spans="1:24" ht="21.95" customHeight="1" x14ac:dyDescent="0.25">
      <c r="A68" s="61" t="s">
        <v>148</v>
      </c>
      <c r="B68" s="65" t="str">
        <f ca="1">IF(B65&gt;0,0,IF(B66&lt;1,"",2))</f>
        <v/>
      </c>
      <c r="C68" s="54"/>
      <c r="D68" s="54"/>
      <c r="E68" s="54"/>
      <c r="F68" s="54"/>
      <c r="G68" s="54"/>
      <c r="I68" s="367"/>
      <c r="J68" s="367"/>
      <c r="K68" s="367"/>
      <c r="L68" s="367"/>
      <c r="M68" s="367"/>
      <c r="N68" s="367"/>
      <c r="O68" s="367"/>
      <c r="P68" s="367"/>
      <c r="Q68" s="367"/>
      <c r="R68" s="367"/>
      <c r="S68" s="367"/>
      <c r="T68" s="367"/>
      <c r="U68" s="367"/>
      <c r="V68" s="367"/>
      <c r="W68" s="367"/>
      <c r="X68" s="367"/>
    </row>
    <row r="69" spans="1:24" ht="21.95" customHeight="1" x14ac:dyDescent="0.25">
      <c r="A69" s="61" t="s">
        <v>149</v>
      </c>
      <c r="B69" s="96" t="s">
        <v>2862</v>
      </c>
      <c r="C69" s="54"/>
      <c r="D69" s="54"/>
      <c r="E69" s="54"/>
      <c r="F69" s="54"/>
      <c r="G69" s="54"/>
      <c r="I69" s="367"/>
      <c r="J69" s="367"/>
      <c r="K69" s="367"/>
      <c r="L69" s="367"/>
      <c r="M69" s="367"/>
      <c r="N69" s="367"/>
      <c r="O69" s="367"/>
      <c r="P69" s="367"/>
      <c r="Q69" s="367"/>
      <c r="R69" s="367"/>
      <c r="S69" s="367"/>
      <c r="T69" s="367"/>
      <c r="U69" s="367"/>
      <c r="V69" s="367"/>
      <c r="W69" s="367"/>
      <c r="X69" s="367"/>
    </row>
    <row r="70" spans="1:24" ht="21.95" customHeight="1" x14ac:dyDescent="0.25">
      <c r="A70" s="77" t="s">
        <v>2150</v>
      </c>
      <c r="B70" s="65">
        <v>0</v>
      </c>
      <c r="C70" s="54"/>
      <c r="D70" s="54"/>
      <c r="E70" s="54"/>
      <c r="F70" s="54"/>
      <c r="G70" s="54"/>
      <c r="I70" s="367"/>
      <c r="J70" s="367"/>
      <c r="K70" s="367"/>
      <c r="L70" s="367"/>
      <c r="M70" s="367"/>
      <c r="N70" s="367"/>
      <c r="O70" s="367"/>
      <c r="P70" s="367"/>
      <c r="Q70" s="367"/>
      <c r="R70" s="367"/>
      <c r="S70" s="367"/>
      <c r="T70" s="367"/>
      <c r="U70" s="367"/>
      <c r="V70" s="367"/>
      <c r="W70" s="367"/>
      <c r="X70" s="367"/>
    </row>
    <row r="71" spans="1:24" ht="21.95" customHeight="1" x14ac:dyDescent="0.25">
      <c r="A71" s="77" t="s">
        <v>2151</v>
      </c>
      <c r="B71" s="65" t="b">
        <f>(B70&gt;0)</f>
        <v>0</v>
      </c>
      <c r="C71" s="54"/>
      <c r="D71" s="54"/>
      <c r="E71" s="54"/>
      <c r="F71" s="54"/>
      <c r="G71" s="54"/>
      <c r="I71" s="367"/>
      <c r="J71" s="367"/>
      <c r="K71" s="367"/>
      <c r="L71" s="367"/>
      <c r="M71" s="367"/>
      <c r="N71" s="367"/>
      <c r="O71" s="367"/>
      <c r="P71" s="367"/>
      <c r="Q71" s="367"/>
      <c r="R71" s="367"/>
      <c r="S71" s="367"/>
      <c r="T71" s="367"/>
      <c r="U71" s="367"/>
      <c r="V71" s="367"/>
      <c r="W71" s="367"/>
      <c r="X71" s="367"/>
    </row>
    <row r="72" spans="1:24" ht="21.95" customHeight="1" x14ac:dyDescent="0.25">
      <c r="I72" s="367"/>
      <c r="J72" s="367"/>
      <c r="K72" s="367"/>
      <c r="L72" s="367"/>
      <c r="M72" s="367"/>
      <c r="N72" s="367"/>
      <c r="O72" s="367"/>
      <c r="P72" s="367"/>
      <c r="Q72" s="367"/>
      <c r="R72" s="367"/>
      <c r="S72" s="367"/>
      <c r="T72" s="367"/>
      <c r="U72" s="367"/>
      <c r="V72" s="367"/>
      <c r="W72" s="367"/>
      <c r="X72" s="367"/>
    </row>
    <row r="73" spans="1:24" ht="21.95" customHeight="1" x14ac:dyDescent="0.25">
      <c r="I73" s="367"/>
      <c r="J73" s="367"/>
      <c r="K73" s="367"/>
      <c r="L73" s="367"/>
      <c r="M73" s="367"/>
      <c r="N73" s="367"/>
      <c r="O73" s="367"/>
      <c r="P73" s="367"/>
      <c r="Q73" s="367"/>
      <c r="R73" s="367"/>
      <c r="S73" s="367"/>
      <c r="T73" s="367"/>
      <c r="U73" s="367"/>
      <c r="V73" s="367"/>
      <c r="W73" s="367"/>
      <c r="X73" s="367"/>
    </row>
    <row r="74" spans="1:24" ht="21.95" customHeight="1" x14ac:dyDescent="0.25">
      <c r="I74" s="367"/>
      <c r="J74" s="367"/>
      <c r="K74" s="367"/>
      <c r="L74" s="367"/>
      <c r="M74" s="367"/>
      <c r="N74" s="367"/>
      <c r="O74" s="367"/>
      <c r="P74" s="367"/>
      <c r="Q74" s="367"/>
      <c r="R74" s="367"/>
      <c r="S74" s="367"/>
      <c r="T74" s="367"/>
      <c r="U74" s="367"/>
      <c r="V74" s="367"/>
      <c r="W74" s="367"/>
      <c r="X74" s="367"/>
    </row>
    <row r="75" spans="1:24" ht="21.95" customHeight="1" x14ac:dyDescent="0.25">
      <c r="I75" s="367"/>
      <c r="J75" s="367"/>
      <c r="K75" s="367"/>
      <c r="L75" s="367"/>
      <c r="M75" s="367"/>
      <c r="N75" s="367"/>
      <c r="O75" s="367"/>
      <c r="P75" s="367"/>
      <c r="Q75" s="367"/>
      <c r="R75" s="367"/>
      <c r="S75" s="367"/>
      <c r="T75" s="367"/>
      <c r="U75" s="367"/>
      <c r="V75" s="367"/>
      <c r="W75" s="367"/>
      <c r="X75" s="367"/>
    </row>
    <row r="76" spans="1:24" ht="21.95" customHeight="1" x14ac:dyDescent="0.25">
      <c r="I76" s="367"/>
      <c r="J76" s="367"/>
      <c r="K76" s="367"/>
      <c r="L76" s="367"/>
      <c r="M76" s="367"/>
      <c r="N76" s="367"/>
      <c r="O76" s="367"/>
      <c r="P76" s="367"/>
      <c r="Q76" s="367"/>
      <c r="R76" s="367"/>
      <c r="S76" s="367"/>
      <c r="T76" s="367"/>
      <c r="U76" s="367"/>
      <c r="V76" s="367"/>
      <c r="W76" s="367"/>
      <c r="X76" s="367"/>
    </row>
    <row r="77" spans="1:24" ht="21.95" customHeight="1" x14ac:dyDescent="0.25">
      <c r="I77" s="367"/>
      <c r="J77" s="367"/>
      <c r="K77" s="367"/>
      <c r="L77" s="367"/>
      <c r="M77" s="367"/>
      <c r="N77" s="367"/>
      <c r="O77" s="367"/>
      <c r="P77" s="367"/>
      <c r="Q77" s="367"/>
      <c r="R77" s="367"/>
      <c r="S77" s="367"/>
      <c r="T77" s="367"/>
      <c r="U77" s="367"/>
      <c r="V77" s="367"/>
      <c r="W77" s="367"/>
      <c r="X77" s="367"/>
    </row>
    <row r="78" spans="1:24" ht="21.95" customHeight="1" x14ac:dyDescent="0.25">
      <c r="I78" s="367"/>
      <c r="J78" s="367"/>
      <c r="K78" s="367"/>
      <c r="L78" s="367"/>
      <c r="M78" s="367"/>
      <c r="N78" s="367"/>
      <c r="O78" s="367"/>
      <c r="P78" s="367"/>
      <c r="Q78" s="367"/>
      <c r="R78" s="367"/>
      <c r="S78" s="367"/>
      <c r="T78" s="367"/>
      <c r="U78" s="367"/>
      <c r="V78" s="367"/>
      <c r="W78" s="367"/>
      <c r="X78" s="367"/>
    </row>
    <row r="79" spans="1:24" ht="21.95" customHeight="1" x14ac:dyDescent="0.25">
      <c r="I79" s="367"/>
      <c r="J79" s="367"/>
      <c r="K79" s="367"/>
      <c r="L79" s="367"/>
      <c r="M79" s="367"/>
      <c r="N79" s="367"/>
      <c r="O79" s="367"/>
      <c r="P79" s="367"/>
      <c r="Q79" s="367"/>
      <c r="R79" s="367"/>
      <c r="S79" s="367"/>
      <c r="T79" s="367"/>
      <c r="U79" s="367"/>
      <c r="V79" s="367"/>
      <c r="W79" s="367"/>
      <c r="X79" s="367"/>
    </row>
    <row r="80" spans="1:24" ht="21.95" customHeight="1" x14ac:dyDescent="0.25">
      <c r="I80" s="367"/>
      <c r="J80" s="367"/>
      <c r="K80" s="367"/>
      <c r="L80" s="367"/>
      <c r="M80" s="367"/>
      <c r="N80" s="367"/>
      <c r="O80" s="367"/>
      <c r="P80" s="367"/>
      <c r="Q80" s="367"/>
      <c r="R80" s="367"/>
      <c r="S80" s="367"/>
      <c r="T80" s="367"/>
      <c r="U80" s="367"/>
      <c r="V80" s="367"/>
      <c r="W80" s="367"/>
      <c r="X80" s="367"/>
    </row>
    <row r="81" spans="8:25" ht="21.95" customHeight="1" x14ac:dyDescent="0.25">
      <c r="I81" s="367"/>
      <c r="J81" s="367"/>
      <c r="K81" s="367"/>
      <c r="L81" s="367"/>
      <c r="M81" s="367"/>
      <c r="N81" s="367"/>
      <c r="O81" s="367"/>
      <c r="P81" s="367"/>
      <c r="Q81" s="367"/>
      <c r="R81" s="367"/>
      <c r="S81" s="367"/>
      <c r="T81" s="367"/>
      <c r="U81" s="367"/>
      <c r="V81" s="367"/>
      <c r="W81" s="367"/>
      <c r="X81" s="367"/>
    </row>
    <row r="82" spans="8:25" ht="21.95" customHeight="1" x14ac:dyDescent="0.25">
      <c r="I82" s="367"/>
      <c r="J82" s="367"/>
      <c r="K82" s="367"/>
      <c r="L82" s="367"/>
      <c r="M82" s="367"/>
      <c r="N82" s="367"/>
      <c r="O82" s="367"/>
      <c r="P82" s="367"/>
      <c r="Q82" s="367"/>
      <c r="R82" s="367"/>
      <c r="S82" s="367"/>
      <c r="T82" s="367"/>
      <c r="U82" s="367"/>
      <c r="V82" s="367"/>
      <c r="W82" s="367"/>
      <c r="X82" s="367"/>
    </row>
    <row r="83" spans="8:25" ht="21.95" customHeight="1" x14ac:dyDescent="0.25">
      <c r="I83" s="367"/>
      <c r="J83" s="367"/>
      <c r="K83" s="367"/>
      <c r="L83" s="367"/>
      <c r="M83" s="367"/>
      <c r="N83" s="367"/>
      <c r="O83" s="367"/>
      <c r="P83" s="367"/>
      <c r="Q83" s="367"/>
      <c r="R83" s="367"/>
      <c r="S83" s="367"/>
      <c r="T83" s="367"/>
      <c r="U83" s="367"/>
      <c r="V83" s="367"/>
      <c r="W83" s="367"/>
      <c r="X83" s="367"/>
    </row>
    <row r="84" spans="8:25" ht="21.95" customHeight="1" x14ac:dyDescent="0.25">
      <c r="I84" s="367"/>
      <c r="J84" s="367"/>
      <c r="K84" s="367"/>
      <c r="L84" s="367"/>
      <c r="M84" s="367"/>
      <c r="N84" s="367"/>
      <c r="O84" s="367"/>
      <c r="P84" s="367"/>
      <c r="Q84" s="367"/>
      <c r="R84" s="367"/>
      <c r="S84" s="367"/>
      <c r="T84" s="367"/>
      <c r="U84" s="367"/>
      <c r="V84" s="367"/>
      <c r="W84" s="367"/>
      <c r="X84" s="367"/>
    </row>
    <row r="85" spans="8:25" ht="21.95" customHeight="1" x14ac:dyDescent="0.25">
      <c r="J85"/>
      <c r="L85"/>
      <c r="N85"/>
      <c r="P85"/>
      <c r="R85"/>
      <c r="T85"/>
      <c r="V85"/>
      <c r="X85"/>
    </row>
    <row r="86" spans="8:25" ht="21.95" customHeight="1" x14ac:dyDescent="0.25">
      <c r="I86" s="36" t="s">
        <v>2873</v>
      </c>
      <c r="K86" s="36"/>
      <c r="M86" s="36"/>
      <c r="N86" s="36"/>
      <c r="O86" s="36" t="s">
        <v>2874</v>
      </c>
      <c r="Q86" s="36"/>
      <c r="S86" s="36"/>
      <c r="T86" s="36"/>
      <c r="U86" s="36" t="s">
        <v>31</v>
      </c>
      <c r="V86" s="36"/>
      <c r="W86" s="36"/>
      <c r="X86" s="36"/>
    </row>
    <row r="87" spans="8:25" ht="21.95" customHeight="1" x14ac:dyDescent="0.25">
      <c r="I87" s="316"/>
      <c r="J87" s="317"/>
      <c r="K87" s="317"/>
      <c r="L87" s="317"/>
      <c r="M87" s="318"/>
      <c r="N87" s="52">
        <f ca="1">G57</f>
        <v>1</v>
      </c>
      <c r="O87" s="316"/>
      <c r="P87" s="317"/>
      <c r="Q87" s="317"/>
      <c r="R87" s="317"/>
      <c r="S87" s="318"/>
      <c r="T87" s="52">
        <f ca="1">G58</f>
        <v>1</v>
      </c>
      <c r="U87" s="338"/>
      <c r="V87" s="339"/>
      <c r="W87" s="340"/>
      <c r="X87" s="52">
        <f ca="1">G59</f>
        <v>1</v>
      </c>
    </row>
    <row r="88" spans="8:25" ht="21.95" customHeight="1" x14ac:dyDescent="0.25">
      <c r="I88" s="36" t="s">
        <v>132</v>
      </c>
      <c r="K88" s="36"/>
      <c r="M88" s="36"/>
      <c r="N88" s="36"/>
      <c r="O88" s="36"/>
      <c r="P88" s="36"/>
      <c r="S88" s="36" t="s">
        <v>2158</v>
      </c>
      <c r="W88" s="36"/>
    </row>
    <row r="89" spans="8:25" ht="21.95" customHeight="1" x14ac:dyDescent="0.25">
      <c r="I89" s="316"/>
      <c r="J89" s="317"/>
      <c r="K89" s="317"/>
      <c r="L89" s="317"/>
      <c r="M89" s="317"/>
      <c r="N89" s="317"/>
      <c r="O89" s="317"/>
      <c r="P89" s="317"/>
      <c r="Q89" s="318"/>
      <c r="R89" s="52">
        <f ca="1">G60</f>
        <v>1</v>
      </c>
      <c r="S89" s="313"/>
      <c r="T89" s="314"/>
      <c r="U89" s="314"/>
      <c r="V89" s="314"/>
      <c r="W89" s="315"/>
      <c r="X89" s="52">
        <f ca="1">G61</f>
        <v>1</v>
      </c>
    </row>
    <row r="90" spans="8:25" ht="21.95" customHeight="1" x14ac:dyDescent="0.25">
      <c r="I90" s="331" t="str">
        <f ca="1">D60</f>
        <v/>
      </c>
      <c r="J90" s="331"/>
      <c r="K90" s="331"/>
      <c r="L90" s="331"/>
      <c r="M90" s="331"/>
      <c r="N90" s="331"/>
      <c r="O90" s="331"/>
      <c r="P90" s="331"/>
      <c r="Q90" s="331"/>
      <c r="R90"/>
      <c r="T90"/>
      <c r="V90"/>
      <c r="X90"/>
    </row>
    <row r="91" spans="8:25" ht="21.95" customHeight="1" x14ac:dyDescent="0.25">
      <c r="J91"/>
      <c r="L91"/>
      <c r="N91"/>
      <c r="P91"/>
    </row>
    <row r="92" spans="8:25" ht="21.95" customHeight="1" x14ac:dyDescent="0.25">
      <c r="J92"/>
      <c r="L92"/>
      <c r="N92"/>
      <c r="P92"/>
      <c r="R92"/>
      <c r="T92"/>
      <c r="V92"/>
      <c r="X92"/>
    </row>
    <row r="93" spans="8:25" ht="21.95" hidden="1" customHeight="1" x14ac:dyDescent="0.25">
      <c r="J93"/>
      <c r="L93"/>
      <c r="N93"/>
      <c r="P93"/>
      <c r="R93"/>
      <c r="T93"/>
      <c r="V93"/>
      <c r="X93"/>
    </row>
    <row r="94" spans="8:25" ht="21.95" hidden="1" customHeight="1" x14ac:dyDescent="0.25">
      <c r="J94"/>
      <c r="L94"/>
      <c r="N94"/>
      <c r="P94"/>
      <c r="R94"/>
      <c r="T94"/>
      <c r="V94"/>
      <c r="X94"/>
    </row>
    <row r="95" spans="8:25" s="67" customFormat="1" ht="21.95" hidden="1" customHeight="1" x14ac:dyDescent="0.25">
      <c r="H95"/>
      <c r="I95"/>
      <c r="J95"/>
      <c r="K95"/>
      <c r="L95"/>
      <c r="M95"/>
      <c r="N95"/>
      <c r="O95"/>
      <c r="P95"/>
      <c r="Q95"/>
      <c r="R95"/>
      <c r="S95"/>
      <c r="T95"/>
      <c r="U95"/>
      <c r="V95"/>
      <c r="W95"/>
      <c r="X95"/>
      <c r="Y95"/>
    </row>
    <row r="96" spans="8:25" s="67" customFormat="1" ht="21.95" hidden="1" customHeight="1" x14ac:dyDescent="0.25">
      <c r="H96"/>
      <c r="I96"/>
      <c r="J96"/>
      <c r="K96"/>
      <c r="L96"/>
      <c r="M96"/>
      <c r="N96"/>
      <c r="O96"/>
      <c r="P96"/>
      <c r="Q96"/>
      <c r="R96"/>
      <c r="S96"/>
      <c r="T96"/>
      <c r="U96"/>
      <c r="V96"/>
      <c r="W96"/>
      <c r="X96"/>
      <c r="Y96"/>
    </row>
    <row r="97" spans="8:25" s="67" customFormat="1" ht="21.95" hidden="1" customHeight="1" x14ac:dyDescent="0.25">
      <c r="H97"/>
      <c r="I97"/>
      <c r="J97"/>
      <c r="K97"/>
      <c r="L97"/>
      <c r="M97"/>
      <c r="N97"/>
      <c r="O97"/>
      <c r="P97"/>
      <c r="Q97"/>
      <c r="R97"/>
      <c r="S97"/>
      <c r="T97"/>
      <c r="U97"/>
      <c r="V97"/>
      <c r="W97"/>
      <c r="X97"/>
      <c r="Y97"/>
    </row>
    <row r="98" spans="8:25" s="67" customFormat="1" ht="21.95" hidden="1" customHeight="1" x14ac:dyDescent="0.25">
      <c r="H98"/>
      <c r="I98"/>
      <c r="J98"/>
      <c r="K98"/>
      <c r="L98"/>
      <c r="M98"/>
      <c r="N98"/>
      <c r="O98"/>
      <c r="P98"/>
      <c r="Q98"/>
      <c r="R98"/>
      <c r="S98"/>
      <c r="T98"/>
      <c r="U98"/>
      <c r="V98"/>
      <c r="W98"/>
      <c r="X98"/>
      <c r="Y98"/>
    </row>
    <row r="99" spans="8:25" s="67" customFormat="1" ht="21.95" hidden="1" customHeight="1" x14ac:dyDescent="0.25">
      <c r="H99"/>
      <c r="I99"/>
      <c r="J99"/>
      <c r="K99"/>
      <c r="L99"/>
      <c r="M99"/>
      <c r="N99"/>
      <c r="O99"/>
      <c r="P99"/>
      <c r="Q99"/>
      <c r="R99"/>
      <c r="S99"/>
      <c r="T99"/>
      <c r="U99"/>
      <c r="V99"/>
      <c r="W99"/>
      <c r="X99"/>
      <c r="Y99"/>
    </row>
    <row r="100" spans="8:25" s="67" customFormat="1" ht="21.95" hidden="1" customHeight="1" x14ac:dyDescent="0.25">
      <c r="H100"/>
      <c r="I100"/>
      <c r="J100"/>
      <c r="K100"/>
      <c r="L100"/>
      <c r="M100"/>
      <c r="N100"/>
      <c r="O100"/>
      <c r="P100"/>
      <c r="Q100"/>
      <c r="R100"/>
      <c r="S100"/>
      <c r="T100"/>
      <c r="U100"/>
      <c r="V100"/>
      <c r="W100"/>
      <c r="X100"/>
      <c r="Y100"/>
    </row>
    <row r="101" spans="8:25" s="67" customFormat="1" ht="21.95" hidden="1" customHeight="1" x14ac:dyDescent="0.25">
      <c r="H101"/>
      <c r="I101"/>
      <c r="J101"/>
      <c r="K101"/>
      <c r="L101"/>
      <c r="M101"/>
      <c r="N101"/>
      <c r="O101"/>
      <c r="P101"/>
      <c r="Q101"/>
      <c r="R101"/>
      <c r="S101"/>
      <c r="T101"/>
      <c r="U101"/>
      <c r="V101"/>
      <c r="W101"/>
      <c r="X101"/>
      <c r="Y101"/>
    </row>
    <row r="102" spans="8:25" s="67" customFormat="1" ht="21.95" hidden="1" customHeight="1" x14ac:dyDescent="0.25">
      <c r="H102"/>
      <c r="I102"/>
      <c r="J102"/>
      <c r="K102"/>
      <c r="L102"/>
      <c r="M102"/>
      <c r="N102"/>
      <c r="O102"/>
      <c r="P102"/>
      <c r="Q102"/>
      <c r="R102"/>
      <c r="S102"/>
      <c r="T102"/>
      <c r="U102"/>
      <c r="V102"/>
      <c r="W102"/>
      <c r="X102"/>
      <c r="Y102"/>
    </row>
    <row r="103" spans="8:25" s="67" customFormat="1" ht="21.95" hidden="1" customHeight="1" x14ac:dyDescent="0.25">
      <c r="H103"/>
      <c r="I103"/>
      <c r="J103"/>
      <c r="K103"/>
      <c r="L103"/>
      <c r="M103"/>
      <c r="N103"/>
      <c r="O103"/>
      <c r="P103"/>
      <c r="Q103"/>
      <c r="R103"/>
      <c r="S103"/>
      <c r="T103"/>
      <c r="U103"/>
      <c r="V103"/>
      <c r="W103"/>
      <c r="X103"/>
      <c r="Y103"/>
    </row>
    <row r="104" spans="8:25" s="67" customFormat="1" ht="21.95" hidden="1" customHeight="1" x14ac:dyDescent="0.25">
      <c r="H104"/>
      <c r="I104"/>
      <c r="J104"/>
      <c r="K104"/>
      <c r="L104"/>
      <c r="M104"/>
      <c r="N104"/>
      <c r="O104"/>
      <c r="P104"/>
      <c r="Q104"/>
      <c r="R104"/>
      <c r="S104"/>
      <c r="T104"/>
      <c r="U104"/>
      <c r="V104"/>
      <c r="W104"/>
      <c r="X104"/>
      <c r="Y104"/>
    </row>
    <row r="105" spans="8:25" s="67" customFormat="1" ht="21.95" hidden="1" customHeight="1" x14ac:dyDescent="0.25">
      <c r="H105"/>
      <c r="I105"/>
      <c r="J105"/>
      <c r="K105"/>
      <c r="L105"/>
      <c r="M105"/>
      <c r="N105"/>
      <c r="O105"/>
      <c r="P105"/>
      <c r="Q105"/>
      <c r="R105"/>
      <c r="S105"/>
      <c r="T105"/>
      <c r="U105"/>
      <c r="V105"/>
      <c r="W105"/>
      <c r="X105"/>
      <c r="Y105"/>
    </row>
    <row r="106" spans="8:25" s="67" customFormat="1" ht="21.95" hidden="1" customHeight="1" x14ac:dyDescent="0.25">
      <c r="H106"/>
      <c r="I106"/>
      <c r="J106"/>
      <c r="K106"/>
      <c r="L106"/>
      <c r="M106"/>
      <c r="N106"/>
      <c r="O106"/>
      <c r="P106"/>
      <c r="Q106"/>
      <c r="R106"/>
      <c r="S106"/>
      <c r="T106"/>
      <c r="U106"/>
      <c r="V106"/>
      <c r="W106"/>
      <c r="X106"/>
      <c r="Y106"/>
    </row>
    <row r="107" spans="8:25" s="67" customFormat="1" ht="21.95" hidden="1" customHeight="1" x14ac:dyDescent="0.25">
      <c r="H107"/>
      <c r="I107"/>
      <c r="J107"/>
      <c r="K107"/>
      <c r="L107"/>
      <c r="M107"/>
      <c r="N107"/>
      <c r="O107"/>
      <c r="P107"/>
      <c r="Q107"/>
      <c r="R107"/>
      <c r="S107"/>
      <c r="T107"/>
      <c r="U107"/>
      <c r="V107"/>
      <c r="W107"/>
      <c r="X107"/>
      <c r="Y107"/>
    </row>
    <row r="108" spans="8:25" s="67" customFormat="1" hidden="1" x14ac:dyDescent="0.25">
      <c r="H108"/>
      <c r="I108"/>
      <c r="J108"/>
      <c r="K108"/>
      <c r="L108"/>
      <c r="M108"/>
      <c r="N108"/>
      <c r="O108"/>
      <c r="P108"/>
      <c r="Q108"/>
      <c r="R108"/>
      <c r="S108"/>
      <c r="T108"/>
      <c r="U108"/>
      <c r="V108"/>
      <c r="W108"/>
      <c r="X108"/>
      <c r="Y108"/>
    </row>
    <row r="109" spans="8:25" s="67" customFormat="1" hidden="1" x14ac:dyDescent="0.25">
      <c r="H109"/>
      <c r="I109"/>
      <c r="J109"/>
      <c r="K109"/>
      <c r="L109"/>
      <c r="M109"/>
      <c r="N109"/>
      <c r="O109"/>
      <c r="P109"/>
      <c r="Q109"/>
      <c r="R109"/>
      <c r="S109"/>
      <c r="T109"/>
      <c r="U109"/>
      <c r="V109"/>
      <c r="W109"/>
      <c r="X109"/>
      <c r="Y109"/>
    </row>
    <row r="110" spans="8:25" s="67" customFormat="1" hidden="1" x14ac:dyDescent="0.25">
      <c r="H110"/>
      <c r="I110"/>
      <c r="J110" s="44"/>
      <c r="K110"/>
      <c r="L110" s="44"/>
      <c r="M110"/>
      <c r="N110" s="44"/>
      <c r="O110"/>
      <c r="P110" s="44"/>
      <c r="Q110"/>
      <c r="R110" s="44"/>
      <c r="S110"/>
      <c r="T110" s="44"/>
      <c r="U110"/>
      <c r="V110" s="44"/>
      <c r="W110"/>
      <c r="X110" s="44"/>
      <c r="Y110"/>
    </row>
    <row r="111" spans="8:25" s="67" customFormat="1" hidden="1" x14ac:dyDescent="0.25">
      <c r="H111"/>
      <c r="I111"/>
      <c r="J111" s="44"/>
      <c r="K111"/>
      <c r="L111" s="44"/>
      <c r="M111"/>
      <c r="N111" s="44"/>
      <c r="O111"/>
      <c r="P111" s="44"/>
      <c r="Q111"/>
      <c r="R111" s="44"/>
      <c r="S111"/>
      <c r="T111" s="44"/>
      <c r="U111"/>
      <c r="V111" s="44"/>
      <c r="W111"/>
      <c r="X111" s="44"/>
      <c r="Y111"/>
    </row>
    <row r="112" spans="8:25" s="67" customFormat="1" hidden="1" x14ac:dyDescent="0.25">
      <c r="H112"/>
      <c r="I112"/>
      <c r="J112" s="44"/>
      <c r="K112"/>
      <c r="L112" s="44"/>
      <c r="M112"/>
      <c r="N112" s="44"/>
      <c r="O112"/>
      <c r="P112" s="44"/>
      <c r="Q112"/>
      <c r="R112" s="44"/>
      <c r="S112"/>
      <c r="T112" s="44"/>
      <c r="U112"/>
      <c r="V112" s="44"/>
      <c r="W112"/>
      <c r="X112" s="44"/>
      <c r="Y112"/>
    </row>
    <row r="113" spans="8:25" s="67" customFormat="1" hidden="1" x14ac:dyDescent="0.25">
      <c r="H113"/>
      <c r="I113"/>
      <c r="J113" s="44"/>
      <c r="K113"/>
      <c r="L113" s="44"/>
      <c r="M113"/>
      <c r="N113" s="44"/>
      <c r="O113"/>
      <c r="P113" s="44"/>
      <c r="Q113"/>
      <c r="R113" s="44"/>
      <c r="S113"/>
      <c r="T113" s="44"/>
      <c r="U113"/>
      <c r="V113" s="44"/>
      <c r="W113"/>
      <c r="X113" s="44"/>
      <c r="Y113"/>
    </row>
    <row r="114" spans="8:25" s="67" customFormat="1" hidden="1" x14ac:dyDescent="0.25">
      <c r="H114"/>
      <c r="I114"/>
      <c r="J114" s="44"/>
      <c r="K114"/>
      <c r="L114" s="44"/>
      <c r="M114"/>
      <c r="N114" s="44"/>
      <c r="O114"/>
      <c r="P114" s="44"/>
      <c r="Q114"/>
      <c r="R114" s="44"/>
      <c r="S114"/>
      <c r="T114" s="44"/>
      <c r="U114"/>
      <c r="V114" s="44"/>
      <c r="W114"/>
      <c r="X114" s="44"/>
      <c r="Y114"/>
    </row>
    <row r="115" spans="8:25" s="67" customFormat="1" hidden="1" x14ac:dyDescent="0.25">
      <c r="H115"/>
      <c r="I115"/>
      <c r="J115" s="44"/>
      <c r="K115"/>
      <c r="L115" s="44"/>
      <c r="M115"/>
      <c r="N115" s="44"/>
      <c r="O115"/>
      <c r="P115" s="44"/>
      <c r="Q115"/>
      <c r="R115" s="44"/>
      <c r="S115"/>
      <c r="T115" s="44"/>
      <c r="U115"/>
      <c r="V115" s="44"/>
      <c r="W115"/>
      <c r="X115" s="44"/>
      <c r="Y115"/>
    </row>
    <row r="116" spans="8:25" s="67" customFormat="1" hidden="1" x14ac:dyDescent="0.25">
      <c r="H116"/>
      <c r="I116"/>
      <c r="J116" s="44"/>
      <c r="K116"/>
      <c r="L116" s="44"/>
      <c r="M116"/>
      <c r="N116" s="44"/>
      <c r="O116"/>
      <c r="P116" s="44"/>
      <c r="Q116"/>
      <c r="R116" s="44"/>
      <c r="S116"/>
      <c r="T116" s="44"/>
      <c r="U116"/>
      <c r="V116" s="44"/>
      <c r="W116"/>
      <c r="X116" s="44"/>
      <c r="Y116"/>
    </row>
    <row r="117" spans="8:25" s="67" customFormat="1" hidden="1" x14ac:dyDescent="0.25">
      <c r="H117"/>
      <c r="I117"/>
      <c r="J117" s="44"/>
      <c r="K117"/>
      <c r="L117" s="44"/>
      <c r="M117"/>
      <c r="N117" s="44"/>
      <c r="O117"/>
      <c r="P117" s="44"/>
      <c r="Q117"/>
      <c r="R117" s="44"/>
      <c r="S117"/>
      <c r="T117" s="44"/>
      <c r="U117"/>
      <c r="V117" s="44"/>
      <c r="W117"/>
      <c r="X117" s="44"/>
      <c r="Y117"/>
    </row>
    <row r="118" spans="8:25" s="67" customFormat="1" hidden="1" x14ac:dyDescent="0.25">
      <c r="H118"/>
      <c r="I118"/>
      <c r="J118" s="44"/>
      <c r="K118"/>
      <c r="L118" s="44"/>
      <c r="M118"/>
      <c r="N118" s="44"/>
      <c r="O118"/>
      <c r="P118" s="44"/>
      <c r="Q118"/>
      <c r="R118" s="44"/>
      <c r="S118"/>
      <c r="T118" s="44"/>
      <c r="U118"/>
      <c r="V118" s="44"/>
      <c r="W118"/>
      <c r="X118" s="44"/>
      <c r="Y118"/>
    </row>
    <row r="119" spans="8:25" s="67" customFormat="1" hidden="1" x14ac:dyDescent="0.25">
      <c r="H119"/>
      <c r="I119"/>
      <c r="J119" s="44"/>
      <c r="K119"/>
      <c r="L119" s="44"/>
      <c r="M119"/>
      <c r="N119" s="44"/>
      <c r="O119"/>
      <c r="P119" s="44"/>
      <c r="Q119"/>
      <c r="R119" s="44"/>
      <c r="S119"/>
      <c r="T119" s="44"/>
      <c r="U119"/>
      <c r="V119" s="44"/>
      <c r="W119"/>
      <c r="X119" s="44"/>
      <c r="Y119"/>
    </row>
    <row r="120" spans="8:25" s="67" customFormat="1" hidden="1" x14ac:dyDescent="0.25">
      <c r="H120"/>
      <c r="I120"/>
      <c r="J120" s="44"/>
      <c r="K120"/>
      <c r="L120" s="44"/>
      <c r="M120"/>
      <c r="N120" s="44"/>
      <c r="O120"/>
      <c r="P120" s="44"/>
      <c r="Q120"/>
      <c r="R120" s="44"/>
      <c r="S120"/>
      <c r="T120" s="44"/>
      <c r="U120"/>
      <c r="V120" s="44"/>
      <c r="W120"/>
      <c r="X120" s="44"/>
      <c r="Y120"/>
    </row>
    <row r="121" spans="8:25" s="67" customFormat="1" hidden="1" x14ac:dyDescent="0.25">
      <c r="H121"/>
      <c r="I121"/>
      <c r="J121" s="44"/>
      <c r="K121"/>
      <c r="L121" s="44"/>
      <c r="M121"/>
      <c r="N121" s="44"/>
      <c r="O121"/>
      <c r="P121" s="44"/>
      <c r="Q121"/>
      <c r="R121" s="44"/>
      <c r="S121"/>
      <c r="T121" s="44"/>
      <c r="U121"/>
      <c r="V121" s="44"/>
      <c r="W121"/>
      <c r="X121" s="44"/>
      <c r="Y121"/>
    </row>
    <row r="122" spans="8:25" s="67" customFormat="1" hidden="1" x14ac:dyDescent="0.25">
      <c r="H122"/>
      <c r="I122"/>
      <c r="J122" s="44"/>
      <c r="K122"/>
      <c r="L122" s="44"/>
      <c r="M122"/>
      <c r="N122" s="44"/>
      <c r="O122"/>
      <c r="P122" s="44"/>
      <c r="Q122"/>
      <c r="R122" s="44"/>
      <c r="S122"/>
      <c r="T122" s="44"/>
      <c r="U122"/>
      <c r="V122" s="44"/>
      <c r="W122"/>
      <c r="X122" s="44"/>
      <c r="Y122"/>
    </row>
    <row r="123" spans="8:25" s="67" customFormat="1" hidden="1" x14ac:dyDescent="0.25">
      <c r="H123"/>
      <c r="I123"/>
      <c r="J123" s="44"/>
      <c r="K123"/>
      <c r="L123" s="44"/>
      <c r="M123"/>
      <c r="N123" s="44"/>
      <c r="O123"/>
      <c r="P123" s="44"/>
      <c r="Q123"/>
      <c r="R123" s="44"/>
      <c r="S123"/>
      <c r="T123" s="44"/>
      <c r="U123"/>
      <c r="V123" s="44"/>
      <c r="W123"/>
      <c r="X123" s="44"/>
      <c r="Y123"/>
    </row>
    <row r="124" spans="8:25" s="67" customFormat="1" hidden="1" x14ac:dyDescent="0.25">
      <c r="H124"/>
      <c r="I124"/>
      <c r="J124" s="44"/>
      <c r="K124"/>
      <c r="L124" s="44"/>
      <c r="M124"/>
      <c r="N124" s="44"/>
      <c r="O124"/>
      <c r="P124" s="44"/>
      <c r="Q124"/>
      <c r="R124" s="44"/>
      <c r="S124"/>
      <c r="T124" s="44"/>
      <c r="U124"/>
      <c r="V124" s="44"/>
      <c r="W124"/>
      <c r="X124" s="44"/>
      <c r="Y124"/>
    </row>
    <row r="125" spans="8:25" s="67" customFormat="1" hidden="1" x14ac:dyDescent="0.25">
      <c r="H125"/>
      <c r="I125"/>
      <c r="J125" s="44"/>
      <c r="K125"/>
      <c r="L125" s="44"/>
      <c r="M125"/>
      <c r="N125" s="44"/>
      <c r="O125"/>
      <c r="P125" s="44"/>
      <c r="Q125"/>
      <c r="R125" s="44"/>
      <c r="S125"/>
      <c r="T125" s="44"/>
      <c r="U125"/>
      <c r="V125" s="44"/>
      <c r="W125"/>
      <c r="X125" s="44"/>
      <c r="Y125"/>
    </row>
    <row r="126" spans="8:25" s="67" customFormat="1" hidden="1" x14ac:dyDescent="0.25">
      <c r="H126"/>
      <c r="I126"/>
      <c r="J126" s="44"/>
      <c r="K126"/>
      <c r="L126" s="44"/>
      <c r="M126"/>
      <c r="N126" s="44"/>
      <c r="O126"/>
      <c r="P126" s="44"/>
      <c r="Q126"/>
      <c r="R126" s="44"/>
      <c r="S126"/>
      <c r="T126" s="44"/>
      <c r="U126"/>
      <c r="V126" s="44"/>
      <c r="W126"/>
      <c r="X126" s="44"/>
      <c r="Y126"/>
    </row>
    <row r="127" spans="8:25" s="67" customFormat="1" hidden="1" x14ac:dyDescent="0.25">
      <c r="H127"/>
      <c r="I127"/>
      <c r="J127" s="44"/>
      <c r="K127"/>
      <c r="L127" s="44"/>
      <c r="M127"/>
      <c r="N127" s="44"/>
      <c r="O127"/>
      <c r="P127" s="44"/>
      <c r="Q127"/>
      <c r="R127" s="44"/>
      <c r="S127"/>
      <c r="T127" s="44"/>
      <c r="U127"/>
      <c r="V127" s="44"/>
      <c r="W127"/>
      <c r="X127" s="44"/>
      <c r="Y127"/>
    </row>
    <row r="128" spans="8:25" s="67" customFormat="1" hidden="1" x14ac:dyDescent="0.25">
      <c r="H128"/>
      <c r="I128"/>
      <c r="J128" s="44"/>
      <c r="K128"/>
      <c r="L128" s="44"/>
      <c r="M128"/>
      <c r="N128" s="44"/>
      <c r="O128"/>
      <c r="P128" s="44"/>
      <c r="Q128"/>
      <c r="R128" s="44"/>
      <c r="S128"/>
      <c r="T128" s="44"/>
      <c r="U128"/>
      <c r="V128" s="44"/>
      <c r="W128"/>
      <c r="X128" s="44"/>
      <c r="Y128"/>
    </row>
    <row r="129" spans="8:25" s="67" customFormat="1" hidden="1" x14ac:dyDescent="0.25">
      <c r="H129"/>
      <c r="I129"/>
      <c r="J129" s="44"/>
      <c r="K129"/>
      <c r="L129" s="44"/>
      <c r="M129"/>
      <c r="N129" s="44"/>
      <c r="O129"/>
      <c r="P129" s="44"/>
      <c r="Q129"/>
      <c r="R129" s="44"/>
      <c r="S129"/>
      <c r="T129" s="44"/>
      <c r="U129"/>
      <c r="V129" s="44"/>
      <c r="W129"/>
      <c r="X129" s="44"/>
      <c r="Y129"/>
    </row>
    <row r="130" spans="8:25" s="67" customFormat="1" hidden="1" x14ac:dyDescent="0.25">
      <c r="H130"/>
      <c r="I130"/>
      <c r="J130" s="44"/>
      <c r="K130"/>
      <c r="L130" s="44"/>
      <c r="M130"/>
      <c r="N130" s="44"/>
      <c r="O130"/>
      <c r="P130" s="44"/>
      <c r="Q130"/>
      <c r="R130" s="44"/>
      <c r="S130"/>
      <c r="T130" s="44"/>
      <c r="U130"/>
      <c r="V130" s="44"/>
      <c r="W130"/>
      <c r="X130" s="44"/>
      <c r="Y130"/>
    </row>
    <row r="131" spans="8:25" s="67" customFormat="1" hidden="1" x14ac:dyDescent="0.25">
      <c r="H131"/>
      <c r="I131"/>
      <c r="J131" s="44"/>
      <c r="K131"/>
      <c r="L131" s="44"/>
      <c r="M131"/>
      <c r="N131" s="44"/>
      <c r="O131"/>
      <c r="P131" s="44"/>
      <c r="Q131"/>
      <c r="R131" s="44"/>
      <c r="S131"/>
      <c r="T131" s="44"/>
      <c r="U131"/>
      <c r="V131" s="44"/>
      <c r="W131"/>
      <c r="X131" s="44"/>
      <c r="Y131"/>
    </row>
    <row r="132" spans="8:25" s="67" customFormat="1" hidden="1" x14ac:dyDescent="0.25">
      <c r="H132"/>
      <c r="I132"/>
      <c r="J132" s="44"/>
      <c r="K132"/>
      <c r="L132" s="44"/>
      <c r="M132"/>
      <c r="N132" s="44"/>
      <c r="O132"/>
      <c r="P132" s="44"/>
      <c r="Q132"/>
      <c r="R132" s="44"/>
      <c r="S132"/>
      <c r="T132" s="44"/>
      <c r="U132"/>
      <c r="V132" s="44"/>
      <c r="W132"/>
      <c r="X132" s="44"/>
      <c r="Y132"/>
    </row>
    <row r="133" spans="8:25" s="67" customFormat="1" hidden="1" x14ac:dyDescent="0.25">
      <c r="H133"/>
      <c r="I133"/>
      <c r="J133" s="44"/>
      <c r="K133"/>
      <c r="L133" s="44"/>
      <c r="M133"/>
      <c r="N133" s="44"/>
      <c r="O133"/>
      <c r="P133" s="44"/>
      <c r="Q133"/>
      <c r="R133" s="44"/>
      <c r="S133"/>
      <c r="T133" s="44"/>
      <c r="U133"/>
      <c r="V133" s="44"/>
      <c r="W133"/>
      <c r="X133" s="44"/>
      <c r="Y133"/>
    </row>
    <row r="134" spans="8:25" s="67" customFormat="1" hidden="1" x14ac:dyDescent="0.25">
      <c r="H134"/>
      <c r="I134"/>
      <c r="J134" s="44"/>
      <c r="K134"/>
      <c r="L134" s="44"/>
      <c r="M134"/>
      <c r="N134" s="44"/>
      <c r="O134"/>
      <c r="P134" s="44"/>
      <c r="Q134"/>
      <c r="R134" s="44"/>
      <c r="S134"/>
      <c r="T134" s="44"/>
      <c r="U134"/>
      <c r="V134" s="44"/>
      <c r="W134"/>
      <c r="X134" s="44"/>
      <c r="Y134"/>
    </row>
    <row r="135" spans="8:25" s="67" customFormat="1" hidden="1" x14ac:dyDescent="0.25">
      <c r="H135"/>
      <c r="I135"/>
      <c r="J135" s="44"/>
      <c r="K135"/>
      <c r="L135" s="44"/>
      <c r="M135"/>
      <c r="N135" s="44"/>
      <c r="O135"/>
      <c r="P135" s="44"/>
      <c r="Q135"/>
      <c r="R135" s="44"/>
      <c r="S135"/>
      <c r="T135" s="44"/>
      <c r="U135"/>
      <c r="V135" s="44"/>
      <c r="W135"/>
      <c r="X135" s="44"/>
      <c r="Y135"/>
    </row>
    <row r="136" spans="8:25" s="67" customFormat="1" hidden="1" x14ac:dyDescent="0.25">
      <c r="H136"/>
      <c r="I136"/>
      <c r="J136" s="44"/>
      <c r="K136"/>
      <c r="L136" s="44"/>
      <c r="M136"/>
      <c r="N136" s="44"/>
      <c r="O136"/>
      <c r="P136" s="44"/>
      <c r="Q136"/>
      <c r="R136" s="44"/>
      <c r="S136"/>
      <c r="T136" s="44"/>
      <c r="U136"/>
      <c r="V136" s="44"/>
      <c r="W136"/>
      <c r="X136" s="44"/>
      <c r="Y136"/>
    </row>
    <row r="137" spans="8:25" s="67" customFormat="1" hidden="1" x14ac:dyDescent="0.25">
      <c r="H137"/>
      <c r="I137"/>
      <c r="J137" s="44"/>
      <c r="K137"/>
      <c r="L137" s="44"/>
      <c r="M137"/>
      <c r="N137" s="44"/>
      <c r="O137"/>
      <c r="P137" s="44"/>
      <c r="Q137"/>
      <c r="R137" s="44"/>
      <c r="S137"/>
      <c r="T137" s="44"/>
      <c r="U137"/>
      <c r="V137" s="44"/>
      <c r="W137"/>
      <c r="X137" s="44"/>
      <c r="Y137"/>
    </row>
    <row r="138" spans="8:25" s="67" customFormat="1" hidden="1" x14ac:dyDescent="0.25">
      <c r="H138"/>
      <c r="I138"/>
      <c r="J138" s="44"/>
      <c r="K138"/>
      <c r="L138" s="44"/>
      <c r="M138"/>
      <c r="N138" s="44"/>
      <c r="O138"/>
      <c r="P138" s="44"/>
      <c r="Q138"/>
      <c r="R138" s="44"/>
      <c r="S138"/>
      <c r="T138" s="44"/>
      <c r="U138"/>
      <c r="V138" s="44"/>
      <c r="W138"/>
      <c r="X138" s="44"/>
      <c r="Y138"/>
    </row>
    <row r="139" spans="8:25" s="67" customFormat="1" hidden="1" x14ac:dyDescent="0.25">
      <c r="H139"/>
      <c r="I139"/>
      <c r="J139" s="44"/>
      <c r="K139"/>
      <c r="L139" s="44"/>
      <c r="M139"/>
      <c r="N139" s="44"/>
      <c r="O139"/>
      <c r="P139" s="44"/>
      <c r="Q139"/>
      <c r="R139" s="44"/>
      <c r="S139"/>
      <c r="T139" s="44"/>
      <c r="U139"/>
      <c r="V139" s="44"/>
      <c r="W139"/>
      <c r="X139" s="44"/>
      <c r="Y139"/>
    </row>
    <row r="140" spans="8:25" s="67" customFormat="1" hidden="1" x14ac:dyDescent="0.25">
      <c r="H140"/>
      <c r="I140"/>
      <c r="J140" s="44"/>
      <c r="K140"/>
      <c r="L140" s="44"/>
      <c r="M140"/>
      <c r="N140" s="44"/>
      <c r="O140"/>
      <c r="P140" s="44"/>
      <c r="Q140"/>
      <c r="R140" s="44"/>
      <c r="S140"/>
      <c r="T140" s="44"/>
      <c r="U140"/>
      <c r="V140" s="44"/>
      <c r="W140"/>
      <c r="X140" s="44"/>
      <c r="Y140"/>
    </row>
    <row r="141" spans="8:25" s="67" customFormat="1" hidden="1" x14ac:dyDescent="0.25">
      <c r="H141"/>
      <c r="I141"/>
      <c r="J141" s="44"/>
      <c r="K141"/>
      <c r="L141" s="44"/>
      <c r="M141"/>
      <c r="N141" s="44"/>
      <c r="O141"/>
      <c r="P141" s="44"/>
      <c r="Q141"/>
      <c r="R141" s="44"/>
      <c r="S141"/>
      <c r="T141" s="44"/>
      <c r="U141"/>
      <c r="V141" s="44"/>
      <c r="W141"/>
      <c r="X141" s="44"/>
      <c r="Y141"/>
    </row>
    <row r="142" spans="8:25" s="67" customFormat="1" hidden="1" x14ac:dyDescent="0.25">
      <c r="H142"/>
      <c r="I142"/>
      <c r="J142" s="44"/>
      <c r="K142"/>
      <c r="L142" s="44"/>
      <c r="M142"/>
      <c r="N142" s="44"/>
      <c r="O142"/>
      <c r="P142" s="44"/>
      <c r="Q142"/>
      <c r="R142" s="44"/>
      <c r="S142"/>
      <c r="T142" s="44"/>
      <c r="U142"/>
      <c r="V142" s="44"/>
      <c r="W142"/>
      <c r="X142" s="44"/>
      <c r="Y142"/>
    </row>
    <row r="143" spans="8:25" s="67" customFormat="1" hidden="1" x14ac:dyDescent="0.25">
      <c r="H143"/>
      <c r="I143"/>
      <c r="J143" s="44"/>
      <c r="K143"/>
      <c r="L143" s="44"/>
      <c r="M143"/>
      <c r="N143" s="44"/>
      <c r="O143"/>
      <c r="P143" s="44"/>
      <c r="Q143"/>
      <c r="R143" s="44"/>
      <c r="S143"/>
      <c r="T143" s="44"/>
      <c r="U143"/>
      <c r="V143" s="44"/>
      <c r="W143"/>
      <c r="X143" s="44"/>
      <c r="Y143"/>
    </row>
    <row r="144" spans="8:25" s="67" customFormat="1" hidden="1" x14ac:dyDescent="0.25">
      <c r="H144"/>
      <c r="I144"/>
      <c r="J144" s="44"/>
      <c r="K144"/>
      <c r="L144" s="44"/>
      <c r="M144"/>
      <c r="N144" s="44"/>
      <c r="O144"/>
      <c r="P144" s="44"/>
      <c r="Q144"/>
      <c r="R144" s="44"/>
      <c r="S144"/>
      <c r="T144" s="44"/>
      <c r="U144"/>
      <c r="V144" s="44"/>
      <c r="W144"/>
      <c r="X144" s="44"/>
      <c r="Y144"/>
    </row>
    <row r="145" spans="8:25" s="67" customFormat="1" hidden="1" x14ac:dyDescent="0.25">
      <c r="H145"/>
      <c r="I145"/>
      <c r="J145" s="44"/>
      <c r="K145"/>
      <c r="L145" s="44"/>
      <c r="M145"/>
      <c r="N145" s="44"/>
      <c r="O145"/>
      <c r="P145" s="44"/>
      <c r="Q145"/>
      <c r="R145" s="44"/>
      <c r="S145"/>
      <c r="T145" s="44"/>
      <c r="U145"/>
      <c r="V145" s="44"/>
      <c r="W145"/>
      <c r="X145" s="44"/>
      <c r="Y145"/>
    </row>
    <row r="146" spans="8:25" s="67" customFormat="1" hidden="1" x14ac:dyDescent="0.25">
      <c r="H146"/>
      <c r="I146"/>
      <c r="J146" s="44"/>
      <c r="K146"/>
      <c r="L146" s="44"/>
      <c r="M146"/>
      <c r="N146" s="44"/>
      <c r="O146"/>
      <c r="P146" s="44"/>
      <c r="Q146"/>
      <c r="R146" s="44"/>
      <c r="S146"/>
      <c r="T146" s="44"/>
      <c r="U146"/>
      <c r="V146" s="44"/>
      <c r="W146"/>
      <c r="X146" s="44"/>
      <c r="Y146"/>
    </row>
    <row r="147" spans="8:25" s="67" customFormat="1" hidden="1" x14ac:dyDescent="0.25">
      <c r="H147"/>
      <c r="I147"/>
      <c r="J147" s="44"/>
      <c r="K147"/>
      <c r="L147" s="44"/>
      <c r="M147"/>
      <c r="N147" s="44"/>
      <c r="O147"/>
      <c r="P147" s="44"/>
      <c r="Q147"/>
      <c r="R147" s="44"/>
      <c r="S147"/>
      <c r="T147" s="44"/>
      <c r="U147"/>
      <c r="V147" s="44"/>
      <c r="W147"/>
      <c r="X147" s="44"/>
      <c r="Y147"/>
    </row>
    <row r="148" spans="8:25" s="67" customFormat="1" hidden="1" x14ac:dyDescent="0.25">
      <c r="H148"/>
      <c r="I148"/>
      <c r="J148" s="44"/>
      <c r="K148"/>
      <c r="L148" s="44"/>
      <c r="M148"/>
      <c r="N148" s="44"/>
      <c r="O148"/>
      <c r="P148" s="44"/>
      <c r="Q148"/>
      <c r="R148" s="44"/>
      <c r="S148"/>
      <c r="T148" s="44"/>
      <c r="U148"/>
      <c r="V148" s="44"/>
      <c r="W148"/>
      <c r="X148" s="44"/>
      <c r="Y148"/>
    </row>
    <row r="149" spans="8:25" s="67" customFormat="1" hidden="1" x14ac:dyDescent="0.25">
      <c r="H149"/>
      <c r="I149"/>
      <c r="J149" s="44"/>
      <c r="K149"/>
      <c r="L149" s="44"/>
      <c r="M149"/>
      <c r="N149" s="44"/>
      <c r="O149"/>
      <c r="P149" s="44"/>
      <c r="Q149"/>
      <c r="R149" s="44"/>
      <c r="S149"/>
      <c r="T149" s="44"/>
      <c r="U149"/>
      <c r="V149" s="44"/>
      <c r="W149"/>
      <c r="X149" s="44"/>
      <c r="Y149"/>
    </row>
    <row r="150" spans="8:25" s="67" customFormat="1" hidden="1" x14ac:dyDescent="0.25">
      <c r="H150"/>
      <c r="I150"/>
      <c r="J150" s="44"/>
      <c r="K150"/>
      <c r="L150" s="44"/>
      <c r="M150"/>
      <c r="N150" s="44"/>
      <c r="O150"/>
      <c r="P150" s="44"/>
      <c r="Q150"/>
      <c r="R150" s="44"/>
      <c r="S150"/>
      <c r="T150" s="44"/>
      <c r="U150"/>
      <c r="V150" s="44"/>
      <c r="W150"/>
      <c r="X150" s="44"/>
      <c r="Y150"/>
    </row>
    <row r="151" spans="8:25" s="67" customFormat="1" hidden="1" x14ac:dyDescent="0.25">
      <c r="H151"/>
      <c r="I151"/>
      <c r="J151" s="44"/>
      <c r="K151"/>
      <c r="L151" s="44"/>
      <c r="M151"/>
      <c r="N151" s="44"/>
      <c r="O151"/>
      <c r="P151" s="44"/>
      <c r="Q151"/>
      <c r="R151" s="44"/>
      <c r="S151"/>
      <c r="T151" s="44"/>
      <c r="U151"/>
      <c r="V151" s="44"/>
      <c r="W151"/>
      <c r="X151" s="44"/>
      <c r="Y151"/>
    </row>
    <row r="152" spans="8:25" s="67" customFormat="1" hidden="1" x14ac:dyDescent="0.25">
      <c r="H152"/>
      <c r="I152"/>
      <c r="J152" s="44"/>
      <c r="K152"/>
      <c r="L152" s="44"/>
      <c r="M152"/>
      <c r="N152" s="44"/>
      <c r="O152"/>
      <c r="P152" s="44"/>
      <c r="Q152"/>
      <c r="R152" s="44"/>
      <c r="S152"/>
      <c r="T152" s="44"/>
      <c r="U152"/>
      <c r="V152" s="44"/>
      <c r="W152"/>
      <c r="X152" s="44"/>
      <c r="Y152"/>
    </row>
    <row r="153" spans="8:25" s="67" customFormat="1" hidden="1" x14ac:dyDescent="0.25">
      <c r="H153"/>
      <c r="I153"/>
      <c r="J153" s="44"/>
      <c r="K153"/>
      <c r="L153" s="44"/>
      <c r="M153"/>
      <c r="N153" s="44"/>
      <c r="O153"/>
      <c r="P153" s="44"/>
      <c r="Q153"/>
      <c r="R153" s="44"/>
      <c r="S153"/>
      <c r="T153" s="44"/>
      <c r="U153"/>
      <c r="V153" s="44"/>
      <c r="W153"/>
      <c r="X153" s="44"/>
      <c r="Y153"/>
    </row>
    <row r="154" spans="8:25" s="67" customFormat="1" hidden="1" x14ac:dyDescent="0.25">
      <c r="H154"/>
      <c r="I154"/>
      <c r="J154" s="44"/>
      <c r="K154"/>
      <c r="L154" s="44"/>
      <c r="M154"/>
      <c r="N154" s="44"/>
      <c r="O154"/>
      <c r="P154" s="44"/>
      <c r="Q154"/>
      <c r="R154" s="44"/>
      <c r="S154"/>
      <c r="T154" s="44"/>
      <c r="U154"/>
      <c r="V154" s="44"/>
      <c r="W154"/>
      <c r="X154" s="44"/>
      <c r="Y154"/>
    </row>
    <row r="155" spans="8:25" s="67" customFormat="1" ht="15" hidden="1" customHeight="1" x14ac:dyDescent="0.25">
      <c r="H155"/>
      <c r="I155"/>
      <c r="J155" s="44"/>
      <c r="K155"/>
      <c r="L155" s="44"/>
      <c r="M155"/>
      <c r="N155" s="44"/>
      <c r="O155"/>
      <c r="P155" s="44"/>
      <c r="Q155"/>
      <c r="R155" s="44"/>
      <c r="S155"/>
      <c r="T155" s="44"/>
      <c r="U155"/>
      <c r="V155" s="44"/>
      <c r="W155"/>
      <c r="X155" s="44"/>
      <c r="Y155"/>
    </row>
    <row r="156" spans="8:25" s="67" customFormat="1" ht="15" hidden="1" customHeight="1" x14ac:dyDescent="0.25">
      <c r="H156"/>
      <c r="I156"/>
      <c r="J156" s="44"/>
      <c r="K156"/>
      <c r="L156" s="44"/>
      <c r="M156"/>
      <c r="N156" s="44"/>
      <c r="O156"/>
      <c r="P156" s="44"/>
      <c r="Q156"/>
      <c r="R156" s="44"/>
      <c r="S156"/>
      <c r="T156" s="44"/>
      <c r="U156"/>
      <c r="V156" s="44"/>
      <c r="W156"/>
      <c r="X156" s="44"/>
      <c r="Y156"/>
    </row>
  </sheetData>
  <sheetProtection algorithmName="SHA-512" hashValue="ZHvrvrUs5Fa9RSlrt8WPW26/u357V3CTLulSIsrhmNyhoY8rlSe0SqMScZz7Jz1skwwVybEOeqNStquArZZGwQ==" saltValue="PLk702R4kxsoseVVAeF8dg==" spinCount="100000" sheet="1" objects="1" scenarios="1" selectLockedCells="1"/>
  <dataConsolidate/>
  <mergeCells count="27">
    <mergeCell ref="I61:X84"/>
    <mergeCell ref="I90:Q90"/>
    <mergeCell ref="I18:M18"/>
    <mergeCell ref="I87:M87"/>
    <mergeCell ref="O87:S87"/>
    <mergeCell ref="U87:W87"/>
    <mergeCell ref="I89:Q89"/>
    <mergeCell ref="S89:W89"/>
    <mergeCell ref="I28:K28"/>
    <mergeCell ref="S28:W28"/>
    <mergeCell ref="M28:Q28"/>
    <mergeCell ref="I48:O48"/>
    <mergeCell ref="Q48:S48"/>
    <mergeCell ref="I38:S39"/>
    <mergeCell ref="I23:W23"/>
    <mergeCell ref="I51:K51"/>
    <mergeCell ref="I6:Y6"/>
    <mergeCell ref="I9:X9"/>
    <mergeCell ref="U13:X13"/>
    <mergeCell ref="I17:M17"/>
    <mergeCell ref="Q17:U17"/>
    <mergeCell ref="I44:W45"/>
    <mergeCell ref="I55:X55"/>
    <mergeCell ref="M57:S57"/>
    <mergeCell ref="I30:W34"/>
    <mergeCell ref="O51:Q51"/>
    <mergeCell ref="U51:W51"/>
  </mergeCells>
  <conditionalFormatting sqref="H6">
    <cfRule type="expression" dxfId="126" priority="82">
      <formula>($B$10=TRUE)</formula>
    </cfRule>
    <cfRule type="iconSet" priority="81">
      <iconSet iconSet="3Flags" showValue="0">
        <cfvo type="percent" val="0"/>
        <cfvo type="num" val="1"/>
        <cfvo type="num" val="2" gte="0"/>
      </iconSet>
    </cfRule>
  </conditionalFormatting>
  <conditionalFormatting sqref="I90">
    <cfRule type="notContainsBlanks" dxfId="125" priority="9">
      <formula>LEN(TRIM(I90))&gt;0</formula>
    </cfRule>
  </conditionalFormatting>
  <conditionalFormatting sqref="I48:O48 Q48 U48 W48 I51 O51 U51 M56:S56">
    <cfRule type="expression" dxfId="124" priority="15">
      <formula>DATA_ADL_ICW_FLAG&lt;&gt;TRUE</formula>
    </cfRule>
  </conditionalFormatting>
  <conditionalFormatting sqref="I6:Y6">
    <cfRule type="expression" dxfId="123" priority="83">
      <formula>($B$10=TRUE)</formula>
    </cfRule>
  </conditionalFormatting>
  <conditionalFormatting sqref="L28">
    <cfRule type="iconSet" priority="30">
      <iconSet iconSet="3Symbols" showValue="0">
        <cfvo type="percent" val="0"/>
        <cfvo type="num" val="0" gte="0"/>
        <cfvo type="num" val="2"/>
      </iconSet>
    </cfRule>
    <cfRule type="iconSet" priority="31">
      <iconSet iconSet="3Symbols" showValue="0">
        <cfvo type="percent" val="0"/>
        <cfvo type="num" val="0" gte="0"/>
        <cfvo type="num" val="2"/>
      </iconSet>
    </cfRule>
  </conditionalFormatting>
  <conditionalFormatting sqref="L51">
    <cfRule type="iconSet" priority="17">
      <iconSet iconSet="3Symbols" showValue="0">
        <cfvo type="percent" val="0"/>
        <cfvo type="num" val="0" gte="0"/>
        <cfvo type="num" val="2"/>
      </iconSet>
    </cfRule>
    <cfRule type="iconSet" priority="18">
      <iconSet iconSet="3Symbols" showValue="0">
        <cfvo type="percent" val="0"/>
        <cfvo type="num" val="0" gte="0"/>
        <cfvo type="num" val="2"/>
      </iconSet>
    </cfRule>
  </conditionalFormatting>
  <conditionalFormatting sqref="M57">
    <cfRule type="notContainsBlanks" dxfId="122" priority="14">
      <formula>LEN(TRIM(M57))&gt;0</formula>
    </cfRule>
  </conditionalFormatting>
  <conditionalFormatting sqref="N17 V17:V18">
    <cfRule type="iconSet" priority="2450">
      <iconSet iconSet="3Flags">
        <cfvo type="percent" val="0"/>
        <cfvo type="num" val="0" gte="0"/>
        <cfvo type="num" val="1000" gte="0"/>
      </iconSet>
    </cfRule>
  </conditionalFormatting>
  <conditionalFormatting sqref="N18">
    <cfRule type="iconSet" priority="4">
      <iconSet iconSet="3Flags">
        <cfvo type="percent" val="0"/>
        <cfvo type="num" val="0" gte="0"/>
        <cfvo type="num" val="1000" gte="0"/>
      </iconSet>
    </cfRule>
  </conditionalFormatting>
  <conditionalFormatting sqref="N24">
    <cfRule type="iconSet" priority="91">
      <iconSet iconSet="3Symbols" showValue="0">
        <cfvo type="percent" val="0"/>
        <cfvo type="num" val="0" gte="0"/>
        <cfvo type="num" val="2"/>
      </iconSet>
    </cfRule>
  </conditionalFormatting>
  <conditionalFormatting sqref="N87">
    <cfRule type="iconSet" priority="11">
      <iconSet iconSet="3Symbols" showValue="0">
        <cfvo type="percent" val="0"/>
        <cfvo type="num" val="0" gte="0"/>
        <cfvo type="num" val="2"/>
      </iconSet>
    </cfRule>
  </conditionalFormatting>
  <conditionalFormatting sqref="O17:P18">
    <cfRule type="expression" dxfId="121" priority="2">
      <formula>($P17=2)</formula>
    </cfRule>
    <cfRule type="expression" dxfId="120" priority="1">
      <formula>($P17=0)</formula>
    </cfRule>
  </conditionalFormatting>
  <conditionalFormatting sqref="P17">
    <cfRule type="iconSet" priority="2449">
      <iconSet iconSet="3Symbols2" showValue="0">
        <cfvo type="percent" val="0"/>
        <cfvo type="num" val="0" gte="0"/>
        <cfvo type="num" val="1" gte="0"/>
      </iconSet>
    </cfRule>
  </conditionalFormatting>
  <conditionalFormatting sqref="P18">
    <cfRule type="iconSet" priority="3">
      <iconSet iconSet="3Symbols2" showValue="0">
        <cfvo type="percent" val="0"/>
        <cfvo type="num" val="0" gte="0"/>
        <cfvo type="num" val="1" gte="0"/>
      </iconSet>
    </cfRule>
  </conditionalFormatting>
  <conditionalFormatting sqref="P48 X48 T48 V48">
    <cfRule type="iconSet" priority="23">
      <iconSet iconSet="3Symbols" showValue="0">
        <cfvo type="percent" val="0"/>
        <cfvo type="num" val="0" gte="0"/>
        <cfvo type="num" val="2"/>
      </iconSet>
    </cfRule>
  </conditionalFormatting>
  <conditionalFormatting sqref="R13 N13 J13">
    <cfRule type="iconSet" priority="86">
      <iconSet iconSet="3Symbols" showValue="0">
        <cfvo type="percent" val="0"/>
        <cfvo type="num" val="0" gte="0"/>
        <cfvo type="num" val="2"/>
      </iconSet>
    </cfRule>
  </conditionalFormatting>
  <conditionalFormatting sqref="R28">
    <cfRule type="iconSet" priority="28">
      <iconSet iconSet="3Symbols" showValue="0">
        <cfvo type="percent" val="0"/>
        <cfvo type="num" val="0" gte="0"/>
        <cfvo type="num" val="2"/>
      </iconSet>
    </cfRule>
  </conditionalFormatting>
  <conditionalFormatting sqref="R51">
    <cfRule type="iconSet" priority="20">
      <iconSet iconSet="3Symbols" showValue="0">
        <cfvo type="percent" val="0"/>
        <cfvo type="num" val="0" gte="0"/>
        <cfvo type="num" val="2"/>
      </iconSet>
    </cfRule>
  </conditionalFormatting>
  <conditionalFormatting sqref="R89 X89 N87">
    <cfRule type="iconSet" priority="12">
      <iconSet iconSet="3Symbols" showValue="0">
        <cfvo type="percent" val="0"/>
        <cfvo type="num" val="0" gte="0"/>
        <cfvo type="num" val="2"/>
      </iconSet>
    </cfRule>
  </conditionalFormatting>
  <conditionalFormatting sqref="R89">
    <cfRule type="iconSet" priority="13">
      <iconSet iconSet="3Symbols" showValue="0">
        <cfvo type="percent" val="0"/>
        <cfvo type="num" val="0" gte="0"/>
        <cfvo type="num" val="2"/>
      </iconSet>
    </cfRule>
  </conditionalFormatting>
  <conditionalFormatting sqref="S3">
    <cfRule type="dataBar" priority="88">
      <dataBar>
        <cfvo type="num" val="0"/>
        <cfvo type="num" val="1"/>
        <color theme="6" tint="-0.249977111117893"/>
      </dataBar>
      <extLst>
        <ext xmlns:x14="http://schemas.microsoft.com/office/spreadsheetml/2009/9/main" uri="{B025F937-C7B1-47D3-B67F-A62EFF666E3E}">
          <x14:id>{B68644C8-8BDC-42B6-B636-514EB66F5249}</x14:id>
        </ext>
      </extLst>
    </cfRule>
  </conditionalFormatting>
  <conditionalFormatting sqref="T3">
    <cfRule type="iconSet" priority="68">
      <iconSet iconSet="3Symbols2" showValue="0">
        <cfvo type="percent" val="0"/>
        <cfvo type="num" val="0" gte="0"/>
        <cfvo type="num" val="1" gte="0"/>
      </iconSet>
    </cfRule>
  </conditionalFormatting>
  <conditionalFormatting sqref="T56">
    <cfRule type="iconSet" priority="16">
      <iconSet iconSet="3Symbols" showValue="0">
        <cfvo type="percent" val="0"/>
        <cfvo type="num" val="0" gte="0"/>
        <cfvo type="num" val="2"/>
      </iconSet>
    </cfRule>
  </conditionalFormatting>
  <conditionalFormatting sqref="T87">
    <cfRule type="iconSet" priority="7">
      <iconSet iconSet="3Symbols" showValue="0">
        <cfvo type="percent" val="0"/>
        <cfvo type="num" val="0" gte="0"/>
        <cfvo type="num" val="2"/>
      </iconSet>
    </cfRule>
    <cfRule type="iconSet" priority="8">
      <iconSet iconSet="3Symbols" showValue="0">
        <cfvo type="percent" val="0"/>
        <cfvo type="num" val="0" gte="0"/>
        <cfvo type="num" val="2"/>
      </iconSet>
    </cfRule>
  </conditionalFormatting>
  <conditionalFormatting sqref="W17:X18">
    <cfRule type="expression" dxfId="119" priority="78">
      <formula>($X17=0)</formula>
    </cfRule>
    <cfRule type="expression" dxfId="118" priority="79">
      <formula>($X17=2)</formula>
    </cfRule>
  </conditionalFormatting>
  <conditionalFormatting sqref="X17:X18">
    <cfRule type="iconSet" priority="80">
      <iconSet iconSet="3Symbols2" showValue="0">
        <cfvo type="percent" val="0"/>
        <cfvo type="num" val="0" gte="0"/>
        <cfvo type="num" val="1" gte="0"/>
      </iconSet>
    </cfRule>
  </conditionalFormatting>
  <conditionalFormatting sqref="X23">
    <cfRule type="iconSet" priority="2462">
      <iconSet iconSet="3Symbols" showValue="0">
        <cfvo type="percent" val="0"/>
        <cfvo type="num" val="0" gte="0"/>
        <cfvo type="num" val="2"/>
      </iconSet>
    </cfRule>
  </conditionalFormatting>
  <conditionalFormatting sqref="X24">
    <cfRule type="iconSet" priority="2463">
      <iconSet iconSet="3Symbols" showValue="0">
        <cfvo type="percent" val="0"/>
        <cfvo type="num" val="0" gte="0"/>
        <cfvo type="num" val="2"/>
      </iconSet>
    </cfRule>
  </conditionalFormatting>
  <conditionalFormatting sqref="X28 R28">
    <cfRule type="iconSet" priority="29">
      <iconSet iconSet="3Symbols" showValue="0">
        <cfvo type="percent" val="0"/>
        <cfvo type="num" val="0" gte="0"/>
        <cfvo type="num" val="2"/>
      </iconSet>
    </cfRule>
  </conditionalFormatting>
  <conditionalFormatting sqref="X28">
    <cfRule type="iconSet" priority="27">
      <iconSet iconSet="3Symbols" showValue="0">
        <cfvo type="percent" val="0"/>
        <cfvo type="num" val="0" gte="0"/>
        <cfvo type="num" val="2"/>
      </iconSet>
    </cfRule>
  </conditionalFormatting>
  <conditionalFormatting sqref="X30">
    <cfRule type="iconSet" priority="26">
      <iconSet iconSet="3Symbols" showValue="0">
        <cfvo type="percent" val="0"/>
        <cfvo type="num" val="0" gte="0"/>
        <cfvo type="num" val="2"/>
      </iconSet>
    </cfRule>
    <cfRule type="iconSet" priority="25">
      <iconSet iconSet="3Symbols" showValue="0">
        <cfvo type="percent" val="0"/>
        <cfvo type="num" val="0" gte="0"/>
        <cfvo type="num" val="2"/>
      </iconSet>
    </cfRule>
  </conditionalFormatting>
  <conditionalFormatting sqref="X38">
    <cfRule type="iconSet" priority="32">
      <iconSet iconSet="3Symbols" showValue="0">
        <cfvo type="percent" val="0"/>
        <cfvo type="num" val="0" gte="0"/>
        <cfvo type="num" val="2"/>
      </iconSet>
    </cfRule>
  </conditionalFormatting>
  <conditionalFormatting sqref="X43">
    <cfRule type="iconSet" priority="24">
      <iconSet iconSet="3Symbols" showValue="0">
        <cfvo type="percent" val="0"/>
        <cfvo type="num" val="0" gte="0"/>
        <cfvo type="num" val="2"/>
      </iconSet>
    </cfRule>
  </conditionalFormatting>
  <conditionalFormatting sqref="X51">
    <cfRule type="iconSet" priority="21">
      <iconSet iconSet="3Symbols" showValue="0">
        <cfvo type="percent" val="0"/>
        <cfvo type="num" val="0" gte="0"/>
        <cfvo type="num" val="2"/>
      </iconSet>
    </cfRule>
  </conditionalFormatting>
  <conditionalFormatting sqref="X87">
    <cfRule type="iconSet" priority="5">
      <iconSet iconSet="3Symbols" showValue="0">
        <cfvo type="percent" val="0"/>
        <cfvo type="num" val="0" gte="0"/>
        <cfvo type="num" val="2"/>
      </iconSet>
    </cfRule>
    <cfRule type="iconSet" priority="6">
      <iconSet iconSet="3Symbols" showValue="0">
        <cfvo type="percent" val="0"/>
        <cfvo type="num" val="0" gte="0"/>
        <cfvo type="num" val="2"/>
      </iconSet>
    </cfRule>
  </conditionalFormatting>
  <conditionalFormatting sqref="X89">
    <cfRule type="iconSet" priority="10">
      <iconSet iconSet="3Symbols" showValue="0">
        <cfvo type="percent" val="0"/>
        <cfvo type="num" val="0" gte="0"/>
        <cfvo type="num" val="2"/>
      </iconSet>
    </cfRule>
  </conditionalFormatting>
  <dataValidations count="16">
    <dataValidation type="custom" showInputMessage="1" showErrorMessage="1" errorTitle="No Data Entry" error="Field is Read-Only" sqref="H15" xr:uid="{00000000-0002-0000-0300-000000000000}">
      <formula1>"&lt;0&gt;0"</formula1>
    </dataValidation>
    <dataValidation type="list" allowBlank="1" showInputMessage="1" showErrorMessage="1" error="Select 'Yes' or 'No'" sqref="W38 W43" xr:uid="{00000000-0002-0000-0300-000001000000}">
      <formula1>RANGE_LOOKUP_YESNO</formula1>
    </dataValidation>
    <dataValidation type="textLength" allowBlank="1" showInputMessage="1" showErrorMessage="1" error="Maximum Number of Characters Exceeded" sqref="I23" xr:uid="{00000000-0002-0000-0300-000002000000}">
      <formula1>E19</formula1>
      <formula2>F19</formula2>
    </dataValidation>
    <dataValidation type="list" allowBlank="1" showInputMessage="1" showErrorMessage="1" error="An invalid State has been specified" sqref="U48" xr:uid="{00000000-0002-0000-0300-000003000000}">
      <formula1>RANGE_LOOKUP_STATE_ALLSTATES</formula1>
    </dataValidation>
    <dataValidation type="whole" allowBlank="1" showInputMessage="1" showErrorMessage="1" error="Invalid Zip Code Entered" sqref="W48" xr:uid="{00000000-0002-0000-0300-000004000000}">
      <formula1>1</formula1>
      <formula2>99999</formula2>
    </dataValidation>
    <dataValidation type="date" operator="greaterThanOrEqual" allowBlank="1" showInputMessage="1" showErrorMessage="1" sqref="I51:K51" xr:uid="{00000000-0002-0000-0300-000005000000}">
      <formula1>43466</formula1>
    </dataValidation>
    <dataValidation type="date" operator="greaterThanOrEqual" allowBlank="1" showErrorMessage="1" sqref="U87:W87" xr:uid="{00000000-0002-0000-0300-000006000000}">
      <formula1>43466</formula1>
    </dataValidation>
    <dataValidation type="whole" allowBlank="1" showInputMessage="1" showErrorMessage="1" error="Invalid Household ID Entered" sqref="I28:K28" xr:uid="{00000000-0002-0000-0300-000007000000}">
      <formula1>E35</formula1>
      <formula2>F35</formula2>
    </dataValidation>
    <dataValidation type="textLength" allowBlank="1" showInputMessage="1" showErrorMessage="1" error="Maximum Number of Characters Exceeded" sqref="I48:O48" xr:uid="{00000000-0002-0000-0300-000008000000}">
      <formula1>E37</formula1>
      <formula2>F37</formula2>
    </dataValidation>
    <dataValidation type="textLength" allowBlank="1" showInputMessage="1" showErrorMessage="1" error="Maximum Number of Characters Exceeded" sqref="Q48:S48" xr:uid="{00000000-0002-0000-0300-000009000000}">
      <formula1>E38</formula1>
      <formula2>F38</formula2>
    </dataValidation>
    <dataValidation type="textLength" allowBlank="1" showInputMessage="1" showErrorMessage="1" error="Maximum Number of Characters Exceeded" sqref="I87:M87" xr:uid="{00000000-0002-0000-0300-00000A000000}">
      <formula1>E57</formula1>
      <formula2>F57</formula2>
    </dataValidation>
    <dataValidation type="textLength" allowBlank="1" showInputMessage="1" showErrorMessage="1" error="Maximum Number of Characters Exceeded" sqref="I89:Q89" xr:uid="{00000000-0002-0000-0300-00000B000000}">
      <formula1>E60</formula1>
      <formula2>F60</formula2>
    </dataValidation>
    <dataValidation type="textLength" allowBlank="1" showInputMessage="1" showErrorMessage="1" error="Maximum Number of Characters Exceeded" sqref="O87:S87" xr:uid="{00000000-0002-0000-0300-00000C000000}">
      <formula1>E58</formula1>
      <formula2>F58</formula2>
    </dataValidation>
    <dataValidation type="textLength" allowBlank="1" showInputMessage="1" showErrorMessage="1" error="Invalid Phone Number Entered" sqref="S89:W89" xr:uid="{00000000-0002-0000-0300-00000D000000}">
      <formula1>E61</formula1>
      <formula2>F61</formula2>
    </dataValidation>
    <dataValidation type="textLength" allowBlank="1" showInputMessage="1" showErrorMessage="1" error="Maximum Number of Characters Exceeded" sqref="M28:Q28" xr:uid="{00000000-0002-0000-0300-00000E000000}">
      <formula1>E31</formula1>
      <formula2>F31</formula2>
    </dataValidation>
    <dataValidation type="textLength" allowBlank="1" showInputMessage="1" showErrorMessage="1" error="Maximum Number of Characters Exceeded" sqref="S28:W28" xr:uid="{00000000-0002-0000-0300-00000F000000}">
      <formula1>E32</formula1>
      <formula2>F32</formula2>
    </dataValidation>
  </dataValidations>
  <pageMargins left="0.25" right="0.25" top="0.5" bottom="0.5" header="0.3" footer="0.3"/>
  <pageSetup scale="90" fitToHeight="0" orientation="portrait" r:id="rId1"/>
  <headerFooter>
    <oddFooter>&amp;R&amp;8&amp;P of &amp;N</oddFooter>
  </headerFooter>
  <rowBreaks count="2" manualBreakCount="2">
    <brk id="35" min="7" max="24" man="1"/>
    <brk id="58" min="7" max="24" man="1"/>
  </rowBreaks>
  <drawing r:id="rId2"/>
  <legacyDrawing r:id="rId3"/>
  <mc:AlternateContent xmlns:mc="http://schemas.openxmlformats.org/markup-compatibility/2006">
    <mc:Choice Requires="x14">
      <controls>
        <mc:AlternateContent xmlns:mc="http://schemas.openxmlformats.org/markup-compatibility/2006">
          <mc:Choice Requires="x14">
            <control shapeId="12289" r:id="rId4" name="ICW_COMPLETE_FLAG">
              <controlPr defaultSize="0" autoFill="0" autoLine="0" autoPict="0">
                <anchor moveWithCells="1">
                  <from>
                    <xdr:col>12</xdr:col>
                    <xdr:colOff>190500</xdr:colOff>
                    <xdr:row>55</xdr:row>
                    <xdr:rowOff>19050</xdr:rowOff>
                  </from>
                  <to>
                    <xdr:col>18</xdr:col>
                    <xdr:colOff>552450</xdr:colOff>
                    <xdr:row>55</xdr:row>
                    <xdr:rowOff>266700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B68644C8-8BDC-42B6-B636-514EB66F5249}">
            <x14:dataBar direction="leftToRight" axisPosition="none">
              <x14:cfvo type="num">
                <xm:f>0</xm:f>
              </x14:cfvo>
              <x14:cfvo type="num">
                <xm:f>1</xm:f>
              </x14:cfvo>
              <x14:negativeFillColor theme="5"/>
            </x14:dataBar>
          </x14:cfRule>
          <xm:sqref>S3</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AD39E-9A6E-449E-BFD2-D01A432FF271}">
  <sheetPr>
    <pageSetUpPr autoPageBreaks="0" fitToPage="1"/>
  </sheetPr>
  <dimension ref="A1:Y167"/>
  <sheetViews>
    <sheetView showGridLines="0" showRowColHeaders="0" topLeftCell="H1" zoomScaleNormal="100" zoomScaleSheetLayoutView="100" workbookViewId="0">
      <pane ySplit="4" topLeftCell="A5" activePane="bottomLeft" state="frozen"/>
      <selection activeCell="H5" sqref="H5"/>
      <selection pane="bottomLeft" activeCell="H5" sqref="H5"/>
    </sheetView>
  </sheetViews>
  <sheetFormatPr defaultColWidth="0" defaultRowHeight="0" customHeight="1" zeroHeight="1" x14ac:dyDescent="0.25"/>
  <cols>
    <col min="1" max="1" width="27.5703125" style="67" hidden="1" customWidth="1"/>
    <col min="2" max="7" width="15.7109375" style="67" hidden="1" customWidth="1"/>
    <col min="8" max="8" width="2.42578125" customWidth="1"/>
    <col min="9" max="9" width="10.7109375" customWidth="1"/>
    <col min="10" max="10" width="2.7109375" style="44" customWidth="1"/>
    <col min="11" max="11" width="10.7109375" customWidth="1"/>
    <col min="12" max="12" width="2.7109375" style="44" customWidth="1"/>
    <col min="13" max="13" width="10.7109375" customWidth="1"/>
    <col min="14" max="14" width="2.7109375" style="44" customWidth="1"/>
    <col min="15" max="15" width="10.7109375" customWidth="1"/>
    <col min="16" max="16" width="2.7109375" style="44" customWidth="1"/>
    <col min="17" max="17" width="10.7109375" customWidth="1"/>
    <col min="18" max="18" width="2.7109375" style="44" customWidth="1"/>
    <col min="19" max="19" width="10.7109375" customWidth="1"/>
    <col min="20" max="20" width="2.7109375" style="44" customWidth="1"/>
    <col min="21" max="21" width="10.7109375" customWidth="1"/>
    <col min="22" max="22" width="2.7109375" style="44" customWidth="1"/>
    <col min="23" max="23" width="10.7109375" customWidth="1"/>
    <col min="24" max="24" width="2.7109375" style="44" customWidth="1"/>
    <col min="25" max="25" width="2.42578125" customWidth="1"/>
    <col min="26" max="16384" width="9.140625" hidden="1"/>
  </cols>
  <sheetData>
    <row r="1" spans="1:25" ht="40.5" customHeight="1" thickBot="1" x14ac:dyDescent="0.3">
      <c r="A1" s="43" t="s">
        <v>179</v>
      </c>
      <c r="B1" s="43" t="s">
        <v>178</v>
      </c>
      <c r="C1" s="43" t="s">
        <v>175</v>
      </c>
      <c r="D1" s="43" t="s">
        <v>176</v>
      </c>
      <c r="E1" s="43" t="s">
        <v>173</v>
      </c>
      <c r="F1" s="43" t="s">
        <v>174</v>
      </c>
      <c r="G1" s="84" t="s">
        <v>177</v>
      </c>
      <c r="H1" s="82"/>
      <c r="I1" s="82"/>
      <c r="J1" s="83"/>
      <c r="K1" s="82"/>
      <c r="L1" s="83"/>
      <c r="M1" s="82"/>
      <c r="N1" s="83"/>
      <c r="O1" s="82"/>
      <c r="P1" s="83"/>
      <c r="Q1" s="82"/>
      <c r="R1" s="83"/>
      <c r="S1" s="82"/>
      <c r="T1" s="83"/>
      <c r="U1" s="82"/>
      <c r="V1" s="83"/>
      <c r="W1" s="82"/>
      <c r="X1" s="83"/>
      <c r="Y1" s="82"/>
    </row>
    <row r="2" spans="1:25" ht="3" customHeight="1" x14ac:dyDescent="0.25">
      <c r="A2" s="45"/>
      <c r="B2" s="45"/>
      <c r="C2" s="45"/>
      <c r="D2" s="45"/>
      <c r="E2" s="45"/>
      <c r="F2" s="45"/>
      <c r="G2" s="45"/>
      <c r="H2" s="46"/>
      <c r="I2" s="75"/>
      <c r="J2" s="75"/>
      <c r="K2" s="75"/>
      <c r="L2" s="75"/>
      <c r="M2" s="75"/>
      <c r="N2" s="75"/>
      <c r="O2" s="75"/>
      <c r="P2" s="76"/>
      <c r="Q2" s="76"/>
      <c r="R2" s="47"/>
      <c r="S2" s="48"/>
      <c r="T2" s="47"/>
      <c r="U2" s="47"/>
      <c r="V2" s="47"/>
      <c r="W2" s="47"/>
      <c r="X2" s="47"/>
      <c r="Y2" s="47"/>
    </row>
    <row r="3" spans="1:25" ht="15" customHeight="1" x14ac:dyDescent="0.25">
      <c r="A3" s="45"/>
      <c r="B3" s="45"/>
      <c r="C3" s="45"/>
      <c r="D3" s="45"/>
      <c r="E3" s="45"/>
      <c r="F3" s="45"/>
      <c r="G3" s="45"/>
      <c r="H3" s="49"/>
      <c r="I3" s="75" t="str">
        <f ca="1">(LEFT($B$8,40)&amp;IF(LEN($B$8)&gt;40,"…",""))</f>
        <v>Primary Borrower Not Yet Specified</v>
      </c>
      <c r="J3" s="75"/>
      <c r="K3" s="75"/>
      <c r="L3" s="75"/>
      <c r="M3" s="75"/>
      <c r="N3" s="75"/>
      <c r="O3" s="75"/>
      <c r="P3" s="76"/>
      <c r="Q3" s="76"/>
      <c r="R3" s="76" t="s">
        <v>2140</v>
      </c>
      <c r="S3" s="133" t="str">
        <f>IF('$DB.DATA'!G11="RES",VLOOKUP("APP_PROGRESS_PCT_COMPLETE",DB_TBL_DATA_FIELDS[[FIELD_ID]:[FIELD_VALUE_CLEAN]],10,FALSE),"N/A")</f>
        <v>N/A</v>
      </c>
      <c r="T3" s="117" t="str">
        <f ca="1">IF(DATA_APP_PROGRESS_ERROR_COUNT&gt;0,0,IF(DATA_EFORM_COMPLETE_FLAG,2,""))</f>
        <v/>
      </c>
      <c r="U3" s="49"/>
      <c r="V3" s="50"/>
      <c r="W3" s="49"/>
      <c r="X3" s="50"/>
      <c r="Y3" s="49"/>
    </row>
    <row r="4" spans="1:25" ht="3" customHeight="1" x14ac:dyDescent="0.25">
      <c r="A4" s="45"/>
      <c r="B4" s="45"/>
      <c r="C4" s="45"/>
      <c r="D4" s="45"/>
      <c r="E4" s="45"/>
      <c r="F4" s="45"/>
      <c r="G4" s="45"/>
      <c r="H4" s="34"/>
      <c r="I4" s="85"/>
      <c r="J4" s="85"/>
      <c r="K4" s="85"/>
      <c r="L4" s="85"/>
      <c r="M4" s="85"/>
      <c r="N4" s="85"/>
      <c r="O4" s="85"/>
      <c r="P4" s="86"/>
      <c r="Q4" s="86"/>
      <c r="R4" s="87"/>
      <c r="S4" s="34"/>
      <c r="T4" s="87"/>
      <c r="U4" s="34"/>
      <c r="V4" s="87"/>
      <c r="W4" s="34"/>
      <c r="X4" s="87"/>
      <c r="Y4" s="34"/>
    </row>
    <row r="5" spans="1:25" ht="3.95" customHeight="1" x14ac:dyDescent="0.25">
      <c r="A5" s="45"/>
      <c r="B5" s="45"/>
      <c r="C5" s="45"/>
      <c r="D5" s="45"/>
      <c r="E5" s="45"/>
      <c r="F5" s="45"/>
      <c r="G5" s="45"/>
      <c r="H5" s="39"/>
      <c r="I5" s="79"/>
      <c r="J5" s="79"/>
      <c r="K5" s="79"/>
      <c r="L5" s="79"/>
      <c r="M5" s="79"/>
      <c r="N5" s="79"/>
      <c r="O5" s="79"/>
      <c r="P5" s="80"/>
      <c r="Q5" s="80"/>
    </row>
    <row r="6" spans="1:25" ht="18" customHeight="1" x14ac:dyDescent="0.25">
      <c r="A6" s="51" t="s">
        <v>32</v>
      </c>
      <c r="B6" s="94" t="str">
        <f>LOOKUP_PROGRAM_NAME_HDPPLUS&amp;" - "&amp;CONFIG_ENROLL_PERD_DESC</f>
        <v>Homebuyer Dream Program Plus - 2026 Round</v>
      </c>
      <c r="C6" s="51"/>
      <c r="D6" s="51"/>
      <c r="E6" s="51"/>
      <c r="F6" s="51"/>
      <c r="G6" s="51"/>
      <c r="H6" s="59" t="str">
        <f ca="1">B11</f>
        <v/>
      </c>
      <c r="I6" s="381" t="str">
        <f ca="1">B12</f>
        <v/>
      </c>
      <c r="J6" s="381"/>
      <c r="K6" s="381"/>
      <c r="L6" s="381"/>
      <c r="M6" s="381"/>
      <c r="N6" s="381"/>
      <c r="O6" s="381"/>
      <c r="P6" s="381"/>
      <c r="Q6" s="381"/>
      <c r="R6" s="381"/>
      <c r="S6" s="381"/>
      <c r="T6" s="381"/>
      <c r="U6" s="381"/>
      <c r="V6" s="381"/>
      <c r="W6" s="381"/>
      <c r="X6" s="381"/>
      <c r="Y6" s="381"/>
    </row>
    <row r="7" spans="1:25" ht="3.95" customHeight="1" x14ac:dyDescent="0.25">
      <c r="A7" s="51" t="s">
        <v>2205</v>
      </c>
      <c r="B7" s="94" t="str">
        <f>VLOOKUP(A7,DB_TBL_CONFIG_APP[#All],4,FALSE)</f>
        <v>New Household Reservation Request</v>
      </c>
      <c r="C7" s="51"/>
      <c r="D7" s="51"/>
      <c r="E7" s="51"/>
      <c r="F7" s="51"/>
      <c r="G7" s="51"/>
      <c r="H7" s="59"/>
      <c r="I7" s="59"/>
      <c r="J7" s="59"/>
      <c r="K7" s="59"/>
      <c r="L7" s="59"/>
      <c r="M7" s="59"/>
      <c r="N7" s="59"/>
      <c r="O7" s="59"/>
      <c r="P7" s="59"/>
      <c r="Q7" s="59"/>
      <c r="R7" s="59"/>
      <c r="S7" s="59"/>
      <c r="T7" s="59"/>
      <c r="U7" s="59"/>
      <c r="V7" s="59"/>
      <c r="W7" s="59"/>
      <c r="X7" s="59"/>
      <c r="Y7" s="59"/>
    </row>
    <row r="8" spans="1:25" s="36" customFormat="1" ht="21.95" customHeight="1" thickBot="1" x14ac:dyDescent="0.25">
      <c r="A8" s="51" t="s">
        <v>2351</v>
      </c>
      <c r="B8" s="94" t="str">
        <f ca="1">IF(DATA_PRIM_BORW_FULL_NAME="","Primary Borrower Not Yet Specified",DATA_PRIM_BORW_FULL_NAME)</f>
        <v>Primary Borrower Not Yet Specified</v>
      </c>
      <c r="C8" s="54"/>
      <c r="D8" s="54"/>
      <c r="E8" s="51"/>
      <c r="F8" s="51"/>
      <c r="G8" s="51"/>
      <c r="H8" s="59"/>
      <c r="I8" s="114" t="s">
        <v>2354</v>
      </c>
      <c r="J8" s="115"/>
      <c r="K8" s="115"/>
      <c r="L8" s="115"/>
      <c r="M8" s="115"/>
      <c r="N8" s="115"/>
      <c r="O8" s="115"/>
      <c r="P8" s="115"/>
      <c r="Q8" s="115"/>
      <c r="R8" s="115"/>
      <c r="S8" s="115"/>
      <c r="T8" s="115"/>
      <c r="U8" s="115"/>
      <c r="V8" s="115"/>
      <c r="W8" s="115"/>
      <c r="X8" s="115"/>
      <c r="Y8" s="59"/>
    </row>
    <row r="9" spans="1:25" s="36" customFormat="1" ht="99.75" customHeight="1" x14ac:dyDescent="0.25">
      <c r="A9" s="54" t="s">
        <v>2154</v>
      </c>
      <c r="B9" s="65">
        <f ca="1">SUM(B28,B62,B85,B109,B134)</f>
        <v>0</v>
      </c>
      <c r="C9" s="54"/>
      <c r="D9" s="54"/>
      <c r="E9" s="54"/>
      <c r="F9" s="54"/>
      <c r="G9" s="54"/>
      <c r="H9" s="59"/>
      <c r="I9" s="387" t="s">
        <v>9341</v>
      </c>
      <c r="J9" s="387"/>
      <c r="K9" s="387"/>
      <c r="L9" s="387"/>
      <c r="M9" s="387"/>
      <c r="N9" s="387"/>
      <c r="O9" s="387"/>
      <c r="P9" s="387"/>
      <c r="Q9" s="387"/>
      <c r="R9" s="387"/>
      <c r="S9" s="387"/>
      <c r="T9" s="387"/>
      <c r="U9" s="387"/>
      <c r="V9" s="387"/>
      <c r="W9" s="387"/>
      <c r="X9" s="387"/>
      <c r="Y9" s="59"/>
    </row>
    <row r="10" spans="1:25" s="36" customFormat="1" ht="9.9499999999999993" customHeight="1" x14ac:dyDescent="0.25">
      <c r="A10" s="54" t="s">
        <v>2155</v>
      </c>
      <c r="B10" s="65" t="b">
        <f ca="1">B9&gt;0</f>
        <v>0</v>
      </c>
      <c r="C10" s="54"/>
      <c r="D10" s="54"/>
      <c r="E10" s="54"/>
      <c r="F10" s="54"/>
      <c r="G10" s="54"/>
      <c r="H10" s="59"/>
      <c r="I10" s="59"/>
      <c r="J10" s="59"/>
      <c r="K10" s="59"/>
      <c r="L10" s="59"/>
      <c r="M10" s="59"/>
      <c r="N10" s="59"/>
      <c r="O10" s="59"/>
      <c r="P10" s="59"/>
      <c r="Q10" s="59"/>
      <c r="R10" s="59"/>
      <c r="S10" s="59"/>
      <c r="T10" s="59"/>
      <c r="U10" s="59"/>
      <c r="V10" s="59"/>
      <c r="W10" s="59"/>
      <c r="X10" s="59"/>
      <c r="Y10" s="59"/>
    </row>
    <row r="11" spans="1:25" s="36" customFormat="1" ht="21.95" customHeight="1" thickBot="1" x14ac:dyDescent="0.3">
      <c r="A11" s="54" t="s">
        <v>2156</v>
      </c>
      <c r="B11" s="65" t="str">
        <f ca="1">IF(B10,1,"")</f>
        <v/>
      </c>
      <c r="C11" s="54"/>
      <c r="D11" s="54"/>
      <c r="E11" s="54"/>
      <c r="F11" s="54"/>
      <c r="G11" s="54"/>
      <c r="H11" s="59"/>
      <c r="I11" s="114" t="s">
        <v>2879</v>
      </c>
      <c r="J11" s="115"/>
      <c r="K11" s="115"/>
      <c r="L11" s="115"/>
      <c r="M11" s="115"/>
      <c r="N11" s="115"/>
      <c r="O11" s="115"/>
      <c r="P11" s="115"/>
      <c r="Q11" s="115"/>
      <c r="R11" s="115"/>
      <c r="S11" s="115"/>
      <c r="T11" s="115"/>
      <c r="U11" s="115"/>
      <c r="V11" s="115"/>
      <c r="W11" s="115"/>
      <c r="X11" s="115"/>
      <c r="Y11" s="59"/>
    </row>
    <row r="12" spans="1:25" s="36" customFormat="1" ht="6.75" customHeight="1" x14ac:dyDescent="0.2">
      <c r="A12" s="54" t="s">
        <v>2157</v>
      </c>
      <c r="B12" s="94" t="str">
        <f ca="1">IF(B10,B9&amp;" "&amp;'$DB.CONFIG'!$M$4,"")</f>
        <v/>
      </c>
      <c r="C12" s="54"/>
      <c r="D12" s="54"/>
      <c r="E12" s="54"/>
      <c r="F12" s="54"/>
      <c r="G12" s="54"/>
      <c r="H12" s="59"/>
      <c r="I12" s="60"/>
      <c r="J12" s="59"/>
      <c r="K12" s="59"/>
      <c r="L12" s="59"/>
      <c r="M12" s="59"/>
      <c r="N12" s="59"/>
      <c r="O12" s="59"/>
      <c r="P12" s="59"/>
      <c r="Q12" s="59"/>
      <c r="R12" s="59"/>
      <c r="S12" s="59"/>
      <c r="T12" s="59"/>
      <c r="U12" s="59"/>
      <c r="V12" s="59"/>
      <c r="W12" s="59"/>
      <c r="X12" s="59"/>
      <c r="Y12" s="59"/>
    </row>
    <row r="13" spans="1:25" s="36" customFormat="1" ht="21.95" customHeight="1" x14ac:dyDescent="0.25">
      <c r="A13" s="54"/>
      <c r="B13" s="54"/>
      <c r="C13" s="54"/>
      <c r="D13" s="54"/>
      <c r="E13" s="54"/>
      <c r="F13" s="54"/>
      <c r="G13" s="54"/>
      <c r="H13"/>
      <c r="I13" s="53" t="s">
        <v>25</v>
      </c>
      <c r="J13" s="78">
        <f>1</f>
        <v>1</v>
      </c>
      <c r="K13" s="74"/>
      <c r="L13" s="74"/>
      <c r="M13" s="53" t="s">
        <v>2186</v>
      </c>
      <c r="N13" s="78">
        <f>2</f>
        <v>2</v>
      </c>
      <c r="Q13" s="53" t="s">
        <v>2187</v>
      </c>
      <c r="R13" s="78">
        <f>0</f>
        <v>0</v>
      </c>
      <c r="U13" s="384" t="s">
        <v>2188</v>
      </c>
      <c r="V13" s="385"/>
      <c r="W13" s="385"/>
      <c r="X13" s="386"/>
      <c r="Y13"/>
    </row>
    <row r="14" spans="1:25" s="36" customFormat="1" ht="21.95" customHeight="1" x14ac:dyDescent="0.25">
      <c r="A14" s="54"/>
      <c r="B14" s="54"/>
      <c r="C14" s="54"/>
      <c r="D14" s="54"/>
      <c r="E14" s="54"/>
      <c r="F14" s="54"/>
      <c r="G14" s="54"/>
      <c r="H14"/>
      <c r="I14"/>
      <c r="J14" s="44"/>
      <c r="K14"/>
      <c r="L14" s="44"/>
      <c r="M14"/>
      <c r="N14" s="44"/>
      <c r="O14"/>
      <c r="P14" s="44"/>
      <c r="Q14"/>
      <c r="R14" s="44"/>
      <c r="S14"/>
      <c r="T14" s="44"/>
      <c r="U14"/>
      <c r="V14" s="44"/>
      <c r="W14"/>
      <c r="X14" s="44"/>
      <c r="Y14"/>
    </row>
    <row r="15" spans="1:25" s="36" customFormat="1" ht="21.95" customHeight="1" thickBot="1" x14ac:dyDescent="0.3">
      <c r="A15" s="54"/>
      <c r="B15" s="54"/>
      <c r="C15" s="54"/>
      <c r="D15" s="54"/>
      <c r="E15" s="54"/>
      <c r="F15" s="54"/>
      <c r="G15" s="54"/>
      <c r="I15" s="55" t="s">
        <v>186</v>
      </c>
      <c r="J15" s="55"/>
      <c r="K15" s="55"/>
      <c r="L15" s="55"/>
      <c r="M15" s="55"/>
      <c r="N15" s="55"/>
      <c r="O15" s="55"/>
      <c r="P15" s="55"/>
      <c r="Q15" s="55"/>
      <c r="R15" s="55"/>
      <c r="S15" s="55"/>
      <c r="T15" s="55"/>
      <c r="U15" s="55"/>
      <c r="V15" s="55"/>
      <c r="W15" s="55"/>
      <c r="X15" s="56"/>
    </row>
    <row r="16" spans="1:25" s="36" customFormat="1" ht="21.95" customHeight="1" x14ac:dyDescent="0.25">
      <c r="A16" s="54"/>
      <c r="B16" s="54"/>
      <c r="C16" s="54"/>
      <c r="D16" s="54"/>
      <c r="E16" s="54"/>
      <c r="F16" s="54"/>
      <c r="G16" s="54"/>
      <c r="H16" s="57"/>
      <c r="I16" s="37"/>
      <c r="J16" s="37"/>
      <c r="K16" s="37"/>
      <c r="L16" s="37"/>
      <c r="M16" s="37"/>
      <c r="N16" s="37"/>
      <c r="O16" s="58"/>
      <c r="P16" s="58"/>
      <c r="Q16" s="37"/>
      <c r="R16" s="37"/>
      <c r="S16" s="37"/>
      <c r="T16" s="37"/>
      <c r="U16" s="37"/>
      <c r="V16" s="37"/>
      <c r="W16" s="37"/>
      <c r="X16" s="37"/>
    </row>
    <row r="17" spans="1:25" s="36" customFormat="1" ht="21.95" customHeight="1" x14ac:dyDescent="0.25">
      <c r="A17" s="54"/>
      <c r="B17" s="54"/>
      <c r="C17" s="54"/>
      <c r="D17" s="54"/>
      <c r="E17" s="54"/>
      <c r="F17" s="54"/>
      <c r="G17" s="54"/>
      <c r="I17" s="382" t="str">
        <f>"1     "&amp;VLOOKUP("SECTION_1_TOC_LABEL",A:B,2,FALSE)</f>
        <v>1     FHLBNY Member</v>
      </c>
      <c r="J17" s="382"/>
      <c r="K17" s="382"/>
      <c r="L17" s="382"/>
      <c r="M17" s="382"/>
      <c r="N17" s="59" t="str">
        <f>IF($B$29,1,"")</f>
        <v/>
      </c>
      <c r="O17" s="73" t="str">
        <f ca="1">$B$25</f>
        <v>Not Started</v>
      </c>
      <c r="P17" s="59" t="str">
        <f ca="1">B26</f>
        <v/>
      </c>
      <c r="Q17" s="383" t="str">
        <f>"4     "&amp;VLOOKUP("SECTION_4_TOC_LABEL",A:B,2,FALSE)</f>
        <v>4     Purchase Property</v>
      </c>
      <c r="R17" s="383"/>
      <c r="S17" s="383"/>
      <c r="T17" s="383"/>
      <c r="U17" s="383"/>
      <c r="V17" s="59" t="str">
        <f ca="1">IF($B$110,1,"")</f>
        <v/>
      </c>
      <c r="W17" s="73" t="str">
        <f ca="1">$B$105</f>
        <v>Not Started</v>
      </c>
      <c r="X17" s="59" t="str">
        <f ca="1">$B106</f>
        <v/>
      </c>
    </row>
    <row r="18" spans="1:25" s="36" customFormat="1" ht="21.95" customHeight="1" x14ac:dyDescent="0.25">
      <c r="A18" s="91" t="s">
        <v>118</v>
      </c>
      <c r="B18" s="93" t="s">
        <v>2832</v>
      </c>
      <c r="C18" s="92"/>
      <c r="D18" s="92"/>
      <c r="E18" s="92"/>
      <c r="F18" s="92"/>
      <c r="G18" s="92"/>
      <c r="I18" s="382" t="str">
        <f>"2     "&amp;VLOOKUP("SECTION_2_TOC_LABEL",A:B,2,FALSE)</f>
        <v>2     Household Information</v>
      </c>
      <c r="J18" s="382"/>
      <c r="K18" s="382"/>
      <c r="L18" s="382"/>
      <c r="M18" s="382"/>
      <c r="N18" s="59" t="str">
        <f ca="1">IF($B$63,1,"")</f>
        <v/>
      </c>
      <c r="O18" s="73" t="str">
        <f ca="1">$B$58</f>
        <v>Not Started</v>
      </c>
      <c r="P18" s="59" t="str">
        <f ca="1">B59</f>
        <v/>
      </c>
      <c r="Q18" s="383" t="str">
        <f>"5    "&amp;VLOOKUP("SECTION_5_TOC_LABEL",A:B,2,FALSE)</f>
        <v>5    Household Qualification</v>
      </c>
      <c r="R18" s="383"/>
      <c r="S18" s="383"/>
      <c r="T18" s="383"/>
      <c r="U18" s="383"/>
      <c r="V18" s="59" t="str">
        <f ca="1">IF($B$135,1,"")</f>
        <v/>
      </c>
      <c r="W18" s="73" t="str">
        <f ca="1">$B$130</f>
        <v>Not Started</v>
      </c>
      <c r="X18" s="59" t="str">
        <f ca="1">$B131</f>
        <v/>
      </c>
    </row>
    <row r="19" spans="1:25" s="36" customFormat="1" ht="21.95" customHeight="1" x14ac:dyDescent="0.25">
      <c r="A19" s="61" t="s">
        <v>2221</v>
      </c>
      <c r="B19" s="95" t="str">
        <f>IF(I24="","",I24)</f>
        <v/>
      </c>
      <c r="C19" s="54">
        <f ca="1">VLOOKUP(A19,DB_TBL_DATA_FIELDS[[FIELD_ID]:[PCT_CALC_FIELD_STATUS_CODE]],22,FALSE)</f>
        <v>1</v>
      </c>
      <c r="D19" s="54" t="str">
        <f>IF(VLOOKUP(A19,DB_TBL_DATA_FIELDS[[FIELD_ID]:[ERROR_MESSAGE]],23,FALSE)&lt;&gt;0,VLOOKUP(A19,DB_TBL_DATA_FIELDS[[FIELD_ID]:[ERROR_MESSAGE]],23,FALSE),"")</f>
        <v/>
      </c>
      <c r="E19" s="54">
        <f>VLOOKUP(A19,DB_TBL_DATA_FIELDS[[#All],[FIELD_ID]:[RANGE_VALIDATION_MAX]],18,FALSE)</f>
        <v>0</v>
      </c>
      <c r="F19" s="54">
        <f>VLOOKUP(A19,DB_TBL_DATA_FIELDS[[#All],[FIELD_ID]:[RANGE_VALIDATION_MAX]],19,FALSE)</f>
        <v>100</v>
      </c>
      <c r="G19" s="54">
        <f ca="1">IF(C19&lt;0,"",C19)</f>
        <v>1</v>
      </c>
      <c r="I19" s="382" t="str">
        <f>"3     "&amp;VLOOKUP("SECTION_3_TOC_LABEL",A:B,2,FALSE)</f>
        <v>3     Grant Summary</v>
      </c>
      <c r="J19" s="382"/>
      <c r="K19" s="382"/>
      <c r="L19" s="382"/>
      <c r="M19" s="382"/>
      <c r="N19" s="59" t="str">
        <f ca="1">IF($B$86,1,"")</f>
        <v/>
      </c>
      <c r="O19" s="73" t="str">
        <f ca="1">$B$81</f>
        <v>Not Started</v>
      </c>
      <c r="P19" s="59" t="str">
        <f ca="1">B82</f>
        <v/>
      </c>
      <c r="Q19" s="383" t="str">
        <f>"6    "&amp;VLOOKUP("SECTION_6_TOC_LABEL",A:B,2,FALSE)</f>
        <v>6    Member Certification</v>
      </c>
      <c r="R19" s="383"/>
      <c r="S19" s="383"/>
      <c r="T19" s="383"/>
      <c r="U19" s="383"/>
      <c r="V19" s="59" t="str">
        <f>IF($B$151,1,"")</f>
        <v/>
      </c>
      <c r="W19" s="73" t="str">
        <f ca="1">$B$147</f>
        <v>Not Started</v>
      </c>
      <c r="X19" s="59" t="str">
        <f ca="1">$B148</f>
        <v/>
      </c>
    </row>
    <row r="20" spans="1:25" s="36" customFormat="1" ht="21.95" customHeight="1" x14ac:dyDescent="0.25">
      <c r="A20" s="61" t="s">
        <v>117</v>
      </c>
      <c r="B20" s="65" t="str">
        <f>"C"&amp;MATCH(LEFT(A20,LEN(A20)-LEN("_RANGE")),A:A,0)+1&amp;":C"&amp;(ROW()-1)</f>
        <v>C19:C19</v>
      </c>
      <c r="C20" s="54"/>
      <c r="D20" s="54"/>
      <c r="E20" s="54"/>
      <c r="F20" s="54"/>
      <c r="G20" s="54"/>
      <c r="J20" s="44"/>
      <c r="L20" s="44"/>
      <c r="N20" s="44"/>
      <c r="P20" s="44"/>
      <c r="R20" s="44"/>
      <c r="T20" s="44"/>
      <c r="V20" s="44"/>
      <c r="X20" s="44"/>
    </row>
    <row r="21" spans="1:25" s="36" customFormat="1" ht="21.95" customHeight="1" thickBot="1" x14ac:dyDescent="0.3">
      <c r="A21" s="61" t="s">
        <v>111</v>
      </c>
      <c r="B21" s="65">
        <f ca="1">COUNTIF(INDIRECT($B20),2)</f>
        <v>0</v>
      </c>
      <c r="C21" s="54"/>
      <c r="D21" s="54"/>
      <c r="E21" s="54"/>
      <c r="F21" s="54"/>
      <c r="G21" s="54"/>
      <c r="H21" s="37"/>
      <c r="I21" s="55" t="str">
        <f>B18</f>
        <v>Federal Home Loan Bank of New York Member</v>
      </c>
      <c r="J21" s="55"/>
      <c r="K21" s="55"/>
      <c r="L21" s="55"/>
      <c r="M21" s="55"/>
      <c r="N21" s="55"/>
      <c r="O21" s="55"/>
      <c r="P21" s="55"/>
      <c r="Q21" s="55"/>
      <c r="R21" s="55"/>
      <c r="S21" s="55"/>
      <c r="T21" s="55"/>
      <c r="U21" s="55"/>
      <c r="V21" s="55"/>
      <c r="W21" s="55"/>
      <c r="X21" s="56" t="str">
        <f ca="1">"Status: "&amp;$B$25</f>
        <v>Status: Not Started</v>
      </c>
      <c r="Y21" s="37"/>
    </row>
    <row r="22" spans="1:25" s="36" customFormat="1" ht="21.95" customHeight="1" x14ac:dyDescent="0.25">
      <c r="A22" s="61" t="s">
        <v>112</v>
      </c>
      <c r="B22" s="65">
        <f ca="1">COUNTIF(INDIRECT($B20),0)+COUNTIF(INDIRECT($B20),1)+COUNTIF(INDIRECT($B20),2)</f>
        <v>1</v>
      </c>
      <c r="C22" s="54"/>
      <c r="D22" s="54"/>
      <c r="E22" s="54"/>
      <c r="F22" s="54"/>
      <c r="G22" s="54"/>
      <c r="H22" s="37"/>
      <c r="I22" s="37"/>
      <c r="J22" s="37"/>
      <c r="K22" s="37"/>
      <c r="L22" s="37"/>
      <c r="M22" s="37"/>
      <c r="N22" s="37"/>
      <c r="O22" s="37"/>
      <c r="P22" s="37"/>
      <c r="Q22" s="37"/>
      <c r="R22" s="37"/>
      <c r="S22" s="37"/>
      <c r="T22" s="37"/>
      <c r="U22" s="37"/>
      <c r="V22" s="37"/>
      <c r="W22" s="37"/>
      <c r="X22" s="37"/>
      <c r="Y22" s="37"/>
    </row>
    <row r="23" spans="1:25" s="36" customFormat="1" ht="21.95" customHeight="1" x14ac:dyDescent="0.25">
      <c r="A23" s="61" t="s">
        <v>113</v>
      </c>
      <c r="B23" s="65">
        <f ca="1">COUNTIF(INDIRECT($B20),0)</f>
        <v>0</v>
      </c>
      <c r="C23" s="54"/>
      <c r="D23" s="54"/>
      <c r="E23" s="54"/>
      <c r="F23" s="54"/>
      <c r="G23" s="54"/>
      <c r="I23" s="36" t="s">
        <v>129</v>
      </c>
      <c r="J23" s="44"/>
      <c r="L23" s="44"/>
      <c r="N23" s="44"/>
      <c r="P23" s="44"/>
      <c r="R23" s="44"/>
      <c r="T23" s="44"/>
    </row>
    <row r="24" spans="1:25" s="36" customFormat="1" ht="21.95" customHeight="1" x14ac:dyDescent="0.25">
      <c r="A24" s="61" t="s">
        <v>114</v>
      </c>
      <c r="B24" s="97">
        <f ca="1">IFERROR(B21/B22,1.01)</f>
        <v>0</v>
      </c>
      <c r="C24" s="54"/>
      <c r="D24" s="54"/>
      <c r="E24" s="54"/>
      <c r="F24" s="54"/>
      <c r="G24" s="54"/>
      <c r="I24" s="316"/>
      <c r="J24" s="317"/>
      <c r="K24" s="317"/>
      <c r="L24" s="317"/>
      <c r="M24" s="317"/>
      <c r="N24" s="317"/>
      <c r="O24" s="317"/>
      <c r="P24" s="317"/>
      <c r="Q24" s="317"/>
      <c r="R24" s="317"/>
      <c r="S24" s="317"/>
      <c r="T24" s="317"/>
      <c r="U24" s="317"/>
      <c r="V24" s="317"/>
      <c r="W24" s="318"/>
      <c r="X24" s="52">
        <f ca="1">$G19</f>
        <v>1</v>
      </c>
    </row>
    <row r="25" spans="1:25" s="36" customFormat="1" ht="21.95" customHeight="1" x14ac:dyDescent="0.25">
      <c r="A25" s="61" t="s">
        <v>115</v>
      </c>
      <c r="B25" s="65" t="str">
        <f ca="1">IF(B23&gt;0,"Data Error(s)",IF(B24=0,"Not Started",IF(B24&lt;1,ROUNDUP(B24*100,0)&amp;"% Done",IF(B24&gt;1,"Optional","Complete"))))</f>
        <v>Not Started</v>
      </c>
      <c r="C25" s="54"/>
      <c r="D25" s="54"/>
      <c r="E25" s="54"/>
      <c r="F25" s="54"/>
      <c r="G25" s="54"/>
      <c r="I25" s="154"/>
      <c r="J25" s="154"/>
      <c r="K25" s="154"/>
      <c r="L25" s="154"/>
      <c r="M25" s="154"/>
      <c r="N25" s="154"/>
      <c r="O25" s="154"/>
      <c r="P25" s="154"/>
      <c r="Q25" s="154"/>
      <c r="R25" s="154"/>
      <c r="S25" s="154"/>
      <c r="T25" s="154"/>
      <c r="U25" s="154"/>
      <c r="V25" s="154"/>
      <c r="W25" s="154"/>
      <c r="X25" s="52"/>
    </row>
    <row r="26" spans="1:25" s="36" customFormat="1" ht="21.95" customHeight="1" thickBot="1" x14ac:dyDescent="0.3">
      <c r="A26" s="61" t="s">
        <v>116</v>
      </c>
      <c r="B26" s="65" t="str">
        <f ca="1">IF(B23&gt;0,0,IF(B24&lt;1,"",2))</f>
        <v/>
      </c>
      <c r="C26" s="54"/>
      <c r="D26" s="54"/>
      <c r="E26" s="54"/>
      <c r="F26" s="54"/>
      <c r="G26" s="54"/>
      <c r="I26" s="55" t="str">
        <f>B30</f>
        <v>Household Information</v>
      </c>
      <c r="J26" s="55"/>
      <c r="K26" s="55"/>
      <c r="L26" s="55"/>
      <c r="M26" s="55"/>
      <c r="N26" s="55"/>
      <c r="O26" s="55"/>
      <c r="P26" s="55"/>
      <c r="Q26" s="55"/>
      <c r="R26" s="55"/>
      <c r="S26" s="55"/>
      <c r="T26" s="55"/>
      <c r="U26" s="55"/>
      <c r="V26" s="55"/>
      <c r="W26" s="55"/>
      <c r="X26" s="56" t="str">
        <f ca="1">"Status: "&amp;$B$58</f>
        <v>Status: Not Started</v>
      </c>
    </row>
    <row r="27" spans="1:25" s="36" customFormat="1" ht="21.95" customHeight="1" x14ac:dyDescent="0.25">
      <c r="A27" s="61" t="s">
        <v>119</v>
      </c>
      <c r="B27" s="96" t="s">
        <v>2833</v>
      </c>
      <c r="C27" s="54"/>
      <c r="D27" s="54"/>
      <c r="E27" s="54"/>
      <c r="F27" s="54"/>
      <c r="G27" s="54"/>
      <c r="J27" s="44"/>
      <c r="L27" s="44"/>
      <c r="N27" s="44"/>
      <c r="P27" s="44"/>
      <c r="R27" s="44"/>
      <c r="T27" s="44"/>
      <c r="V27" s="44"/>
      <c r="X27" s="44"/>
    </row>
    <row r="28" spans="1:25" s="36" customFormat="1" ht="21.95" customHeight="1" x14ac:dyDescent="0.25">
      <c r="A28" s="77" t="s">
        <v>2144</v>
      </c>
      <c r="B28" s="65">
        <v>0</v>
      </c>
      <c r="C28" s="54"/>
      <c r="D28" s="54"/>
      <c r="E28" s="54"/>
      <c r="F28" s="54"/>
      <c r="G28" s="54"/>
      <c r="J28" s="44"/>
      <c r="L28" s="44"/>
      <c r="N28" s="44"/>
      <c r="P28" s="44"/>
      <c r="R28" s="44"/>
      <c r="T28" s="44"/>
      <c r="V28" s="44"/>
      <c r="W28" s="217" t="str">
        <f ca="1">$B$61</f>
        <v/>
      </c>
      <c r="X28" s="52" t="str">
        <f ca="1">IF(C61=1,1,"")</f>
        <v/>
      </c>
    </row>
    <row r="29" spans="1:25" s="36" customFormat="1" ht="21.95" customHeight="1" x14ac:dyDescent="0.25">
      <c r="A29" s="77" t="s">
        <v>2145</v>
      </c>
      <c r="B29" s="65" t="b">
        <f>(B28&gt;0)</f>
        <v>0</v>
      </c>
      <c r="C29" s="54"/>
      <c r="D29" s="54"/>
      <c r="E29" s="54"/>
      <c r="F29" s="54"/>
      <c r="G29" s="54"/>
      <c r="I29" s="63" t="s">
        <v>2362</v>
      </c>
      <c r="J29" s="44"/>
      <c r="K29"/>
      <c r="L29" s="62"/>
      <c r="M29" s="62"/>
      <c r="N29" s="62"/>
      <c r="O29"/>
      <c r="P29" s="44"/>
      <c r="W29" s="40"/>
      <c r="X29" s="52">
        <f ca="1">G33</f>
        <v>1</v>
      </c>
    </row>
    <row r="30" spans="1:25" s="36" customFormat="1" ht="21.95" customHeight="1" x14ac:dyDescent="0.25">
      <c r="A30" s="91" t="s">
        <v>120</v>
      </c>
      <c r="B30" s="93" t="s">
        <v>2355</v>
      </c>
      <c r="C30" s="92"/>
      <c r="D30" s="92"/>
      <c r="E30" s="92"/>
      <c r="F30" s="92"/>
      <c r="G30" s="92"/>
      <c r="J30" s="44"/>
      <c r="L30" s="44"/>
      <c r="N30" s="44"/>
      <c r="P30" s="44"/>
      <c r="R30" s="44"/>
      <c r="T30" s="44"/>
      <c r="V30" s="44"/>
      <c r="X30" s="44"/>
    </row>
    <row r="31" spans="1:25" s="36" customFormat="1" ht="21.95" customHeight="1" thickBot="1" x14ac:dyDescent="0.3">
      <c r="A31" s="244" t="s">
        <v>2344</v>
      </c>
      <c r="B31" s="245" t="str">
        <f>""</f>
        <v/>
      </c>
      <c r="C31" s="245" t="str">
        <f>VLOOKUP(A31,DB_TBL_DATA_FIELDS[[FIELD_ID]:[PCT_CALC_FIELD_STATUS_CODE]],22,FALSE)</f>
        <v/>
      </c>
      <c r="D31" s="245" t="str">
        <f>IF(VLOOKUP(A31,DB_TBL_DATA_FIELDS[[FIELD_ID]:[ERROR_MESSAGE]],23,FALSE)&lt;&gt;0,VLOOKUP(A31,DB_TBL_DATA_FIELDS[[FIELD_ID]:[ERROR_MESSAGE]],23,FALSE),"")</f>
        <v/>
      </c>
      <c r="E31" s="245">
        <f>VLOOKUP(A31,DB_TBL_DATA_FIELDS[[#All],[FIELD_ID]:[RANGE_VALIDATION_MAX]],18,FALSE)</f>
        <v>0</v>
      </c>
      <c r="F31" s="245">
        <f>VLOOKUP(A31,DB_TBL_DATA_FIELDS[[#All],[FIELD_ID]:[RANGE_VALIDATION_MAX]],19,FALSE)</f>
        <v>0</v>
      </c>
      <c r="G31" s="245" t="str">
        <f t="shared" ref="G31:G52" si="0">IF(C31&lt;0,"",C31)</f>
        <v/>
      </c>
      <c r="I31" s="64" t="s">
        <v>2363</v>
      </c>
      <c r="J31" s="64"/>
      <c r="K31" s="64"/>
      <c r="L31" s="64"/>
      <c r="M31" s="64"/>
      <c r="N31" s="64"/>
      <c r="O31" s="64"/>
      <c r="P31" s="64"/>
      <c r="Q31" s="64"/>
      <c r="R31" s="64"/>
      <c r="S31" s="64"/>
      <c r="T31" s="64"/>
      <c r="U31" s="64"/>
      <c r="V31" s="64"/>
      <c r="W31" s="64"/>
      <c r="X31" s="64"/>
    </row>
    <row r="32" spans="1:25" s="36" customFormat="1" ht="21.95" customHeight="1" thickTop="1" x14ac:dyDescent="0.25">
      <c r="A32" s="244" t="s">
        <v>2346</v>
      </c>
      <c r="B32" s="245" t="str">
        <f>""</f>
        <v/>
      </c>
      <c r="C32" s="245" t="str">
        <f>VLOOKUP(A32,DB_TBL_DATA_FIELDS[[FIELD_ID]:[PCT_CALC_FIELD_STATUS_CODE]],22,FALSE)</f>
        <v/>
      </c>
      <c r="D32" s="245" t="str">
        <f>IF(VLOOKUP(A32,DB_TBL_DATA_FIELDS[[FIELD_ID]:[ERROR_MESSAGE]],23,FALSE)&lt;&gt;0,VLOOKUP(A32,DB_TBL_DATA_FIELDS[[FIELD_ID]:[ERROR_MESSAGE]],23,FALSE),"")</f>
        <v/>
      </c>
      <c r="E32" s="245" t="str">
        <f>VLOOKUP(A32,DB_TBL_DATA_FIELDS[[#All],[FIELD_ID]:[RANGE_VALIDATION_MAX]],18,FALSE)</f>
        <v/>
      </c>
      <c r="F32" s="245">
        <f>VLOOKUP(A32,DB_TBL_DATA_FIELDS[[#All],[FIELD_ID]:[RANGE_VALIDATION_MAX]],19,FALSE)</f>
        <v>99999</v>
      </c>
      <c r="G32" s="245" t="str">
        <f t="shared" si="0"/>
        <v/>
      </c>
      <c r="J32" s="44"/>
      <c r="L32" s="44"/>
      <c r="N32" s="44"/>
      <c r="P32" s="44"/>
      <c r="R32" s="44"/>
      <c r="T32" s="44"/>
      <c r="V32" s="44"/>
      <c r="X32" s="44"/>
    </row>
    <row r="33" spans="1:25" s="36" customFormat="1" ht="21.95" customHeight="1" x14ac:dyDescent="0.25">
      <c r="A33" s="61" t="s">
        <v>2236</v>
      </c>
      <c r="B33" s="95" t="str">
        <f>IF(W29="","",IF(UPPER(W29)="YES",TRUE,FALSE))</f>
        <v/>
      </c>
      <c r="C33" s="54">
        <f ca="1">VLOOKUP(A33,DB_TBL_DATA_FIELDS[[FIELD_ID]:[PCT_CALC_FIELD_STATUS_CODE]],22,FALSE)</f>
        <v>1</v>
      </c>
      <c r="D33" s="54" t="str">
        <f>IF(VLOOKUP(A33,DB_TBL_DATA_FIELDS[[FIELD_ID]:[ERROR_MESSAGE]],23,FALSE)&lt;&gt;0,VLOOKUP(A33,DB_TBL_DATA_FIELDS[[FIELD_ID]:[ERROR_MESSAGE]],23,FALSE),"")</f>
        <v/>
      </c>
      <c r="E33" s="54">
        <f>VLOOKUP(A33,DB_TBL_DATA_FIELDS[[#All],[FIELD_ID]:[RANGE_VALIDATION_MAX]],18,FALSE)</f>
        <v>0</v>
      </c>
      <c r="F33" s="54">
        <f>VLOOKUP(A33,DB_TBL_DATA_FIELDS[[#All],[FIELD_ID]:[RANGE_VALIDATION_MAX]],19,FALSE)</f>
        <v>0</v>
      </c>
      <c r="G33" s="54">
        <f t="shared" ca="1" si="0"/>
        <v>1</v>
      </c>
      <c r="I33" s="341" t="s">
        <v>2366</v>
      </c>
      <c r="J33" s="342"/>
      <c r="K33" s="343" t="s">
        <v>2367</v>
      </c>
      <c r="L33" s="343"/>
      <c r="M33" s="343" t="s">
        <v>2360</v>
      </c>
      <c r="N33" s="343"/>
      <c r="O33" s="343"/>
      <c r="P33" s="343"/>
      <c r="Q33" s="344" t="s">
        <v>2361</v>
      </c>
      <c r="R33" s="345"/>
      <c r="S33" s="345"/>
      <c r="T33" s="345"/>
      <c r="U33" s="345"/>
      <c r="V33" s="346"/>
      <c r="W33" s="341" t="s">
        <v>2372</v>
      </c>
      <c r="X33" s="342"/>
      <c r="Y33"/>
    </row>
    <row r="34" spans="1:25" s="36" customFormat="1" ht="21.95" customHeight="1" x14ac:dyDescent="0.25">
      <c r="A34" s="61" t="s">
        <v>2237</v>
      </c>
      <c r="B34" s="95" t="str">
        <f>IF(K34&lt;&gt;"",K34,"")</f>
        <v/>
      </c>
      <c r="C34" s="54">
        <f ca="1">VLOOKUP(A34,DB_TBL_DATA_FIELDS[[FIELD_ID]:[PCT_CALC_FIELD_STATUS_CODE]],22,FALSE)</f>
        <v>-1</v>
      </c>
      <c r="D34" s="54" t="str">
        <f>IF(VLOOKUP(A34,DB_TBL_DATA_FIELDS[[FIELD_ID]:[ERROR_MESSAGE]],23,FALSE)&lt;&gt;0,VLOOKUP(A34,DB_TBL_DATA_FIELDS[[FIELD_ID]:[ERROR_MESSAGE]],23,FALSE),"")</f>
        <v/>
      </c>
      <c r="E34" s="54">
        <f>VLOOKUP(A34,DB_TBL_DATA_FIELDS[[#All],[FIELD_ID]:[RANGE_VALIDATION_MAX]],18,FALSE)</f>
        <v>0</v>
      </c>
      <c r="F34" s="54">
        <f>VLOOKUP(A34,DB_TBL_DATA_FIELDS[[#All],[FIELD_ID]:[RANGE_VALIDATION_MAX]],19,FALSE)</f>
        <v>10</v>
      </c>
      <c r="G34" s="54" t="str">
        <f t="shared" ca="1" si="0"/>
        <v/>
      </c>
      <c r="I34" s="379" t="s">
        <v>2364</v>
      </c>
      <c r="J34" s="380"/>
      <c r="K34" s="113"/>
      <c r="L34" s="66" t="str">
        <f ca="1">G34</f>
        <v/>
      </c>
      <c r="M34" s="316"/>
      <c r="N34" s="317"/>
      <c r="O34" s="317"/>
      <c r="P34" s="66">
        <f ca="1">G35</f>
        <v>1</v>
      </c>
      <c r="Q34" s="347"/>
      <c r="R34" s="348"/>
      <c r="S34" s="348"/>
      <c r="T34" s="348"/>
      <c r="U34" s="348"/>
      <c r="V34" s="66">
        <f ca="1">G36</f>
        <v>1</v>
      </c>
      <c r="W34" s="112"/>
      <c r="X34" s="66">
        <f ca="1">G37</f>
        <v>1</v>
      </c>
      <c r="Y34"/>
    </row>
    <row r="35" spans="1:25" s="36" customFormat="1" ht="21.95" customHeight="1" x14ac:dyDescent="0.25">
      <c r="A35" s="61" t="s">
        <v>2238</v>
      </c>
      <c r="B35" s="95" t="str">
        <f>IF(M34&lt;&gt;"",M34,"")</f>
        <v/>
      </c>
      <c r="C35" s="54">
        <f ca="1">VLOOKUP(A35,DB_TBL_DATA_FIELDS[[FIELD_ID]:[PCT_CALC_FIELD_STATUS_CODE]],22,FALSE)</f>
        <v>1</v>
      </c>
      <c r="D35" s="54" t="str">
        <f>IF(VLOOKUP(A35,DB_TBL_DATA_FIELDS[[FIELD_ID]:[ERROR_MESSAGE]],23,FALSE)&lt;&gt;0,VLOOKUP(A35,DB_TBL_DATA_FIELDS[[FIELD_ID]:[ERROR_MESSAGE]],23,FALSE),"")</f>
        <v/>
      </c>
      <c r="E35" s="54">
        <f>VLOOKUP(A35,DB_TBL_DATA_FIELDS[[#All],[FIELD_ID]:[RANGE_VALIDATION_MAX]],18,FALSE)</f>
        <v>0</v>
      </c>
      <c r="F35" s="54">
        <f>VLOOKUP(A35,DB_TBL_DATA_FIELDS[[#All],[FIELD_ID]:[RANGE_VALIDATION_MAX]],19,FALSE)</f>
        <v>30</v>
      </c>
      <c r="G35" s="54">
        <f t="shared" ca="1" si="0"/>
        <v>1</v>
      </c>
      <c r="I35" s="379" t="s">
        <v>2359</v>
      </c>
      <c r="J35" s="380"/>
      <c r="K35" s="113"/>
      <c r="L35" s="66" t="str">
        <f ca="1">G38</f>
        <v/>
      </c>
      <c r="M35" s="316"/>
      <c r="N35" s="317"/>
      <c r="O35" s="317"/>
      <c r="P35" s="66" t="str">
        <f ca="1">G39</f>
        <v/>
      </c>
      <c r="Q35" s="347"/>
      <c r="R35" s="348"/>
      <c r="S35" s="348"/>
      <c r="T35" s="348"/>
      <c r="U35" s="348"/>
      <c r="V35" s="66" t="str">
        <f ca="1">G40</f>
        <v/>
      </c>
      <c r="W35" s="118"/>
      <c r="X35" s="66" t="str">
        <f ca="1">G41</f>
        <v/>
      </c>
      <c r="Y35"/>
    </row>
    <row r="36" spans="1:25" s="36" customFormat="1" ht="21.95" customHeight="1" x14ac:dyDescent="0.25">
      <c r="A36" s="61" t="s">
        <v>2239</v>
      </c>
      <c r="B36" s="95" t="str">
        <f>IF(Q34&lt;&gt;"",Q34,"")</f>
        <v/>
      </c>
      <c r="C36" s="54">
        <f ca="1">VLOOKUP(A36,DB_TBL_DATA_FIELDS[[FIELD_ID]:[PCT_CALC_FIELD_STATUS_CODE]],22,FALSE)</f>
        <v>1</v>
      </c>
      <c r="D36" s="54" t="str">
        <f>IF(VLOOKUP(A36,DB_TBL_DATA_FIELDS[[FIELD_ID]:[ERROR_MESSAGE]],23,FALSE)&lt;&gt;0,VLOOKUP(A36,DB_TBL_DATA_FIELDS[[FIELD_ID]:[ERROR_MESSAGE]],23,FALSE),"")</f>
        <v/>
      </c>
      <c r="E36" s="54">
        <f>VLOOKUP(A36,DB_TBL_DATA_FIELDS[[#All],[FIELD_ID]:[RANGE_VALIDATION_MAX]],18,FALSE)</f>
        <v>0</v>
      </c>
      <c r="F36" s="54">
        <f>VLOOKUP(A36,DB_TBL_DATA_FIELDS[[#All],[FIELD_ID]:[RANGE_VALIDATION_MAX]],19,FALSE)</f>
        <v>30</v>
      </c>
      <c r="G36" s="54">
        <f t="shared" ca="1" si="0"/>
        <v>1</v>
      </c>
      <c r="I36" s="379" t="s">
        <v>2365</v>
      </c>
      <c r="J36" s="380"/>
      <c r="K36" s="113"/>
      <c r="L36" s="66" t="str">
        <f ca="1">G42</f>
        <v/>
      </c>
      <c r="M36" s="316"/>
      <c r="N36" s="317"/>
      <c r="O36" s="317"/>
      <c r="P36" s="66" t="str">
        <f ca="1">G43</f>
        <v/>
      </c>
      <c r="Q36" s="377"/>
      <c r="R36" s="378"/>
      <c r="S36" s="378"/>
      <c r="T36" s="378"/>
      <c r="U36" s="378"/>
      <c r="V36" s="66" t="str">
        <f ca="1">G44</f>
        <v/>
      </c>
      <c r="W36" s="118"/>
      <c r="X36" s="66" t="str">
        <f ca="1">G45</f>
        <v/>
      </c>
      <c r="Y36"/>
    </row>
    <row r="37" spans="1:25" s="36" customFormat="1" ht="21.95" customHeight="1" x14ac:dyDescent="0.25">
      <c r="A37" s="61" t="s">
        <v>2240</v>
      </c>
      <c r="B37" s="95" t="str">
        <f>IF(W34&lt;&gt;"",W34,"")</f>
        <v/>
      </c>
      <c r="C37" s="54">
        <f ca="1">VLOOKUP(A37,DB_TBL_DATA_FIELDS[[FIELD_ID]:[PCT_CALC_FIELD_STATUS_CODE]],22,FALSE)</f>
        <v>1</v>
      </c>
      <c r="D37" s="54" t="str">
        <f>IF(VLOOKUP(A37,DB_TBL_DATA_FIELDS[[FIELD_ID]:[ERROR_MESSAGE]],23,FALSE)&lt;&gt;0,VLOOKUP(A37,DB_TBL_DATA_FIELDS[[FIELD_ID]:[ERROR_MESSAGE]],23,FALSE),"")</f>
        <v/>
      </c>
      <c r="E37" s="54">
        <f>VLOOKUP(A37,DB_TBL_DATA_FIELDS[[#All],[FIELD_ID]:[RANGE_VALIDATION_MAX]],18,FALSE)</f>
        <v>0</v>
      </c>
      <c r="F37" s="54">
        <f>VLOOKUP(A37,DB_TBL_DATA_FIELDS[[#All],[FIELD_ID]:[RANGE_VALIDATION_MAX]],19,FALSE)</f>
        <v>25</v>
      </c>
      <c r="G37" s="54">
        <f t="shared" ca="1" si="0"/>
        <v>1</v>
      </c>
      <c r="J37" s="44"/>
      <c r="L37" s="44"/>
      <c r="N37" s="44"/>
      <c r="P37" s="44"/>
      <c r="R37" s="44"/>
      <c r="T37" s="44"/>
      <c r="V37" s="44"/>
      <c r="X37" s="44"/>
    </row>
    <row r="38" spans="1:25" ht="21.95" customHeight="1" thickBot="1" x14ac:dyDescent="0.3">
      <c r="A38" s="61" t="s">
        <v>2242</v>
      </c>
      <c r="B38" s="95" t="str">
        <f>IF(K35&lt;&gt;"",K35,"")</f>
        <v/>
      </c>
      <c r="C38" s="54">
        <f ca="1">VLOOKUP(A38,DB_TBL_DATA_FIELDS[[FIELD_ID]:[PCT_CALC_FIELD_STATUS_CODE]],22,FALSE)</f>
        <v>-1</v>
      </c>
      <c r="D38" s="54" t="str">
        <f>IF(VLOOKUP(A38,DB_TBL_DATA_FIELDS[[FIELD_ID]:[ERROR_MESSAGE]],23,FALSE)&lt;&gt;0,VLOOKUP(A38,DB_TBL_DATA_FIELDS[[FIELD_ID]:[ERROR_MESSAGE]],23,FALSE),"")</f>
        <v/>
      </c>
      <c r="E38" s="54">
        <f>VLOOKUP(A38,DB_TBL_DATA_FIELDS[[#All],[FIELD_ID]:[RANGE_VALIDATION_MAX]],18,FALSE)</f>
        <v>0</v>
      </c>
      <c r="F38" s="54">
        <f>VLOOKUP(A38,DB_TBL_DATA_FIELDS[[#All],[FIELD_ID]:[RANGE_VALIDATION_MAX]],19,FALSE)</f>
        <v>10</v>
      </c>
      <c r="G38" s="54" t="str">
        <f t="shared" ca="1" si="0"/>
        <v/>
      </c>
      <c r="H38" s="36"/>
      <c r="I38" s="64" t="s">
        <v>2379</v>
      </c>
      <c r="J38" s="64"/>
      <c r="K38" s="64"/>
      <c r="L38" s="64"/>
      <c r="M38" s="64"/>
      <c r="N38" s="64"/>
      <c r="O38" s="64"/>
      <c r="P38" s="64"/>
      <c r="Q38" s="64"/>
      <c r="R38" s="64"/>
      <c r="S38" s="64"/>
      <c r="T38" s="64"/>
      <c r="U38" s="64"/>
      <c r="V38" s="64"/>
      <c r="W38" s="64"/>
      <c r="X38" s="64"/>
      <c r="Y38" s="36"/>
    </row>
    <row r="39" spans="1:25" ht="21.95" customHeight="1" thickTop="1" x14ac:dyDescent="0.25">
      <c r="A39" s="61" t="s">
        <v>2243</v>
      </c>
      <c r="B39" s="95" t="str">
        <f>IF(M35&lt;&gt;"",M35,"")</f>
        <v/>
      </c>
      <c r="C39" s="54">
        <f ca="1">VLOOKUP(A39,DB_TBL_DATA_FIELDS[[FIELD_ID]:[PCT_CALC_FIELD_STATUS_CODE]],22,FALSE)</f>
        <v>-1</v>
      </c>
      <c r="D39" s="54" t="str">
        <f>IF(VLOOKUP(A39,DB_TBL_DATA_FIELDS[[FIELD_ID]:[ERROR_MESSAGE]],23,FALSE)&lt;&gt;0,VLOOKUP(A39,DB_TBL_DATA_FIELDS[[FIELD_ID]:[ERROR_MESSAGE]],23,FALSE),"")</f>
        <v/>
      </c>
      <c r="E39" s="54">
        <f>VLOOKUP(A39,DB_TBL_DATA_FIELDS[[#All],[FIELD_ID]:[RANGE_VALIDATION_MAX]],18,FALSE)</f>
        <v>0</v>
      </c>
      <c r="F39" s="54">
        <f>VLOOKUP(A39,DB_TBL_DATA_FIELDS[[#All],[FIELD_ID]:[RANGE_VALIDATION_MAX]],19,FALSE)</f>
        <v>30</v>
      </c>
      <c r="G39" s="54" t="str">
        <f t="shared" ca="1" si="0"/>
        <v/>
      </c>
      <c r="H39" s="36"/>
      <c r="I39" s="36"/>
      <c r="K39" s="36"/>
      <c r="M39" s="36"/>
      <c r="O39" s="36"/>
      <c r="Q39" s="36"/>
      <c r="S39" s="36"/>
      <c r="U39" s="36"/>
      <c r="W39" s="36"/>
      <c r="Y39" s="36"/>
    </row>
    <row r="40" spans="1:25" ht="21.95" customHeight="1" x14ac:dyDescent="0.25">
      <c r="A40" s="61" t="s">
        <v>2244</v>
      </c>
      <c r="B40" s="95" t="str">
        <f>IF(Q35&lt;&gt;"",Q35,"")</f>
        <v/>
      </c>
      <c r="C40" s="54">
        <f ca="1">VLOOKUP(A40,DB_TBL_DATA_FIELDS[[FIELD_ID]:[PCT_CALC_FIELD_STATUS_CODE]],22,FALSE)</f>
        <v>-1</v>
      </c>
      <c r="D40" s="54" t="str">
        <f>IF(VLOOKUP(A40,DB_TBL_DATA_FIELDS[[FIELD_ID]:[ERROR_MESSAGE]],23,FALSE)&lt;&gt;0,VLOOKUP(A40,DB_TBL_DATA_FIELDS[[FIELD_ID]:[ERROR_MESSAGE]],23,FALSE),"")</f>
        <v/>
      </c>
      <c r="E40" s="54">
        <f>VLOOKUP(A40,DB_TBL_DATA_FIELDS[[#All],[FIELD_ID]:[RANGE_VALIDATION_MAX]],18,FALSE)</f>
        <v>0</v>
      </c>
      <c r="F40" s="54">
        <f>VLOOKUP(A40,DB_TBL_DATA_FIELDS[[#All],[FIELD_ID]:[RANGE_VALIDATION_MAX]],19,FALSE)</f>
        <v>30</v>
      </c>
      <c r="G40" s="54" t="str">
        <f t="shared" ca="1" si="0"/>
        <v/>
      </c>
      <c r="H40" s="36"/>
      <c r="I40" s="36" t="s">
        <v>2380</v>
      </c>
      <c r="K40" s="36"/>
      <c r="M40" s="36"/>
      <c r="Q40" s="36" t="s">
        <v>50</v>
      </c>
      <c r="S40" s="36"/>
      <c r="U40" s="36" t="s">
        <v>51</v>
      </c>
      <c r="W40" s="36" t="s">
        <v>52</v>
      </c>
      <c r="Y40" s="36"/>
    </row>
    <row r="41" spans="1:25" ht="21.95" customHeight="1" x14ac:dyDescent="0.25">
      <c r="A41" s="61" t="s">
        <v>2247</v>
      </c>
      <c r="B41" s="95" t="str">
        <f>IF(W35&lt;&gt;"",W35,"")</f>
        <v/>
      </c>
      <c r="C41" s="54">
        <f ca="1">VLOOKUP(A41,DB_TBL_DATA_FIELDS[[FIELD_ID]:[PCT_CALC_FIELD_STATUS_CODE]],22,FALSE)</f>
        <v>-1</v>
      </c>
      <c r="D41" s="54" t="str">
        <f>IF(VLOOKUP(A41,DB_TBL_DATA_FIELDS[[FIELD_ID]:[ERROR_MESSAGE]],23,FALSE)&lt;&gt;0,VLOOKUP(A41,DB_TBL_DATA_FIELDS[[FIELD_ID]:[ERROR_MESSAGE]],23,FALSE),"")</f>
        <v/>
      </c>
      <c r="E41" s="54">
        <f>VLOOKUP(A41,DB_TBL_DATA_FIELDS[[#All],[FIELD_ID]:[RANGE_VALIDATION_MAX]],18,FALSE)</f>
        <v>0</v>
      </c>
      <c r="F41" s="54">
        <f>VLOOKUP(A41,DB_TBL_DATA_FIELDS[[#All],[FIELD_ID]:[RANGE_VALIDATION_MAX]],19,FALSE)</f>
        <v>25</v>
      </c>
      <c r="G41" s="54" t="str">
        <f t="shared" ca="1" si="0"/>
        <v/>
      </c>
      <c r="H41" s="36"/>
      <c r="I41" s="354"/>
      <c r="J41" s="354"/>
      <c r="K41" s="354"/>
      <c r="L41" s="354"/>
      <c r="M41" s="354"/>
      <c r="N41" s="354"/>
      <c r="O41" s="354"/>
      <c r="P41" s="52">
        <f ca="1">G46</f>
        <v>1</v>
      </c>
      <c r="Q41" s="316"/>
      <c r="R41" s="317"/>
      <c r="S41" s="318"/>
      <c r="T41" s="52">
        <f ca="1">G47</f>
        <v>1</v>
      </c>
      <c r="U41" s="40"/>
      <c r="V41" s="52">
        <f ca="1">G48</f>
        <v>1</v>
      </c>
      <c r="W41" s="120"/>
      <c r="X41" s="52">
        <f ca="1">G49</f>
        <v>1</v>
      </c>
      <c r="Y41" s="36"/>
    </row>
    <row r="42" spans="1:25" ht="21.95" customHeight="1" x14ac:dyDescent="0.25">
      <c r="A42" s="61" t="s">
        <v>2245</v>
      </c>
      <c r="B42" s="95" t="str">
        <f>IF(K36&lt;&gt;"",K36,"")</f>
        <v/>
      </c>
      <c r="C42" s="54">
        <f ca="1">VLOOKUP(A42,DB_TBL_DATA_FIELDS[[FIELD_ID]:[PCT_CALC_FIELD_STATUS_CODE]],22,FALSE)</f>
        <v>-1</v>
      </c>
      <c r="D42" s="54" t="str">
        <f>IF(VLOOKUP(A42,DB_TBL_DATA_FIELDS[[FIELD_ID]:[ERROR_MESSAGE]],23,FALSE)&lt;&gt;0,VLOOKUP(A42,DB_TBL_DATA_FIELDS[[FIELD_ID]:[ERROR_MESSAGE]],23,FALSE),"")</f>
        <v/>
      </c>
      <c r="E42" s="54">
        <f>VLOOKUP(A42,DB_TBL_DATA_FIELDS[[#All],[FIELD_ID]:[RANGE_VALIDATION_MAX]],18,FALSE)</f>
        <v>0</v>
      </c>
      <c r="F42" s="54">
        <f>VLOOKUP(A42,DB_TBL_DATA_FIELDS[[#All],[FIELD_ID]:[RANGE_VALIDATION_MAX]],19,FALSE)</f>
        <v>10</v>
      </c>
      <c r="G42" s="54" t="str">
        <f t="shared" ca="1" si="0"/>
        <v/>
      </c>
      <c r="H42" s="36"/>
      <c r="I42" s="36" t="s">
        <v>2876</v>
      </c>
      <c r="K42" s="36"/>
      <c r="M42" s="36"/>
      <c r="O42" s="36"/>
      <c r="Q42" s="36" t="s">
        <v>9079</v>
      </c>
      <c r="S42" s="36"/>
      <c r="U42" s="36" t="s">
        <v>2185</v>
      </c>
      <c r="W42" s="36"/>
      <c r="Y42" s="36"/>
    </row>
    <row r="43" spans="1:25" ht="21.95" customHeight="1" x14ac:dyDescent="0.25">
      <c r="A43" s="61" t="s">
        <v>2246</v>
      </c>
      <c r="B43" s="95" t="str">
        <f>IF(M36&lt;&gt;"",M36,"")</f>
        <v/>
      </c>
      <c r="C43" s="54">
        <f ca="1">VLOOKUP(A43,DB_TBL_DATA_FIELDS[[FIELD_ID]:[PCT_CALC_FIELD_STATUS_CODE]],22,FALSE)</f>
        <v>-1</v>
      </c>
      <c r="D43" s="54" t="str">
        <f>IF(VLOOKUP(A43,DB_TBL_DATA_FIELDS[[FIELD_ID]:[ERROR_MESSAGE]],23,FALSE)&lt;&gt;0,VLOOKUP(A43,DB_TBL_DATA_FIELDS[[FIELD_ID]:[ERROR_MESSAGE]],23,FALSE),"")</f>
        <v/>
      </c>
      <c r="E43" s="54">
        <f>VLOOKUP(A43,DB_TBL_DATA_FIELDS[[#All],[FIELD_ID]:[RANGE_VALIDATION_MAX]],18,FALSE)</f>
        <v>0</v>
      </c>
      <c r="F43" s="54">
        <f>VLOOKUP(A43,DB_TBL_DATA_FIELDS[[#All],[FIELD_ID]:[RANGE_VALIDATION_MAX]],19,FALSE)</f>
        <v>30</v>
      </c>
      <c r="G43" s="54" t="str">
        <f t="shared" ca="1" si="0"/>
        <v/>
      </c>
      <c r="H43" s="36"/>
      <c r="I43" s="324"/>
      <c r="J43" s="324"/>
      <c r="K43" s="324"/>
      <c r="L43" s="324"/>
      <c r="M43" s="324"/>
      <c r="N43" s="324"/>
      <c r="O43" s="324"/>
      <c r="P43" s="52">
        <f ca="1">G50</f>
        <v>1</v>
      </c>
      <c r="Q43" s="351"/>
      <c r="R43" s="352"/>
      <c r="S43" s="353"/>
      <c r="T43" s="52" t="str">
        <f ca="1">G51</f>
        <v/>
      </c>
      <c r="U43" s="41"/>
      <c r="V43" s="119" t="s">
        <v>106</v>
      </c>
      <c r="W43" s="42"/>
      <c r="X43" s="52">
        <f ca="1">G52</f>
        <v>1</v>
      </c>
      <c r="Y43" s="36"/>
    </row>
    <row r="44" spans="1:25" ht="21.95" customHeight="1" x14ac:dyDescent="0.25">
      <c r="A44" s="61" t="s">
        <v>2251</v>
      </c>
      <c r="B44" s="95" t="str">
        <f>IF(Q36&lt;&gt;"",Q36,"")</f>
        <v/>
      </c>
      <c r="C44" s="54">
        <f ca="1">VLOOKUP(A44,DB_TBL_DATA_FIELDS[[FIELD_ID]:[PCT_CALC_FIELD_STATUS_CODE]],22,FALSE)</f>
        <v>-1</v>
      </c>
      <c r="D44" s="54" t="str">
        <f>IF(VLOOKUP(A44,DB_TBL_DATA_FIELDS[[FIELD_ID]:[ERROR_MESSAGE]],23,FALSE)&lt;&gt;0,VLOOKUP(A44,DB_TBL_DATA_FIELDS[[FIELD_ID]:[ERROR_MESSAGE]],23,FALSE),"")</f>
        <v/>
      </c>
      <c r="E44" s="54">
        <f>VLOOKUP(A44,DB_TBL_DATA_FIELDS[[#All],[FIELD_ID]:[RANGE_VALIDATION_MAX]],18,FALSE)</f>
        <v>0</v>
      </c>
      <c r="F44" s="54">
        <f>VLOOKUP(A44,DB_TBL_DATA_FIELDS[[#All],[FIELD_ID]:[RANGE_VALIDATION_MAX]],19,FALSE)</f>
        <v>30</v>
      </c>
      <c r="G44" s="54" t="str">
        <f t="shared" ca="1" si="0"/>
        <v/>
      </c>
      <c r="H44" s="36"/>
      <c r="I44" s="36"/>
      <c r="K44" s="36"/>
      <c r="M44" s="36"/>
      <c r="W44" s="36"/>
      <c r="Y44" s="36"/>
    </row>
    <row r="45" spans="1:25" ht="21.95" customHeight="1" thickBot="1" x14ac:dyDescent="0.3">
      <c r="A45" s="61" t="s">
        <v>2249</v>
      </c>
      <c r="B45" s="95" t="str">
        <f>IF(W36&lt;&gt;"",W36,"")</f>
        <v/>
      </c>
      <c r="C45" s="54">
        <f ca="1">VLOOKUP(A45,DB_TBL_DATA_FIELDS[[FIELD_ID]:[PCT_CALC_FIELD_STATUS_CODE]],22,FALSE)</f>
        <v>-1</v>
      </c>
      <c r="D45" s="54" t="str">
        <f>IF(VLOOKUP(A45,DB_TBL_DATA_FIELDS[[FIELD_ID]:[ERROR_MESSAGE]],23,FALSE)&lt;&gt;0,VLOOKUP(A45,DB_TBL_DATA_FIELDS[[FIELD_ID]:[ERROR_MESSAGE]],23,FALSE),"")</f>
        <v/>
      </c>
      <c r="E45" s="54">
        <f>VLOOKUP(A45,DB_TBL_DATA_FIELDS[[#All],[FIELD_ID]:[RANGE_VALIDATION_MAX]],18,FALSE)</f>
        <v>0</v>
      </c>
      <c r="F45" s="54">
        <f>VLOOKUP(A45,DB_TBL_DATA_FIELDS[[#All],[FIELD_ID]:[RANGE_VALIDATION_MAX]],19,FALSE)</f>
        <v>25</v>
      </c>
      <c r="G45" s="54" t="str">
        <f t="shared" ca="1" si="0"/>
        <v/>
      </c>
      <c r="I45" s="55" t="str">
        <f>B64</f>
        <v>Grant Summary</v>
      </c>
      <c r="J45" s="55"/>
      <c r="K45" s="55"/>
      <c r="L45" s="55"/>
      <c r="M45" s="55"/>
      <c r="N45" s="55"/>
      <c r="O45" s="55"/>
      <c r="P45" s="55"/>
      <c r="Q45" s="55"/>
      <c r="R45" s="55"/>
      <c r="S45" s="55"/>
      <c r="T45" s="55"/>
      <c r="U45" s="55"/>
      <c r="V45" s="55"/>
      <c r="W45" s="55"/>
      <c r="X45" s="56" t="str">
        <f ca="1">"Status: "&amp;$B$81</f>
        <v>Status: Not Started</v>
      </c>
      <c r="Y45" s="36"/>
    </row>
    <row r="46" spans="1:25" ht="21.95" customHeight="1" x14ac:dyDescent="0.25">
      <c r="A46" s="61" t="s">
        <v>2252</v>
      </c>
      <c r="B46" s="95" t="str">
        <f>IF(I41&lt;&gt;"",I41,"")</f>
        <v/>
      </c>
      <c r="C46" s="54">
        <f ca="1">VLOOKUP(A46,DB_TBL_DATA_FIELDS[[FIELD_ID]:[PCT_CALC_FIELD_STATUS_CODE]],22,FALSE)</f>
        <v>1</v>
      </c>
      <c r="D46" s="54" t="str">
        <f>IF(VLOOKUP(A46,DB_TBL_DATA_FIELDS[[FIELD_ID]:[ERROR_MESSAGE]],23,FALSE)&lt;&gt;0,VLOOKUP(A46,DB_TBL_DATA_FIELDS[[FIELD_ID]:[ERROR_MESSAGE]],23,FALSE),"")</f>
        <v/>
      </c>
      <c r="E46" s="54">
        <f>VLOOKUP(A46,DB_TBL_DATA_FIELDS[[#All],[FIELD_ID]:[RANGE_VALIDATION_MAX]],18,FALSE)</f>
        <v>0</v>
      </c>
      <c r="F46" s="54">
        <f>VLOOKUP(A46,DB_TBL_DATA_FIELDS[[#All],[FIELD_ID]:[RANGE_VALIDATION_MAX]],19,FALSE)</f>
        <v>75</v>
      </c>
      <c r="G46" s="54">
        <f t="shared" ca="1" si="0"/>
        <v>1</v>
      </c>
      <c r="I46" s="122"/>
      <c r="J46" s="122"/>
      <c r="K46" s="122"/>
      <c r="L46" s="122"/>
      <c r="M46" s="122"/>
      <c r="N46" s="122"/>
      <c r="O46" s="122"/>
      <c r="P46" s="122"/>
      <c r="Q46" s="122"/>
      <c r="R46" s="122"/>
      <c r="S46" s="122"/>
      <c r="T46" s="122"/>
      <c r="U46" s="122"/>
      <c r="V46" s="122"/>
      <c r="W46" s="122"/>
      <c r="X46" s="123"/>
      <c r="Y46" s="36"/>
    </row>
    <row r="47" spans="1:25" ht="21.95" customHeight="1" x14ac:dyDescent="0.25">
      <c r="A47" s="61" t="s">
        <v>2253</v>
      </c>
      <c r="B47" s="95" t="str">
        <f>IF(Q41&lt;&gt;"",Q41,"")</f>
        <v/>
      </c>
      <c r="C47" s="54">
        <f ca="1">VLOOKUP(A47,DB_TBL_DATA_FIELDS[[FIELD_ID]:[PCT_CALC_FIELD_STATUS_CODE]],22,FALSE)</f>
        <v>1</v>
      </c>
      <c r="D47" s="54" t="str">
        <f>IF(VLOOKUP(A47,DB_TBL_DATA_FIELDS[[FIELD_ID]:[ERROR_MESSAGE]],23,FALSE)&lt;&gt;0,VLOOKUP(A47,DB_TBL_DATA_FIELDS[[FIELD_ID]:[ERROR_MESSAGE]],23,FALSE),"")</f>
        <v/>
      </c>
      <c r="E47" s="54">
        <f>VLOOKUP(A47,DB_TBL_DATA_FIELDS[[#All],[FIELD_ID]:[RANGE_VALIDATION_MAX]],18,FALSE)</f>
        <v>0</v>
      </c>
      <c r="F47" s="54">
        <f>VLOOKUP(A47,DB_TBL_DATA_FIELDS[[#All],[FIELD_ID]:[RANGE_VALIDATION_MAX]],19,FALSE)</f>
        <v>30</v>
      </c>
      <c r="G47" s="54">
        <f t="shared" ca="1" si="0"/>
        <v>1</v>
      </c>
      <c r="I47" s="122"/>
      <c r="J47" s="122"/>
      <c r="K47" s="122"/>
      <c r="L47" s="122"/>
      <c r="M47" s="122"/>
      <c r="N47" s="122"/>
      <c r="O47" s="122"/>
      <c r="P47" s="122"/>
      <c r="Q47" s="122"/>
      <c r="R47" s="122"/>
      <c r="S47" s="122"/>
      <c r="T47" s="122"/>
      <c r="U47" s="122"/>
      <c r="V47" s="122"/>
      <c r="W47" s="122"/>
      <c r="X47" s="123"/>
      <c r="Y47" s="36"/>
    </row>
    <row r="48" spans="1:25" ht="21.95" customHeight="1" x14ac:dyDescent="0.25">
      <c r="A48" s="61" t="s">
        <v>2254</v>
      </c>
      <c r="B48" s="95" t="str">
        <f>IF(U41&lt;&gt;"",U41,"")</f>
        <v/>
      </c>
      <c r="C48" s="54">
        <f ca="1">VLOOKUP(A48,DB_TBL_DATA_FIELDS[[FIELD_ID]:[PCT_CALC_FIELD_STATUS_CODE]],22,FALSE)</f>
        <v>1</v>
      </c>
      <c r="D48" s="54" t="str">
        <f>IF(VLOOKUP(A48,DB_TBL_DATA_FIELDS[[FIELD_ID]:[ERROR_MESSAGE]],23,FALSE)&lt;&gt;0,VLOOKUP(A48,DB_TBL_DATA_FIELDS[[FIELD_ID]:[ERROR_MESSAGE]],23,FALSE),"")</f>
        <v/>
      </c>
      <c r="E48" s="54">
        <f>VLOOKUP(A48,DB_TBL_DATA_FIELDS[[#All],[FIELD_ID]:[RANGE_VALIDATION_MAX]],18,FALSE)</f>
        <v>0</v>
      </c>
      <c r="F48" s="54">
        <f>VLOOKUP(A48,DB_TBL_DATA_FIELDS[[#All],[FIELD_ID]:[RANGE_VALIDATION_MAX]],19,FALSE)</f>
        <v>2</v>
      </c>
      <c r="G48" s="54">
        <f t="shared" ca="1" si="0"/>
        <v>1</v>
      </c>
      <c r="I48" s="36" t="str">
        <f>"Requested Grant Amount (must not exceed "&amp;TEXT(CONFIG_GRANT_AMT_MAX,"$#,###")&amp;")"</f>
        <v>Requested Grant Amount (must not exceed )</v>
      </c>
      <c r="L48" s="121"/>
      <c r="U48" s="325"/>
      <c r="V48" s="325"/>
      <c r="W48" s="325"/>
      <c r="X48" s="52">
        <f ca="1">G65</f>
        <v>1</v>
      </c>
    </row>
    <row r="49" spans="1:25" ht="21.95" customHeight="1" x14ac:dyDescent="0.25">
      <c r="A49" s="61" t="s">
        <v>2255</v>
      </c>
      <c r="B49" s="95" t="str">
        <f>IF(W41&lt;&gt;"",TEXT(W41,"00000"),"")</f>
        <v/>
      </c>
      <c r="C49" s="54">
        <f ca="1">VLOOKUP(A49,DB_TBL_DATA_FIELDS[[FIELD_ID]:[PCT_CALC_FIELD_STATUS_CODE]],22,FALSE)</f>
        <v>1</v>
      </c>
      <c r="D49" s="54" t="str">
        <f>IF(VLOOKUP(A49,DB_TBL_DATA_FIELDS[[FIELD_ID]:[ERROR_MESSAGE]],23,FALSE)&lt;&gt;0,VLOOKUP(A49,DB_TBL_DATA_FIELDS[[FIELD_ID]:[ERROR_MESSAGE]],23,FALSE),"")</f>
        <v/>
      </c>
      <c r="E49" s="54">
        <f>VLOOKUP(A49,DB_TBL_DATA_FIELDS[[#All],[FIELD_ID]:[RANGE_VALIDATION_MAX]],18,FALSE)</f>
        <v>5</v>
      </c>
      <c r="F49" s="54">
        <f>VLOOKUP(A49,DB_TBL_DATA_FIELDS[[#All],[FIELD_ID]:[RANGE_VALIDATION_MAX]],19,FALSE)</f>
        <v>10</v>
      </c>
      <c r="G49" s="54">
        <f t="shared" ca="1" si="0"/>
        <v>1</v>
      </c>
      <c r="I49" s="124"/>
      <c r="J49" s="124"/>
      <c r="K49" s="124"/>
      <c r="L49" s="124"/>
      <c r="M49" s="124"/>
      <c r="N49" s="124"/>
      <c r="O49" s="124"/>
      <c r="P49" s="124"/>
      <c r="Q49" s="350" t="str">
        <f ca="1">D67</f>
        <v/>
      </c>
      <c r="R49" s="350"/>
      <c r="S49" s="350"/>
      <c r="T49" s="350"/>
      <c r="U49" s="350"/>
      <c r="V49" s="350"/>
      <c r="W49" s="350"/>
      <c r="X49" s="124"/>
      <c r="Y49" s="36"/>
    </row>
    <row r="50" spans="1:25" ht="21.95" customHeight="1" x14ac:dyDescent="0.25">
      <c r="A50" s="61" t="s">
        <v>2256</v>
      </c>
      <c r="B50" s="95" t="str">
        <f>IF(I43&lt;&gt;"",I43,"")</f>
        <v/>
      </c>
      <c r="C50" s="54">
        <f ca="1">VLOOKUP(A50,DB_TBL_DATA_FIELDS[[FIELD_ID]:[PCT_CALC_FIELD_STATUS_CODE]],22,FALSE)</f>
        <v>1</v>
      </c>
      <c r="D50" s="54" t="str">
        <f>IF(VLOOKUP(A50,DB_TBL_DATA_FIELDS[[FIELD_ID]:[ERROR_MESSAGE]],23,FALSE)&lt;&gt;0,VLOOKUP(A50,DB_TBL_DATA_FIELDS[[FIELD_ID]:[ERROR_MESSAGE]],23,FALSE),"")</f>
        <v/>
      </c>
      <c r="E50" s="54">
        <f>VLOOKUP(A50,DB_TBL_DATA_FIELDS[[#All],[FIELD_ID]:[RANGE_VALIDATION_MAX]],18,FALSE)</f>
        <v>0</v>
      </c>
      <c r="F50" s="54">
        <f>VLOOKUP(A50,DB_TBL_DATA_FIELDS[[#All],[FIELD_ID]:[RANGE_VALIDATION_MAX]],19,FALSE)</f>
        <v>50</v>
      </c>
      <c r="G50" s="54">
        <f t="shared" ca="1" si="0"/>
        <v>1</v>
      </c>
      <c r="I50" s="36" t="s">
        <v>9002</v>
      </c>
      <c r="J50"/>
      <c r="L50"/>
      <c r="N50"/>
      <c r="P50"/>
      <c r="W50" s="40"/>
      <c r="X50" s="52">
        <f ca="1">G68</f>
        <v>1</v>
      </c>
      <c r="Y50" s="36"/>
    </row>
    <row r="51" spans="1:25" ht="21.95" customHeight="1" x14ac:dyDescent="0.25">
      <c r="A51" s="61" t="s">
        <v>2257</v>
      </c>
      <c r="B51" s="95" t="str">
        <f>IF(Q43&lt;&gt;"",TEXT(Q43,"00000"),"")</f>
        <v/>
      </c>
      <c r="C51" s="54">
        <f ca="1">VLOOKUP(A51,DB_TBL_DATA_FIELDS[[FIELD_ID]:[PCT_CALC_FIELD_STATUS_CODE]],22,FALSE)</f>
        <v>-1</v>
      </c>
      <c r="D51" s="54" t="str">
        <f>IF(VLOOKUP(A51,DB_TBL_DATA_FIELDS[[FIELD_ID]:[ERROR_MESSAGE]],23,FALSE)&lt;&gt;0,VLOOKUP(A51,DB_TBL_DATA_FIELDS[[FIELD_ID]:[ERROR_MESSAGE]],23,FALSE),"")</f>
        <v/>
      </c>
      <c r="E51" s="54">
        <f>VLOOKUP(A51,DB_TBL_DATA_FIELDS[[#All],[FIELD_ID]:[RANGE_VALIDATION_MAX]],18,FALSE)</f>
        <v>1</v>
      </c>
      <c r="F51" s="54">
        <f>VLOOKUP(A51,DB_TBL_DATA_FIELDS[[#All],[FIELD_ID]:[RANGE_VALIDATION_MAX]],19,FALSE)</f>
        <v>99999</v>
      </c>
      <c r="G51" s="54" t="str">
        <f t="shared" ca="1" si="0"/>
        <v/>
      </c>
      <c r="I51" s="358" t="s">
        <v>9070</v>
      </c>
      <c r="J51" s="358"/>
      <c r="K51" s="358"/>
      <c r="L51" s="358"/>
      <c r="M51" s="358"/>
      <c r="N51" s="358"/>
      <c r="O51" s="358"/>
      <c r="P51" s="358"/>
      <c r="Q51" s="358"/>
      <c r="R51" s="358"/>
      <c r="S51" s="358"/>
      <c r="T51" s="358"/>
      <c r="U51" s="358"/>
      <c r="V51" s="358"/>
      <c r="W51" s="358"/>
      <c r="Y51" s="36"/>
    </row>
    <row r="52" spans="1:25" ht="21.95" customHeight="1" x14ac:dyDescent="0.25">
      <c r="A52" s="61" t="s">
        <v>2258</v>
      </c>
      <c r="B52" s="95" t="str">
        <f>IF(AND(U43=0,W43=0),"",IF(U43&lt;&gt;0,TEXT(U43,"0000"),"")&amp;IF(W43&lt;&gt;"","."&amp;TEXT(W43,"00"),""))</f>
        <v/>
      </c>
      <c r="C52" s="54">
        <f ca="1">VLOOKUP(A52,DB_TBL_DATA_FIELDS[[FIELD_ID]:[PCT_CALC_FIELD_STATUS_CODE]],22,FALSE)</f>
        <v>1</v>
      </c>
      <c r="D52" s="54" t="str">
        <f>IF(VLOOKUP(A52,DB_TBL_DATA_FIELDS[[FIELD_ID]:[ERROR_MESSAGE]],23,FALSE)&lt;&gt;0,VLOOKUP(A52,DB_TBL_DATA_FIELDS[[FIELD_ID]:[ERROR_MESSAGE]],23,FALSE),"")</f>
        <v/>
      </c>
      <c r="E52" s="54">
        <f>VLOOKUP(A52,DB_TBL_DATA_FIELDS[[#All],[FIELD_ID]:[RANGE_VALIDATION_MAX]],18,FALSE)</f>
        <v>7</v>
      </c>
      <c r="F52" s="54">
        <f>VLOOKUP(A52,DB_TBL_DATA_FIELDS[[#All],[FIELD_ID]:[RANGE_VALIDATION_MAX]],19,FALSE)</f>
        <v>7</v>
      </c>
      <c r="G52" s="54">
        <f t="shared" ca="1" si="0"/>
        <v>1</v>
      </c>
      <c r="I52" s="358"/>
      <c r="J52" s="358"/>
      <c r="K52" s="358"/>
      <c r="L52" s="358"/>
      <c r="M52" s="358"/>
      <c r="N52" s="358"/>
      <c r="O52" s="358"/>
      <c r="P52" s="358"/>
      <c r="Q52" s="358"/>
      <c r="R52" s="358"/>
      <c r="S52" s="358"/>
      <c r="T52" s="358"/>
      <c r="U52" s="358"/>
      <c r="V52" s="358"/>
      <c r="W52" s="358"/>
      <c r="Y52" s="36"/>
    </row>
    <row r="53" spans="1:25" ht="21.95" customHeight="1" x14ac:dyDescent="0.25">
      <c r="A53" s="61" t="s">
        <v>121</v>
      </c>
      <c r="B53" s="65" t="str">
        <f>"C"&amp;MATCH(LEFT(A53,LEN(A53)-LEN("_RANGE")),A:A,0)+1&amp;":C"&amp;(ROW()-1)</f>
        <v>C31:C52</v>
      </c>
      <c r="C53" s="54"/>
      <c r="D53" s="54"/>
      <c r="E53" s="54"/>
      <c r="F53" s="54"/>
      <c r="G53" s="54"/>
      <c r="I53" s="358"/>
      <c r="J53" s="358"/>
      <c r="K53" s="358"/>
      <c r="L53" s="358"/>
      <c r="M53" s="358"/>
      <c r="N53" s="358"/>
      <c r="O53" s="358"/>
      <c r="P53" s="358"/>
      <c r="Q53" s="358"/>
      <c r="R53" s="358"/>
      <c r="S53" s="358"/>
      <c r="T53" s="358"/>
      <c r="U53" s="358"/>
      <c r="V53" s="358"/>
      <c r="W53" s="358"/>
      <c r="Y53" s="36"/>
    </row>
    <row r="54" spans="1:25" ht="21.95" customHeight="1" x14ac:dyDescent="0.25">
      <c r="A54" s="61" t="s">
        <v>122</v>
      </c>
      <c r="B54" s="65">
        <f ca="1">COUNTIF(INDIRECT($B$53),2)</f>
        <v>0</v>
      </c>
      <c r="C54" s="54"/>
      <c r="D54" s="54"/>
      <c r="E54" s="54"/>
      <c r="F54" s="54"/>
      <c r="G54" s="54"/>
      <c r="J54"/>
      <c r="L54"/>
      <c r="N54"/>
      <c r="P54"/>
      <c r="W54" s="217" t="str">
        <f ca="1">$B$84</f>
        <v/>
      </c>
      <c r="X54" s="52" t="str">
        <f ca="1">IF(C84=1,1,"")</f>
        <v/>
      </c>
      <c r="Y54" s="36"/>
    </row>
    <row r="55" spans="1:25" ht="21.95" customHeight="1" x14ac:dyDescent="0.25">
      <c r="A55" s="61" t="s">
        <v>123</v>
      </c>
      <c r="B55" s="65">
        <f ca="1">COUNTIF(INDIRECT($B$53),0)+COUNTIF(INDIRECT($B$53),1)+COUNTIF(INDIRECT($B$53),2)</f>
        <v>10</v>
      </c>
      <c r="C55" s="54"/>
      <c r="D55" s="54"/>
      <c r="E55" s="54"/>
      <c r="F55" s="54"/>
      <c r="G55" s="54"/>
      <c r="I55" s="343" t="s">
        <v>9003</v>
      </c>
      <c r="J55" s="343"/>
      <c r="K55" s="343"/>
      <c r="L55" s="343"/>
      <c r="M55" s="343"/>
      <c r="N55" s="343"/>
      <c r="O55" s="343"/>
      <c r="P55" s="343"/>
      <c r="Q55" s="361" t="s">
        <v>9004</v>
      </c>
      <c r="R55" s="362"/>
      <c r="S55" s="362"/>
      <c r="T55" s="363"/>
      <c r="U55" s="364" t="s">
        <v>2568</v>
      </c>
      <c r="V55" s="364"/>
      <c r="W55" s="364"/>
      <c r="X55" s="364"/>
      <c r="Y55" s="36"/>
    </row>
    <row r="56" spans="1:25" ht="21.95" customHeight="1" x14ac:dyDescent="0.25">
      <c r="A56" s="61" t="s">
        <v>124</v>
      </c>
      <c r="B56" s="65">
        <f ca="1">COUNTIF(INDIRECT($B$53),0)</f>
        <v>0</v>
      </c>
      <c r="C56" s="54"/>
      <c r="D56" s="54"/>
      <c r="E56" s="54"/>
      <c r="F56" s="54"/>
      <c r="G56" s="54"/>
      <c r="I56" s="365" t="s">
        <v>8966</v>
      </c>
      <c r="J56" s="365"/>
      <c r="K56" s="365"/>
      <c r="L56" s="365"/>
      <c r="M56" s="365"/>
      <c r="N56" s="365"/>
      <c r="O56" s="365"/>
      <c r="P56" s="366"/>
      <c r="Q56" s="319"/>
      <c r="R56" s="320"/>
      <c r="S56" s="320"/>
      <c r="T56" s="287" t="str">
        <f ca="1">G69</f>
        <v/>
      </c>
      <c r="U56" s="332"/>
      <c r="V56" s="333"/>
      <c r="W56" s="333"/>
      <c r="X56" s="287" t="str">
        <f ca="1">G70</f>
        <v/>
      </c>
      <c r="Y56" s="36"/>
    </row>
    <row r="57" spans="1:25" ht="21.95" customHeight="1" x14ac:dyDescent="0.25">
      <c r="A57" s="61" t="s">
        <v>125</v>
      </c>
      <c r="B57" s="97">
        <f ca="1">IFERROR(B54/B55,1.01)</f>
        <v>0</v>
      </c>
      <c r="C57" s="54"/>
      <c r="D57" s="54"/>
      <c r="E57" s="54"/>
      <c r="F57" s="54"/>
      <c r="G57" s="54"/>
      <c r="I57" s="365" t="s">
        <v>9005</v>
      </c>
      <c r="J57" s="365"/>
      <c r="K57" s="365"/>
      <c r="L57" s="365"/>
      <c r="M57" s="365"/>
      <c r="N57" s="365"/>
      <c r="O57" s="365"/>
      <c r="P57" s="365"/>
      <c r="Q57" s="319"/>
      <c r="R57" s="320"/>
      <c r="S57" s="320"/>
      <c r="T57" s="287" t="str">
        <f ca="1">G71</f>
        <v/>
      </c>
      <c r="U57" s="332"/>
      <c r="V57" s="333"/>
      <c r="W57" s="333"/>
      <c r="X57" s="287" t="str">
        <f ca="1">G72</f>
        <v/>
      </c>
      <c r="Y57" s="36"/>
    </row>
    <row r="58" spans="1:25" ht="21.95" customHeight="1" x14ac:dyDescent="0.25">
      <c r="A58" s="61" t="s">
        <v>126</v>
      </c>
      <c r="B58" s="65" t="str">
        <f ca="1">IF(B56&gt;0,"Data Error(s)",IF(B57=0,"Not Started",IF(B57&lt;1,ROUNDUP(B57*100,0)&amp;"% Done",IF(B57&gt;1,"Optional","Complete"))))</f>
        <v>Not Started</v>
      </c>
      <c r="C58" s="54"/>
      <c r="D58" s="54"/>
      <c r="E58" s="54"/>
      <c r="F58" s="54"/>
      <c r="G58" s="54"/>
      <c r="I58" s="334" t="s">
        <v>9007</v>
      </c>
      <c r="J58" s="335"/>
      <c r="K58" s="335"/>
      <c r="L58" s="335"/>
      <c r="M58" s="335"/>
      <c r="N58" s="335"/>
      <c r="O58" s="335"/>
      <c r="P58" s="335"/>
      <c r="Q58" s="336"/>
      <c r="R58" s="336"/>
      <c r="S58" s="336"/>
      <c r="T58" s="337"/>
      <c r="U58" s="359">
        <f ca="1">B73</f>
        <v>0</v>
      </c>
      <c r="V58" s="360"/>
      <c r="W58" s="360"/>
      <c r="X58" s="288"/>
      <c r="Y58" s="36"/>
    </row>
    <row r="59" spans="1:25" ht="21.95" customHeight="1" x14ac:dyDescent="0.25">
      <c r="A59" s="61" t="s">
        <v>127</v>
      </c>
      <c r="B59" s="65" t="str">
        <f ca="1">IF(B56&gt;0,0,IF(B57&lt;1,"",2))</f>
        <v/>
      </c>
      <c r="C59" s="54"/>
      <c r="D59" s="54"/>
      <c r="E59" s="54"/>
      <c r="F59" s="54"/>
      <c r="G59" s="54"/>
      <c r="I59" s="334" t="s">
        <v>9006</v>
      </c>
      <c r="J59" s="335"/>
      <c r="K59" s="335"/>
      <c r="L59" s="335"/>
      <c r="M59" s="335"/>
      <c r="N59" s="335"/>
      <c r="O59" s="335"/>
      <c r="P59" s="335"/>
      <c r="Q59" s="335"/>
      <c r="R59" s="335"/>
      <c r="S59" s="335"/>
      <c r="T59" s="374"/>
      <c r="U59" s="375">
        <f ca="1">B74</f>
        <v>0</v>
      </c>
      <c r="V59" s="376"/>
      <c r="W59" s="376"/>
      <c r="X59" s="289" t="str">
        <f ca="1">G74</f>
        <v/>
      </c>
      <c r="Y59" s="36"/>
    </row>
    <row r="60" spans="1:25" ht="21.95" customHeight="1" x14ac:dyDescent="0.25">
      <c r="A60" s="61" t="s">
        <v>128</v>
      </c>
      <c r="B60" s="96" t="s">
        <v>2355</v>
      </c>
      <c r="C60" s="54"/>
      <c r="D60" s="54"/>
      <c r="E60" s="54"/>
      <c r="F60" s="54"/>
      <c r="G60" s="54"/>
      <c r="I60" s="331" t="str">
        <f ca="1">D74</f>
        <v/>
      </c>
      <c r="J60" s="331"/>
      <c r="K60" s="331"/>
      <c r="L60" s="331"/>
      <c r="M60" s="331"/>
      <c r="N60" s="331"/>
      <c r="O60" s="331"/>
      <c r="P60" s="331"/>
      <c r="Q60" s="331"/>
      <c r="R60" s="331"/>
      <c r="S60" s="331"/>
      <c r="T60" s="331"/>
      <c r="U60" s="331"/>
      <c r="V60" s="331"/>
      <c r="W60" s="331"/>
      <c r="X60" s="331"/>
      <c r="Y60" s="36"/>
    </row>
    <row r="61" spans="1:25" ht="21.95" customHeight="1" x14ac:dyDescent="0.25">
      <c r="A61" s="77" t="s">
        <v>2810</v>
      </c>
      <c r="B61" s="65" t="str">
        <f ca="1">IF(DATA_FIRST_TIME_HOMEBUYER_FLAG=FALSE,'$DB.CONFIG'!M3,"")</f>
        <v/>
      </c>
      <c r="C61" s="54">
        <f ca="1">IF(B61="",0,1)</f>
        <v>0</v>
      </c>
      <c r="D61" s="54"/>
      <c r="E61" s="54"/>
      <c r="F61" s="54"/>
      <c r="G61" s="54"/>
      <c r="J61"/>
      <c r="L61"/>
      <c r="N61"/>
      <c r="P61"/>
      <c r="Y61" s="36"/>
    </row>
    <row r="62" spans="1:25" ht="21.95" customHeight="1" x14ac:dyDescent="0.25">
      <c r="A62" s="77" t="s">
        <v>2152</v>
      </c>
      <c r="B62" s="65">
        <f ca="1">COUNTIF(C61,1)</f>
        <v>0</v>
      </c>
      <c r="C62" s="54"/>
      <c r="D62" s="54"/>
      <c r="E62" s="54"/>
      <c r="F62" s="54"/>
      <c r="G62" s="54"/>
      <c r="I62" s="367" t="s">
        <v>2381</v>
      </c>
      <c r="J62" s="367"/>
      <c r="K62" s="367"/>
      <c r="L62" s="367"/>
      <c r="M62" s="367"/>
      <c r="N62" s="367"/>
      <c r="O62" s="367"/>
      <c r="P62" s="367"/>
      <c r="Q62" s="367"/>
      <c r="R62" s="367"/>
      <c r="S62" s="367"/>
      <c r="T62" s="125"/>
      <c r="U62" s="125"/>
      <c r="V62" s="36"/>
      <c r="W62" s="40"/>
      <c r="X62" s="52" t="str">
        <f ca="1">G75</f>
        <v/>
      </c>
      <c r="Y62" s="36"/>
    </row>
    <row r="63" spans="1:25" ht="21.95" customHeight="1" x14ac:dyDescent="0.25">
      <c r="A63" s="77" t="s">
        <v>2153</v>
      </c>
      <c r="B63" s="65" t="b">
        <f ca="1">(B62&gt;0)</f>
        <v>0</v>
      </c>
      <c r="C63" s="54"/>
      <c r="D63" s="54"/>
      <c r="E63" s="54"/>
      <c r="F63" s="54"/>
      <c r="G63" s="54"/>
      <c r="I63" s="367"/>
      <c r="J63" s="367"/>
      <c r="K63" s="367"/>
      <c r="L63" s="367"/>
      <c r="M63" s="367"/>
      <c r="N63" s="367"/>
      <c r="O63" s="367"/>
      <c r="P63" s="367"/>
      <c r="Q63" s="367"/>
      <c r="R63" s="367"/>
      <c r="S63" s="367"/>
      <c r="T63" s="125"/>
      <c r="U63" s="125"/>
      <c r="V63"/>
      <c r="X63"/>
      <c r="Y63" s="36"/>
    </row>
    <row r="64" spans="1:25" ht="21.95" customHeight="1" x14ac:dyDescent="0.25">
      <c r="A64" s="91" t="s">
        <v>141</v>
      </c>
      <c r="B64" s="93" t="s">
        <v>2356</v>
      </c>
      <c r="C64" s="92"/>
      <c r="D64" s="92"/>
      <c r="E64" s="92"/>
      <c r="F64" s="92"/>
      <c r="G64" s="92"/>
      <c r="J64"/>
      <c r="L64"/>
      <c r="N64"/>
      <c r="P64"/>
      <c r="R64"/>
      <c r="T64"/>
      <c r="V64"/>
      <c r="X64"/>
      <c r="Y64" s="36"/>
    </row>
    <row r="65" spans="1:24" ht="21.95" customHeight="1" thickBot="1" x14ac:dyDescent="0.3">
      <c r="A65" s="61" t="s">
        <v>2283</v>
      </c>
      <c r="B65" s="95" t="str">
        <f>IF(U48&lt;&gt;"",U48,"")</f>
        <v/>
      </c>
      <c r="C65" s="54">
        <f ca="1">VLOOKUP(A65,DB_TBL_DATA_FIELDS[[FIELD_ID]:[PCT_CALC_FIELD_STATUS_CODE]],22,FALSE)</f>
        <v>1</v>
      </c>
      <c r="D65" s="54" t="str">
        <f>IF(VLOOKUP(A65,DB_TBL_DATA_FIELDS[[FIELD_ID]:[ERROR_MESSAGE]],23,FALSE)&lt;&gt;0,VLOOKUP(A65,DB_TBL_DATA_FIELDS[[FIELD_ID]:[ERROR_MESSAGE]],23,FALSE),"")</f>
        <v/>
      </c>
      <c r="E65" s="54">
        <f>VLOOKUP(A65,DB_TBL_DATA_FIELDS[[#All],[FIELD_ID]:[RANGE_VALIDATION_MAX]],18,FALSE)</f>
        <v>1</v>
      </c>
      <c r="F65" s="54" t="str">
        <f>VLOOKUP(A65,DB_TBL_DATA_FIELDS[[#All],[FIELD_ID]:[RANGE_VALIDATION_MAX]],19,FALSE)</f>
        <v/>
      </c>
      <c r="G65" s="54">
        <f t="shared" ref="G65:G75" ca="1" si="1">IF(C65&lt;0,"",C65)</f>
        <v>1</v>
      </c>
      <c r="I65" s="55" t="str">
        <f>B87</f>
        <v>Purchase Property</v>
      </c>
      <c r="J65" s="55"/>
      <c r="K65" s="55"/>
      <c r="L65" s="55"/>
      <c r="M65" s="55"/>
      <c r="N65" s="55"/>
      <c r="O65" s="55"/>
      <c r="P65" s="55"/>
      <c r="Q65" s="55"/>
      <c r="R65" s="55"/>
      <c r="S65" s="55"/>
      <c r="T65" s="55"/>
      <c r="U65" s="55"/>
      <c r="V65" s="55"/>
      <c r="W65" s="55"/>
      <c r="X65" s="56" t="str">
        <f ca="1">"Status: "&amp;$B$105</f>
        <v>Status: Not Started</v>
      </c>
    </row>
    <row r="66" spans="1:24" ht="21.95" customHeight="1" x14ac:dyDescent="0.25">
      <c r="A66" s="244" t="s">
        <v>2284</v>
      </c>
      <c r="B66" s="245" t="str">
        <f>""</f>
        <v/>
      </c>
      <c r="C66" s="245" t="str">
        <f>VLOOKUP(A66,DB_TBL_DATA_FIELDS[[FIELD_ID]:[PCT_CALC_FIELD_STATUS_CODE]],22,FALSE)</f>
        <v/>
      </c>
      <c r="D66" s="245" t="str">
        <f>IF(VLOOKUP(A66,DB_TBL_DATA_FIELDS[[FIELD_ID]:[ERROR_MESSAGE]],23,FALSE)&lt;&gt;0,VLOOKUP(A66,DB_TBL_DATA_FIELDS[[FIELD_ID]:[ERROR_MESSAGE]],23,FALSE),"")</f>
        <v/>
      </c>
      <c r="E66" s="245">
        <f>VLOOKUP(A66,DB_TBL_DATA_FIELDS[[#All],[FIELD_ID]:[RANGE_VALIDATION_MAX]],18,FALSE)</f>
        <v>0</v>
      </c>
      <c r="F66" s="245" t="str">
        <f>VLOOKUP(A66,DB_TBL_DATA_FIELDS[[#All],[FIELD_ID]:[RANGE_VALIDATION_MAX]],19,FALSE)</f>
        <v/>
      </c>
      <c r="G66" s="245" t="str">
        <f t="shared" si="1"/>
        <v/>
      </c>
    </row>
    <row r="67" spans="1:24" ht="21.95" customHeight="1" x14ac:dyDescent="0.25">
      <c r="A67" s="61" t="s">
        <v>2285</v>
      </c>
      <c r="B67" s="65">
        <f ca="1">VLOOKUP(A67,DB_TBL_DATA_FIELDS[[#All],[FIELD_ID]:[FIELD_VALUE_RAW]],5,FALSE)</f>
        <v>0</v>
      </c>
      <c r="C67" s="54" t="str">
        <f ca="1">VLOOKUP(A67,DB_TBL_DATA_FIELDS[[FIELD_ID]:[PCT_CALC_FIELD_STATUS_CODE]],22,FALSE)</f>
        <v/>
      </c>
      <c r="D67" s="54" t="str">
        <f ca="1">IF(VLOOKUP(A67,DB_TBL_DATA_FIELDS[[FIELD_ID]:[ERROR_MESSAGE]],23,FALSE)&lt;&gt;0,VLOOKUP(A67,DB_TBL_DATA_FIELDS[[FIELD_ID]:[ERROR_MESSAGE]],23,FALSE),"")</f>
        <v/>
      </c>
      <c r="E67" s="54">
        <f>VLOOKUP(A67,DB_TBL_DATA_FIELDS[[#All],[FIELD_ID]:[RANGE_VALIDATION_MAX]],18,FALSE)</f>
        <v>0</v>
      </c>
      <c r="F67" s="54" t="str">
        <f>VLOOKUP(A67,DB_TBL_DATA_FIELDS[[#All],[FIELD_ID]:[RANGE_VALIDATION_MAX]],19,FALSE)</f>
        <v/>
      </c>
      <c r="G67" s="54" t="str">
        <f t="shared" ca="1" si="1"/>
        <v/>
      </c>
      <c r="W67" s="217" t="str">
        <f ca="1">$B$108</f>
        <v/>
      </c>
      <c r="X67" s="52" t="str">
        <f ca="1">IF(C108=1,1,"")</f>
        <v/>
      </c>
    </row>
    <row r="68" spans="1:24" ht="21.95" customHeight="1" x14ac:dyDescent="0.25">
      <c r="A68" s="61" t="s">
        <v>9009</v>
      </c>
      <c r="B68" s="95" t="str">
        <f>IF(W50="","",IF(UPPER(W50)="YES",TRUE,FALSE))</f>
        <v/>
      </c>
      <c r="C68" s="54">
        <f ca="1">VLOOKUP(A68,DB_TBL_DATA_FIELDS[[FIELD_ID]:[PCT_CALC_FIELD_STATUS_CODE]],22,FALSE)</f>
        <v>1</v>
      </c>
      <c r="D68" s="54" t="str">
        <f>IF(VLOOKUP(A68,DB_TBL_DATA_FIELDS[[FIELD_ID]:[ERROR_MESSAGE]],23,FALSE)&lt;&gt;0,VLOOKUP(A68,DB_TBL_DATA_FIELDS[[FIELD_ID]:[ERROR_MESSAGE]],23,FALSE),"")</f>
        <v/>
      </c>
      <c r="E68" s="54">
        <f>VLOOKUP(A68,DB_TBL_DATA_FIELDS[[#All],[FIELD_ID]:[RANGE_VALIDATION_MAX]],18,FALSE)</f>
        <v>0</v>
      </c>
      <c r="F68" s="54">
        <f>VLOOKUP(A68,DB_TBL_DATA_FIELDS[[#All],[FIELD_ID]:[RANGE_VALIDATION_MAX]],19,FALSE)</f>
        <v>0</v>
      </c>
      <c r="G68" s="54">
        <f t="shared" ref="G68:G74" ca="1" si="2">IF(C68&lt;0,"",C68)</f>
        <v>1</v>
      </c>
      <c r="I68" s="36" t="s">
        <v>2382</v>
      </c>
      <c r="K68" s="36"/>
      <c r="M68" s="36"/>
      <c r="Q68" s="36" t="s">
        <v>50</v>
      </c>
      <c r="S68" s="36"/>
      <c r="U68" s="36" t="s">
        <v>51</v>
      </c>
      <c r="W68" s="36" t="s">
        <v>52</v>
      </c>
    </row>
    <row r="69" spans="1:24" ht="21.95" customHeight="1" x14ac:dyDescent="0.25">
      <c r="A69" s="61" t="s">
        <v>9013</v>
      </c>
      <c r="B69" s="95" t="str">
        <f>IF(Q56="","",IF(UPPER(Q56)="YES",TRUE,FALSE))</f>
        <v/>
      </c>
      <c r="C69" s="54">
        <f ca="1">VLOOKUP(A69,DB_TBL_DATA_FIELDS[[FIELD_ID]:[PCT_CALC_FIELD_STATUS_CODE]],22,FALSE)</f>
        <v>-1</v>
      </c>
      <c r="D69" s="54" t="str">
        <f>IF(VLOOKUP(A69,DB_TBL_DATA_FIELDS[[FIELD_ID]:[ERROR_MESSAGE]],23,FALSE)&lt;&gt;0,VLOOKUP(A69,DB_TBL_DATA_FIELDS[[FIELD_ID]:[ERROR_MESSAGE]],23,FALSE),"")</f>
        <v/>
      </c>
      <c r="E69" s="54">
        <f>VLOOKUP(A69,DB_TBL_DATA_FIELDS[[#All],[FIELD_ID]:[RANGE_VALIDATION_MAX]],18,FALSE)</f>
        <v>0</v>
      </c>
      <c r="F69" s="54">
        <f>VLOOKUP(A69,DB_TBL_DATA_FIELDS[[#All],[FIELD_ID]:[RANGE_VALIDATION_MAX]],19,FALSE)</f>
        <v>0</v>
      </c>
      <c r="G69" s="54" t="str">
        <f t="shared" ca="1" si="2"/>
        <v/>
      </c>
      <c r="I69" s="354"/>
      <c r="J69" s="354"/>
      <c r="K69" s="354"/>
      <c r="L69" s="354"/>
      <c r="M69" s="354"/>
      <c r="N69" s="354"/>
      <c r="O69" s="354"/>
      <c r="P69" s="52" t="str">
        <f ca="1">G88</f>
        <v/>
      </c>
      <c r="Q69" s="316"/>
      <c r="R69" s="317"/>
      <c r="S69" s="318"/>
      <c r="T69" s="52" t="str">
        <f ca="1">G89</f>
        <v/>
      </c>
      <c r="U69" s="40"/>
      <c r="V69" s="52" t="str">
        <f ca="1">G90</f>
        <v/>
      </c>
      <c r="W69" s="120"/>
      <c r="X69" s="52" t="str">
        <f ca="1">G91</f>
        <v/>
      </c>
    </row>
    <row r="70" spans="1:24" ht="21.95" customHeight="1" x14ac:dyDescent="0.25">
      <c r="A70" s="61" t="s">
        <v>9014</v>
      </c>
      <c r="B70" s="95" t="str">
        <f>IF(U56&lt;&gt;"",U56,"")</f>
        <v/>
      </c>
      <c r="C70" s="54">
        <f ca="1">VLOOKUP(A70,DB_TBL_DATA_FIELDS[[FIELD_ID]:[PCT_CALC_FIELD_STATUS_CODE]],22,FALSE)</f>
        <v>-1</v>
      </c>
      <c r="D70" s="54" t="str">
        <f>IF(VLOOKUP(A70,DB_TBL_DATA_FIELDS[[FIELD_ID]:[ERROR_MESSAGE]],23,FALSE)&lt;&gt;0,VLOOKUP(A70,DB_TBL_DATA_FIELDS[[FIELD_ID]:[ERROR_MESSAGE]],23,FALSE),"")</f>
        <v/>
      </c>
      <c r="E70" s="54">
        <f>VLOOKUP(A70,DB_TBL_DATA_FIELDS[[#All],[FIELD_ID]:[RANGE_VALIDATION_MAX]],18,FALSE)</f>
        <v>1</v>
      </c>
      <c r="F70" s="54">
        <f>VLOOKUP(A70,DB_TBL_DATA_FIELDS[[#All],[FIELD_ID]:[RANGE_VALIDATION_MAX]],19,FALSE)</f>
        <v>999999999</v>
      </c>
      <c r="G70" s="54" t="str">
        <f t="shared" ca="1" si="2"/>
        <v/>
      </c>
      <c r="I70" s="36" t="s">
        <v>2876</v>
      </c>
      <c r="K70" s="36"/>
      <c r="M70" s="36" t="s">
        <v>2897</v>
      </c>
      <c r="O70" s="36"/>
      <c r="Q70" s="36" t="s">
        <v>9079</v>
      </c>
      <c r="S70" s="36"/>
      <c r="U70" s="36" t="s">
        <v>2185</v>
      </c>
      <c r="W70" s="36"/>
    </row>
    <row r="71" spans="1:24" ht="21.95" customHeight="1" x14ac:dyDescent="0.25">
      <c r="A71" s="61" t="s">
        <v>9015</v>
      </c>
      <c r="B71" s="95" t="str">
        <f>IF(Q57="","",IF(UPPER(Q57)="YES",TRUE,FALSE))</f>
        <v/>
      </c>
      <c r="C71" s="54">
        <f ca="1">VLOOKUP(A71,DB_TBL_DATA_FIELDS[[FIELD_ID]:[PCT_CALC_FIELD_STATUS_CODE]],22,FALSE)</f>
        <v>-1</v>
      </c>
      <c r="D71" s="54" t="str">
        <f>IF(VLOOKUP(A71,DB_TBL_DATA_FIELDS[[FIELD_ID]:[ERROR_MESSAGE]],23,FALSE)&lt;&gt;0,VLOOKUP(A71,DB_TBL_DATA_FIELDS[[FIELD_ID]:[ERROR_MESSAGE]],23,FALSE),"")</f>
        <v/>
      </c>
      <c r="E71" s="54">
        <f>VLOOKUP(A71,DB_TBL_DATA_FIELDS[[#All],[FIELD_ID]:[RANGE_VALIDATION_MAX]],18,FALSE)</f>
        <v>0</v>
      </c>
      <c r="F71" s="54">
        <f>VLOOKUP(A71,DB_TBL_DATA_FIELDS[[#All],[FIELD_ID]:[RANGE_VALIDATION_MAX]],19,FALSE)</f>
        <v>0</v>
      </c>
      <c r="G71" s="54" t="str">
        <f t="shared" ca="1" si="2"/>
        <v/>
      </c>
      <c r="I71" s="316"/>
      <c r="J71" s="317"/>
      <c r="K71" s="318"/>
      <c r="L71" s="52">
        <f ca="1">G92</f>
        <v>1</v>
      </c>
      <c r="M71" s="355"/>
      <c r="N71" s="356"/>
      <c r="O71" s="357"/>
      <c r="P71" s="52">
        <f ca="1">G93</f>
        <v>1</v>
      </c>
      <c r="Q71" s="351"/>
      <c r="R71" s="352"/>
      <c r="S71" s="353"/>
      <c r="T71" s="52" t="str">
        <f ca="1">G94</f>
        <v/>
      </c>
      <c r="U71" s="41"/>
      <c r="V71" s="119" t="s">
        <v>106</v>
      </c>
      <c r="W71" s="42"/>
      <c r="X71" s="52">
        <f ca="1">G95</f>
        <v>1</v>
      </c>
    </row>
    <row r="72" spans="1:24" ht="21.95" customHeight="1" x14ac:dyDescent="0.25">
      <c r="A72" s="61" t="s">
        <v>9016</v>
      </c>
      <c r="B72" s="95" t="str">
        <f>IF(U57&lt;&gt;"",U57,"")</f>
        <v/>
      </c>
      <c r="C72" s="54">
        <f ca="1">VLOOKUP(A72,DB_TBL_DATA_FIELDS[[FIELD_ID]:[PCT_CALC_FIELD_STATUS_CODE]],22,FALSE)</f>
        <v>-1</v>
      </c>
      <c r="D72" s="54" t="str">
        <f>IF(VLOOKUP(A72,DB_TBL_DATA_FIELDS[[FIELD_ID]:[ERROR_MESSAGE]],23,FALSE)&lt;&gt;0,VLOOKUP(A72,DB_TBL_DATA_FIELDS[[FIELD_ID]:[ERROR_MESSAGE]],23,FALSE),"")</f>
        <v/>
      </c>
      <c r="E72" s="54">
        <f>VLOOKUP(A72,DB_TBL_DATA_FIELDS[[#All],[FIELD_ID]:[RANGE_VALIDATION_MAX]],18,FALSE)</f>
        <v>1</v>
      </c>
      <c r="F72" s="54">
        <f>VLOOKUP(A72,DB_TBL_DATA_FIELDS[[#All],[FIELD_ID]:[RANGE_VALIDATION_MAX]],19,FALSE)</f>
        <v>999999999</v>
      </c>
      <c r="G72" s="54" t="str">
        <f t="shared" ca="1" si="2"/>
        <v/>
      </c>
      <c r="I72" s="36"/>
      <c r="J72" s="36"/>
      <c r="K72" s="36"/>
      <c r="L72" s="36"/>
      <c r="M72" s="36"/>
      <c r="N72" s="36"/>
      <c r="O72" s="36"/>
      <c r="P72" s="36"/>
      <c r="Q72" s="293"/>
      <c r="R72" s="36"/>
      <c r="S72" s="36"/>
      <c r="T72" s="36"/>
      <c r="U72" s="36"/>
      <c r="V72" s="36"/>
      <c r="W72" s="36"/>
      <c r="X72" s="36"/>
    </row>
    <row r="73" spans="1:24" ht="21.95" customHeight="1" x14ac:dyDescent="0.25">
      <c r="A73" s="61" t="s">
        <v>9017</v>
      </c>
      <c r="B73" s="65">
        <f ca="1">VLOOKUP(A73,DB_TBL_DATA_FIELDS[[#All],[FIELD_ID]:[FIELD_VALUE_RAW]],5,FALSE)</f>
        <v>0</v>
      </c>
      <c r="C73" s="54" t="str">
        <f ca="1">VLOOKUP(A73,DB_TBL_DATA_FIELDS[[FIELD_ID]:[PCT_CALC_FIELD_STATUS_CODE]],22,FALSE)</f>
        <v/>
      </c>
      <c r="D73" s="54" t="str">
        <f>IF(VLOOKUP(A73,DB_TBL_DATA_FIELDS[[FIELD_ID]:[ERROR_MESSAGE]],23,FALSE)&lt;&gt;0,VLOOKUP(A73,DB_TBL_DATA_FIELDS[[FIELD_ID]:[ERROR_MESSAGE]],23,FALSE),"")</f>
        <v/>
      </c>
      <c r="E73" s="54">
        <f>VLOOKUP(A73,DB_TBL_DATA_FIELDS[[#All],[FIELD_ID]:[RANGE_VALIDATION_MAX]],18,FALSE)</f>
        <v>0</v>
      </c>
      <c r="F73" s="54">
        <f>VLOOKUP(A73,DB_TBL_DATA_FIELDS[[#All],[FIELD_ID]:[RANGE_VALIDATION_MAX]],19,FALSE)</f>
        <v>999999999</v>
      </c>
      <c r="G73" s="54" t="str">
        <f t="shared" ca="1" si="2"/>
        <v/>
      </c>
      <c r="I73" s="36" t="s">
        <v>188</v>
      </c>
      <c r="J73" s="36"/>
      <c r="K73" s="36"/>
      <c r="L73" s="36"/>
      <c r="M73" s="36" t="s">
        <v>2384</v>
      </c>
      <c r="N73" s="36"/>
      <c r="O73" s="36"/>
      <c r="P73" s="36"/>
      <c r="Q73" s="36" t="s">
        <v>2385</v>
      </c>
      <c r="R73" s="36"/>
      <c r="S73" s="36"/>
      <c r="T73" s="36"/>
      <c r="U73" s="36" t="s">
        <v>2383</v>
      </c>
      <c r="V73" s="36"/>
      <c r="W73" s="36"/>
      <c r="X73" s="36"/>
    </row>
    <row r="74" spans="1:24" ht="21.95" customHeight="1" x14ac:dyDescent="0.25">
      <c r="A74" s="61" t="s">
        <v>9034</v>
      </c>
      <c r="B74" s="65">
        <f ca="1">VLOOKUP(A74,DB_TBL_DATA_FIELDS[[#All],[FIELD_ID]:[FIELD_VALUE_RAW]],5,FALSE)</f>
        <v>0</v>
      </c>
      <c r="C74" s="54" t="str">
        <f ca="1">VLOOKUP(A74,DB_TBL_DATA_FIELDS[[FIELD_ID]:[PCT_CALC_FIELD_STATUS_CODE]],22,FALSE)</f>
        <v/>
      </c>
      <c r="D74" s="54" t="str">
        <f ca="1">IF(VLOOKUP(A74,DB_TBL_DATA_FIELDS[[FIELD_ID]:[ERROR_MESSAGE]],23,FALSE)&lt;&gt;0,VLOOKUP(A74,DB_TBL_DATA_FIELDS[[FIELD_ID]:[ERROR_MESSAGE]],23,FALSE),"")</f>
        <v/>
      </c>
      <c r="E74" s="54">
        <f>VLOOKUP(A74,DB_TBL_DATA_FIELDS[[#All],[FIELD_ID]:[RANGE_VALIDATION_MAX]],18,FALSE)</f>
        <v>0</v>
      </c>
      <c r="F74" s="54">
        <f>VLOOKUP(A74,DB_TBL_DATA_FIELDS[[#All],[FIELD_ID]:[RANGE_VALIDATION_MAX]],19,FALSE)</f>
        <v>0</v>
      </c>
      <c r="G74" s="54" t="str">
        <f t="shared" ca="1" si="2"/>
        <v/>
      </c>
      <c r="I74" s="325"/>
      <c r="J74" s="325"/>
      <c r="K74" s="325"/>
      <c r="L74" s="52">
        <f ca="1">G97</f>
        <v>1</v>
      </c>
      <c r="M74" s="349"/>
      <c r="N74" s="349"/>
      <c r="O74" s="349"/>
      <c r="P74" s="52">
        <f ca="1">G98</f>
        <v>1</v>
      </c>
      <c r="Q74" s="319"/>
      <c r="R74" s="320"/>
      <c r="S74" s="321"/>
      <c r="T74" s="52">
        <f ca="1">G96</f>
        <v>1</v>
      </c>
      <c r="U74" s="319"/>
      <c r="V74" s="320"/>
      <c r="W74" s="321"/>
      <c r="X74" s="52">
        <f ca="1">G99</f>
        <v>1</v>
      </c>
    </row>
    <row r="75" spans="1:24" ht="21.95" customHeight="1" x14ac:dyDescent="0.25">
      <c r="A75" s="61" t="s">
        <v>2348</v>
      </c>
      <c r="B75" s="95" t="str">
        <f>IF(W62="","",IF(UPPER(W62)="YES",TRUE,FALSE))</f>
        <v/>
      </c>
      <c r="C75" s="54">
        <f ca="1">VLOOKUP(A75,DB_TBL_DATA_FIELDS[[FIELD_ID]:[PCT_CALC_FIELD_STATUS_CODE]],22,FALSE)</f>
        <v>-1</v>
      </c>
      <c r="D75" s="54" t="str">
        <f>IF(VLOOKUP(A75,DB_TBL_DATA_FIELDS[[FIELD_ID]:[ERROR_MESSAGE]],23,FALSE)&lt;&gt;0,VLOOKUP(A75,DB_TBL_DATA_FIELDS[[FIELD_ID]:[ERROR_MESSAGE]],23,FALSE),"")</f>
        <v/>
      </c>
      <c r="E75" s="54">
        <f>VLOOKUP(A75,DB_TBL_DATA_FIELDS[[#All],[FIELD_ID]:[RANGE_VALIDATION_MAX]],18,FALSE)</f>
        <v>0</v>
      </c>
      <c r="F75" s="54">
        <f>VLOOKUP(A75,DB_TBL_DATA_FIELDS[[#All],[FIELD_ID]:[RANGE_VALIDATION_MAX]],19,FALSE)</f>
        <v>0</v>
      </c>
      <c r="G75" s="54" t="str">
        <f t="shared" ca="1" si="1"/>
        <v/>
      </c>
      <c r="I75" s="36"/>
      <c r="J75" s="36"/>
      <c r="K75" s="36"/>
      <c r="L75" s="36"/>
      <c r="M75" s="36"/>
      <c r="N75" s="36"/>
      <c r="O75" s="36"/>
      <c r="P75" s="36"/>
      <c r="Q75" s="36"/>
      <c r="R75" s="36"/>
      <c r="S75" s="36"/>
      <c r="T75" s="36"/>
      <c r="U75" s="36"/>
      <c r="V75" s="36"/>
      <c r="W75" s="36"/>
      <c r="X75" s="36"/>
    </row>
    <row r="76" spans="1:24" ht="21.95" customHeight="1" thickBot="1" x14ac:dyDescent="0.3">
      <c r="A76" s="61" t="s">
        <v>142</v>
      </c>
      <c r="B76" s="65" t="str">
        <f>"C"&amp;MATCH(LEFT(A76,LEN(A76)-LEN("_RANGE")),A:A,0)+1&amp;":C"&amp;(ROW()-1)</f>
        <v>C65:C75</v>
      </c>
      <c r="C76" s="54"/>
      <c r="D76" s="54"/>
      <c r="E76" s="54"/>
      <c r="F76" s="54"/>
      <c r="G76" s="54"/>
      <c r="I76" s="55" t="str">
        <f>B111</f>
        <v>Household Qualification</v>
      </c>
      <c r="J76" s="55"/>
      <c r="K76" s="55"/>
      <c r="L76" s="55"/>
      <c r="M76" s="55"/>
      <c r="N76" s="55"/>
      <c r="O76" s="55"/>
      <c r="P76" s="55"/>
      <c r="Q76" s="55"/>
      <c r="R76" s="55"/>
      <c r="S76" s="55"/>
      <c r="T76" s="55"/>
      <c r="U76" s="55"/>
      <c r="V76" s="55"/>
      <c r="W76" s="55"/>
      <c r="X76" s="56" t="str">
        <f ca="1">"Status: "&amp;$B$130</f>
        <v>Status: Not Started</v>
      </c>
    </row>
    <row r="77" spans="1:24" ht="21.95" customHeight="1" x14ac:dyDescent="0.25">
      <c r="A77" s="61" t="s">
        <v>143</v>
      </c>
      <c r="B77" s="65">
        <f ca="1">COUNTIF(INDIRECT($B76),2)</f>
        <v>0</v>
      </c>
      <c r="C77" s="54"/>
      <c r="D77" s="54"/>
      <c r="E77" s="54"/>
      <c r="F77" s="54"/>
      <c r="G77" s="54"/>
    </row>
    <row r="78" spans="1:24" ht="21.95" customHeight="1" thickBot="1" x14ac:dyDescent="0.3">
      <c r="A78" s="61" t="s">
        <v>144</v>
      </c>
      <c r="B78" s="65">
        <f ca="1">COUNTIF(INDIRECT($B76),0)+COUNTIF(INDIRECT($B76),1)+COUNTIF(INDIRECT($B76),2)</f>
        <v>2</v>
      </c>
      <c r="C78" s="54"/>
      <c r="D78" s="54"/>
      <c r="E78" s="54"/>
      <c r="F78" s="54"/>
      <c r="G78" s="54"/>
      <c r="I78" s="64" t="s">
        <v>2582</v>
      </c>
      <c r="J78" s="129"/>
      <c r="K78" s="130"/>
      <c r="L78" s="129"/>
      <c r="M78" s="130"/>
      <c r="N78" s="129"/>
      <c r="O78" s="130"/>
      <c r="P78" s="129"/>
      <c r="Q78" s="130"/>
      <c r="R78" s="129"/>
      <c r="S78" s="130"/>
      <c r="T78" s="129"/>
      <c r="U78" s="130"/>
      <c r="V78" s="129"/>
      <c r="W78" s="130"/>
      <c r="X78" s="129"/>
    </row>
    <row r="79" spans="1:24" ht="21.95" customHeight="1" thickTop="1" x14ac:dyDescent="0.25">
      <c r="A79" s="61" t="s">
        <v>145</v>
      </c>
      <c r="B79" s="65">
        <f ca="1">COUNTIF(INDIRECT($B76),0)</f>
        <v>0</v>
      </c>
      <c r="C79" s="54"/>
      <c r="D79" s="54"/>
      <c r="E79" s="54"/>
      <c r="F79" s="54"/>
      <c r="G79" s="54"/>
    </row>
    <row r="80" spans="1:24" ht="21.95" customHeight="1" x14ac:dyDescent="0.25">
      <c r="A80" s="61" t="s">
        <v>146</v>
      </c>
      <c r="B80" s="97">
        <f ca="1">IFERROR(B77/B78,1.01)</f>
        <v>0</v>
      </c>
      <c r="C80" s="54"/>
      <c r="D80" s="54"/>
      <c r="E80" s="54"/>
      <c r="F80" s="54"/>
      <c r="G80" s="54"/>
      <c r="I80" s="36" t="s">
        <v>2727</v>
      </c>
      <c r="L80" s="121"/>
      <c r="S80" s="155"/>
      <c r="U80" s="36" t="s">
        <v>2583</v>
      </c>
    </row>
    <row r="81" spans="1:24" ht="21.95" customHeight="1" x14ac:dyDescent="0.25">
      <c r="A81" s="61" t="s">
        <v>147</v>
      </c>
      <c r="B81" s="65" t="str">
        <f ca="1">IF(B79&gt;0,"Data Error(s)",IF(B80=0,"Not Started",IF(B80&lt;1,ROUNDUP(B80*100,0)&amp;"% Done",IF(B80&gt;1,"Optional","Complete"))))</f>
        <v>Not Started</v>
      </c>
      <c r="C81" s="54"/>
      <c r="D81" s="54"/>
      <c r="E81" s="54"/>
      <c r="F81" s="54"/>
      <c r="G81" s="54"/>
      <c r="I81" s="316"/>
      <c r="J81" s="317"/>
      <c r="K81" s="317"/>
      <c r="L81" s="317"/>
      <c r="M81" s="317"/>
      <c r="N81" s="317"/>
      <c r="O81" s="317"/>
      <c r="P81" s="317"/>
      <c r="Q81" s="317"/>
      <c r="R81" s="317"/>
      <c r="S81" s="318"/>
      <c r="T81" s="52">
        <f ca="1">G121</f>
        <v>1</v>
      </c>
      <c r="U81" s="338"/>
      <c r="V81" s="339"/>
      <c r="W81" s="340"/>
      <c r="X81" s="52">
        <f ca="1">G124</f>
        <v>1</v>
      </c>
    </row>
    <row r="82" spans="1:24" ht="21.95" customHeight="1" x14ac:dyDescent="0.25">
      <c r="A82" s="61" t="s">
        <v>148</v>
      </c>
      <c r="B82" s="65" t="str">
        <f ca="1">IF(B79&gt;0,0,IF(B80&lt;1,"",2))</f>
        <v/>
      </c>
      <c r="C82" s="54"/>
      <c r="D82" s="54"/>
      <c r="E82" s="54"/>
      <c r="F82" s="54"/>
      <c r="G82" s="54"/>
      <c r="I82" s="36" t="s">
        <v>2726</v>
      </c>
      <c r="R82" s="162"/>
      <c r="S82" s="162"/>
      <c r="T82" s="162"/>
      <c r="U82" s="322" t="str">
        <f ca="1">D124</f>
        <v/>
      </c>
      <c r="V82" s="322"/>
      <c r="W82" s="322"/>
      <c r="X82"/>
    </row>
    <row r="83" spans="1:24" ht="21.95" customHeight="1" x14ac:dyDescent="0.25">
      <c r="A83" s="61" t="s">
        <v>149</v>
      </c>
      <c r="B83" s="96" t="s">
        <v>2356</v>
      </c>
      <c r="C83" s="54"/>
      <c r="D83" s="54"/>
      <c r="E83" s="54"/>
      <c r="F83" s="54"/>
      <c r="G83" s="54"/>
      <c r="I83" s="316"/>
      <c r="J83" s="317"/>
      <c r="K83" s="317"/>
      <c r="L83" s="317"/>
      <c r="M83" s="317"/>
      <c r="N83" s="317"/>
      <c r="O83" s="317"/>
      <c r="P83" s="317"/>
      <c r="Q83" s="317"/>
      <c r="R83" s="317"/>
      <c r="S83" s="318"/>
      <c r="T83" s="52" t="str">
        <f ca="1">G122</f>
        <v/>
      </c>
      <c r="U83" s="323"/>
      <c r="V83" s="323"/>
      <c r="W83" s="323"/>
    </row>
    <row r="84" spans="1:24" ht="21.95" customHeight="1" x14ac:dyDescent="0.25">
      <c r="A84" s="77" t="s">
        <v>9344</v>
      </c>
      <c r="B84" s="223" t="str">
        <f ca="1">IF(AND(DATA_HSEHLD_OTHER_GRANT_FHLBNY_FLAG=TRUE,DATA_HSEHLD_OTHER_GRANT_AHP_FLAG=TRUE),'$DB.CONFIG'!M3,"")</f>
        <v/>
      </c>
      <c r="C84" s="54">
        <f ca="1">IF(B84="",0,1)</f>
        <v>0</v>
      </c>
      <c r="D84" s="54"/>
      <c r="E84" s="54"/>
      <c r="F84" s="54"/>
      <c r="G84" s="54"/>
    </row>
    <row r="85" spans="1:24" ht="21.95" customHeight="1" thickBot="1" x14ac:dyDescent="0.3">
      <c r="A85" s="77" t="s">
        <v>2150</v>
      </c>
      <c r="B85" s="65">
        <f ca="1">COUNTIF(C84,1)</f>
        <v>0</v>
      </c>
      <c r="C85" s="54"/>
      <c r="D85" s="54"/>
      <c r="E85" s="54"/>
      <c r="F85" s="54"/>
      <c r="G85" s="54"/>
      <c r="I85" s="64" t="s">
        <v>2387</v>
      </c>
      <c r="J85" s="129"/>
      <c r="K85" s="130"/>
      <c r="L85" s="131"/>
      <c r="M85" s="130"/>
      <c r="N85" s="129"/>
      <c r="O85" s="130"/>
      <c r="P85" s="129"/>
      <c r="Q85" s="130"/>
      <c r="R85" s="129"/>
      <c r="S85" s="130"/>
      <c r="T85" s="130"/>
      <c r="U85" s="130"/>
      <c r="V85" s="130"/>
      <c r="W85" s="157" t="str">
        <f ca="1">$B$133</f>
        <v/>
      </c>
      <c r="X85" s="132" t="str">
        <f ca="1">IF(C133=1,1,"")</f>
        <v/>
      </c>
    </row>
    <row r="86" spans="1:24" ht="21.95" customHeight="1" thickTop="1" x14ac:dyDescent="0.25">
      <c r="A86" s="77" t="s">
        <v>2151</v>
      </c>
      <c r="B86" s="65" t="b">
        <f ca="1">(B85&gt;0)</f>
        <v>0</v>
      </c>
      <c r="C86" s="54"/>
      <c r="D86" s="54"/>
      <c r="E86" s="54"/>
      <c r="F86" s="54"/>
      <c r="G86" s="54"/>
      <c r="I86" s="329" t="s">
        <v>2880</v>
      </c>
      <c r="J86" s="329"/>
      <c r="K86" s="329"/>
      <c r="L86" s="329"/>
      <c r="M86" s="329"/>
      <c r="N86" s="329"/>
      <c r="O86" s="329"/>
      <c r="P86" s="329"/>
      <c r="Q86" s="329"/>
      <c r="R86" s="329"/>
      <c r="S86" s="329"/>
      <c r="T86" s="329"/>
      <c r="U86" s="329"/>
      <c r="V86" s="329"/>
      <c r="W86" s="329"/>
      <c r="X86" s="329"/>
    </row>
    <row r="87" spans="1:24" ht="21.95" customHeight="1" x14ac:dyDescent="0.25">
      <c r="A87" s="91" t="s">
        <v>152</v>
      </c>
      <c r="B87" s="93" t="s">
        <v>2357</v>
      </c>
      <c r="C87" s="92"/>
      <c r="D87" s="92"/>
      <c r="E87" s="92"/>
      <c r="F87" s="92"/>
      <c r="G87" s="92"/>
      <c r="I87" s="329"/>
      <c r="J87" s="329"/>
      <c r="K87" s="329"/>
      <c r="L87" s="329"/>
      <c r="M87" s="329"/>
      <c r="N87" s="329"/>
      <c r="O87" s="329"/>
      <c r="P87" s="329"/>
      <c r="Q87" s="329"/>
      <c r="R87" s="329"/>
      <c r="S87" s="329"/>
      <c r="T87" s="329"/>
      <c r="U87" s="329"/>
      <c r="V87" s="329"/>
      <c r="W87" s="329"/>
      <c r="X87" s="329"/>
    </row>
    <row r="88" spans="1:24" ht="21.95" customHeight="1" x14ac:dyDescent="0.25">
      <c r="A88" s="61" t="s">
        <v>2293</v>
      </c>
      <c r="B88" s="95" t="str">
        <f>IF(I69&lt;&gt;"",I69,"")</f>
        <v/>
      </c>
      <c r="C88" s="54">
        <f ca="1">VLOOKUP(A88,DB_TBL_DATA_FIELDS[[FIELD_ID]:[PCT_CALC_FIELD_STATUS_CODE]],22,FALSE)</f>
        <v>-1</v>
      </c>
      <c r="D88" s="54" t="str">
        <f>IF(VLOOKUP(A88,DB_TBL_DATA_FIELDS[[FIELD_ID]:[ERROR_MESSAGE]],23,FALSE)&lt;&gt;0,VLOOKUP(A88,DB_TBL_DATA_FIELDS[[FIELD_ID]:[ERROR_MESSAGE]],23,FALSE),"")</f>
        <v/>
      </c>
      <c r="E88" s="54">
        <f>VLOOKUP(A88,DB_TBL_DATA_FIELDS[[#All],[FIELD_ID]:[RANGE_VALIDATION_MAX]],18,FALSE)</f>
        <v>0</v>
      </c>
      <c r="F88" s="54">
        <f>VLOOKUP(A88,DB_TBL_DATA_FIELDS[[#All],[FIELD_ID]:[RANGE_VALIDATION_MAX]],19,FALSE)</f>
        <v>75</v>
      </c>
      <c r="G88" s="54" t="str">
        <f t="shared" ref="G88:G99" ca="1" si="3">IF(C88&lt;0,"",C88)</f>
        <v/>
      </c>
      <c r="J88"/>
      <c r="L88"/>
      <c r="N88"/>
      <c r="P88"/>
      <c r="R88"/>
      <c r="T88"/>
      <c r="V88"/>
      <c r="X88"/>
    </row>
    <row r="89" spans="1:24" ht="21.95" customHeight="1" x14ac:dyDescent="0.25">
      <c r="A89" s="61" t="s">
        <v>2294</v>
      </c>
      <c r="B89" s="95" t="str">
        <f>IF(Q69&lt;&gt;"",Q69,"")</f>
        <v/>
      </c>
      <c r="C89" s="54">
        <f ca="1">VLOOKUP(A89,DB_TBL_DATA_FIELDS[[FIELD_ID]:[PCT_CALC_FIELD_STATUS_CODE]],22,FALSE)</f>
        <v>-1</v>
      </c>
      <c r="D89" s="54" t="str">
        <f>IF(VLOOKUP(A89,DB_TBL_DATA_FIELDS[[FIELD_ID]:[ERROR_MESSAGE]],23,FALSE)&lt;&gt;0,VLOOKUP(A89,DB_TBL_DATA_FIELDS[[FIELD_ID]:[ERROR_MESSAGE]],23,FALSE),"")</f>
        <v/>
      </c>
      <c r="E89" s="54">
        <f>VLOOKUP(A89,DB_TBL_DATA_FIELDS[[#All],[FIELD_ID]:[RANGE_VALIDATION_MAX]],18,FALSE)</f>
        <v>0</v>
      </c>
      <c r="F89" s="54">
        <f>VLOOKUP(A89,DB_TBL_DATA_FIELDS[[#All],[FIELD_ID]:[RANGE_VALIDATION_MAX]],19,FALSE)</f>
        <v>30</v>
      </c>
      <c r="G89" s="54" t="str">
        <f t="shared" ca="1" si="3"/>
        <v/>
      </c>
      <c r="J89"/>
      <c r="L89"/>
      <c r="N89"/>
      <c r="P89"/>
      <c r="R89"/>
      <c r="T89"/>
      <c r="V89"/>
      <c r="X89"/>
    </row>
    <row r="90" spans="1:24" ht="21.95" customHeight="1" x14ac:dyDescent="0.25">
      <c r="A90" s="61" t="s">
        <v>2295</v>
      </c>
      <c r="B90" s="95" t="str">
        <f>IF(U69&lt;&gt;"",U69,"")</f>
        <v/>
      </c>
      <c r="C90" s="54">
        <f ca="1">VLOOKUP(A90,DB_TBL_DATA_FIELDS[[FIELD_ID]:[PCT_CALC_FIELD_STATUS_CODE]],22,FALSE)</f>
        <v>-1</v>
      </c>
      <c r="D90" s="54" t="str">
        <f>IF(VLOOKUP(A90,DB_TBL_DATA_FIELDS[[FIELD_ID]:[ERROR_MESSAGE]],23,FALSE)&lt;&gt;0,VLOOKUP(A90,DB_TBL_DATA_FIELDS[[FIELD_ID]:[ERROR_MESSAGE]],23,FALSE),"")</f>
        <v/>
      </c>
      <c r="E90" s="54">
        <f>VLOOKUP(A90,DB_TBL_DATA_FIELDS[[#All],[FIELD_ID]:[RANGE_VALIDATION_MAX]],18,FALSE)</f>
        <v>0</v>
      </c>
      <c r="F90" s="54">
        <f>VLOOKUP(A90,DB_TBL_DATA_FIELDS[[#All],[FIELD_ID]:[RANGE_VALIDATION_MAX]],19,FALSE)</f>
        <v>2</v>
      </c>
      <c r="G90" s="54" t="str">
        <f t="shared" ca="1" si="3"/>
        <v/>
      </c>
      <c r="I90" s="330" t="s">
        <v>2386</v>
      </c>
      <c r="J90" s="330"/>
      <c r="K90" s="330"/>
      <c r="L90" s="330"/>
      <c r="M90" s="330"/>
      <c r="N90" s="330"/>
      <c r="O90" s="330"/>
      <c r="P90" s="330"/>
      <c r="Q90" s="330"/>
      <c r="R90" s="330"/>
      <c r="S90" s="330"/>
      <c r="T90" s="330"/>
      <c r="U90" s="330"/>
      <c r="V90" s="330"/>
      <c r="W90" s="330"/>
      <c r="X90" s="330"/>
    </row>
    <row r="91" spans="1:24" ht="21.95" customHeight="1" x14ac:dyDescent="0.25">
      <c r="A91" s="61" t="s">
        <v>2296</v>
      </c>
      <c r="B91" s="95" t="str">
        <f>IF(W69&lt;&gt;"",TEXT(W69,"00000"),"")</f>
        <v/>
      </c>
      <c r="C91" s="54">
        <f ca="1">VLOOKUP(A91,DB_TBL_DATA_FIELDS[[FIELD_ID]:[PCT_CALC_FIELD_STATUS_CODE]],22,FALSE)</f>
        <v>-1</v>
      </c>
      <c r="D91" s="54" t="str">
        <f>IF(VLOOKUP(A91,DB_TBL_DATA_FIELDS[[FIELD_ID]:[ERROR_MESSAGE]],23,FALSE)&lt;&gt;0,VLOOKUP(A91,DB_TBL_DATA_FIELDS[[FIELD_ID]:[ERROR_MESSAGE]],23,FALSE),"")</f>
        <v/>
      </c>
      <c r="E91" s="54">
        <f>VLOOKUP(A91,DB_TBL_DATA_FIELDS[[#All],[FIELD_ID]:[RANGE_VALIDATION_MAX]],18,FALSE)</f>
        <v>5</v>
      </c>
      <c r="F91" s="54">
        <f>VLOOKUP(A91,DB_TBL_DATA_FIELDS[[#All],[FIELD_ID]:[RANGE_VALIDATION_MAX]],19,FALSE)</f>
        <v>10</v>
      </c>
      <c r="G91" s="54" t="str">
        <f t="shared" ca="1" si="3"/>
        <v/>
      </c>
      <c r="H91" s="215"/>
      <c r="J91"/>
      <c r="L91"/>
      <c r="M91" s="126"/>
      <c r="N91" s="127"/>
      <c r="O91" s="127"/>
      <c r="P91" s="127"/>
      <c r="Q91" s="127"/>
      <c r="R91" s="127"/>
      <c r="S91" s="128"/>
      <c r="T91" s="52" t="str">
        <f ca="1">G113</f>
        <v/>
      </c>
      <c r="V91"/>
      <c r="X91"/>
    </row>
    <row r="92" spans="1:24" ht="21.95" customHeight="1" x14ac:dyDescent="0.25">
      <c r="A92" s="61" t="s">
        <v>2297</v>
      </c>
      <c r="B92" s="95" t="str">
        <f>IF(I71&lt;&gt;"",I71,"")</f>
        <v/>
      </c>
      <c r="C92" s="54">
        <f ca="1">VLOOKUP(A92,DB_TBL_DATA_FIELDS[[FIELD_ID]:[PCT_CALC_FIELD_STATUS_CODE]],22,FALSE)</f>
        <v>1</v>
      </c>
      <c r="D92" s="54" t="str">
        <f>IF(VLOOKUP(A92,DB_TBL_DATA_FIELDS[[FIELD_ID]:[ERROR_MESSAGE]],23,FALSE)&lt;&gt;0,VLOOKUP(A92,DB_TBL_DATA_FIELDS[[FIELD_ID]:[ERROR_MESSAGE]],23,FALSE),"")</f>
        <v/>
      </c>
      <c r="E92" s="54">
        <f>VLOOKUP(A92,DB_TBL_DATA_FIELDS[[#All],[FIELD_ID]:[RANGE_VALIDATION_MAX]],18,FALSE)</f>
        <v>0</v>
      </c>
      <c r="F92" s="54">
        <f>VLOOKUP(A92,DB_TBL_DATA_FIELDS[[#All],[FIELD_ID]:[RANGE_VALIDATION_MAX]],19,FALSE)</f>
        <v>50</v>
      </c>
      <c r="G92" s="54">
        <f t="shared" ca="1" si="3"/>
        <v>1</v>
      </c>
      <c r="J92" s="162"/>
      <c r="K92" s="162"/>
      <c r="L92" s="162"/>
      <c r="M92" s="331" t="str">
        <f ca="1">D113</f>
        <v/>
      </c>
      <c r="N92" s="331"/>
      <c r="O92" s="331"/>
      <c r="P92" s="331"/>
      <c r="Q92" s="331"/>
      <c r="R92" s="331"/>
      <c r="S92" s="331"/>
      <c r="T92" s="162"/>
      <c r="U92" s="162"/>
      <c r="V92" s="162"/>
      <c r="W92" s="162"/>
      <c r="X92" s="162"/>
    </row>
    <row r="93" spans="1:24" ht="21.95" customHeight="1" x14ac:dyDescent="0.25">
      <c r="A93" s="61" t="s">
        <v>2894</v>
      </c>
      <c r="B93" s="95" t="str">
        <f>IF(M71&lt;&gt;"",TEXT(M71,"000"),"")</f>
        <v/>
      </c>
      <c r="C93" s="54">
        <f ca="1">VLOOKUP(A93,DB_TBL_DATA_FIELDS[[FIELD_ID]:[PCT_CALC_FIELD_STATUS_CODE]],22,FALSE)</f>
        <v>1</v>
      </c>
      <c r="D93" s="54" t="str">
        <f ca="1">IF(VLOOKUP(A93,DB_TBL_DATA_FIELDS[[FIELD_ID]:[ERROR_MESSAGE]],23,FALSE)&lt;&gt;0,VLOOKUP(A93,DB_TBL_DATA_FIELDS[[FIELD_ID]:[ERROR_MESSAGE]],23,FALSE),"")</f>
        <v/>
      </c>
      <c r="E93" s="54">
        <f>VLOOKUP(A93,DB_TBL_DATA_FIELDS[[#All],[FIELD_ID]:[RANGE_VALIDATION_MAX]],18,FALSE)</f>
        <v>1</v>
      </c>
      <c r="F93" s="54">
        <f>VLOOKUP(A93,DB_TBL_DATA_FIELDS[[#All],[FIELD_ID]:[RANGE_VALIDATION_MAX]],19,FALSE)</f>
        <v>3</v>
      </c>
      <c r="G93" s="54">
        <f t="shared" ca="1" si="3"/>
        <v>1</v>
      </c>
      <c r="I93" s="36" t="str">
        <f ca="1">IF(DATA_INC_GUIDLN_CODE="","",DATA_INC_GUIDLN_CODE&amp;" ")&amp;"Income Area"</f>
        <v>Income Area</v>
      </c>
      <c r="X93"/>
    </row>
    <row r="94" spans="1:24" ht="21.95" customHeight="1" x14ac:dyDescent="0.25">
      <c r="A94" s="61" t="s">
        <v>2298</v>
      </c>
      <c r="B94" s="95" t="str">
        <f>IF(Q71&lt;&gt;"",TEXT(Q71,"00000"),"")</f>
        <v/>
      </c>
      <c r="C94" s="54">
        <f ca="1">VLOOKUP(A94,DB_TBL_DATA_FIELDS[[FIELD_ID]:[PCT_CALC_FIELD_STATUS_CODE]],22,FALSE)</f>
        <v>-1</v>
      </c>
      <c r="D94" s="54" t="str">
        <f>IF(VLOOKUP(A94,DB_TBL_DATA_FIELDS[[FIELD_ID]:[ERROR_MESSAGE]],23,FALSE)&lt;&gt;0,VLOOKUP(A94,DB_TBL_DATA_FIELDS[[FIELD_ID]:[ERROR_MESSAGE]],23,FALSE),"")</f>
        <v/>
      </c>
      <c r="E94" s="54">
        <f>VLOOKUP(A94,DB_TBL_DATA_FIELDS[[#All],[FIELD_ID]:[RANGE_VALIDATION_MAX]],18,FALSE)</f>
        <v>1</v>
      </c>
      <c r="F94" s="54">
        <f>VLOOKUP(A94,DB_TBL_DATA_FIELDS[[#All],[FIELD_ID]:[RANGE_VALIDATION_MAX]],19,FALSE)</f>
        <v>99999</v>
      </c>
      <c r="G94" s="54" t="str">
        <f t="shared" ca="1" si="3"/>
        <v/>
      </c>
      <c r="I94" s="324"/>
      <c r="J94" s="324"/>
      <c r="K94" s="324"/>
      <c r="L94" s="324"/>
      <c r="M94" s="324"/>
      <c r="N94" s="324"/>
      <c r="O94" s="324"/>
      <c r="P94" s="324"/>
      <c r="Q94" s="324"/>
      <c r="R94" s="324"/>
      <c r="S94" s="324"/>
      <c r="T94" s="324"/>
      <c r="U94" s="324"/>
      <c r="V94" s="324"/>
      <c r="W94" s="324"/>
      <c r="X94" s="52">
        <f ca="1">G115</f>
        <v>1</v>
      </c>
    </row>
    <row r="95" spans="1:24" ht="21.95" customHeight="1" x14ac:dyDescent="0.25">
      <c r="A95" s="61" t="s">
        <v>2299</v>
      </c>
      <c r="B95" s="95" t="str">
        <f>IF(AND(U71=0,W71=0),"",IF(U71&lt;&gt;0,TEXT(U71,"0000"),"")&amp;IF(W71&lt;&gt;"","."&amp;TEXT(W71,"00"),""))</f>
        <v/>
      </c>
      <c r="C95" s="54">
        <f ca="1">VLOOKUP(A95,DB_TBL_DATA_FIELDS[[FIELD_ID]:[PCT_CALC_FIELD_STATUS_CODE]],22,FALSE)</f>
        <v>1</v>
      </c>
      <c r="D95" s="54" t="str">
        <f>IF(VLOOKUP(A95,DB_TBL_DATA_FIELDS[[FIELD_ID]:[ERROR_MESSAGE]],23,FALSE)&lt;&gt;0,VLOOKUP(A95,DB_TBL_DATA_FIELDS[[FIELD_ID]:[ERROR_MESSAGE]],23,FALSE),"")</f>
        <v/>
      </c>
      <c r="E95" s="54">
        <f>VLOOKUP(A95,DB_TBL_DATA_FIELDS[[#All],[FIELD_ID]:[RANGE_VALIDATION_MAX]],18,FALSE)</f>
        <v>7</v>
      </c>
      <c r="F95" s="54">
        <f>VLOOKUP(A95,DB_TBL_DATA_FIELDS[[#All],[FIELD_ID]:[RANGE_VALIDATION_MAX]],19,FALSE)</f>
        <v>7</v>
      </c>
      <c r="G95" s="54">
        <f t="shared" ca="1" si="3"/>
        <v>1</v>
      </c>
      <c r="I95" s="36" t="s">
        <v>2327</v>
      </c>
      <c r="K95" s="109" t="s">
        <v>2387</v>
      </c>
      <c r="N95" s="109"/>
      <c r="O95" s="36" t="s">
        <v>8993</v>
      </c>
      <c r="P95" s="36"/>
      <c r="S95" s="36" t="s">
        <v>2389</v>
      </c>
      <c r="W95" s="36" t="s">
        <v>2388</v>
      </c>
      <c r="X95"/>
    </row>
    <row r="96" spans="1:24" ht="21.95" customHeight="1" x14ac:dyDescent="0.25">
      <c r="A96" s="61" t="s">
        <v>2291</v>
      </c>
      <c r="B96" s="95" t="str">
        <f>IF(Q74="","",IF(UPPER(Q74)="YES",TRUE,FALSE))</f>
        <v/>
      </c>
      <c r="C96" s="54">
        <f ca="1">VLOOKUP(A96,DB_TBL_DATA_FIELDS[[FIELD_ID]:[PCT_CALC_FIELD_STATUS_CODE]],22,FALSE)</f>
        <v>1</v>
      </c>
      <c r="D96" s="54" t="str">
        <f>IF(VLOOKUP(A96,DB_TBL_DATA_FIELDS[[FIELD_ID]:[ERROR_MESSAGE]],23,FALSE)&lt;&gt;0,VLOOKUP(A96,DB_TBL_DATA_FIELDS[[FIELD_ID]:[ERROR_MESSAGE]],23,FALSE),"")</f>
        <v/>
      </c>
      <c r="E96" s="54">
        <f>VLOOKUP(A96,DB_TBL_DATA_FIELDS[[#All],[FIELD_ID]:[RANGE_VALIDATION_MAX]],18,FALSE)</f>
        <v>0</v>
      </c>
      <c r="F96" s="54">
        <f>VLOOKUP(A96,DB_TBL_DATA_FIELDS[[#All],[FIELD_ID]:[RANGE_VALIDATION_MAX]],19,FALSE)</f>
        <v>0</v>
      </c>
      <c r="G96" s="54">
        <f t="shared" ca="1" si="3"/>
        <v>1</v>
      </c>
      <c r="I96" s="286" t="str">
        <f>IF(ICW_HOUSEHOLD_SIZE&lt;&gt;"",IF(VALUE(ICW_HOUSEHOLD_SIZE)&gt;0,ICW_HOUSEHOLD_SIZE,""),"")</f>
        <v/>
      </c>
      <c r="J96" s="52" t="str">
        <f ca="1">G116</f>
        <v/>
      </c>
      <c r="K96" s="410" t="str">
        <f>IF(VALUE(ICW_TOTAL_INCOME)&gt;0,ICW_TOTAL_INCOME,"")</f>
        <v/>
      </c>
      <c r="L96" s="410"/>
      <c r="M96" s="410"/>
      <c r="N96" s="52" t="str">
        <f ca="1">G119</f>
        <v/>
      </c>
      <c r="O96" s="410" t="str">
        <f ca="1">B117</f>
        <v/>
      </c>
      <c r="P96" s="410"/>
      <c r="Q96" s="410"/>
      <c r="R96" s="52">
        <f ca="1">G117</f>
        <v>1</v>
      </c>
      <c r="S96" s="410" t="str">
        <f ca="1">B118</f>
        <v/>
      </c>
      <c r="T96" s="410"/>
      <c r="U96" s="410"/>
      <c r="V96" s="52">
        <f ca="1">G118</f>
        <v>1</v>
      </c>
      <c r="W96" s="273" t="str">
        <f ca="1">B120</f>
        <v/>
      </c>
      <c r="X96" s="52">
        <f ca="1">G120</f>
        <v>1</v>
      </c>
    </row>
    <row r="97" spans="1:25" ht="21.95" customHeight="1" x14ac:dyDescent="0.25">
      <c r="A97" s="61" t="s">
        <v>2307</v>
      </c>
      <c r="B97" s="95" t="str">
        <f>IF(I74&lt;&gt;"",I74,"")</f>
        <v/>
      </c>
      <c r="C97" s="54">
        <f ca="1">VLOOKUP(A97,DB_TBL_DATA_FIELDS[[FIELD_ID]:[PCT_CALC_FIELD_STATUS_CODE]],22,FALSE)</f>
        <v>1</v>
      </c>
      <c r="D97" s="54" t="str">
        <f>IF(VLOOKUP(A97,DB_TBL_DATA_FIELDS[[FIELD_ID]:[ERROR_MESSAGE]],23,FALSE)&lt;&gt;0,VLOOKUP(A97,DB_TBL_DATA_FIELDS[[FIELD_ID]:[ERROR_MESSAGE]],23,FALSE),"")</f>
        <v/>
      </c>
      <c r="E97" s="54">
        <f>VLOOKUP(A97,DB_TBL_DATA_FIELDS[[#All],[FIELD_ID]:[RANGE_VALIDATION_MAX]],18,FALSE)</f>
        <v>0</v>
      </c>
      <c r="F97" s="54">
        <f>VLOOKUP(A97,DB_TBL_DATA_FIELDS[[#All],[FIELD_ID]:[RANGE_VALIDATION_MAX]],19,FALSE)</f>
        <v>999999999</v>
      </c>
      <c r="G97" s="54">
        <f t="shared" ca="1" si="3"/>
        <v>1</v>
      </c>
      <c r="H97" s="253"/>
      <c r="I97" s="253"/>
      <c r="J97" s="253"/>
      <c r="K97" s="253"/>
      <c r="L97" s="253"/>
      <c r="M97" s="253"/>
      <c r="N97" s="253"/>
      <c r="O97" s="253"/>
      <c r="P97" s="253"/>
      <c r="Q97" s="253"/>
      <c r="R97" s="253"/>
      <c r="S97" s="253"/>
      <c r="T97" s="253"/>
      <c r="U97" s="253"/>
      <c r="V97" s="253"/>
      <c r="W97" s="253"/>
      <c r="X97" s="253"/>
      <c r="Y97" s="253"/>
    </row>
    <row r="98" spans="1:25" ht="21.95" customHeight="1" thickBot="1" x14ac:dyDescent="0.3">
      <c r="A98" s="61" t="s">
        <v>2311</v>
      </c>
      <c r="B98" s="95" t="str">
        <f>IF(M74&lt;&gt;"",M74,"")</f>
        <v/>
      </c>
      <c r="C98" s="54">
        <f ca="1">VLOOKUP(A98,DB_TBL_DATA_FIELDS[[FIELD_ID]:[PCT_CALC_FIELD_STATUS_CODE]],22,FALSE)</f>
        <v>1</v>
      </c>
      <c r="D98" s="54" t="str">
        <f>IF(VLOOKUP(A98,DB_TBL_DATA_FIELDS[[FIELD_ID]:[ERROR_MESSAGE]],23,FALSE)&lt;&gt;0,VLOOKUP(A98,DB_TBL_DATA_FIELDS[[FIELD_ID]:[ERROR_MESSAGE]],23,FALSE),"")</f>
        <v/>
      </c>
      <c r="E98" s="54">
        <f>VLOOKUP(A98,DB_TBL_DATA_FIELDS[[#All],[FIELD_ID]:[RANGE_VALIDATION_MAX]],18,FALSE)</f>
        <v>0</v>
      </c>
      <c r="F98" s="54">
        <f>VLOOKUP(A98,DB_TBL_DATA_FIELDS[[#All],[FIELD_ID]:[RANGE_VALIDATION_MAX]],19,FALSE)</f>
        <v>50</v>
      </c>
      <c r="G98" s="54">
        <f t="shared" ca="1" si="3"/>
        <v>1</v>
      </c>
      <c r="H98" s="253"/>
      <c r="I98" s="64" t="s">
        <v>2905</v>
      </c>
      <c r="J98" s="129"/>
      <c r="K98" s="130"/>
      <c r="L98" s="131"/>
      <c r="M98" s="130"/>
      <c r="N98" s="129"/>
      <c r="O98" s="130"/>
      <c r="P98" s="129"/>
      <c r="Q98" s="130"/>
      <c r="R98" s="129"/>
      <c r="S98" s="130"/>
      <c r="T98" s="130"/>
      <c r="U98" s="130"/>
      <c r="V98" s="130"/>
      <c r="W98" s="157"/>
      <c r="X98" s="132" t="str">
        <f>IF(C144=1,1,"")</f>
        <v/>
      </c>
      <c r="Y98" s="253"/>
    </row>
    <row r="99" spans="1:25" ht="21.95" customHeight="1" thickTop="1" x14ac:dyDescent="0.25">
      <c r="A99" s="61" t="s">
        <v>2309</v>
      </c>
      <c r="B99" s="95" t="str">
        <f>IF(U74="","",IF(UPPER(U74)="YES",TRUE,FALSE))</f>
        <v/>
      </c>
      <c r="C99" s="54">
        <f ca="1">VLOOKUP(A99,DB_TBL_DATA_FIELDS[[FIELD_ID]:[PCT_CALC_FIELD_STATUS_CODE]],22,FALSE)</f>
        <v>1</v>
      </c>
      <c r="D99" s="54" t="str">
        <f>IF(VLOOKUP(A99,DB_TBL_DATA_FIELDS[[FIELD_ID]:[ERROR_MESSAGE]],23,FALSE)&lt;&gt;0,VLOOKUP(A99,DB_TBL_DATA_FIELDS[[FIELD_ID]:[ERROR_MESSAGE]],23,FALSE),"")</f>
        <v/>
      </c>
      <c r="E99" s="54">
        <f>VLOOKUP(A99,DB_TBL_DATA_FIELDS[[#All],[FIELD_ID]:[RANGE_VALIDATION_MAX]],18,FALSE)</f>
        <v>0</v>
      </c>
      <c r="F99" s="54">
        <f>VLOOKUP(A99,DB_TBL_DATA_FIELDS[[#All],[FIELD_ID]:[RANGE_VALIDATION_MAX]],19,FALSE)</f>
        <v>0</v>
      </c>
      <c r="G99" s="54">
        <f t="shared" ca="1" si="3"/>
        <v>1</v>
      </c>
      <c r="H99" s="253"/>
      <c r="I99" s="253"/>
      <c r="J99" s="253"/>
      <c r="K99" s="253"/>
      <c r="L99" s="253"/>
      <c r="M99" s="253"/>
      <c r="N99" s="253"/>
      <c r="O99" s="253"/>
      <c r="P99" s="253"/>
      <c r="Q99" s="253"/>
      <c r="R99" s="253"/>
      <c r="S99" s="253"/>
      <c r="T99" s="253"/>
      <c r="U99" s="253"/>
      <c r="V99" s="253"/>
      <c r="W99" s="253"/>
      <c r="X99" s="253"/>
      <c r="Y99" s="253"/>
    </row>
    <row r="100" spans="1:25" ht="21.95" customHeight="1" x14ac:dyDescent="0.25">
      <c r="A100" s="61" t="s">
        <v>153</v>
      </c>
      <c r="B100" s="65" t="str">
        <f>"C"&amp;MATCH(LEFT(A100,LEN(A100)-LEN("_RANGE")),A:A,0)+1&amp;":C"&amp;(ROW()-1)</f>
        <v>C88:C99</v>
      </c>
      <c r="C100" s="54"/>
      <c r="D100" s="54"/>
      <c r="E100" s="54"/>
      <c r="F100" s="54"/>
      <c r="G100" s="54"/>
      <c r="H100" s="253"/>
      <c r="I100" s="253"/>
      <c r="J100" s="253"/>
      <c r="K100" s="253"/>
      <c r="L100" s="253"/>
      <c r="N100" s="253"/>
      <c r="O100" s="253"/>
      <c r="P100" s="253"/>
      <c r="Q100" s="253"/>
      <c r="R100" s="253"/>
      <c r="S100" s="253"/>
      <c r="T100" s="253"/>
      <c r="U100" s="253"/>
      <c r="V100" s="253"/>
      <c r="W100" s="253"/>
      <c r="X100" s="253"/>
      <c r="Y100" s="253"/>
    </row>
    <row r="101" spans="1:25" ht="21.95" customHeight="1" x14ac:dyDescent="0.25">
      <c r="A101" s="61" t="s">
        <v>154</v>
      </c>
      <c r="B101" s="65">
        <f ca="1">COUNTIF(INDIRECT($B100),2)</f>
        <v>0</v>
      </c>
      <c r="C101" s="54"/>
      <c r="D101" s="54"/>
      <c r="E101" s="54"/>
      <c r="F101" s="54"/>
      <c r="G101" s="54"/>
      <c r="H101" s="253"/>
      <c r="I101" s="253"/>
      <c r="J101" s="253"/>
      <c r="K101" s="253"/>
      <c r="L101" s="253"/>
      <c r="M101" s="253"/>
      <c r="N101" s="253"/>
      <c r="O101" s="253"/>
      <c r="P101" s="253"/>
      <c r="Q101" s="253"/>
      <c r="R101" s="253"/>
      <c r="S101" s="253"/>
      <c r="T101" s="253"/>
      <c r="U101" s="253"/>
      <c r="V101" s="253"/>
      <c r="W101" s="253"/>
      <c r="X101" s="253"/>
      <c r="Y101" s="253"/>
    </row>
    <row r="102" spans="1:25" ht="21.95" customHeight="1" thickBot="1" x14ac:dyDescent="0.3">
      <c r="A102" s="61" t="s">
        <v>155</v>
      </c>
      <c r="B102" s="65">
        <f ca="1">COUNTIF(INDIRECT($B100),0)+COUNTIF(INDIRECT($B100),1)+COUNTIF(INDIRECT($B100),2)</f>
        <v>7</v>
      </c>
      <c r="C102" s="54"/>
      <c r="D102" s="54"/>
      <c r="E102" s="54"/>
      <c r="F102" s="54"/>
      <c r="G102" s="54"/>
      <c r="I102" s="55" t="str">
        <f>B136</f>
        <v>Member Certification</v>
      </c>
      <c r="J102" s="55"/>
      <c r="K102" s="55"/>
      <c r="L102" s="55"/>
      <c r="M102" s="55"/>
      <c r="N102" s="55"/>
      <c r="O102" s="55"/>
      <c r="P102" s="55"/>
      <c r="Q102" s="55"/>
      <c r="R102" s="55"/>
      <c r="S102" s="55"/>
      <c r="T102" s="55"/>
      <c r="U102" s="55"/>
      <c r="V102" s="55"/>
      <c r="W102" s="55"/>
      <c r="X102" s="56" t="str">
        <f ca="1">"Status: "&amp;$B$147</f>
        <v>Status: Not Started</v>
      </c>
    </row>
    <row r="103" spans="1:25" ht="21.95" customHeight="1" x14ac:dyDescent="0.25">
      <c r="A103" s="61" t="s">
        <v>156</v>
      </c>
      <c r="B103" s="65">
        <f ca="1">COUNTIF(INDIRECT($B100),0)</f>
        <v>0</v>
      </c>
      <c r="C103" s="54"/>
      <c r="D103" s="54"/>
      <c r="E103" s="54"/>
      <c r="F103" s="54"/>
      <c r="G103" s="54"/>
      <c r="J103"/>
      <c r="V103"/>
      <c r="X103"/>
    </row>
    <row r="104" spans="1:25" ht="21.95" customHeight="1" x14ac:dyDescent="0.25">
      <c r="A104" s="61" t="s">
        <v>157</v>
      </c>
      <c r="B104" s="97">
        <f ca="1">IFERROR(B101/B102,1.01)</f>
        <v>0</v>
      </c>
      <c r="C104" s="54"/>
      <c r="D104" s="54"/>
      <c r="E104" s="54"/>
      <c r="F104" s="54"/>
      <c r="G104" s="54"/>
      <c r="I104" s="367" t="s">
        <v>8995</v>
      </c>
      <c r="J104" s="367"/>
      <c r="K104" s="367"/>
      <c r="L104" s="367"/>
      <c r="M104" s="367"/>
      <c r="N104" s="367"/>
      <c r="O104" s="367"/>
      <c r="P104" s="367"/>
      <c r="Q104" s="367"/>
      <c r="R104" s="367"/>
      <c r="S104" s="367"/>
      <c r="T104" s="367"/>
      <c r="U104" s="367"/>
      <c r="V104" s="367"/>
      <c r="W104" s="367"/>
      <c r="X104" s="367"/>
    </row>
    <row r="105" spans="1:25" ht="21.95" customHeight="1" x14ac:dyDescent="0.25">
      <c r="A105" s="61" t="s">
        <v>158</v>
      </c>
      <c r="B105" s="65" t="str">
        <f ca="1">IF(B103&gt;0,"Data Error(s)",IF(B104=0,"Not Started",IF(B104&lt;1,ROUNDUP(B104*100,0)&amp;"% Done",IF(B104&gt;1,"Optional","Complete"))))</f>
        <v>Not Started</v>
      </c>
      <c r="C105" s="54"/>
      <c r="D105" s="54"/>
      <c r="E105" s="54"/>
      <c r="F105" s="54"/>
      <c r="G105" s="54"/>
      <c r="I105" s="367"/>
      <c r="J105" s="367"/>
      <c r="K105" s="367"/>
      <c r="L105" s="367"/>
      <c r="M105" s="367"/>
      <c r="N105" s="367"/>
      <c r="O105" s="367"/>
      <c r="P105" s="367"/>
      <c r="Q105" s="367"/>
      <c r="R105" s="367"/>
      <c r="S105" s="367"/>
      <c r="T105" s="367"/>
      <c r="U105" s="367"/>
      <c r="V105" s="367"/>
      <c r="W105" s="367"/>
      <c r="X105" s="367"/>
    </row>
    <row r="106" spans="1:25" ht="21.95" customHeight="1" x14ac:dyDescent="0.25">
      <c r="A106" s="61" t="s">
        <v>159</v>
      </c>
      <c r="B106" s="65" t="str">
        <f ca="1">IF(B103&gt;0,0,IF(B104&lt;1,"",2))</f>
        <v/>
      </c>
      <c r="C106" s="54"/>
      <c r="D106" s="54"/>
      <c r="E106" s="54"/>
      <c r="F106" s="54"/>
      <c r="G106" s="54"/>
      <c r="I106" s="367"/>
      <c r="J106" s="367"/>
      <c r="K106" s="367"/>
      <c r="L106" s="367"/>
      <c r="M106" s="367"/>
      <c r="N106" s="367"/>
      <c r="O106" s="367"/>
      <c r="P106" s="367"/>
      <c r="Q106" s="367"/>
      <c r="R106" s="367"/>
      <c r="S106" s="367"/>
      <c r="T106" s="367"/>
      <c r="U106" s="367"/>
      <c r="V106" s="367"/>
      <c r="W106" s="367"/>
      <c r="X106" s="367"/>
    </row>
    <row r="107" spans="1:25" ht="21.95" customHeight="1" x14ac:dyDescent="0.25">
      <c r="A107" s="61" t="s">
        <v>160</v>
      </c>
      <c r="B107" s="96" t="s">
        <v>2357</v>
      </c>
      <c r="C107" s="54"/>
      <c r="D107" s="54"/>
      <c r="E107" s="54"/>
      <c r="F107" s="54"/>
      <c r="G107" s="54"/>
      <c r="I107" s="367"/>
      <c r="J107" s="367"/>
      <c r="K107" s="367"/>
      <c r="L107" s="367"/>
      <c r="M107" s="367"/>
      <c r="N107" s="367"/>
      <c r="O107" s="367"/>
      <c r="P107" s="367"/>
      <c r="Q107" s="367"/>
      <c r="R107" s="367"/>
      <c r="S107" s="367"/>
      <c r="T107" s="367"/>
      <c r="U107" s="367"/>
      <c r="V107" s="367"/>
      <c r="W107" s="367"/>
      <c r="X107" s="367"/>
    </row>
    <row r="108" spans="1:25" ht="21.95" customHeight="1" x14ac:dyDescent="0.25">
      <c r="A108" s="77" t="s">
        <v>2813</v>
      </c>
      <c r="B108" s="223" t="str">
        <f ca="1">IF(DATA_PRIMARY_RESIDENCE_FLAG=FALSE,'$DB.CONFIG'!M3,"")</f>
        <v/>
      </c>
      <c r="C108" s="54">
        <f ca="1">IF(B108="",0,1)</f>
        <v>0</v>
      </c>
      <c r="D108" s="54"/>
      <c r="E108" s="54"/>
      <c r="F108" s="54"/>
      <c r="G108" s="54"/>
      <c r="I108" s="367"/>
      <c r="J108" s="367"/>
      <c r="K108" s="367"/>
      <c r="L108" s="367"/>
      <c r="M108" s="367"/>
      <c r="N108" s="367"/>
      <c r="O108" s="367"/>
      <c r="P108" s="367"/>
      <c r="Q108" s="367"/>
      <c r="R108" s="367"/>
      <c r="S108" s="367"/>
      <c r="T108" s="367"/>
      <c r="U108" s="367"/>
      <c r="V108" s="367"/>
      <c r="W108" s="367"/>
      <c r="X108" s="367"/>
    </row>
    <row r="109" spans="1:25" ht="21.95" customHeight="1" x14ac:dyDescent="0.25">
      <c r="A109" s="77" t="s">
        <v>2148</v>
      </c>
      <c r="B109" s="65">
        <f ca="1">COUNTIF(C108,1)</f>
        <v>0</v>
      </c>
      <c r="C109" s="54"/>
      <c r="D109" s="54"/>
      <c r="E109" s="54"/>
      <c r="F109" s="54"/>
      <c r="G109" s="54"/>
      <c r="I109" s="367"/>
      <c r="J109" s="367"/>
      <c r="K109" s="367"/>
      <c r="L109" s="367"/>
      <c r="M109" s="367"/>
      <c r="N109" s="367"/>
      <c r="O109" s="367"/>
      <c r="P109" s="367"/>
      <c r="Q109" s="367"/>
      <c r="R109" s="367"/>
      <c r="S109" s="367"/>
      <c r="T109" s="367"/>
      <c r="U109" s="367"/>
      <c r="V109" s="367"/>
      <c r="W109" s="367"/>
      <c r="X109" s="367"/>
    </row>
    <row r="110" spans="1:25" ht="21.95" customHeight="1" x14ac:dyDescent="0.25">
      <c r="A110" s="77" t="s">
        <v>2149</v>
      </c>
      <c r="B110" s="65" t="b">
        <f ca="1">(B109&gt;0)</f>
        <v>0</v>
      </c>
      <c r="C110" s="54"/>
      <c r="D110" s="54"/>
      <c r="E110" s="54"/>
      <c r="F110" s="54"/>
      <c r="G110" s="54"/>
      <c r="I110" s="367"/>
      <c r="J110" s="367"/>
      <c r="K110" s="367"/>
      <c r="L110" s="367"/>
      <c r="M110" s="367"/>
      <c r="N110" s="367"/>
      <c r="O110" s="367"/>
      <c r="P110" s="367"/>
      <c r="Q110" s="367"/>
      <c r="R110" s="367"/>
      <c r="S110" s="367"/>
      <c r="T110" s="367"/>
      <c r="U110" s="367"/>
      <c r="V110" s="367"/>
      <c r="W110" s="367"/>
      <c r="X110" s="367"/>
    </row>
    <row r="111" spans="1:25" ht="21.95" customHeight="1" x14ac:dyDescent="0.25">
      <c r="A111" s="91" t="s">
        <v>162</v>
      </c>
      <c r="B111" s="93" t="s">
        <v>2358</v>
      </c>
      <c r="C111" s="92"/>
      <c r="D111" s="92"/>
      <c r="E111" s="92"/>
      <c r="F111" s="92"/>
      <c r="G111" s="92"/>
      <c r="I111" s="367"/>
      <c r="J111" s="367"/>
      <c r="K111" s="367"/>
      <c r="L111" s="367"/>
      <c r="M111" s="367"/>
      <c r="N111" s="367"/>
      <c r="O111" s="367"/>
      <c r="P111" s="367"/>
      <c r="Q111" s="367"/>
      <c r="R111" s="367"/>
      <c r="S111" s="367"/>
      <c r="T111" s="367"/>
      <c r="U111" s="367"/>
      <c r="V111" s="367"/>
      <c r="W111" s="367"/>
      <c r="X111" s="367"/>
    </row>
    <row r="112" spans="1:25" ht="21.95" customHeight="1" x14ac:dyDescent="0.25">
      <c r="A112" s="61" t="s">
        <v>2314</v>
      </c>
      <c r="B112" s="134" t="b">
        <v>0</v>
      </c>
      <c r="C112" s="54" t="str">
        <f ca="1">VLOOKUP(A112,DB_TBL_DATA_FIELDS[[FIELD_ID]:[PCT_CALC_FIELD_STATUS_CODE]],22,FALSE)</f>
        <v/>
      </c>
      <c r="D112" s="54" t="str">
        <f>IF(VLOOKUP(A112,DB_TBL_DATA_FIELDS[[FIELD_ID]:[ERROR_MESSAGE]],23,FALSE)&lt;&gt;0,VLOOKUP(A112,DB_TBL_DATA_FIELDS[[FIELD_ID]:[ERROR_MESSAGE]],23,FALSE),"")</f>
        <v/>
      </c>
      <c r="E112" s="54">
        <f>VLOOKUP(A112,DB_TBL_DATA_FIELDS[[#All],[FIELD_ID]:[RANGE_VALIDATION_MAX]],18,FALSE)</f>
        <v>0</v>
      </c>
      <c r="F112" s="54">
        <f>VLOOKUP(A112,DB_TBL_DATA_FIELDS[[#All],[FIELD_ID]:[RANGE_VALIDATION_MAX]],19,FALSE)</f>
        <v>0</v>
      </c>
      <c r="G112" s="54" t="str">
        <f t="shared" ref="G112:G124" ca="1" si="4">IF(C112&lt;0,"",C112)</f>
        <v/>
      </c>
      <c r="I112" s="367"/>
      <c r="J112" s="367"/>
      <c r="K112" s="367"/>
      <c r="L112" s="367"/>
      <c r="M112" s="367"/>
      <c r="N112" s="367"/>
      <c r="O112" s="367"/>
      <c r="P112" s="367"/>
      <c r="Q112" s="367"/>
      <c r="R112" s="367"/>
      <c r="S112" s="367"/>
      <c r="T112" s="367"/>
      <c r="U112" s="367"/>
      <c r="V112" s="367"/>
      <c r="W112" s="367"/>
      <c r="X112" s="367"/>
    </row>
    <row r="113" spans="1:24" ht="21.95" customHeight="1" x14ac:dyDescent="0.25">
      <c r="A113" s="61" t="s">
        <v>2316</v>
      </c>
      <c r="B113" s="65" t="str">
        <f ca="1">VLOOKUP(A113,DB_TBL_DATA_FIELDS[[#All],[FIELD_ID]:[FIELD_VALUE_RAW]],5,FALSE)</f>
        <v/>
      </c>
      <c r="C113" s="54">
        <f ca="1">VLOOKUP(A113,DB_TBL_DATA_FIELDS[[FIELD_ID]:[PCT_CALC_FIELD_STATUS_CODE]],22,FALSE)</f>
        <v>-1</v>
      </c>
      <c r="D113" s="54" t="str">
        <f ca="1">IF(VLOOKUP(A113,DB_TBL_DATA_FIELDS[[FIELD_ID]:[ERROR_MESSAGE]],23,FALSE)&lt;&gt;0,VLOOKUP(A113,DB_TBL_DATA_FIELDS[[FIELD_ID]:[ERROR_MESSAGE]],23,FALSE),"")</f>
        <v/>
      </c>
      <c r="E113" s="54">
        <f>VLOOKUP(A113,DB_TBL_DATA_FIELDS[[#All],[FIELD_ID]:[RANGE_VALIDATION_MAX]],18,FALSE)</f>
        <v>0</v>
      </c>
      <c r="F113" s="54">
        <f>VLOOKUP(A113,DB_TBL_DATA_FIELDS[[#All],[FIELD_ID]:[RANGE_VALIDATION_MAX]],19,FALSE)</f>
        <v>0</v>
      </c>
      <c r="G113" s="54" t="str">
        <f t="shared" ca="1" si="4"/>
        <v/>
      </c>
      <c r="I113" s="367"/>
      <c r="J113" s="367"/>
      <c r="K113" s="367"/>
      <c r="L113" s="367"/>
      <c r="M113" s="367"/>
      <c r="N113" s="367"/>
      <c r="O113" s="367"/>
      <c r="P113" s="367"/>
      <c r="Q113" s="367"/>
      <c r="R113" s="367"/>
      <c r="S113" s="367"/>
      <c r="T113" s="367"/>
      <c r="U113" s="367"/>
      <c r="V113" s="367"/>
      <c r="W113" s="367"/>
      <c r="X113" s="367"/>
    </row>
    <row r="114" spans="1:24" ht="21.95" customHeight="1" x14ac:dyDescent="0.25">
      <c r="A114" s="61" t="s">
        <v>2318</v>
      </c>
      <c r="B114" s="65" t="str">
        <f ca="1">VLOOKUP(A114,DB_TBL_DATA_FIELDS[[#All],[FIELD_ID]:[FIELD_VALUE_RAW]],5,FALSE)</f>
        <v/>
      </c>
      <c r="C114" s="54" t="str">
        <f ca="1">VLOOKUP(A114,DB_TBL_DATA_FIELDS[[FIELD_ID]:[PCT_CALC_FIELD_STATUS_CODE]],22,FALSE)</f>
        <v/>
      </c>
      <c r="D114" s="54" t="str">
        <f>IF(VLOOKUP(A114,DB_TBL_DATA_FIELDS[[FIELD_ID]:[ERROR_MESSAGE]],23,FALSE)&lt;&gt;0,VLOOKUP(A114,DB_TBL_DATA_FIELDS[[FIELD_ID]:[ERROR_MESSAGE]],23,FALSE),"")</f>
        <v/>
      </c>
      <c r="E114" s="54">
        <f>VLOOKUP(A114,DB_TBL_DATA_FIELDS[[#All],[FIELD_ID]:[RANGE_VALIDATION_MAX]],18,FALSE)</f>
        <v>0</v>
      </c>
      <c r="F114" s="54">
        <f>VLOOKUP(A114,DB_TBL_DATA_FIELDS[[#All],[FIELD_ID]:[RANGE_VALIDATION_MAX]],19,FALSE)</f>
        <v>4</v>
      </c>
      <c r="G114" s="54" t="str">
        <f t="shared" ca="1" si="4"/>
        <v/>
      </c>
      <c r="I114" s="367"/>
      <c r="J114" s="367"/>
      <c r="K114" s="367"/>
      <c r="L114" s="367"/>
      <c r="M114" s="367"/>
      <c r="N114" s="367"/>
      <c r="O114" s="367"/>
      <c r="P114" s="367"/>
      <c r="Q114" s="367"/>
      <c r="R114" s="367"/>
      <c r="S114" s="367"/>
      <c r="T114" s="367"/>
      <c r="U114" s="367"/>
      <c r="V114" s="367"/>
      <c r="W114" s="367"/>
      <c r="X114" s="367"/>
    </row>
    <row r="115" spans="1:24" ht="21.95" customHeight="1" x14ac:dyDescent="0.25">
      <c r="A115" s="61" t="s">
        <v>2485</v>
      </c>
      <c r="B115" s="95" t="str">
        <f>IF(I94&lt;&gt;"",I94,"")</f>
        <v/>
      </c>
      <c r="C115" s="54">
        <f ca="1">VLOOKUP(A115,DB_TBL_DATA_FIELDS[[FIELD_ID]:[PCT_CALC_FIELD_STATUS_CODE]],22,FALSE)</f>
        <v>1</v>
      </c>
      <c r="D115" s="54" t="str">
        <f ca="1">IF(VLOOKUP(A115,DB_TBL_DATA_FIELDS[[FIELD_ID]:[ERROR_MESSAGE]],23,FALSE)&lt;&gt;0,VLOOKUP(A115,DB_TBL_DATA_FIELDS[[FIELD_ID]:[ERROR_MESSAGE]],23,FALSE),"")</f>
        <v/>
      </c>
      <c r="E115" s="54">
        <f>VLOOKUP(A115,DB_TBL_DATA_FIELDS[[#All],[FIELD_ID]:[RANGE_VALIDATION_MAX]],18,FALSE)</f>
        <v>0</v>
      </c>
      <c r="F115" s="54">
        <f>VLOOKUP(A115,DB_TBL_DATA_FIELDS[[#All],[FIELD_ID]:[RANGE_VALIDATION_MAX]],19,FALSE)</f>
        <v>0</v>
      </c>
      <c r="G115" s="54">
        <f t="shared" ca="1" si="4"/>
        <v>1</v>
      </c>
      <c r="I115" s="367"/>
      <c r="J115" s="367"/>
      <c r="K115" s="367"/>
      <c r="L115" s="367"/>
      <c r="M115" s="367"/>
      <c r="N115" s="367"/>
      <c r="O115" s="367"/>
      <c r="P115" s="367"/>
      <c r="Q115" s="367"/>
      <c r="R115" s="367"/>
      <c r="S115" s="367"/>
      <c r="T115" s="367"/>
      <c r="U115" s="367"/>
      <c r="V115" s="367"/>
      <c r="W115" s="367"/>
      <c r="X115" s="367"/>
    </row>
    <row r="116" spans="1:24" ht="21.95" customHeight="1" x14ac:dyDescent="0.25">
      <c r="A116" s="61" t="s">
        <v>2319</v>
      </c>
      <c r="B116" s="95" t="str">
        <f>IF(I96&lt;&gt;"",I96,"")</f>
        <v/>
      </c>
      <c r="C116" s="54">
        <f ca="1">VLOOKUP(A116,DB_TBL_DATA_FIELDS[[FIELD_ID]:[PCT_CALC_FIELD_STATUS_CODE]],22,FALSE)</f>
        <v>-1</v>
      </c>
      <c r="D116" s="54" t="str">
        <f>IF(VLOOKUP(A116,DB_TBL_DATA_FIELDS[[FIELD_ID]:[ERROR_MESSAGE]],23,FALSE)&lt;&gt;0,VLOOKUP(A116,DB_TBL_DATA_FIELDS[[FIELD_ID]:[ERROR_MESSAGE]],23,FALSE),"")</f>
        <v/>
      </c>
      <c r="E116" s="54">
        <f>VLOOKUP(A116,DB_TBL_DATA_FIELDS[[#All],[FIELD_ID]:[RANGE_VALIDATION_MAX]],18,FALSE)</f>
        <v>1</v>
      </c>
      <c r="F116" s="54">
        <f>VLOOKUP(A116,DB_TBL_DATA_FIELDS[[#All],[FIELD_ID]:[RANGE_VALIDATION_MAX]],19,FALSE)</f>
        <v>20</v>
      </c>
      <c r="G116" s="54" t="str">
        <f t="shared" ca="1" si="4"/>
        <v/>
      </c>
      <c r="I116" s="367"/>
      <c r="J116" s="367"/>
      <c r="K116" s="367"/>
      <c r="L116" s="367"/>
      <c r="M116" s="367"/>
      <c r="N116" s="367"/>
      <c r="O116" s="367"/>
      <c r="P116" s="367"/>
      <c r="Q116" s="367"/>
      <c r="R116" s="367"/>
      <c r="S116" s="367"/>
      <c r="T116" s="367"/>
      <c r="U116" s="367"/>
      <c r="V116" s="367"/>
      <c r="W116" s="367"/>
      <c r="X116" s="367"/>
    </row>
    <row r="117" spans="1:24" ht="21.95" customHeight="1" x14ac:dyDescent="0.25">
      <c r="A117" s="61" t="s">
        <v>8989</v>
      </c>
      <c r="B117" s="65" t="str">
        <f ca="1">VLOOKUP(A117,DB_TBL_DATA_FIELDS[[#All],[FIELD_ID]:[FIELD_VALUE_RAW]],5,FALSE)</f>
        <v/>
      </c>
      <c r="C117" s="54">
        <f ca="1">VLOOKUP(A117,DB_TBL_DATA_FIELDS[[FIELD_ID]:[PCT_CALC_FIELD_STATUS_CODE]],22,FALSE)</f>
        <v>1</v>
      </c>
      <c r="D117" s="54" t="str">
        <f ca="1">IF(VLOOKUP(A117,DB_TBL_DATA_FIELDS[[FIELD_ID]:[ERROR_MESSAGE]],23,FALSE)&lt;&gt;0,VLOOKUP(A117,DB_TBL_DATA_FIELDS[[FIELD_ID]:[ERROR_MESSAGE]],23,FALSE),"")</f>
        <v/>
      </c>
      <c r="E117" s="54">
        <f>VLOOKUP(A117,DB_TBL_DATA_FIELDS[[#All],[FIELD_ID]:[RANGE_VALIDATION_MAX]],18,FALSE)</f>
        <v>0</v>
      </c>
      <c r="F117" s="54">
        <f>VLOOKUP(A117,DB_TBL_DATA_FIELDS[[#All],[FIELD_ID]:[RANGE_VALIDATION_MAX]],19,FALSE)</f>
        <v>999999999</v>
      </c>
      <c r="G117" s="54">
        <f t="shared" ca="1" si="4"/>
        <v>1</v>
      </c>
      <c r="I117" s="367"/>
      <c r="J117" s="367"/>
      <c r="K117" s="367"/>
      <c r="L117" s="367"/>
      <c r="M117" s="367"/>
      <c r="N117" s="367"/>
      <c r="O117" s="367"/>
      <c r="P117" s="367"/>
      <c r="Q117" s="367"/>
      <c r="R117" s="367"/>
      <c r="S117" s="367"/>
      <c r="T117" s="367"/>
      <c r="U117" s="367"/>
      <c r="V117" s="367"/>
      <c r="W117" s="367"/>
      <c r="X117" s="367"/>
    </row>
    <row r="118" spans="1:24" ht="21.95" customHeight="1" x14ac:dyDescent="0.25">
      <c r="A118" s="61" t="s">
        <v>2321</v>
      </c>
      <c r="B118" s="65" t="str">
        <f ca="1">VLOOKUP(A118,DB_TBL_DATA_FIELDS[[#All],[FIELD_ID]:[FIELD_VALUE_RAW]],5,FALSE)</f>
        <v/>
      </c>
      <c r="C118" s="54">
        <f ca="1">VLOOKUP(A118,DB_TBL_DATA_FIELDS[[FIELD_ID]:[PCT_CALC_FIELD_STATUS_CODE]],22,FALSE)</f>
        <v>1</v>
      </c>
      <c r="D118" s="54" t="str">
        <f>IF(VLOOKUP(A118,DB_TBL_DATA_FIELDS[[FIELD_ID]:[ERROR_MESSAGE]],23,FALSE)&lt;&gt;0,VLOOKUP(A118,DB_TBL_DATA_FIELDS[[FIELD_ID]:[ERROR_MESSAGE]],23,FALSE),"")</f>
        <v/>
      </c>
      <c r="E118" s="54">
        <f>VLOOKUP(A118,DB_TBL_DATA_FIELDS[[#All],[FIELD_ID]:[RANGE_VALIDATION_MAX]],18,FALSE)</f>
        <v>0</v>
      </c>
      <c r="F118" s="54">
        <f>VLOOKUP(A118,DB_TBL_DATA_FIELDS[[#All],[FIELD_ID]:[RANGE_VALIDATION_MAX]],19,FALSE)</f>
        <v>999999999</v>
      </c>
      <c r="G118" s="54">
        <f t="shared" ca="1" si="4"/>
        <v>1</v>
      </c>
      <c r="I118" s="367"/>
      <c r="J118" s="367"/>
      <c r="K118" s="367"/>
      <c r="L118" s="367"/>
      <c r="M118" s="367"/>
      <c r="N118" s="367"/>
      <c r="O118" s="367"/>
      <c r="P118" s="367"/>
      <c r="Q118" s="367"/>
      <c r="R118" s="367"/>
      <c r="S118" s="367"/>
      <c r="T118" s="367"/>
      <c r="U118" s="367"/>
      <c r="V118" s="367"/>
      <c r="W118" s="367"/>
      <c r="X118" s="367"/>
    </row>
    <row r="119" spans="1:24" ht="21.95" customHeight="1" x14ac:dyDescent="0.25">
      <c r="A119" s="61" t="s">
        <v>2320</v>
      </c>
      <c r="B119" s="95" t="str">
        <f>IF(K96&lt;&gt;"",K96,"")</f>
        <v/>
      </c>
      <c r="C119" s="54">
        <f ca="1">VLOOKUP(A119,DB_TBL_DATA_FIELDS[[FIELD_ID]:[PCT_CALC_FIELD_STATUS_CODE]],22,FALSE)</f>
        <v>-1</v>
      </c>
      <c r="D119" s="54" t="str">
        <f>IF(VLOOKUP(A119,DB_TBL_DATA_FIELDS[[FIELD_ID]:[ERROR_MESSAGE]],23,FALSE)&lt;&gt;0,VLOOKUP(A119,DB_TBL_DATA_FIELDS[[FIELD_ID]:[ERROR_MESSAGE]],23,FALSE),"")</f>
        <v/>
      </c>
      <c r="E119" s="54">
        <f>VLOOKUP(A119,DB_TBL_DATA_FIELDS[[#All],[FIELD_ID]:[RANGE_VALIDATION_MAX]],18,FALSE)</f>
        <v>0</v>
      </c>
      <c r="F119" s="54">
        <f>VLOOKUP(A119,DB_TBL_DATA_FIELDS[[#All],[FIELD_ID]:[RANGE_VALIDATION_MAX]],19,FALSE)</f>
        <v>999999999</v>
      </c>
      <c r="G119" s="54" t="str">
        <f t="shared" ca="1" si="4"/>
        <v/>
      </c>
      <c r="I119" s="367"/>
      <c r="J119" s="367"/>
      <c r="K119" s="367"/>
      <c r="L119" s="367"/>
      <c r="M119" s="367"/>
      <c r="N119" s="367"/>
      <c r="O119" s="367"/>
      <c r="P119" s="367"/>
      <c r="Q119" s="367"/>
      <c r="R119" s="367"/>
      <c r="S119" s="367"/>
      <c r="T119" s="367"/>
      <c r="U119" s="367"/>
      <c r="V119" s="367"/>
      <c r="W119" s="367"/>
      <c r="X119" s="367"/>
    </row>
    <row r="120" spans="1:24" ht="21.95" customHeight="1" x14ac:dyDescent="0.25">
      <c r="A120" s="61" t="s">
        <v>2323</v>
      </c>
      <c r="B120" s="65" t="str">
        <f ca="1">VLOOKUP(A120,DB_TBL_DATA_FIELDS[[#All],[FIELD_ID]:[FIELD_VALUE_RAW]],5,FALSE)</f>
        <v/>
      </c>
      <c r="C120" s="54">
        <f ca="1">VLOOKUP(A120,DB_TBL_DATA_FIELDS[[FIELD_ID]:[PCT_CALC_FIELD_STATUS_CODE]],22,FALSE)</f>
        <v>1</v>
      </c>
      <c r="D120" s="54" t="str">
        <f>IF(VLOOKUP(A120,DB_TBL_DATA_FIELDS[[FIELD_ID]:[ERROR_MESSAGE]],23,FALSE)&lt;&gt;0,VLOOKUP(A120,DB_TBL_DATA_FIELDS[[FIELD_ID]:[ERROR_MESSAGE]],23,FALSE),"")</f>
        <v/>
      </c>
      <c r="E120" s="54">
        <f>VLOOKUP(A120,DB_TBL_DATA_FIELDS[[#All],[FIELD_ID]:[RANGE_VALIDATION_MAX]],18,FALSE)</f>
        <v>0</v>
      </c>
      <c r="F120" s="54">
        <f>VLOOKUP(A120,DB_TBL_DATA_FIELDS[[#All],[FIELD_ID]:[RANGE_VALIDATION_MAX]],19,FALSE)</f>
        <v>999999999</v>
      </c>
      <c r="G120" s="54">
        <f t="shared" ca="1" si="4"/>
        <v>1</v>
      </c>
      <c r="I120" s="367"/>
      <c r="J120" s="367"/>
      <c r="K120" s="367"/>
      <c r="L120" s="367"/>
      <c r="M120" s="367"/>
      <c r="N120" s="367"/>
      <c r="O120" s="367"/>
      <c r="P120" s="367"/>
      <c r="Q120" s="367"/>
      <c r="R120" s="367"/>
      <c r="S120" s="367"/>
      <c r="T120" s="367"/>
      <c r="U120" s="367"/>
      <c r="V120" s="367"/>
      <c r="W120" s="367"/>
      <c r="X120" s="367"/>
    </row>
    <row r="121" spans="1:24" ht="21.95" customHeight="1" x14ac:dyDescent="0.25">
      <c r="A121" s="61" t="s">
        <v>2720</v>
      </c>
      <c r="B121" s="95" t="str">
        <f>IF(I81&lt;&gt;"",I81,"")</f>
        <v/>
      </c>
      <c r="C121" s="54">
        <f ca="1">VLOOKUP(A121,DB_TBL_DATA_FIELDS[[FIELD_ID]:[PCT_CALC_FIELD_STATUS_CODE]],22,FALSE)</f>
        <v>1</v>
      </c>
      <c r="D121" s="54" t="str">
        <f>IF(VLOOKUP(A121,DB_TBL_DATA_FIELDS[[FIELD_ID]:[ERROR_MESSAGE]],23,FALSE)&lt;&gt;0,VLOOKUP(A121,DB_TBL_DATA_FIELDS[[FIELD_ID]:[ERROR_MESSAGE]],23,FALSE),"")</f>
        <v/>
      </c>
      <c r="E121" s="54">
        <f>VLOOKUP(A121,DB_TBL_DATA_FIELDS[[#All],[FIELD_ID]:[RANGE_VALIDATION_MAX]],18,FALSE)</f>
        <v>0</v>
      </c>
      <c r="F121" s="54">
        <f>VLOOKUP(A121,DB_TBL_DATA_FIELDS[[#All],[FIELD_ID]:[RANGE_VALIDATION_MAX]],19,FALSE)</f>
        <v>50</v>
      </c>
      <c r="G121" s="54">
        <f t="shared" ca="1" si="4"/>
        <v>1</v>
      </c>
      <c r="I121" s="367"/>
      <c r="J121" s="367"/>
      <c r="K121" s="367"/>
      <c r="L121" s="367"/>
      <c r="M121" s="367"/>
      <c r="N121" s="367"/>
      <c r="O121" s="367"/>
      <c r="P121" s="367"/>
      <c r="Q121" s="367"/>
      <c r="R121" s="367"/>
      <c r="S121" s="367"/>
      <c r="T121" s="367"/>
      <c r="U121" s="367"/>
      <c r="V121" s="367"/>
      <c r="W121" s="367"/>
      <c r="X121" s="367"/>
    </row>
    <row r="122" spans="1:24" ht="21.95" customHeight="1" x14ac:dyDescent="0.25">
      <c r="A122" s="61" t="s">
        <v>2721</v>
      </c>
      <c r="B122" s="95" t="str">
        <f>IF(I83&lt;&gt;"",I83,"")</f>
        <v/>
      </c>
      <c r="C122" s="54">
        <f ca="1">VLOOKUP(A122,DB_TBL_DATA_FIELDS[[FIELD_ID]:[PCT_CALC_FIELD_STATUS_CODE]],22,FALSE)</f>
        <v>-1</v>
      </c>
      <c r="D122" s="54" t="str">
        <f>IF(VLOOKUP(A122,DB_TBL_DATA_FIELDS[[FIELD_ID]:[ERROR_MESSAGE]],23,FALSE)&lt;&gt;0,VLOOKUP(A122,DB_TBL_DATA_FIELDS[[FIELD_ID]:[ERROR_MESSAGE]],23,FALSE),"")</f>
        <v/>
      </c>
      <c r="E122" s="54">
        <f>VLOOKUP(A122,DB_TBL_DATA_FIELDS[[#All],[FIELD_ID]:[RANGE_VALIDATION_MAX]],18,FALSE)</f>
        <v>0</v>
      </c>
      <c r="F122" s="54">
        <f>VLOOKUP(A122,DB_TBL_DATA_FIELDS[[#All],[FIELD_ID]:[RANGE_VALIDATION_MAX]],19,FALSE)</f>
        <v>50</v>
      </c>
      <c r="G122" s="54" t="str">
        <f t="shared" ca="1" si="4"/>
        <v/>
      </c>
      <c r="I122" s="367"/>
      <c r="J122" s="367"/>
      <c r="K122" s="367"/>
      <c r="L122" s="367"/>
      <c r="M122" s="367"/>
      <c r="N122" s="367"/>
      <c r="O122" s="367"/>
      <c r="P122" s="367"/>
      <c r="Q122" s="367"/>
      <c r="R122" s="367"/>
      <c r="S122" s="367"/>
      <c r="T122" s="367"/>
      <c r="U122" s="367"/>
      <c r="V122" s="367"/>
      <c r="W122" s="367"/>
      <c r="X122" s="367"/>
    </row>
    <row r="123" spans="1:24" ht="21.95" customHeight="1" x14ac:dyDescent="0.25">
      <c r="A123" s="61" t="s">
        <v>2290</v>
      </c>
      <c r="B123" s="65" t="str">
        <f ca="1">VLOOKUP(A123,DB_TBL_DATA_FIELDS[[#All],[FIELD_ID]:[FIELD_VALUE_RAW]],5,FALSE)</f>
        <v/>
      </c>
      <c r="C123" s="54" t="str">
        <f ca="1">VLOOKUP(A123,DB_TBL_DATA_FIELDS[[FIELD_ID]:[PCT_CALC_FIELD_STATUS_CODE]],22,FALSE)</f>
        <v/>
      </c>
      <c r="D123" s="54" t="str">
        <f>IF(VLOOKUP(A123,DB_TBL_DATA_FIELDS[[FIELD_ID]:[ERROR_MESSAGE]],23,FALSE)&lt;&gt;0,VLOOKUP(A123,DB_TBL_DATA_FIELDS[[FIELD_ID]:[ERROR_MESSAGE]],23,FALSE),"")</f>
        <v/>
      </c>
      <c r="E123" s="54">
        <f>VLOOKUP(A123,DB_TBL_DATA_FIELDS[[#All],[FIELD_ID]:[RANGE_VALIDATION_MAX]],18,FALSE)</f>
        <v>0</v>
      </c>
      <c r="F123" s="54">
        <f>VLOOKUP(A123,DB_TBL_DATA_FIELDS[[#All],[FIELD_ID]:[RANGE_VALIDATION_MAX]],19,FALSE)</f>
        <v>50</v>
      </c>
      <c r="G123" s="54" t="str">
        <f t="shared" ca="1" si="4"/>
        <v/>
      </c>
      <c r="I123" s="367"/>
      <c r="J123" s="367"/>
      <c r="K123" s="367"/>
      <c r="L123" s="367"/>
      <c r="M123" s="367"/>
      <c r="N123" s="367"/>
      <c r="O123" s="367"/>
      <c r="P123" s="367"/>
      <c r="Q123" s="367"/>
      <c r="R123" s="367"/>
      <c r="S123" s="367"/>
      <c r="T123" s="367"/>
      <c r="U123" s="367"/>
      <c r="V123" s="367"/>
      <c r="W123" s="367"/>
      <c r="X123" s="367"/>
    </row>
    <row r="124" spans="1:24" ht="21.95" customHeight="1" x14ac:dyDescent="0.25">
      <c r="A124" s="61" t="s">
        <v>2342</v>
      </c>
      <c r="B124" s="95" t="str">
        <f>IF(U81&lt;&gt;"",U81,"")</f>
        <v/>
      </c>
      <c r="C124" s="54">
        <f ca="1">VLOOKUP(A124,DB_TBL_DATA_FIELDS[[FIELD_ID]:[PCT_CALC_FIELD_STATUS_CODE]],22,FALSE)</f>
        <v>1</v>
      </c>
      <c r="D124" s="54" t="str">
        <f ca="1">IF(VLOOKUP(A124,DB_TBL_DATA_FIELDS[[FIELD_ID]:[ERROR_MESSAGE]],23,FALSE)&lt;&gt;0,VLOOKUP(A124,DB_TBL_DATA_FIELDS[[FIELD_ID]:[ERROR_MESSAGE]],23,FALSE),"")</f>
        <v/>
      </c>
      <c r="E124" s="54">
        <f>VLOOKUP(A124,DB_TBL_DATA_FIELDS[[#All],[FIELD_ID]:[RANGE_VALIDATION_MAX]],18,FALSE)</f>
        <v>0</v>
      </c>
      <c r="F124" s="54">
        <f>VLOOKUP(A124,DB_TBL_DATA_FIELDS[[#All],[FIELD_ID]:[RANGE_VALIDATION_MAX]],19,FALSE)</f>
        <v>0</v>
      </c>
      <c r="G124" s="54">
        <f t="shared" ca="1" si="4"/>
        <v>1</v>
      </c>
      <c r="I124" s="367"/>
      <c r="J124" s="367"/>
      <c r="K124" s="367"/>
      <c r="L124" s="367"/>
      <c r="M124" s="367"/>
      <c r="N124" s="367"/>
      <c r="O124" s="367"/>
      <c r="P124" s="367"/>
      <c r="Q124" s="367"/>
      <c r="R124" s="367"/>
      <c r="S124" s="367"/>
      <c r="T124" s="367"/>
      <c r="U124" s="367"/>
      <c r="V124" s="367"/>
      <c r="W124" s="367"/>
      <c r="X124" s="367"/>
    </row>
    <row r="125" spans="1:24" ht="21.95" customHeight="1" x14ac:dyDescent="0.25">
      <c r="A125" s="61" t="s">
        <v>164</v>
      </c>
      <c r="B125" s="65" t="str">
        <f>"C"&amp;MATCH(LEFT(A125,LEN(A125)-LEN("_RANGE")),A:A,0)+1&amp;":C"&amp;(ROW()-1)</f>
        <v>C112:C124</v>
      </c>
      <c r="C125" s="54"/>
      <c r="D125" s="54"/>
      <c r="E125" s="54"/>
      <c r="F125" s="54"/>
      <c r="G125" s="54"/>
      <c r="I125" s="367"/>
      <c r="J125" s="367"/>
      <c r="K125" s="367"/>
      <c r="L125" s="367"/>
      <c r="M125" s="367"/>
      <c r="N125" s="367"/>
      <c r="O125" s="367"/>
      <c r="P125" s="367"/>
      <c r="Q125" s="367"/>
      <c r="R125" s="367"/>
      <c r="S125" s="367"/>
      <c r="T125" s="367"/>
      <c r="U125" s="367"/>
      <c r="V125" s="367"/>
      <c r="W125" s="367"/>
      <c r="X125" s="367"/>
    </row>
    <row r="126" spans="1:24" ht="21.95" customHeight="1" x14ac:dyDescent="0.25">
      <c r="A126" s="61" t="s">
        <v>165</v>
      </c>
      <c r="B126" s="65">
        <f ca="1">COUNTIF(INDIRECT($B125),2)</f>
        <v>0</v>
      </c>
      <c r="C126" s="54"/>
      <c r="D126" s="54"/>
      <c r="E126" s="54"/>
      <c r="F126" s="54"/>
      <c r="G126" s="54"/>
      <c r="I126" s="367"/>
      <c r="J126" s="367"/>
      <c r="K126" s="367"/>
      <c r="L126" s="367"/>
      <c r="M126" s="367"/>
      <c r="N126" s="367"/>
      <c r="O126" s="367"/>
      <c r="P126" s="367"/>
      <c r="Q126" s="367"/>
      <c r="R126" s="367"/>
      <c r="S126" s="367"/>
      <c r="T126" s="367"/>
      <c r="U126" s="367"/>
      <c r="V126" s="367"/>
      <c r="W126" s="367"/>
      <c r="X126" s="367"/>
    </row>
    <row r="127" spans="1:24" ht="21.95" customHeight="1" x14ac:dyDescent="0.25">
      <c r="A127" s="61" t="s">
        <v>166</v>
      </c>
      <c r="B127" s="65">
        <f ca="1">COUNTIF(INDIRECT($B125),0)+COUNTIF(INDIRECT($B125),1)+COUNTIF(INDIRECT($B125),2)</f>
        <v>6</v>
      </c>
      <c r="C127" s="54"/>
      <c r="D127" s="54"/>
      <c r="E127" s="54"/>
      <c r="F127" s="54"/>
      <c r="G127" s="54"/>
      <c r="I127" s="367"/>
      <c r="J127" s="367"/>
      <c r="K127" s="367"/>
      <c r="L127" s="367"/>
      <c r="M127" s="367"/>
      <c r="N127" s="367"/>
      <c r="O127" s="367"/>
      <c r="P127" s="367"/>
      <c r="Q127" s="367"/>
      <c r="R127" s="367"/>
      <c r="S127" s="367"/>
      <c r="T127" s="367"/>
      <c r="U127" s="367"/>
      <c r="V127" s="367"/>
      <c r="W127" s="367"/>
      <c r="X127" s="367"/>
    </row>
    <row r="128" spans="1:24" ht="21.95" customHeight="1" x14ac:dyDescent="0.25">
      <c r="A128" s="61" t="s">
        <v>167</v>
      </c>
      <c r="B128" s="65">
        <f ca="1">COUNTIF(INDIRECT($B125),0)</f>
        <v>0</v>
      </c>
      <c r="C128" s="54"/>
      <c r="D128" s="54"/>
      <c r="E128" s="54"/>
      <c r="F128" s="54"/>
      <c r="G128" s="54"/>
      <c r="I128" s="367"/>
      <c r="J128" s="367"/>
      <c r="K128" s="367"/>
      <c r="L128" s="367"/>
      <c r="M128" s="367"/>
      <c r="N128" s="367"/>
      <c r="O128" s="367"/>
      <c r="P128" s="367"/>
      <c r="Q128" s="367"/>
      <c r="R128" s="367"/>
      <c r="S128" s="367"/>
      <c r="T128" s="367"/>
      <c r="U128" s="367"/>
      <c r="V128" s="367"/>
      <c r="W128" s="367"/>
      <c r="X128" s="367"/>
    </row>
    <row r="129" spans="1:24" ht="21.95" customHeight="1" x14ac:dyDescent="0.25">
      <c r="A129" s="61" t="s">
        <v>168</v>
      </c>
      <c r="B129" s="97">
        <f ca="1">IFERROR(B126/B127,1.01)</f>
        <v>0</v>
      </c>
      <c r="C129" s="54"/>
      <c r="D129" s="54"/>
      <c r="E129" s="54"/>
      <c r="F129" s="54"/>
      <c r="G129" s="54"/>
      <c r="J129"/>
      <c r="L129"/>
      <c r="N129"/>
      <c r="P129"/>
      <c r="R129"/>
      <c r="T129"/>
      <c r="V129"/>
      <c r="X129"/>
    </row>
    <row r="130" spans="1:24" ht="21.95" customHeight="1" x14ac:dyDescent="0.25">
      <c r="A130" s="61" t="s">
        <v>169</v>
      </c>
      <c r="B130" s="65" t="str">
        <f ca="1">IF(B128&gt;0,"Data Error(s)",IF(B129=0,"Not Started",IF(B129&lt;1,ROUNDUP(B129*100,0)&amp;"% Done",IF(B129&gt;1,"Optional","Complete"))))</f>
        <v>Not Started</v>
      </c>
      <c r="C130" s="54"/>
      <c r="D130" s="54"/>
      <c r="E130" s="54"/>
      <c r="F130" s="54"/>
      <c r="G130" s="54"/>
      <c r="I130" s="36" t="s">
        <v>2873</v>
      </c>
      <c r="K130" s="36"/>
      <c r="M130" s="36"/>
      <c r="N130" s="36"/>
      <c r="O130" s="36" t="s">
        <v>2874</v>
      </c>
      <c r="Q130" s="36"/>
      <c r="S130" s="36"/>
      <c r="T130" s="36"/>
      <c r="U130" s="36" t="s">
        <v>31</v>
      </c>
      <c r="V130" s="36"/>
      <c r="W130" s="36"/>
      <c r="X130" s="36"/>
    </row>
    <row r="131" spans="1:24" ht="21.95" customHeight="1" x14ac:dyDescent="0.25">
      <c r="A131" s="61" t="s">
        <v>170</v>
      </c>
      <c r="B131" s="65" t="str">
        <f ca="1">IF(B128&gt;0,0,IF(B129&lt;1,"",2))</f>
        <v/>
      </c>
      <c r="C131" s="54"/>
      <c r="D131" s="54"/>
      <c r="E131" s="54"/>
      <c r="F131" s="54"/>
      <c r="G131" s="54"/>
      <c r="I131" s="316"/>
      <c r="J131" s="317"/>
      <c r="K131" s="317"/>
      <c r="L131" s="317"/>
      <c r="M131" s="318"/>
      <c r="N131" s="52">
        <f ca="1">G137</f>
        <v>1</v>
      </c>
      <c r="O131" s="316"/>
      <c r="P131" s="317"/>
      <c r="Q131" s="317"/>
      <c r="R131" s="317"/>
      <c r="S131" s="318"/>
      <c r="T131" s="52">
        <f ca="1">G138</f>
        <v>1</v>
      </c>
      <c r="U131" s="338"/>
      <c r="V131" s="339"/>
      <c r="W131" s="340"/>
      <c r="X131" s="52">
        <f ca="1">G139</f>
        <v>1</v>
      </c>
    </row>
    <row r="132" spans="1:24" ht="21.95" customHeight="1" x14ac:dyDescent="0.25">
      <c r="A132" s="61" t="s">
        <v>171</v>
      </c>
      <c r="B132" s="96" t="s">
        <v>2358</v>
      </c>
      <c r="C132" s="54"/>
      <c r="D132" s="54"/>
      <c r="E132" s="54"/>
      <c r="F132" s="54"/>
      <c r="G132" s="54"/>
      <c r="I132" s="36" t="s">
        <v>132</v>
      </c>
      <c r="K132" s="36"/>
      <c r="M132" s="36"/>
      <c r="N132" s="36"/>
      <c r="O132" s="36"/>
      <c r="P132" s="36"/>
      <c r="S132" s="36" t="s">
        <v>2158</v>
      </c>
      <c r="W132" s="36"/>
    </row>
    <row r="133" spans="1:24" ht="21.95" customHeight="1" x14ac:dyDescent="0.25">
      <c r="A133" s="77" t="s">
        <v>2562</v>
      </c>
      <c r="B133" s="65" t="str">
        <f ca="1">IF(C119=0,'$DB.CONFIG'!$M$3,"")</f>
        <v/>
      </c>
      <c r="C133" s="54">
        <f ca="1">IF(B133="",0,1)</f>
        <v>0</v>
      </c>
      <c r="D133" s="54"/>
      <c r="E133" s="54"/>
      <c r="F133" s="54"/>
      <c r="G133" s="54"/>
      <c r="I133" s="409"/>
      <c r="J133" s="317"/>
      <c r="K133" s="317"/>
      <c r="L133" s="317"/>
      <c r="M133" s="317"/>
      <c r="N133" s="317"/>
      <c r="O133" s="317"/>
      <c r="P133" s="317"/>
      <c r="Q133" s="318"/>
      <c r="R133" s="52">
        <f ca="1">G140</f>
        <v>1</v>
      </c>
      <c r="S133" s="313"/>
      <c r="T133" s="314"/>
      <c r="U133" s="314"/>
      <c r="V133" s="314"/>
      <c r="W133" s="315"/>
      <c r="X133" s="52">
        <f ca="1">G141</f>
        <v>1</v>
      </c>
    </row>
    <row r="134" spans="1:24" ht="21.95" customHeight="1" x14ac:dyDescent="0.25">
      <c r="A134" s="77" t="s">
        <v>2146</v>
      </c>
      <c r="B134" s="65">
        <f ca="1">COUNTIF(C133,1)</f>
        <v>0</v>
      </c>
      <c r="C134" s="54"/>
      <c r="D134" s="54"/>
      <c r="E134" s="54"/>
      <c r="F134" s="54"/>
      <c r="G134" s="54"/>
      <c r="I134" s="331" t="str">
        <f ca="1">D140</f>
        <v/>
      </c>
      <c r="J134" s="331"/>
      <c r="K134" s="331"/>
      <c r="L134" s="331"/>
      <c r="M134" s="331"/>
      <c r="N134" s="331"/>
      <c r="O134" s="331"/>
      <c r="P134" s="331"/>
      <c r="Q134" s="331"/>
      <c r="R134"/>
      <c r="T134"/>
      <c r="V134"/>
      <c r="X134"/>
    </row>
    <row r="135" spans="1:24" ht="21.95" customHeight="1" x14ac:dyDescent="0.25">
      <c r="A135" s="77" t="s">
        <v>2147</v>
      </c>
      <c r="B135" s="65" t="b">
        <f ca="1">(B134&gt;0)</f>
        <v>0</v>
      </c>
      <c r="C135" s="54"/>
      <c r="D135" s="54"/>
      <c r="E135" s="54"/>
      <c r="F135" s="54"/>
      <c r="G135" s="54"/>
      <c r="J135"/>
      <c r="L135"/>
      <c r="N135"/>
      <c r="P135"/>
    </row>
    <row r="136" spans="1:24" ht="21.95" customHeight="1" x14ac:dyDescent="0.25">
      <c r="A136" s="91" t="s">
        <v>2861</v>
      </c>
      <c r="B136" s="93" t="s">
        <v>2862</v>
      </c>
      <c r="C136" s="92"/>
      <c r="D136" s="92"/>
      <c r="E136" s="92"/>
      <c r="F136" s="92"/>
      <c r="G136" s="92"/>
      <c r="J136"/>
      <c r="L136"/>
      <c r="N136"/>
      <c r="P136"/>
    </row>
    <row r="137" spans="1:24" ht="21.95" hidden="1" customHeight="1" x14ac:dyDescent="0.25">
      <c r="A137" s="61" t="s">
        <v>2855</v>
      </c>
      <c r="B137" s="95" t="str">
        <f>IF(I131&lt;&gt;"",I131,"")</f>
        <v/>
      </c>
      <c r="C137" s="54">
        <f ca="1">VLOOKUP(A137,DB_TBL_DATA_FIELDS[[FIELD_ID]:[PCT_CALC_FIELD_STATUS_CODE]],22,FALSE)</f>
        <v>1</v>
      </c>
      <c r="D137" s="54" t="str">
        <f ca="1">IF(VLOOKUP(A137,DB_TBL_DATA_FIELDS[[FIELD_ID]:[ERROR_MESSAGE]],23,FALSE)&lt;&gt;0,VLOOKUP(A137,DB_TBL_DATA_FIELDS[[FIELD_ID]:[ERROR_MESSAGE]],23,FALSE),"")</f>
        <v/>
      </c>
      <c r="E137" s="54">
        <f>VLOOKUP(A137,DB_TBL_DATA_FIELDS[[#All],[FIELD_ID]:[RANGE_VALIDATION_MAX]],18,FALSE)</f>
        <v>0</v>
      </c>
      <c r="F137" s="54">
        <f>VLOOKUP(A137,DB_TBL_DATA_FIELDS[[#All],[FIELD_ID]:[RANGE_VALIDATION_MAX]],19,FALSE)</f>
        <v>100</v>
      </c>
      <c r="G137" s="54">
        <f t="shared" ref="G137:G141" ca="1" si="5">IF(C137&lt;0,"",C137)</f>
        <v>1</v>
      </c>
      <c r="J137"/>
      <c r="L137"/>
      <c r="N137"/>
      <c r="P137"/>
    </row>
    <row r="138" spans="1:24" ht="21.95" hidden="1" customHeight="1" x14ac:dyDescent="0.25">
      <c r="A138" s="61" t="s">
        <v>2857</v>
      </c>
      <c r="B138" s="95" t="str">
        <f>IF(O131&lt;&gt;"",O131,"")</f>
        <v/>
      </c>
      <c r="C138" s="54">
        <f ca="1">VLOOKUP(A138,DB_TBL_DATA_FIELDS[[FIELD_ID]:[PCT_CALC_FIELD_STATUS_CODE]],22,FALSE)</f>
        <v>1</v>
      </c>
      <c r="D138" s="54" t="str">
        <f ca="1">IF(VLOOKUP(A138,DB_TBL_DATA_FIELDS[[FIELD_ID]:[ERROR_MESSAGE]],23,FALSE)&lt;&gt;0,VLOOKUP(A138,DB_TBL_DATA_FIELDS[[FIELD_ID]:[ERROR_MESSAGE]],23,FALSE),"")</f>
        <v/>
      </c>
      <c r="E138" s="54">
        <f>VLOOKUP(A138,DB_TBL_DATA_FIELDS[[#All],[FIELD_ID]:[RANGE_VALIDATION_MAX]],18,FALSE)</f>
        <v>0</v>
      </c>
      <c r="F138" s="54">
        <f>VLOOKUP(A138,DB_TBL_DATA_FIELDS[[#All],[FIELD_ID]:[RANGE_VALIDATION_MAX]],19,FALSE)</f>
        <v>100</v>
      </c>
      <c r="G138" s="54">
        <f t="shared" ca="1" si="5"/>
        <v>1</v>
      </c>
      <c r="J138"/>
      <c r="L138"/>
      <c r="N138"/>
      <c r="P138"/>
      <c r="R138"/>
      <c r="T138"/>
      <c r="V138"/>
      <c r="X138"/>
    </row>
    <row r="139" spans="1:24" ht="21.95" hidden="1" customHeight="1" x14ac:dyDescent="0.25">
      <c r="A139" s="61" t="s">
        <v>2858</v>
      </c>
      <c r="B139" s="95" t="str">
        <f>IF(U131&lt;&gt;"",U131,"")</f>
        <v/>
      </c>
      <c r="C139" s="54">
        <f ca="1">VLOOKUP(A139,DB_TBL_DATA_FIELDS[[FIELD_ID]:[PCT_CALC_FIELD_STATUS_CODE]],22,FALSE)</f>
        <v>1</v>
      </c>
      <c r="D139" s="54" t="str">
        <f ca="1">IF(VLOOKUP(A139,DB_TBL_DATA_FIELDS[[FIELD_ID]:[ERROR_MESSAGE]],23,FALSE)&lt;&gt;0,VLOOKUP(A139,DB_TBL_DATA_FIELDS[[FIELD_ID]:[ERROR_MESSAGE]],23,FALSE),"")</f>
        <v/>
      </c>
      <c r="E139" s="54">
        <f>VLOOKUP(A139,DB_TBL_DATA_FIELDS[[#All],[FIELD_ID]:[RANGE_VALIDATION_MAX]],18,FALSE)</f>
        <v>0</v>
      </c>
      <c r="F139" s="54">
        <f>VLOOKUP(A139,DB_TBL_DATA_FIELDS[[#All],[FIELD_ID]:[RANGE_VALIDATION_MAX]],19,FALSE)</f>
        <v>0</v>
      </c>
      <c r="G139" s="54">
        <f t="shared" ca="1" si="5"/>
        <v>1</v>
      </c>
      <c r="J139"/>
      <c r="L139"/>
      <c r="N139"/>
      <c r="P139"/>
      <c r="R139"/>
      <c r="T139"/>
      <c r="V139"/>
      <c r="X139"/>
    </row>
    <row r="140" spans="1:24" ht="21.95" hidden="1" customHeight="1" x14ac:dyDescent="0.25">
      <c r="A140" s="61" t="s">
        <v>2230</v>
      </c>
      <c r="B140" s="95" t="str">
        <f>IF(I133&lt;&gt;"",I133,"")</f>
        <v/>
      </c>
      <c r="C140" s="54">
        <f ca="1">VLOOKUP(A140,DB_TBL_DATA_FIELDS[[FIELD_ID]:[PCT_CALC_FIELD_STATUS_CODE]],22,FALSE)</f>
        <v>1</v>
      </c>
      <c r="D140" s="54" t="str">
        <f ca="1">IF(VLOOKUP(A140,DB_TBL_DATA_FIELDS[[FIELD_ID]:[ERROR_MESSAGE]],23,FALSE)&lt;&gt;0,VLOOKUP(A140,DB_TBL_DATA_FIELDS[[FIELD_ID]:[ERROR_MESSAGE]],23,FALSE),"")</f>
        <v/>
      </c>
      <c r="E140" s="54">
        <f>VLOOKUP(A140,DB_TBL_DATA_FIELDS[[#All],[FIELD_ID]:[RANGE_VALIDATION_MAX]],18,FALSE)</f>
        <v>0</v>
      </c>
      <c r="F140" s="54">
        <f>VLOOKUP(A140,DB_TBL_DATA_FIELDS[[#All],[FIELD_ID]:[RANGE_VALIDATION_MAX]],19,FALSE)</f>
        <v>60</v>
      </c>
      <c r="G140" s="54">
        <f t="shared" ca="1" si="5"/>
        <v>1</v>
      </c>
      <c r="J140"/>
      <c r="L140"/>
      <c r="N140"/>
      <c r="P140"/>
      <c r="R140"/>
      <c r="T140"/>
      <c r="V140"/>
      <c r="X140"/>
    </row>
    <row r="141" spans="1:24" ht="21.95" hidden="1" customHeight="1" x14ac:dyDescent="0.25">
      <c r="A141" s="61" t="s">
        <v>2231</v>
      </c>
      <c r="B141" s="95" t="str">
        <f>IF(S133&lt;&gt;"",S133,"")</f>
        <v/>
      </c>
      <c r="C141" s="54">
        <f ca="1">VLOOKUP(A141,DB_TBL_DATA_FIELDS[[FIELD_ID]:[PCT_CALC_FIELD_STATUS_CODE]],22,FALSE)</f>
        <v>1</v>
      </c>
      <c r="D141" s="54" t="str">
        <f>IF(VLOOKUP(A141,DB_TBL_DATA_FIELDS[[FIELD_ID]:[ERROR_MESSAGE]],23,FALSE)&lt;&gt;0,VLOOKUP(A141,DB_TBL_DATA_FIELDS[[FIELD_ID]:[ERROR_MESSAGE]],23,FALSE),"")</f>
        <v/>
      </c>
      <c r="E141" s="54">
        <f>VLOOKUP(A141,DB_TBL_DATA_FIELDS[[#All],[FIELD_ID]:[RANGE_VALIDATION_MAX]],18,FALSE)</f>
        <v>0</v>
      </c>
      <c r="F141" s="54">
        <f>VLOOKUP(A141,DB_TBL_DATA_FIELDS[[#All],[FIELD_ID]:[RANGE_VALIDATION_MAX]],19,FALSE)</f>
        <v>50</v>
      </c>
      <c r="G141" s="54">
        <f t="shared" ca="1" si="5"/>
        <v>1</v>
      </c>
      <c r="J141"/>
      <c r="L141"/>
      <c r="N141"/>
      <c r="P141"/>
      <c r="R141"/>
      <c r="T141"/>
      <c r="V141"/>
      <c r="X141"/>
    </row>
    <row r="142" spans="1:24" ht="21.95" hidden="1" customHeight="1" x14ac:dyDescent="0.25">
      <c r="A142" s="61" t="s">
        <v>2863</v>
      </c>
      <c r="B142" s="65" t="str">
        <f>"C"&amp;MATCH(LEFT(A142,LEN(A142)-LEN("_RANGE")),A:A,0)+1&amp;":C"&amp;(ROW()-1)</f>
        <v>C137:C141</v>
      </c>
      <c r="C142" s="54"/>
      <c r="D142" s="54"/>
      <c r="E142" s="54"/>
      <c r="F142" s="54"/>
      <c r="G142" s="54"/>
      <c r="J142"/>
      <c r="L142"/>
      <c r="N142"/>
      <c r="P142"/>
      <c r="R142"/>
      <c r="T142"/>
      <c r="V142"/>
      <c r="X142"/>
    </row>
    <row r="143" spans="1:24" ht="21.95" hidden="1" customHeight="1" x14ac:dyDescent="0.25">
      <c r="A143" s="61" t="s">
        <v>2864</v>
      </c>
      <c r="B143" s="65">
        <f ca="1">COUNTIF(INDIRECT($B142),2)</f>
        <v>0</v>
      </c>
      <c r="C143" s="54"/>
      <c r="D143" s="54"/>
      <c r="E143" s="54"/>
      <c r="F143" s="54"/>
      <c r="G143" s="54"/>
      <c r="J143"/>
      <c r="L143"/>
      <c r="N143"/>
      <c r="P143"/>
      <c r="R143"/>
      <c r="T143"/>
      <c r="V143"/>
      <c r="X143"/>
    </row>
    <row r="144" spans="1:24" ht="21.95" hidden="1" customHeight="1" x14ac:dyDescent="0.25">
      <c r="A144" s="61" t="s">
        <v>2865</v>
      </c>
      <c r="B144" s="65">
        <f ca="1">COUNTIF(INDIRECT($B142),0)+COUNTIF(INDIRECT($B142),1)+COUNTIF(INDIRECT($B142),2)</f>
        <v>5</v>
      </c>
      <c r="C144" s="54"/>
      <c r="D144" s="54"/>
      <c r="E144" s="54"/>
      <c r="F144" s="54"/>
      <c r="G144" s="54"/>
      <c r="J144"/>
      <c r="L144"/>
      <c r="N144"/>
      <c r="P144"/>
      <c r="R144"/>
      <c r="T144"/>
      <c r="V144"/>
      <c r="X144"/>
    </row>
    <row r="145" spans="1:24" ht="21.95" hidden="1" customHeight="1" x14ac:dyDescent="0.25">
      <c r="A145" s="61" t="s">
        <v>2866</v>
      </c>
      <c r="B145" s="65">
        <f ca="1">COUNTIF(INDIRECT($B142),0)</f>
        <v>0</v>
      </c>
      <c r="C145" s="54"/>
      <c r="D145" s="54"/>
      <c r="E145" s="54"/>
      <c r="F145" s="54"/>
      <c r="G145" s="54"/>
      <c r="J145"/>
      <c r="L145"/>
      <c r="N145"/>
      <c r="P145"/>
      <c r="R145"/>
      <c r="T145"/>
      <c r="V145"/>
      <c r="X145"/>
    </row>
    <row r="146" spans="1:24" ht="21.95" hidden="1" customHeight="1" x14ac:dyDescent="0.25">
      <c r="A146" s="61" t="s">
        <v>2867</v>
      </c>
      <c r="B146" s="97">
        <f ca="1">IFERROR(B143/B144,1.01)</f>
        <v>0</v>
      </c>
      <c r="C146" s="54"/>
      <c r="D146" s="54"/>
      <c r="E146" s="54"/>
      <c r="F146" s="54"/>
      <c r="G146" s="54"/>
      <c r="J146"/>
      <c r="L146"/>
      <c r="N146"/>
      <c r="P146"/>
      <c r="R146"/>
      <c r="T146"/>
      <c r="V146"/>
      <c r="X146"/>
    </row>
    <row r="147" spans="1:24" ht="21.95" hidden="1" customHeight="1" x14ac:dyDescent="0.25">
      <c r="A147" s="61" t="s">
        <v>2868</v>
      </c>
      <c r="B147" s="65" t="str">
        <f ca="1">IF(B145&gt;0,"Data Error(s)",IF(B146=0,"Not Started",IF(B146&lt;1,ROUNDUP(B146*100,0)&amp;"% Done",IF(B146&gt;1,"Optional","Complete"))))</f>
        <v>Not Started</v>
      </c>
      <c r="C147" s="54"/>
      <c r="D147" s="54"/>
      <c r="E147" s="54"/>
      <c r="F147" s="54"/>
      <c r="G147" s="54"/>
      <c r="J147"/>
      <c r="L147"/>
      <c r="N147"/>
      <c r="P147"/>
      <c r="R147"/>
      <c r="T147"/>
      <c r="V147"/>
      <c r="X147"/>
    </row>
    <row r="148" spans="1:24" ht="21.95" hidden="1" customHeight="1" x14ac:dyDescent="0.25">
      <c r="A148" s="61" t="s">
        <v>2869</v>
      </c>
      <c r="B148" s="65" t="str">
        <f ca="1">IF(B145&gt;0,0,IF(B146&lt;1,"",2))</f>
        <v/>
      </c>
      <c r="C148" s="54"/>
      <c r="D148" s="54"/>
      <c r="E148" s="54"/>
      <c r="F148" s="54"/>
      <c r="G148" s="54"/>
      <c r="J148"/>
      <c r="L148"/>
      <c r="N148"/>
      <c r="P148"/>
      <c r="R148"/>
      <c r="T148"/>
      <c r="V148"/>
      <c r="X148"/>
    </row>
    <row r="149" spans="1:24" ht="21.95" hidden="1" customHeight="1" x14ac:dyDescent="0.25">
      <c r="A149" s="61" t="s">
        <v>2870</v>
      </c>
      <c r="B149" s="96" t="s">
        <v>2862</v>
      </c>
      <c r="C149" s="54"/>
      <c r="D149" s="54"/>
      <c r="E149" s="54"/>
      <c r="F149" s="54"/>
      <c r="G149" s="54"/>
      <c r="J149"/>
      <c r="L149"/>
      <c r="N149"/>
      <c r="P149"/>
      <c r="R149"/>
      <c r="T149"/>
      <c r="V149"/>
      <c r="X149"/>
    </row>
    <row r="150" spans="1:24" ht="21.95" hidden="1" customHeight="1" x14ac:dyDescent="0.25">
      <c r="A150" s="77" t="s">
        <v>2871</v>
      </c>
      <c r="B150" s="65">
        <v>0</v>
      </c>
      <c r="C150" s="54"/>
      <c r="D150" s="54"/>
      <c r="E150" s="54"/>
      <c r="F150" s="54"/>
      <c r="G150" s="54"/>
      <c r="J150"/>
      <c r="L150"/>
      <c r="N150"/>
      <c r="P150"/>
      <c r="R150"/>
      <c r="T150"/>
      <c r="V150"/>
      <c r="X150"/>
    </row>
    <row r="151" spans="1:24" ht="21.95" hidden="1" customHeight="1" x14ac:dyDescent="0.25">
      <c r="A151" s="77" t="s">
        <v>2872</v>
      </c>
      <c r="B151" s="65" t="b">
        <f>(B150&gt;0)</f>
        <v>0</v>
      </c>
      <c r="C151" s="54"/>
      <c r="D151" s="54"/>
      <c r="E151" s="54"/>
      <c r="F151" s="54"/>
      <c r="G151" s="54"/>
      <c r="J151"/>
      <c r="L151"/>
      <c r="N151"/>
      <c r="P151"/>
      <c r="R151"/>
      <c r="T151"/>
      <c r="V151"/>
      <c r="X151"/>
    </row>
    <row r="152" spans="1:24" ht="21.95" hidden="1" customHeight="1" x14ac:dyDescent="0.25">
      <c r="J152"/>
      <c r="L152"/>
      <c r="N152"/>
      <c r="P152"/>
      <c r="R152"/>
      <c r="T152"/>
      <c r="V152"/>
      <c r="X152"/>
    </row>
    <row r="153" spans="1:24" ht="21.95" hidden="1" customHeight="1" x14ac:dyDescent="0.25">
      <c r="J153"/>
      <c r="L153"/>
      <c r="N153"/>
      <c r="P153"/>
      <c r="R153"/>
      <c r="T153"/>
      <c r="V153"/>
      <c r="X153"/>
    </row>
    <row r="154" spans="1:24" ht="21.95" hidden="1" customHeight="1" x14ac:dyDescent="0.25">
      <c r="J154"/>
      <c r="L154"/>
      <c r="N154"/>
      <c r="P154"/>
      <c r="R154"/>
      <c r="T154"/>
      <c r="V154"/>
      <c r="X154"/>
    </row>
    <row r="155" spans="1:24" ht="21.95" hidden="1" customHeight="1" x14ac:dyDescent="0.25">
      <c r="J155"/>
      <c r="L155"/>
      <c r="N155"/>
      <c r="P155"/>
      <c r="R155"/>
      <c r="T155"/>
      <c r="V155"/>
      <c r="X155"/>
    </row>
    <row r="156" spans="1:24" ht="15" hidden="1" x14ac:dyDescent="0.25">
      <c r="J156"/>
      <c r="L156"/>
      <c r="N156"/>
      <c r="P156"/>
      <c r="R156"/>
      <c r="T156"/>
      <c r="V156"/>
      <c r="X156"/>
    </row>
    <row r="157" spans="1:24" ht="15" hidden="1" x14ac:dyDescent="0.25">
      <c r="J157"/>
      <c r="L157"/>
      <c r="N157"/>
      <c r="P157"/>
      <c r="R157"/>
      <c r="T157"/>
      <c r="V157"/>
      <c r="X157"/>
    </row>
    <row r="158" spans="1:24" ht="15" hidden="1" x14ac:dyDescent="0.25">
      <c r="J158"/>
      <c r="L158"/>
      <c r="N158"/>
      <c r="P158"/>
      <c r="R158"/>
      <c r="T158"/>
      <c r="V158"/>
      <c r="X158"/>
    </row>
    <row r="159" spans="1:24" ht="15" hidden="1" x14ac:dyDescent="0.25">
      <c r="J159"/>
      <c r="L159"/>
      <c r="N159"/>
      <c r="P159"/>
      <c r="R159"/>
      <c r="T159"/>
      <c r="V159"/>
      <c r="X159"/>
    </row>
    <row r="160" spans="1:24" ht="15" hidden="1" x14ac:dyDescent="0.25">
      <c r="J160"/>
      <c r="L160"/>
      <c r="N160"/>
      <c r="P160"/>
      <c r="R160"/>
      <c r="T160"/>
      <c r="V160"/>
      <c r="X160"/>
    </row>
    <row r="161" spans="10:24" ht="15" hidden="1" x14ac:dyDescent="0.25">
      <c r="J161"/>
      <c r="L161"/>
      <c r="N161"/>
      <c r="P161"/>
      <c r="R161"/>
      <c r="T161"/>
      <c r="V161"/>
      <c r="X161"/>
    </row>
    <row r="162" spans="10:24" ht="15" hidden="1" x14ac:dyDescent="0.25">
      <c r="J162"/>
      <c r="L162"/>
      <c r="N162"/>
      <c r="P162"/>
      <c r="R162"/>
      <c r="T162"/>
      <c r="V162"/>
      <c r="X162"/>
    </row>
    <row r="163" spans="10:24" ht="15" hidden="1" x14ac:dyDescent="0.25">
      <c r="J163"/>
      <c r="L163"/>
      <c r="N163"/>
      <c r="P163"/>
      <c r="R163"/>
      <c r="T163"/>
      <c r="V163"/>
      <c r="X163"/>
    </row>
    <row r="164" spans="10:24" ht="15" hidden="1" x14ac:dyDescent="0.25">
      <c r="J164"/>
      <c r="L164"/>
      <c r="N164"/>
      <c r="P164"/>
      <c r="R164"/>
      <c r="T164"/>
      <c r="V164"/>
      <c r="X164"/>
    </row>
    <row r="165" spans="10:24" ht="15" hidden="1" x14ac:dyDescent="0.25">
      <c r="J165"/>
      <c r="L165"/>
      <c r="N165"/>
      <c r="P165"/>
      <c r="R165"/>
      <c r="T165"/>
      <c r="V165"/>
      <c r="X165"/>
    </row>
    <row r="166" spans="10:24" ht="15" hidden="1" x14ac:dyDescent="0.25">
      <c r="J166"/>
      <c r="L166"/>
      <c r="N166"/>
      <c r="P166"/>
      <c r="R166"/>
      <c r="T166"/>
      <c r="V166"/>
      <c r="X166"/>
    </row>
    <row r="167" spans="10:24" ht="15" hidden="1" x14ac:dyDescent="0.25">
      <c r="J167"/>
      <c r="L167"/>
      <c r="N167"/>
      <c r="P167"/>
      <c r="R167"/>
      <c r="T167"/>
      <c r="V167"/>
      <c r="X167"/>
    </row>
  </sheetData>
  <sheetProtection algorithmName="SHA-512" hashValue="1iqZp8zGGoPHjFyxq5pUHNq5AemBb9y9TRtD8Cf/B4WlCC2KoHcFS+JRLuysnIThSHO+Fjmjo4MkIYk/f3Us/w==" saltValue="vqwp4u+lq8IIATtTZzvHOA==" spinCount="100000" sheet="1" objects="1" scenarios="1" selectLockedCells="1"/>
  <dataConsolidate/>
  <mergeCells count="73">
    <mergeCell ref="I18:M18"/>
    <mergeCell ref="Q18:U18"/>
    <mergeCell ref="I55:P55"/>
    <mergeCell ref="Q55:T55"/>
    <mergeCell ref="U55:X55"/>
    <mergeCell ref="I19:M19"/>
    <mergeCell ref="Q19:U19"/>
    <mergeCell ref="I24:W24"/>
    <mergeCell ref="I33:J33"/>
    <mergeCell ref="K33:L33"/>
    <mergeCell ref="M33:P33"/>
    <mergeCell ref="Q33:V33"/>
    <mergeCell ref="W33:X33"/>
    <mergeCell ref="I34:J34"/>
    <mergeCell ref="M34:O34"/>
    <mergeCell ref="Q34:U34"/>
    <mergeCell ref="I6:Y6"/>
    <mergeCell ref="I9:X9"/>
    <mergeCell ref="U13:X13"/>
    <mergeCell ref="I17:M17"/>
    <mergeCell ref="Q17:U17"/>
    <mergeCell ref="I35:J35"/>
    <mergeCell ref="M35:O35"/>
    <mergeCell ref="Q35:U35"/>
    <mergeCell ref="I69:O69"/>
    <mergeCell ref="Q69:S69"/>
    <mergeCell ref="I36:J36"/>
    <mergeCell ref="M36:O36"/>
    <mergeCell ref="Q36:U36"/>
    <mergeCell ref="I41:O41"/>
    <mergeCell ref="Q41:S41"/>
    <mergeCell ref="I43:O43"/>
    <mergeCell ref="Q43:S43"/>
    <mergeCell ref="I56:P56"/>
    <mergeCell ref="Q56:S56"/>
    <mergeCell ref="U56:W56"/>
    <mergeCell ref="I57:P57"/>
    <mergeCell ref="Q57:S57"/>
    <mergeCell ref="U57:W57"/>
    <mergeCell ref="I58:T58"/>
    <mergeCell ref="U48:W48"/>
    <mergeCell ref="Q49:W49"/>
    <mergeCell ref="I51:W53"/>
    <mergeCell ref="I62:S63"/>
    <mergeCell ref="U58:W58"/>
    <mergeCell ref="I59:T59"/>
    <mergeCell ref="U59:W59"/>
    <mergeCell ref="I60:X60"/>
    <mergeCell ref="I86:X87"/>
    <mergeCell ref="I71:K71"/>
    <mergeCell ref="M71:O71"/>
    <mergeCell ref="Q71:S71"/>
    <mergeCell ref="I74:K74"/>
    <mergeCell ref="M74:O74"/>
    <mergeCell ref="Q74:S74"/>
    <mergeCell ref="U74:W74"/>
    <mergeCell ref="I81:S81"/>
    <mergeCell ref="U81:W81"/>
    <mergeCell ref="U82:W83"/>
    <mergeCell ref="I83:S83"/>
    <mergeCell ref="I90:X90"/>
    <mergeCell ref="M92:S92"/>
    <mergeCell ref="I94:W94"/>
    <mergeCell ref="K96:M96"/>
    <mergeCell ref="O96:Q96"/>
    <mergeCell ref="S96:U96"/>
    <mergeCell ref="I134:Q134"/>
    <mergeCell ref="I104:X128"/>
    <mergeCell ref="I131:M131"/>
    <mergeCell ref="O131:S131"/>
    <mergeCell ref="U131:W131"/>
    <mergeCell ref="I133:Q133"/>
    <mergeCell ref="S133:W133"/>
  </mergeCells>
  <conditionalFormatting sqref="H6">
    <cfRule type="expression" dxfId="117" priority="76">
      <formula>($B$10=TRUE)</formula>
    </cfRule>
  </conditionalFormatting>
  <conditionalFormatting sqref="I60">
    <cfRule type="notContainsBlanks" dxfId="116" priority="9">
      <formula>LEN(TRIM(I60))&gt;0</formula>
    </cfRule>
  </conditionalFormatting>
  <conditionalFormatting sqref="I134">
    <cfRule type="notContainsBlanks" dxfId="115" priority="70">
      <formula>LEN(TRIM(I134))&gt;0</formula>
    </cfRule>
  </conditionalFormatting>
  <conditionalFormatting sqref="I83:S83">
    <cfRule type="expression" dxfId="114" priority="34">
      <formula>DATA_NONPROF_AGCY_NAME_OTHER_REQUIRED&lt;&gt;TRUE</formula>
    </cfRule>
  </conditionalFormatting>
  <conditionalFormatting sqref="I28:X28">
    <cfRule type="expression" dxfId="113" priority="31">
      <formula>$X$28=1</formula>
    </cfRule>
  </conditionalFormatting>
  <conditionalFormatting sqref="I31:X31">
    <cfRule type="expression" dxfId="112" priority="66">
      <formula>(#REF!=1)</formula>
    </cfRule>
  </conditionalFormatting>
  <conditionalFormatting sqref="I38:X38">
    <cfRule type="expression" dxfId="111" priority="58">
      <formula>(#REF!=1)</formula>
    </cfRule>
  </conditionalFormatting>
  <conditionalFormatting sqref="I54:X54">
    <cfRule type="expression" dxfId="110" priority="1">
      <formula>$X$54=1</formula>
    </cfRule>
  </conditionalFormatting>
  <conditionalFormatting sqref="I67:X67">
    <cfRule type="expression" dxfId="109" priority="28">
      <formula>$X$67=1</formula>
    </cfRule>
  </conditionalFormatting>
  <conditionalFormatting sqref="I85:X85 K96 O96 S96 W96">
    <cfRule type="expression" dxfId="108" priority="41">
      <formula>$X$85=1</formula>
    </cfRule>
  </conditionalFormatting>
  <conditionalFormatting sqref="I6:Y6">
    <cfRule type="expression" dxfId="107" priority="77">
      <formula>($B$10=TRUE)</formula>
    </cfRule>
  </conditionalFormatting>
  <conditionalFormatting sqref="L34">
    <cfRule type="iconSet" priority="64">
      <iconSet iconSet="3Symbols" showValue="0">
        <cfvo type="percent" val="0"/>
        <cfvo type="num" val="0" gte="0"/>
        <cfvo type="num" val="2"/>
      </iconSet>
    </cfRule>
  </conditionalFormatting>
  <conditionalFormatting sqref="L35:L36">
    <cfRule type="iconSet" priority="61">
      <iconSet iconSet="3Symbols" showValue="0">
        <cfvo type="percent" val="0"/>
        <cfvo type="num" val="0" gte="0"/>
        <cfvo type="num" val="2"/>
      </iconSet>
    </cfRule>
  </conditionalFormatting>
  <conditionalFormatting sqref="L71">
    <cfRule type="iconSet" priority="49">
      <iconSet iconSet="3Symbols" showValue="0">
        <cfvo type="percent" val="0"/>
        <cfvo type="num" val="0" gte="0"/>
        <cfvo type="num" val="2"/>
      </iconSet>
    </cfRule>
  </conditionalFormatting>
  <conditionalFormatting sqref="L74">
    <cfRule type="iconSet" priority="44">
      <iconSet iconSet="3Symbols" showValue="0">
        <cfvo type="percent" val="0"/>
        <cfvo type="num" val="0" gte="0"/>
        <cfvo type="num" val="2"/>
      </iconSet>
    </cfRule>
  </conditionalFormatting>
  <conditionalFormatting sqref="L97 J96 L99:L100">
    <cfRule type="iconSet" priority="94">
      <iconSet iconSet="3Symbols" showValue="0">
        <cfvo type="percent" val="0"/>
        <cfvo type="num" val="0" gte="0"/>
        <cfvo type="num" val="2"/>
      </iconSet>
    </cfRule>
  </conditionalFormatting>
  <conditionalFormatting sqref="M92">
    <cfRule type="notContainsBlanks" dxfId="106" priority="33">
      <formula>LEN(TRIM(M92))&gt;0</formula>
    </cfRule>
  </conditionalFormatting>
  <conditionalFormatting sqref="N17:N19 V17:V18">
    <cfRule type="iconSet" priority="84">
      <iconSet iconSet="3Flags">
        <cfvo type="percent" val="0"/>
        <cfvo type="num" val="0" gte="0"/>
        <cfvo type="num" val="1000" gte="0"/>
      </iconSet>
    </cfRule>
  </conditionalFormatting>
  <conditionalFormatting sqref="N131">
    <cfRule type="iconSet" priority="72">
      <iconSet iconSet="3Symbols" showValue="0">
        <cfvo type="percent" val="0"/>
        <cfvo type="num" val="0" gte="0"/>
        <cfvo type="num" val="2"/>
      </iconSet>
    </cfRule>
  </conditionalFormatting>
  <conditionalFormatting sqref="O17:P19">
    <cfRule type="expression" dxfId="105" priority="79">
      <formula>($P17=2)</formula>
    </cfRule>
    <cfRule type="expression" dxfId="104" priority="78">
      <formula>($P17=0)</formula>
    </cfRule>
  </conditionalFormatting>
  <conditionalFormatting sqref="P17:P19">
    <cfRule type="iconSet" priority="83">
      <iconSet iconSet="3Symbols2" showValue="0">
        <cfvo type="percent" val="0"/>
        <cfvo type="num" val="0" gte="0"/>
        <cfvo type="num" val="1" gte="0"/>
      </iconSet>
    </cfRule>
  </conditionalFormatting>
  <conditionalFormatting sqref="P34">
    <cfRule type="iconSet" priority="65">
      <iconSet iconSet="3Symbols" showValue="0">
        <cfvo type="percent" val="0"/>
        <cfvo type="num" val="0" gte="0"/>
        <cfvo type="num" val="2"/>
      </iconSet>
    </cfRule>
  </conditionalFormatting>
  <conditionalFormatting sqref="P35:P36">
    <cfRule type="iconSet" priority="62">
      <iconSet iconSet="3Symbols" showValue="0">
        <cfvo type="percent" val="0"/>
        <cfvo type="num" val="0" gte="0"/>
        <cfvo type="num" val="2"/>
      </iconSet>
    </cfRule>
  </conditionalFormatting>
  <conditionalFormatting sqref="P41 X41 T41 V41">
    <cfRule type="iconSet" priority="87">
      <iconSet iconSet="3Symbols" showValue="0">
        <cfvo type="percent" val="0"/>
        <cfvo type="num" val="0" gte="0"/>
        <cfvo type="num" val="2"/>
      </iconSet>
    </cfRule>
  </conditionalFormatting>
  <conditionalFormatting sqref="P43">
    <cfRule type="iconSet" priority="57">
      <iconSet iconSet="3Symbols" showValue="0">
        <cfvo type="percent" val="0"/>
        <cfvo type="num" val="0" gte="0"/>
        <cfvo type="num" val="2"/>
      </iconSet>
    </cfRule>
  </conditionalFormatting>
  <conditionalFormatting sqref="P69 X69 T69 V69">
    <cfRule type="iconSet" priority="50">
      <iconSet iconSet="3Symbols" showValue="0">
        <cfvo type="percent" val="0"/>
        <cfvo type="num" val="0" gte="0"/>
        <cfvo type="num" val="2"/>
      </iconSet>
    </cfRule>
  </conditionalFormatting>
  <conditionalFormatting sqref="P71">
    <cfRule type="iconSet" priority="18">
      <iconSet iconSet="3Symbols" showValue="0">
        <cfvo type="percent" val="0"/>
        <cfvo type="num" val="0" gte="0"/>
        <cfvo type="num" val="2"/>
      </iconSet>
    </cfRule>
  </conditionalFormatting>
  <conditionalFormatting sqref="P74">
    <cfRule type="iconSet" priority="43">
      <iconSet iconSet="3Symbols" showValue="0">
        <cfvo type="percent" val="0"/>
        <cfvo type="num" val="0" gte="0"/>
        <cfvo type="num" val="2"/>
      </iconSet>
    </cfRule>
  </conditionalFormatting>
  <conditionalFormatting sqref="P97 N96 P99:P100">
    <cfRule type="iconSet" priority="91">
      <iconSet iconSet="3Symbols" showValue="0">
        <cfvo type="percent" val="0"/>
        <cfvo type="num" val="0" gte="0"/>
        <cfvo type="num" val="2"/>
      </iconSet>
    </cfRule>
  </conditionalFormatting>
  <conditionalFormatting sqref="Q49">
    <cfRule type="notContainsBlanks" dxfId="103" priority="39">
      <formula>LEN(TRIM(Q49))&gt;0</formula>
    </cfRule>
  </conditionalFormatting>
  <conditionalFormatting sqref="Q74:S74">
    <cfRule type="expression" dxfId="102" priority="27">
      <formula>$X$67=1</formula>
    </cfRule>
  </conditionalFormatting>
  <conditionalFormatting sqref="Q56:X57 U58:X58">
    <cfRule type="expression" dxfId="101" priority="7">
      <formula>UPPER($W$50)&lt;&gt;"YES"</formula>
    </cfRule>
  </conditionalFormatting>
  <conditionalFormatting sqref="R13 N13 J13">
    <cfRule type="iconSet" priority="80">
      <iconSet iconSet="3Symbols" showValue="0">
        <cfvo type="percent" val="0"/>
        <cfvo type="num" val="0" gte="0"/>
        <cfvo type="num" val="2"/>
      </iconSet>
    </cfRule>
  </conditionalFormatting>
  <conditionalFormatting sqref="R96">
    <cfRule type="iconSet" priority="15">
      <iconSet iconSet="3Symbols" showValue="0">
        <cfvo type="percent" val="0"/>
        <cfvo type="num" val="0" gte="0"/>
        <cfvo type="num" val="2"/>
      </iconSet>
    </cfRule>
  </conditionalFormatting>
  <conditionalFormatting sqref="R133 X24 X133 N131">
    <cfRule type="iconSet" priority="81">
      <iconSet iconSet="3Symbols" showValue="0">
        <cfvo type="percent" val="0"/>
        <cfvo type="num" val="0" gte="0"/>
        <cfvo type="num" val="2"/>
      </iconSet>
    </cfRule>
  </conditionalFormatting>
  <conditionalFormatting sqref="R133">
    <cfRule type="iconSet" priority="85">
      <iconSet iconSet="3Symbols" showValue="0">
        <cfvo type="percent" val="0"/>
        <cfvo type="num" val="0" gte="0"/>
        <cfvo type="num" val="2"/>
      </iconSet>
    </cfRule>
  </conditionalFormatting>
  <conditionalFormatting sqref="S3">
    <cfRule type="dataBar" priority="82">
      <dataBar>
        <cfvo type="num" val="0"/>
        <cfvo type="num" val="1"/>
        <color theme="6" tint="-0.249977111117893"/>
      </dataBar>
      <extLst>
        <ext xmlns:x14="http://schemas.microsoft.com/office/spreadsheetml/2009/9/main" uri="{B025F937-C7B1-47D3-B67F-A62EFF666E3E}">
          <x14:id>{A0D2250F-7D7A-4F5F-99B4-42C714AF47BC}</x14:id>
        </ext>
      </extLst>
    </cfRule>
  </conditionalFormatting>
  <conditionalFormatting sqref="T3">
    <cfRule type="iconSet" priority="68">
      <iconSet iconSet="3Symbols2" showValue="0">
        <cfvo type="percent" val="0"/>
        <cfvo type="num" val="0" gte="0"/>
        <cfvo type="num" val="1" gte="0"/>
      </iconSet>
    </cfRule>
  </conditionalFormatting>
  <conditionalFormatting sqref="T43">
    <cfRule type="iconSet" priority="56">
      <iconSet iconSet="3Symbols" showValue="0">
        <cfvo type="percent" val="0"/>
        <cfvo type="num" val="0" gte="0"/>
        <cfvo type="num" val="2"/>
      </iconSet>
    </cfRule>
  </conditionalFormatting>
  <conditionalFormatting sqref="T56:T57">
    <cfRule type="iconSet" priority="12">
      <iconSet iconSet="3Symbols" showValue="0">
        <cfvo type="percent" val="0"/>
        <cfvo type="num" val="0" gte="0"/>
        <cfvo type="num" val="2"/>
      </iconSet>
    </cfRule>
  </conditionalFormatting>
  <conditionalFormatting sqref="T71">
    <cfRule type="iconSet" priority="48">
      <iconSet iconSet="3Symbols" showValue="0">
        <cfvo type="percent" val="0"/>
        <cfvo type="num" val="0" gte="0"/>
        <cfvo type="num" val="2"/>
      </iconSet>
    </cfRule>
  </conditionalFormatting>
  <conditionalFormatting sqref="T74">
    <cfRule type="iconSet" priority="46">
      <iconSet iconSet="3Symbols" showValue="0">
        <cfvo type="percent" val="0"/>
        <cfvo type="num" val="0" gte="0"/>
        <cfvo type="num" val="2"/>
      </iconSet>
    </cfRule>
  </conditionalFormatting>
  <conditionalFormatting sqref="T81">
    <cfRule type="iconSet" priority="38">
      <iconSet iconSet="3Symbols" showValue="0">
        <cfvo type="percent" val="0"/>
        <cfvo type="num" val="0" gte="0"/>
        <cfvo type="num" val="2"/>
      </iconSet>
    </cfRule>
    <cfRule type="iconSet" priority="37">
      <iconSet iconSet="3Symbols" showValue="0">
        <cfvo type="percent" val="0"/>
        <cfvo type="num" val="0" gte="0"/>
        <cfvo type="num" val="2"/>
      </iconSet>
    </cfRule>
  </conditionalFormatting>
  <conditionalFormatting sqref="T83">
    <cfRule type="iconSet" priority="36">
      <iconSet iconSet="3Symbols" showValue="0">
        <cfvo type="percent" val="0"/>
        <cfvo type="num" val="0" gte="0"/>
        <cfvo type="num" val="2"/>
      </iconSet>
    </cfRule>
    <cfRule type="iconSet" priority="35">
      <iconSet iconSet="3Symbols" showValue="0">
        <cfvo type="percent" val="0"/>
        <cfvo type="num" val="0" gte="0"/>
        <cfvo type="num" val="2"/>
      </iconSet>
    </cfRule>
  </conditionalFormatting>
  <conditionalFormatting sqref="T91">
    <cfRule type="iconSet" priority="88">
      <iconSet iconSet="3Symbols" showValue="0">
        <cfvo type="percent" val="0"/>
        <cfvo type="num" val="0" gte="0"/>
        <cfvo type="num" val="2"/>
      </iconSet>
    </cfRule>
  </conditionalFormatting>
  <conditionalFormatting sqref="T97 V96 T99:T100">
    <cfRule type="iconSet" priority="92">
      <iconSet iconSet="3Symbols" showValue="0">
        <cfvo type="percent" val="0"/>
        <cfvo type="num" val="0" gte="0"/>
        <cfvo type="num" val="2"/>
      </iconSet>
    </cfRule>
  </conditionalFormatting>
  <conditionalFormatting sqref="T131">
    <cfRule type="iconSet" priority="25">
      <iconSet iconSet="3Symbols" showValue="0">
        <cfvo type="percent" val="0"/>
        <cfvo type="num" val="0" gte="0"/>
        <cfvo type="num" val="2"/>
      </iconSet>
    </cfRule>
    <cfRule type="iconSet" priority="26">
      <iconSet iconSet="3Symbols" showValue="0">
        <cfvo type="percent" val="0"/>
        <cfvo type="num" val="0" gte="0"/>
        <cfvo type="num" val="2"/>
      </iconSet>
    </cfRule>
  </conditionalFormatting>
  <conditionalFormatting sqref="U82">
    <cfRule type="notContainsBlanks" dxfId="100" priority="40">
      <formula>LEN(TRIM(U82))&gt;0</formula>
    </cfRule>
  </conditionalFormatting>
  <conditionalFormatting sqref="U48:W48 I74:K74 M74:O74">
    <cfRule type="expression" dxfId="99" priority="89">
      <formula>AND(#REF!="",#REF!&lt;&gt;"")</formula>
    </cfRule>
  </conditionalFormatting>
  <conditionalFormatting sqref="U56:W57">
    <cfRule type="expression" dxfId="98" priority="8">
      <formula>AND(#REF!="",#REF!&lt;&gt;"")</formula>
    </cfRule>
  </conditionalFormatting>
  <conditionalFormatting sqref="U56:X57">
    <cfRule type="expression" dxfId="97" priority="6">
      <formula>UPPER($Q56)&lt;&gt;"YES"</formula>
    </cfRule>
  </conditionalFormatting>
  <conditionalFormatting sqref="V19">
    <cfRule type="iconSet" priority="22">
      <iconSet iconSet="3Flags">
        <cfvo type="percent" val="0"/>
        <cfvo type="num" val="0" gte="0"/>
        <cfvo type="num" val="1000" gte="0"/>
      </iconSet>
    </cfRule>
  </conditionalFormatting>
  <conditionalFormatting sqref="V34">
    <cfRule type="iconSet" priority="67">
      <iconSet iconSet="3Symbols" showValue="0">
        <cfvo type="percent" val="0"/>
        <cfvo type="num" val="0" gte="0"/>
        <cfvo type="num" val="2"/>
      </iconSet>
    </cfRule>
  </conditionalFormatting>
  <conditionalFormatting sqref="V35:V36">
    <cfRule type="iconSet" priority="63">
      <iconSet iconSet="3Symbols" showValue="0">
        <cfvo type="percent" val="0"/>
        <cfvo type="num" val="0" gte="0"/>
        <cfvo type="num" val="2"/>
      </iconSet>
    </cfRule>
  </conditionalFormatting>
  <conditionalFormatting sqref="W29">
    <cfRule type="expression" dxfId="96" priority="30">
      <formula>$C$61=1</formula>
    </cfRule>
  </conditionalFormatting>
  <conditionalFormatting sqref="W17:X19">
    <cfRule type="expression" dxfId="95" priority="20">
      <formula>($X17=2)</formula>
    </cfRule>
    <cfRule type="expression" dxfId="94" priority="19">
      <formula>($X17=0)</formula>
    </cfRule>
  </conditionalFormatting>
  <conditionalFormatting sqref="X17">
    <cfRule type="iconSet" priority="74">
      <iconSet iconSet="3Symbols2" showValue="0">
        <cfvo type="percent" val="0"/>
        <cfvo type="num" val="0" gte="0"/>
        <cfvo type="num" val="1" gte="0"/>
      </iconSet>
    </cfRule>
  </conditionalFormatting>
  <conditionalFormatting sqref="X18">
    <cfRule type="iconSet" priority="73">
      <iconSet iconSet="3Symbols2" showValue="0">
        <cfvo type="percent" val="0"/>
        <cfvo type="num" val="0" gte="0"/>
        <cfvo type="num" val="1" gte="0"/>
      </iconSet>
    </cfRule>
  </conditionalFormatting>
  <conditionalFormatting sqref="X19">
    <cfRule type="iconSet" priority="21">
      <iconSet iconSet="3Symbols2" showValue="0">
        <cfvo type="percent" val="0"/>
        <cfvo type="num" val="0" gte="0"/>
        <cfvo type="num" val="1" gte="0"/>
      </iconSet>
    </cfRule>
  </conditionalFormatting>
  <conditionalFormatting sqref="X25">
    <cfRule type="iconSet" priority="86">
      <iconSet iconSet="3Symbols" showValue="0">
        <cfvo type="percent" val="0"/>
        <cfvo type="num" val="0" gte="0"/>
        <cfvo type="num" val="2"/>
      </iconSet>
    </cfRule>
  </conditionalFormatting>
  <conditionalFormatting sqref="X28">
    <cfRule type="iconSet" priority="32">
      <iconSet iconSet="3Flags" showValue="0">
        <cfvo type="percent" val="0"/>
        <cfvo type="num" val="1"/>
        <cfvo type="num" val="2" gte="0"/>
      </iconSet>
    </cfRule>
  </conditionalFormatting>
  <conditionalFormatting sqref="X29">
    <cfRule type="iconSet" priority="69">
      <iconSet iconSet="3Symbols" showValue="0">
        <cfvo type="percent" val="0"/>
        <cfvo type="num" val="0" gte="0"/>
        <cfvo type="num" val="2"/>
      </iconSet>
    </cfRule>
  </conditionalFormatting>
  <conditionalFormatting sqref="X34:X36">
    <cfRule type="iconSet" priority="60">
      <iconSet iconSet="3Symbols" showValue="0">
        <cfvo type="percent" val="0"/>
        <cfvo type="num" val="0" gte="0"/>
        <cfvo type="num" val="2"/>
      </iconSet>
    </cfRule>
  </conditionalFormatting>
  <conditionalFormatting sqref="X43">
    <cfRule type="iconSet" priority="55">
      <iconSet iconSet="3Symbols" showValue="0">
        <cfvo type="percent" val="0"/>
        <cfvo type="num" val="0" gte="0"/>
        <cfvo type="num" val="2"/>
      </iconSet>
    </cfRule>
  </conditionalFormatting>
  <conditionalFormatting sqref="X48">
    <cfRule type="iconSet" priority="54">
      <iconSet iconSet="3Symbols" showValue="0">
        <cfvo type="percent" val="0"/>
        <cfvo type="num" val="0" gte="0"/>
        <cfvo type="num" val="2"/>
      </iconSet>
    </cfRule>
  </conditionalFormatting>
  <conditionalFormatting sqref="X50">
    <cfRule type="iconSet" priority="13">
      <iconSet iconSet="3Symbols" showValue="0">
        <cfvo type="percent" val="0"/>
        <cfvo type="num" val="0" gte="0"/>
        <cfvo type="num" val="2"/>
      </iconSet>
    </cfRule>
  </conditionalFormatting>
  <conditionalFormatting sqref="X54">
    <cfRule type="iconSet" priority="2">
      <iconSet iconSet="3Flags" showValue="0">
        <cfvo type="percent" val="0"/>
        <cfvo type="num" val="1"/>
        <cfvo type="num" val="2" gte="0"/>
      </iconSet>
    </cfRule>
  </conditionalFormatting>
  <conditionalFormatting sqref="X56:X57">
    <cfRule type="iconSet" priority="11">
      <iconSet iconSet="3Symbols" showValue="0">
        <cfvo type="percent" val="0"/>
        <cfvo type="num" val="0" gte="0"/>
        <cfvo type="num" val="2"/>
      </iconSet>
    </cfRule>
  </conditionalFormatting>
  <conditionalFormatting sqref="X59">
    <cfRule type="iconSet" priority="5">
      <iconSet iconSet="3Symbols" showValue="0">
        <cfvo type="percent" val="0"/>
        <cfvo type="num" val="0" gte="0"/>
        <cfvo type="num" val="2"/>
      </iconSet>
    </cfRule>
  </conditionalFormatting>
  <conditionalFormatting sqref="X62">
    <cfRule type="iconSet" priority="51">
      <iconSet iconSet="3Symbols" showValue="0">
        <cfvo type="percent" val="0"/>
        <cfvo type="num" val="0" gte="0"/>
        <cfvo type="num" val="2"/>
      </iconSet>
    </cfRule>
  </conditionalFormatting>
  <conditionalFormatting sqref="X67">
    <cfRule type="iconSet" priority="29">
      <iconSet iconSet="3Flags" showValue="0">
        <cfvo type="percent" val="0"/>
        <cfvo type="num" val="1"/>
        <cfvo type="num" val="2" gte="0"/>
      </iconSet>
    </cfRule>
  </conditionalFormatting>
  <conditionalFormatting sqref="X71">
    <cfRule type="iconSet" priority="47">
      <iconSet iconSet="3Symbols" showValue="0">
        <cfvo type="percent" val="0"/>
        <cfvo type="num" val="0" gte="0"/>
        <cfvo type="num" val="2"/>
      </iconSet>
    </cfRule>
  </conditionalFormatting>
  <conditionalFormatting sqref="X74">
    <cfRule type="iconSet" priority="45">
      <iconSet iconSet="3Symbols" showValue="0">
        <cfvo type="percent" val="0"/>
        <cfvo type="num" val="0" gte="0"/>
        <cfvo type="num" val="2"/>
      </iconSet>
    </cfRule>
  </conditionalFormatting>
  <conditionalFormatting sqref="X81">
    <cfRule type="iconSet" priority="90">
      <iconSet iconSet="3Symbols" showValue="0">
        <cfvo type="percent" val="0"/>
        <cfvo type="num" val="0" gte="0"/>
        <cfvo type="num" val="2"/>
      </iconSet>
    </cfRule>
    <cfRule type="iconSet" priority="42">
      <iconSet iconSet="3Symbols" showValue="0">
        <cfvo type="percent" val="0"/>
        <cfvo type="num" val="0" gte="0"/>
        <cfvo type="num" val="2"/>
      </iconSet>
    </cfRule>
  </conditionalFormatting>
  <conditionalFormatting sqref="X85 H6">
    <cfRule type="iconSet" priority="75">
      <iconSet iconSet="3Flags" showValue="0">
        <cfvo type="percent" val="0"/>
        <cfvo type="num" val="1"/>
        <cfvo type="num" val="2" gte="0"/>
      </iconSet>
    </cfRule>
  </conditionalFormatting>
  <conditionalFormatting sqref="X94">
    <cfRule type="iconSet" priority="16">
      <iconSet iconSet="3Symbols" showValue="0">
        <cfvo type="percent" val="0"/>
        <cfvo type="num" val="0" gte="0"/>
        <cfvo type="num" val="2"/>
      </iconSet>
    </cfRule>
  </conditionalFormatting>
  <conditionalFormatting sqref="X96:X97 X99:X100">
    <cfRule type="iconSet" priority="93">
      <iconSet iconSet="3Symbols" showValue="0">
        <cfvo type="percent" val="0"/>
        <cfvo type="num" val="0" gte="0"/>
        <cfvo type="num" val="2"/>
      </iconSet>
    </cfRule>
  </conditionalFormatting>
  <conditionalFormatting sqref="X98">
    <cfRule type="iconSet" priority="17">
      <iconSet iconSet="3Flags" showValue="0">
        <cfvo type="percent" val="0"/>
        <cfvo type="num" val="1"/>
        <cfvo type="num" val="2" gte="0"/>
      </iconSet>
    </cfRule>
  </conditionalFormatting>
  <conditionalFormatting sqref="X131">
    <cfRule type="iconSet" priority="24">
      <iconSet iconSet="3Symbols" showValue="0">
        <cfvo type="percent" val="0"/>
        <cfvo type="num" val="0" gte="0"/>
        <cfvo type="num" val="2"/>
      </iconSet>
    </cfRule>
    <cfRule type="iconSet" priority="23">
      <iconSet iconSet="3Symbols" showValue="0">
        <cfvo type="percent" val="0"/>
        <cfvo type="num" val="0" gte="0"/>
        <cfvo type="num" val="2"/>
      </iconSet>
    </cfRule>
  </conditionalFormatting>
  <conditionalFormatting sqref="X133">
    <cfRule type="iconSet" priority="71">
      <iconSet iconSet="3Symbols" showValue="0">
        <cfvo type="percent" val="0"/>
        <cfvo type="num" val="0" gte="0"/>
        <cfvo type="num" val="2"/>
      </iconSet>
    </cfRule>
  </conditionalFormatting>
  <dataValidations count="40">
    <dataValidation type="decimal" allowBlank="1" showInputMessage="1" showErrorMessage="1" sqref="O96" xr:uid="{84C67AAF-6EB5-49FD-B135-F8CB13F0BC99}">
      <formula1>E147</formula1>
      <formula2>F147</formula2>
    </dataValidation>
    <dataValidation type="decimal" allowBlank="1" showInputMessage="1" showErrorMessage="1" sqref="S96" xr:uid="{54B3D4A1-C950-4CD7-B41F-C824095291D6}">
      <formula1>I145</formula1>
      <formula2>J145</formula2>
    </dataValidation>
    <dataValidation type="list" allowBlank="1" showInputMessage="1" showErrorMessage="1" error="An invalid State has been specified" sqref="U69" xr:uid="{8E6D409D-361A-45CA-B7A8-AD78E3661EF3}">
      <formula1>RANGE_LOOKUP_STATE</formula1>
    </dataValidation>
    <dataValidation type="list" allowBlank="1" showInputMessage="1" showErrorMessage="1" error="Invalid Income Area Specified" sqref="I94:W94" xr:uid="{CD85B0E6-24BF-4132-A048-624F80993CBF}">
      <formula1>IF(AND(DATA_INC_LOOKUP_OFFSET_ROW&lt;&gt;"",DATA_INC_LOOKUP_AREA_ARR_LEN&lt;&gt;""),OFFSET(INDIRECT(DATA_INC_LOOKUP_AREA_HEADER_PTR),DATA_INC_LOOKUP_OFFSET_ROW,0,DATA_INC_LOOKUP_AREA_ARR_LEN),INCOME_AREA_NOT_READY)</formula1>
    </dataValidation>
    <dataValidation type="textLength" allowBlank="1" showInputMessage="1" showErrorMessage="1" error="Maximum Number of Characters Exceeded" sqref="I41:O41" xr:uid="{89AFFAE6-BB63-4169-8BAF-4DFBB9754F4A}">
      <formula1>E46</formula1>
      <formula2>F46</formula2>
    </dataValidation>
    <dataValidation type="textLength" allowBlank="1" showInputMessage="1" showErrorMessage="1" error="Maximum Number of Characters Exceeded" sqref="Q41:S41" xr:uid="{FCD26889-1395-478F-88DE-BCAD5E99E034}">
      <formula1>E47</formula1>
      <formula2>F47</formula2>
    </dataValidation>
    <dataValidation type="textLength" allowBlank="1" showInputMessage="1" showErrorMessage="1" error="Maximum Number of Characters Exceeded_x000a_" sqref="Q36:U36" xr:uid="{F71BC148-3848-4B5C-A8F8-B48F6B02E67A}">
      <formula1>E44</formula1>
      <formula2>F44</formula2>
    </dataValidation>
    <dataValidation type="textLength" allowBlank="1" showInputMessage="1" showErrorMessage="1" error="Maximum Number of Characters Exceeded" sqref="M36:O36" xr:uid="{E5BB2B1D-1914-44F6-AD7D-8E9358932FF2}">
      <formula1>E43</formula1>
      <formula2>F43</formula2>
    </dataValidation>
    <dataValidation type="textLength" allowBlank="1" showInputMessage="1" showErrorMessage="1" error="Maximum Number of Characters Exceeded_x000a_" sqref="Q35:U35" xr:uid="{603AA5EC-D997-4667-B6B9-89703026EDC7}">
      <formula1>E40</formula1>
      <formula2>F40</formula2>
    </dataValidation>
    <dataValidation type="textLength" allowBlank="1" showInputMessage="1" showErrorMessage="1" error="Maximum Number of Characters Exceeded" sqref="M35:O35" xr:uid="{D2B63BF0-28CB-4CEC-AE83-474B70EC58F5}">
      <formula1>E39</formula1>
      <formula2>F39</formula2>
    </dataValidation>
    <dataValidation type="textLength" allowBlank="1" showInputMessage="1" showErrorMessage="1" error="Maximum Number of Characters Exceeded" sqref="M34:O34" xr:uid="{BBC50C1C-EBA5-481A-AC2B-8CE2D12AC07F}">
      <formula1>E35</formula1>
      <formula2>F35</formula2>
    </dataValidation>
    <dataValidation type="textLength" allowBlank="1" showInputMessage="1" showErrorMessage="1" error="Maximum Number of Characters Exceeded_x000a_" sqref="Q34:U34" xr:uid="{6313E8D8-C48B-4C0E-BB2E-44265C9FAE6B}">
      <formula1>E36</formula1>
      <formula2>F36</formula2>
    </dataValidation>
    <dataValidation type="whole" allowBlank="1" showInputMessage="1" showErrorMessage="1" error="Invalid County Code Entered" sqref="M71:O71" xr:uid="{FF5F030A-25A7-493E-9E09-7764400A267C}">
      <formula1>1</formula1>
      <formula2>999</formula2>
    </dataValidation>
    <dataValidation type="date" operator="greaterThanOrEqual" allowBlank="1" showErrorMessage="1" sqref="U131:W131" xr:uid="{1EE07534-D2D6-4990-A5F9-76B17D1D1533}">
      <formula1>43466</formula1>
    </dataValidation>
    <dataValidation type="textLength" allowBlank="1" showInputMessage="1" showErrorMessage="1" error="Maximum Number of Characters Exceeded" sqref="I83:S83" xr:uid="{AA9C3465-DD10-419F-ADE3-AAEC8FF2091E}">
      <formula1>$E122</formula1>
      <formula2>$F122</formula2>
    </dataValidation>
    <dataValidation type="list" allowBlank="1" showInputMessage="1" showErrorMessage="1" error="Invalid Homeownership Counseling Agency Specified" sqref="I81" xr:uid="{2A6BFFBD-90D6-4754-8EF2-D8351EB2BE36}">
      <formula1>RANGE_LOOKUP_COUNSELING_AGENCIES</formula1>
    </dataValidation>
    <dataValidation type="date" operator="greaterThanOrEqual" allowBlank="1" showInputMessage="1" showErrorMessage="1" sqref="U81:W81" xr:uid="{51799992-2A98-40F4-8809-8EC067D5E7A4}">
      <formula1>36526</formula1>
    </dataValidation>
    <dataValidation type="list" allowBlank="1" showInputMessage="1" showErrorMessage="1" sqref="M74:O74" xr:uid="{A1BD171B-24A2-4467-A2B9-D6CA720A63AE}">
      <formula1>RANGE_LOOKUP_PROPTY_BLDG_TYPE_UI</formula1>
    </dataValidation>
    <dataValidation type="list" allowBlank="1" showInputMessage="1" showErrorMessage="1" sqref="I71" xr:uid="{B35E9BE2-23A2-4FFA-A145-A63EF31990EF}">
      <formula1>IF($U$69&lt;&gt;"",INDIRECT("COUNTY_RANGE_"&amp;$U$69),INDIRECT("RANGE_LOOKUP_COUNTY_PLACEHOLDER"))</formula1>
    </dataValidation>
    <dataValidation type="whole" allowBlank="1" showInputMessage="1" showErrorMessage="1" error="Invalid Census Tract Entered" sqref="W71 W43" xr:uid="{2DD71BD2-459F-41A3-A3B7-F674E202B8F8}">
      <formula1>0</formula1>
      <formula2>99</formula2>
    </dataValidation>
    <dataValidation type="whole" allowBlank="1" showInputMessage="1" showErrorMessage="1" error="Invalid Census Entered" sqref="U43 U71" xr:uid="{57E55B08-C1EC-4A7A-8C0C-6C0BF2197B90}">
      <formula1>1</formula1>
      <formula2>9999</formula2>
    </dataValidation>
    <dataValidation type="whole" allowBlank="1" showInputMessage="1" showErrorMessage="1" error="Please enter a valid MSA Code (eg: 55555)_x000a_" sqref="Q43:S43 Q71:S71" xr:uid="{3B6AEB1E-41E8-42F3-8851-95B1D6774192}">
      <formula1>1</formula1>
      <formula2>99999</formula2>
    </dataValidation>
    <dataValidation type="list" allowBlank="1" showInputMessage="1" showErrorMessage="1" sqref="I43:O43" xr:uid="{9A05130B-06BF-42E8-B65F-62C365CEB2F2}">
      <formula1>IF($U$41&lt;&gt;"",INDIRECT("COUNTY_RANGE_"&amp;$U$41),INDIRECT("RANGE_LOOKUP_COUNTY_PLACEHOLDER"))</formula1>
    </dataValidation>
    <dataValidation type="list" allowBlank="1" showInputMessage="1" showErrorMessage="1" error="An invalid State has been specified" sqref="U41" xr:uid="{D0DBF325-B9FD-4E66-9E82-D4E067216E85}">
      <formula1>RANGE_LOOKUP_STATE_ALLSTATES</formula1>
    </dataValidation>
    <dataValidation type="list" allowBlank="1" showInputMessage="1" showErrorMessage="1" error="_x000a_" sqref="W34:W36" xr:uid="{72A1B5C5-8DE4-468E-8692-24C0C9C8F779}">
      <formula1>RANGE_LOOKUP_MARITALSTATUS</formula1>
    </dataValidation>
    <dataValidation type="list" allowBlank="1" showInputMessage="1" showErrorMessage="1" sqref="K34:K36" xr:uid="{D2B48B8D-9805-4EE7-B2D2-FACA3A36F70F}">
      <formula1>RANGE_LOOKUP_PREFIX</formula1>
    </dataValidation>
    <dataValidation type="custom" showInputMessage="1" showErrorMessage="1" errorTitle="No Data Entry" error="Field is Read-Only" sqref="H15" xr:uid="{6BC442E1-BB17-478B-B06F-EE833ECA5AC8}">
      <formula1>"&lt;0&gt;0"</formula1>
    </dataValidation>
    <dataValidation type="whole" allowBlank="1" showInputMessage="1" showErrorMessage="1" error="Invalid Zip Code Entered" sqref="W69 W41" xr:uid="{AF099418-E085-42A2-9E5D-98661A9AD887}">
      <formula1>1</formula1>
      <formula2>99999</formula2>
    </dataValidation>
    <dataValidation type="list" allowBlank="1" showInputMessage="1" showErrorMessage="1" error="Select 'Yes' or 'No'" sqref="W29 Q74 W62 U74 W50 Q56:S57" xr:uid="{72B04B6D-C7B6-4FD5-A10F-9BD6D1817EE2}">
      <formula1>RANGE_LOOKUP_YESNO</formula1>
    </dataValidation>
    <dataValidation type="textLength" allowBlank="1" showInputMessage="1" showErrorMessage="1" error="Maximum Number of Characters Exceeded" sqref="I24" xr:uid="{9AD21C1C-5E14-445E-B8A1-49EEDFA1748B}">
      <formula1>E19</formula1>
      <formula2>F19</formula2>
    </dataValidation>
    <dataValidation type="decimal" allowBlank="1" showInputMessage="1" showErrorMessage="1" error="Invalid Grant Amount Requested" sqref="U48:W48" xr:uid="{3B6C13E1-CFB5-441D-B819-1A8C7FA2FF15}">
      <formula1>E65</formula1>
      <formula2>F65</formula2>
    </dataValidation>
    <dataValidation type="decimal" allowBlank="1" showInputMessage="1" showErrorMessage="1" error="Invalid Amount Entered" sqref="U57:W57" xr:uid="{BF5C42C4-DE15-4591-8F1F-2DDB0852F8AB}">
      <formula1>E72</formula1>
      <formula2>F72</formula2>
    </dataValidation>
    <dataValidation type="decimal" allowBlank="1" showInputMessage="1" showErrorMessage="1" error="Invalid Amount Entered" sqref="U56:W56" xr:uid="{4958A59C-FC07-4A46-8C50-9DE96785A5A8}">
      <formula1>E70</formula1>
      <formula2>F70</formula2>
    </dataValidation>
    <dataValidation type="textLength" allowBlank="1" showInputMessage="1" showErrorMessage="1" error="Maximum Number of Characters Exceeded" sqref="I131" xr:uid="{2B56FF86-471E-4601-BBA7-A8F584FBDDD8}">
      <formula1>E137</formula1>
      <formula2>F137</formula2>
    </dataValidation>
    <dataValidation type="textLength" allowBlank="1" showInputMessage="1" showErrorMessage="1" error="Invalid Phone Number Entered" sqref="S133:W133" xr:uid="{635FFCCB-73AA-4576-9FD6-AF6B755F23C9}">
      <formula1>E141</formula1>
      <formula2>F141</formula2>
    </dataValidation>
    <dataValidation type="textLength" allowBlank="1" showInputMessage="1" showErrorMessage="1" error="Maximum Number of Characters Exceeded" sqref="O131:S131" xr:uid="{A4CF1840-9DEA-479C-A7AE-F9C9EFAE7C86}">
      <formula1>E138</formula1>
      <formula2>F138</formula2>
    </dataValidation>
    <dataValidation type="textLength" allowBlank="1" showInputMessage="1" showErrorMessage="1" error="Maximum Number of Characters Exceeded" sqref="I133:Q133" xr:uid="{9A8F6E0B-DC6C-499F-A4BD-23AF7C5114A5}">
      <formula1>E140</formula1>
      <formula2>F140</formula2>
    </dataValidation>
    <dataValidation type="decimal" allowBlank="1" showInputMessage="1" showErrorMessage="1" sqref="I74:K74" xr:uid="{9E5CB7EA-CE9B-4261-B056-AC2535C2D466}">
      <formula1>E97</formula1>
      <formula2>F97</formula2>
    </dataValidation>
    <dataValidation type="textLength" allowBlank="1" showInputMessage="1" showErrorMessage="1" error="Maximum Number of Characters Exceeded" sqref="Q69:S69" xr:uid="{CFCC05F1-22BF-4FD9-AC37-0CE5421A8696}">
      <formula1>E89</formula1>
      <formula2>F89</formula2>
    </dataValidation>
    <dataValidation type="textLength" allowBlank="1" showInputMessage="1" showErrorMessage="1" error="Maximum Number of Characters Exceeded" sqref="I69:O69" xr:uid="{FBC0195E-27BF-4C01-8986-BAF28EEB301F}">
      <formula1>E88</formula1>
      <formula2>F88</formula2>
    </dataValidation>
  </dataValidations>
  <pageMargins left="0.25" right="0.25" top="0.5" bottom="0.5" header="0.3" footer="0.3"/>
  <pageSetup scale="90" fitToHeight="0" orientation="portrait" r:id="rId1"/>
  <headerFooter>
    <oddFooter>&amp;R&amp;8&amp;P of &amp;N</oddFooter>
  </headerFooter>
  <rowBreaks count="3" manualBreakCount="3">
    <brk id="37" min="7" max="24" man="1"/>
    <brk id="75" min="7" max="24" man="1"/>
    <brk id="101" min="7" max="24" man="1"/>
  </rowBreaks>
  <drawing r:id="rId2"/>
  <legacyDrawing r:id="rId3"/>
  <mc:AlternateContent xmlns:mc="http://schemas.openxmlformats.org/markup-compatibility/2006">
    <mc:Choice Requires="x14">
      <controls>
        <mc:AlternateContent xmlns:mc="http://schemas.openxmlformats.org/markup-compatibility/2006">
          <mc:Choice Requires="x14">
            <control shapeId="33793" r:id="rId4" name="ICW_COMPLETE_FLAG">
              <controlPr defaultSize="0" autoFill="0" autoLine="0" autoPict="0">
                <anchor moveWithCells="1">
                  <from>
                    <xdr:col>12</xdr:col>
                    <xdr:colOff>190500</xdr:colOff>
                    <xdr:row>90</xdr:row>
                    <xdr:rowOff>19050</xdr:rowOff>
                  </from>
                  <to>
                    <xdr:col>18</xdr:col>
                    <xdr:colOff>552450</xdr:colOff>
                    <xdr:row>90</xdr:row>
                    <xdr:rowOff>266700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A0D2250F-7D7A-4F5F-99B4-42C714AF47BC}">
            <x14:dataBar direction="leftToRight" axisPosition="none">
              <x14:cfvo type="num">
                <xm:f>0</xm:f>
              </x14:cfvo>
              <x14:cfvo type="num">
                <xm:f>1</xm:f>
              </x14:cfvo>
              <x14:negativeFillColor theme="5"/>
            </x14:dataBar>
          </x14:cfRule>
          <xm:sqref>S3</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58DF1-108F-42CA-848D-D9B57C246339}">
  <sheetPr>
    <pageSetUpPr autoPageBreaks="0" fitToPage="1"/>
  </sheetPr>
  <dimension ref="A1:Y212"/>
  <sheetViews>
    <sheetView showGridLines="0" showRowColHeaders="0" topLeftCell="H1" zoomScaleNormal="100" zoomScaleSheetLayoutView="100" workbookViewId="0">
      <pane ySplit="4" topLeftCell="A5" activePane="bottomLeft" state="frozen"/>
      <selection activeCell="H5" sqref="H5"/>
      <selection pane="bottomLeft" activeCell="H5" sqref="H5"/>
    </sheetView>
  </sheetViews>
  <sheetFormatPr defaultColWidth="0" defaultRowHeight="0" customHeight="1" zeroHeight="1" x14ac:dyDescent="0.25"/>
  <cols>
    <col min="1" max="1" width="27.5703125" style="67" hidden="1" customWidth="1"/>
    <col min="2" max="7" width="15.7109375" style="67" hidden="1" customWidth="1"/>
    <col min="8" max="8" width="2.42578125" customWidth="1"/>
    <col min="9" max="9" width="10.7109375" customWidth="1"/>
    <col min="10" max="10" width="2.7109375" style="44" customWidth="1"/>
    <col min="11" max="11" width="10.7109375" customWidth="1"/>
    <col min="12" max="12" width="2.7109375" style="44" customWidth="1"/>
    <col min="13" max="13" width="10.7109375" customWidth="1"/>
    <col min="14" max="14" width="2.7109375" style="44" customWidth="1"/>
    <col min="15" max="15" width="10.7109375" customWidth="1"/>
    <col min="16" max="16" width="2.7109375" style="44" customWidth="1"/>
    <col min="17" max="17" width="10.7109375" customWidth="1"/>
    <col min="18" max="18" width="2.7109375" style="44" customWidth="1"/>
    <col min="19" max="19" width="10.7109375" customWidth="1"/>
    <col min="20" max="20" width="2.7109375" style="44" customWidth="1"/>
    <col min="21" max="21" width="10.7109375" customWidth="1"/>
    <col min="22" max="22" width="2.7109375" style="44" customWidth="1"/>
    <col min="23" max="23" width="10.7109375" customWidth="1"/>
    <col min="24" max="24" width="2.7109375" style="44" customWidth="1"/>
    <col min="25" max="25" width="2.42578125" customWidth="1"/>
    <col min="26" max="16384" width="9.140625" hidden="1"/>
  </cols>
  <sheetData>
    <row r="1" spans="1:25" ht="40.5" customHeight="1" thickBot="1" x14ac:dyDescent="0.3">
      <c r="A1" s="43" t="s">
        <v>179</v>
      </c>
      <c r="B1" s="43" t="s">
        <v>178</v>
      </c>
      <c r="C1" s="43" t="s">
        <v>175</v>
      </c>
      <c r="D1" s="43" t="s">
        <v>176</v>
      </c>
      <c r="E1" s="43" t="s">
        <v>173</v>
      </c>
      <c r="F1" s="43" t="s">
        <v>174</v>
      </c>
      <c r="G1" s="84" t="s">
        <v>177</v>
      </c>
      <c r="H1" s="82"/>
      <c r="I1" s="82"/>
      <c r="J1" s="83"/>
      <c r="K1" s="82"/>
      <c r="L1" s="83"/>
      <c r="M1" s="82"/>
      <c r="N1" s="83"/>
      <c r="O1" s="82"/>
      <c r="P1" s="83"/>
      <c r="Q1" s="82"/>
      <c r="R1" s="83"/>
      <c r="S1" s="82"/>
      <c r="T1" s="83"/>
      <c r="U1" s="82"/>
      <c r="V1" s="83"/>
      <c r="W1" s="82"/>
      <c r="X1" s="83"/>
      <c r="Y1" s="82"/>
    </row>
    <row r="2" spans="1:25" ht="3" customHeight="1" x14ac:dyDescent="0.25">
      <c r="A2" s="45"/>
      <c r="B2" s="45"/>
      <c r="C2" s="45"/>
      <c r="D2" s="45"/>
      <c r="E2" s="45"/>
      <c r="F2" s="45"/>
      <c r="G2" s="45"/>
      <c r="H2" s="46"/>
      <c r="I2" s="75"/>
      <c r="J2" s="75"/>
      <c r="K2" s="75"/>
      <c r="L2" s="75"/>
      <c r="M2" s="75"/>
      <c r="N2" s="75"/>
      <c r="O2" s="75"/>
      <c r="P2" s="76"/>
      <c r="Q2" s="76"/>
      <c r="R2" s="47"/>
      <c r="S2" s="48"/>
      <c r="T2" s="47"/>
      <c r="U2" s="47"/>
      <c r="V2" s="47"/>
      <c r="W2" s="47"/>
      <c r="X2" s="47"/>
      <c r="Y2" s="47"/>
    </row>
    <row r="3" spans="1:25" ht="15" customHeight="1" x14ac:dyDescent="0.25">
      <c r="A3" s="45"/>
      <c r="B3" s="45"/>
      <c r="C3" s="45"/>
      <c r="D3" s="45"/>
      <c r="E3" s="45"/>
      <c r="F3" s="45"/>
      <c r="G3" s="45"/>
      <c r="H3" s="49"/>
      <c r="I3" s="75" t="str">
        <f ca="1">(LEFT($B$8,40)&amp;IF(LEN($B$8)&gt;40,"…",""))</f>
        <v>Household Not Yet Specified</v>
      </c>
      <c r="J3" s="75"/>
      <c r="K3" s="75"/>
      <c r="L3" s="75"/>
      <c r="M3" s="75"/>
      <c r="N3" s="75"/>
      <c r="O3" s="75"/>
      <c r="P3" s="76"/>
      <c r="Q3" s="76"/>
      <c r="R3" s="76" t="s">
        <v>2140</v>
      </c>
      <c r="S3" s="133" t="str">
        <f>IF('$DB.DATA'!G11="DSB",VLOOKUP("APP_PROGRESS_PCT_COMPLETE",DB_TBL_DATA_FIELDS[[FIELD_ID]:[FIELD_VALUE_CLEAN]],10,FALSE),"N/A")</f>
        <v>N/A</v>
      </c>
      <c r="T3" s="117" t="str">
        <f ca="1">IF(DATA_APP_PROGRESS_ERROR_COUNT&gt;0,0,IF(DATA_EFORM_COMPLETE_FLAG,2,""))</f>
        <v/>
      </c>
      <c r="U3" s="49"/>
      <c r="V3" s="50"/>
      <c r="W3" s="49"/>
      <c r="X3" s="50"/>
      <c r="Y3" s="49"/>
    </row>
    <row r="4" spans="1:25" ht="3" customHeight="1" x14ac:dyDescent="0.25">
      <c r="A4" s="45"/>
      <c r="B4" s="45"/>
      <c r="C4" s="45"/>
      <c r="D4" s="45"/>
      <c r="E4" s="45"/>
      <c r="F4" s="45"/>
      <c r="G4" s="45"/>
      <c r="H4" s="34"/>
      <c r="I4" s="85"/>
      <c r="J4" s="85"/>
      <c r="K4" s="85"/>
      <c r="L4" s="85"/>
      <c r="M4" s="85"/>
      <c r="N4" s="85"/>
      <c r="O4" s="85"/>
      <c r="P4" s="86"/>
      <c r="Q4" s="86"/>
      <c r="R4" s="87"/>
      <c r="S4" s="34"/>
      <c r="T4" s="87"/>
      <c r="U4" s="34"/>
      <c r="V4" s="87"/>
      <c r="W4" s="34"/>
      <c r="X4" s="87"/>
      <c r="Y4" s="34"/>
    </row>
    <row r="5" spans="1:25" ht="3.95" customHeight="1" x14ac:dyDescent="0.25">
      <c r="A5" s="45"/>
      <c r="B5" s="45"/>
      <c r="C5" s="45"/>
      <c r="D5" s="45"/>
      <c r="E5" s="45"/>
      <c r="F5" s="45"/>
      <c r="G5" s="45"/>
      <c r="H5" s="39"/>
      <c r="I5" s="79"/>
      <c r="J5" s="79"/>
      <c r="K5" s="79"/>
      <c r="L5" s="79"/>
      <c r="M5" s="79"/>
      <c r="N5" s="79"/>
      <c r="O5" s="79"/>
      <c r="P5" s="80"/>
      <c r="Q5" s="80"/>
    </row>
    <row r="6" spans="1:25" ht="18" customHeight="1" x14ac:dyDescent="0.25">
      <c r="A6" s="51" t="s">
        <v>32</v>
      </c>
      <c r="B6" s="94" t="str">
        <f>LOOKUP_PROGRAM_NAME_HDPPLUS&amp;" - "&amp;CONFIG_ENROLL_PERD_DESC</f>
        <v>Homebuyer Dream Program Plus - 2026 Round</v>
      </c>
      <c r="C6" s="51"/>
      <c r="D6" s="51"/>
      <c r="E6" s="51"/>
      <c r="F6" s="51"/>
      <c r="G6" s="51"/>
      <c r="H6" s="59" t="str">
        <f ca="1">B11</f>
        <v/>
      </c>
      <c r="I6" s="381" t="str">
        <f ca="1">B12</f>
        <v/>
      </c>
      <c r="J6" s="381"/>
      <c r="K6" s="381"/>
      <c r="L6" s="381"/>
      <c r="M6" s="381"/>
      <c r="N6" s="381"/>
      <c r="O6" s="381"/>
      <c r="P6" s="381"/>
      <c r="Q6" s="381"/>
      <c r="R6" s="381"/>
      <c r="S6" s="381"/>
      <c r="T6" s="381"/>
      <c r="U6" s="381"/>
      <c r="V6" s="381"/>
      <c r="W6" s="381"/>
      <c r="X6" s="381"/>
      <c r="Y6" s="381"/>
    </row>
    <row r="7" spans="1:25" ht="3.95" customHeight="1" x14ac:dyDescent="0.25">
      <c r="A7" s="51" t="s">
        <v>2208</v>
      </c>
      <c r="B7" s="94" t="str">
        <f>VLOOKUP(A7,DB_TBL_CONFIG_APP[#All],4,FALSE)</f>
        <v>Funding Request</v>
      </c>
      <c r="C7" s="51"/>
      <c r="D7" s="51"/>
      <c r="E7" s="51"/>
      <c r="F7" s="51"/>
      <c r="G7" s="51"/>
      <c r="H7" s="59"/>
      <c r="I7" s="59"/>
      <c r="J7" s="59"/>
      <c r="K7" s="59"/>
      <c r="L7" s="59"/>
      <c r="M7" s="59"/>
      <c r="N7" s="59"/>
      <c r="O7" s="59"/>
      <c r="P7" s="59"/>
      <c r="Q7" s="59"/>
      <c r="R7" s="59"/>
      <c r="S7" s="59"/>
      <c r="T7" s="59"/>
      <c r="U7" s="59"/>
      <c r="V7" s="59"/>
      <c r="W7" s="59"/>
      <c r="X7" s="59"/>
      <c r="Y7" s="59"/>
    </row>
    <row r="8" spans="1:25" s="36" customFormat="1" ht="21.95" customHeight="1" thickBot="1" x14ac:dyDescent="0.25">
      <c r="A8" s="51" t="s">
        <v>2351</v>
      </c>
      <c r="B8" s="94" t="str">
        <f ca="1">IF(DATA_HSEHLD_BANNER="","Household Not Yet Specified",DATA_HSEHLD_BANNER)</f>
        <v>Household Not Yet Specified</v>
      </c>
      <c r="C8" s="54"/>
      <c r="D8" s="54"/>
      <c r="E8" s="51"/>
      <c r="F8" s="51"/>
      <c r="G8" s="51"/>
      <c r="H8" s="59"/>
      <c r="I8" s="114" t="s">
        <v>2354</v>
      </c>
      <c r="J8" s="115"/>
      <c r="K8" s="115"/>
      <c r="L8" s="115"/>
      <c r="M8" s="115"/>
      <c r="N8" s="115"/>
      <c r="O8" s="115"/>
      <c r="P8" s="115"/>
      <c r="Q8" s="115"/>
      <c r="R8" s="115"/>
      <c r="S8" s="115"/>
      <c r="T8" s="115"/>
      <c r="U8" s="115"/>
      <c r="V8" s="115"/>
      <c r="W8" s="115"/>
      <c r="X8" s="115"/>
      <c r="Y8" s="59"/>
    </row>
    <row r="9" spans="1:25" s="36" customFormat="1" ht="99.75" customHeight="1" x14ac:dyDescent="0.25">
      <c r="A9" s="54" t="s">
        <v>2154</v>
      </c>
      <c r="B9" s="65">
        <f ca="1">SUM(B29,B43,B58,B90,B113)</f>
        <v>0</v>
      </c>
      <c r="C9" s="54"/>
      <c r="D9" s="54"/>
      <c r="E9" s="54"/>
      <c r="F9" s="54"/>
      <c r="G9" s="54"/>
      <c r="H9" s="59"/>
      <c r="I9" s="387" t="s">
        <v>9342</v>
      </c>
      <c r="J9" s="387"/>
      <c r="K9" s="387"/>
      <c r="L9" s="387"/>
      <c r="M9" s="387"/>
      <c r="N9" s="387"/>
      <c r="O9" s="387"/>
      <c r="P9" s="387"/>
      <c r="Q9" s="387"/>
      <c r="R9" s="387"/>
      <c r="S9" s="387"/>
      <c r="T9" s="387"/>
      <c r="U9" s="387"/>
      <c r="V9" s="387"/>
      <c r="W9" s="387"/>
      <c r="X9" s="387"/>
      <c r="Y9" s="59"/>
    </row>
    <row r="10" spans="1:25" s="36" customFormat="1" ht="9.9499999999999993" customHeight="1" x14ac:dyDescent="0.25">
      <c r="A10" s="54" t="s">
        <v>2155</v>
      </c>
      <c r="B10" s="65" t="b">
        <f ca="1">B9&gt;0</f>
        <v>0</v>
      </c>
      <c r="C10" s="54"/>
      <c r="D10" s="54"/>
      <c r="E10" s="54"/>
      <c r="F10" s="54"/>
      <c r="G10" s="54"/>
      <c r="H10" s="59"/>
      <c r="I10" s="59"/>
      <c r="J10" s="59"/>
      <c r="K10" s="59"/>
      <c r="L10" s="59"/>
      <c r="M10" s="59"/>
      <c r="N10" s="59"/>
      <c r="O10" s="59"/>
      <c r="P10" s="59"/>
      <c r="Q10" s="59"/>
      <c r="R10" s="59"/>
      <c r="S10" s="59"/>
      <c r="T10" s="59"/>
      <c r="U10" s="59"/>
      <c r="V10" s="59"/>
      <c r="W10" s="59"/>
      <c r="X10" s="59"/>
      <c r="Y10" s="59"/>
    </row>
    <row r="11" spans="1:25" s="36" customFormat="1" ht="21.95" customHeight="1" thickBot="1" x14ac:dyDescent="0.3">
      <c r="A11" s="54" t="s">
        <v>2156</v>
      </c>
      <c r="B11" s="65" t="str">
        <f ca="1">IF(B10,1,"")</f>
        <v/>
      </c>
      <c r="C11" s="54"/>
      <c r="D11" s="54"/>
      <c r="E11" s="54"/>
      <c r="F11" s="54"/>
      <c r="G11" s="54"/>
      <c r="H11" s="59"/>
      <c r="I11" s="114" t="s">
        <v>2879</v>
      </c>
      <c r="J11" s="115"/>
      <c r="K11" s="115"/>
      <c r="L11" s="115"/>
      <c r="M11" s="115"/>
      <c r="N11" s="115"/>
      <c r="O11" s="115"/>
      <c r="P11" s="115"/>
      <c r="Q11" s="115"/>
      <c r="R11" s="115"/>
      <c r="S11" s="115"/>
      <c r="T11" s="115"/>
      <c r="U11" s="115"/>
      <c r="V11" s="115"/>
      <c r="W11" s="115"/>
      <c r="X11" s="115"/>
      <c r="Y11" s="59"/>
    </row>
    <row r="12" spans="1:25" s="36" customFormat="1" ht="6.75" customHeight="1" x14ac:dyDescent="0.2">
      <c r="A12" s="54" t="s">
        <v>2157</v>
      </c>
      <c r="B12" s="94" t="str">
        <f ca="1">IF(B10,B9&amp;" "&amp;'$DB.CONFIG'!$M$4,"")</f>
        <v/>
      </c>
      <c r="C12" s="54"/>
      <c r="D12" s="54"/>
      <c r="E12" s="54"/>
      <c r="F12" s="54"/>
      <c r="G12" s="54"/>
      <c r="H12" s="59"/>
      <c r="I12" s="60"/>
      <c r="J12" s="59"/>
      <c r="K12" s="59"/>
      <c r="L12" s="59"/>
      <c r="M12" s="59"/>
      <c r="N12" s="59"/>
      <c r="O12" s="59"/>
      <c r="P12" s="59"/>
      <c r="Q12" s="59"/>
      <c r="R12" s="59"/>
      <c r="S12" s="59"/>
      <c r="T12" s="59"/>
      <c r="U12" s="59"/>
      <c r="V12" s="59"/>
      <c r="W12" s="59"/>
      <c r="X12" s="59"/>
      <c r="Y12" s="59"/>
    </row>
    <row r="13" spans="1:25" s="36" customFormat="1" ht="21.95" customHeight="1" x14ac:dyDescent="0.25">
      <c r="A13" s="54"/>
      <c r="B13" s="54"/>
      <c r="C13" s="54"/>
      <c r="D13" s="54"/>
      <c r="E13" s="54"/>
      <c r="F13" s="54"/>
      <c r="G13" s="54"/>
      <c r="H13"/>
      <c r="I13" s="53" t="s">
        <v>25</v>
      </c>
      <c r="J13" s="78">
        <f>1</f>
        <v>1</v>
      </c>
      <c r="K13" s="74"/>
      <c r="L13" s="74"/>
      <c r="M13" s="53" t="s">
        <v>2186</v>
      </c>
      <c r="N13" s="78">
        <f>2</f>
        <v>2</v>
      </c>
      <c r="Q13" s="53" t="s">
        <v>2187</v>
      </c>
      <c r="R13" s="78">
        <f>0</f>
        <v>0</v>
      </c>
      <c r="U13" s="384" t="s">
        <v>2188</v>
      </c>
      <c r="V13" s="385"/>
      <c r="W13" s="385"/>
      <c r="X13" s="386"/>
      <c r="Y13"/>
    </row>
    <row r="14" spans="1:25" s="36" customFormat="1" ht="21.95" customHeight="1" x14ac:dyDescent="0.25">
      <c r="A14" s="54"/>
      <c r="B14" s="54"/>
      <c r="C14" s="54"/>
      <c r="D14" s="54"/>
      <c r="E14" s="54"/>
      <c r="F14" s="54"/>
      <c r="G14" s="54"/>
      <c r="H14"/>
      <c r="I14"/>
      <c r="J14" s="44"/>
      <c r="K14"/>
      <c r="L14" s="44"/>
      <c r="M14"/>
      <c r="N14" s="44"/>
      <c r="O14"/>
      <c r="P14" s="44"/>
      <c r="Q14"/>
      <c r="R14" s="44"/>
      <c r="S14"/>
      <c r="T14" s="44"/>
      <c r="U14"/>
      <c r="V14" s="44"/>
      <c r="W14"/>
      <c r="X14" s="44"/>
      <c r="Y14"/>
    </row>
    <row r="15" spans="1:25" s="36" customFormat="1" ht="21.95" customHeight="1" thickBot="1" x14ac:dyDescent="0.3">
      <c r="A15" s="54"/>
      <c r="B15" s="54"/>
      <c r="C15" s="54"/>
      <c r="D15" s="54"/>
      <c r="E15" s="54"/>
      <c r="F15" s="54"/>
      <c r="G15" s="54"/>
      <c r="I15" s="55" t="s">
        <v>186</v>
      </c>
      <c r="J15" s="55"/>
      <c r="K15" s="55"/>
      <c r="L15" s="55"/>
      <c r="M15" s="55"/>
      <c r="N15" s="55"/>
      <c r="O15" s="55"/>
      <c r="P15" s="55"/>
      <c r="Q15" s="55"/>
      <c r="R15" s="55"/>
      <c r="S15" s="55"/>
      <c r="T15" s="55"/>
      <c r="U15" s="55"/>
      <c r="V15" s="55"/>
      <c r="W15" s="55"/>
      <c r="X15" s="56"/>
    </row>
    <row r="16" spans="1:25" s="36" customFormat="1" ht="21.95" customHeight="1" x14ac:dyDescent="0.25">
      <c r="A16" s="54"/>
      <c r="B16" s="54"/>
      <c r="C16" s="54"/>
      <c r="D16" s="54"/>
      <c r="E16" s="54"/>
      <c r="F16" s="54"/>
      <c r="G16" s="54"/>
      <c r="H16" s="57"/>
      <c r="I16" s="37"/>
      <c r="J16" s="37"/>
      <c r="K16" s="37"/>
      <c r="L16" s="37"/>
      <c r="M16" s="37"/>
      <c r="N16" s="37"/>
      <c r="O16" s="58"/>
      <c r="P16" s="58"/>
      <c r="Q16" s="37"/>
      <c r="R16" s="37"/>
      <c r="S16" s="37"/>
      <c r="T16" s="37"/>
      <c r="U16" s="37"/>
      <c r="V16" s="37"/>
      <c r="W16" s="37"/>
      <c r="X16" s="37"/>
    </row>
    <row r="17" spans="1:25" s="36" customFormat="1" ht="21.95" customHeight="1" x14ac:dyDescent="0.25">
      <c r="A17" s="54"/>
      <c r="B17" s="54"/>
      <c r="C17" s="54"/>
      <c r="D17" s="54"/>
      <c r="E17" s="54"/>
      <c r="F17" s="54"/>
      <c r="G17" s="54"/>
      <c r="I17" s="382" t="str">
        <f>"1     "&amp;VLOOKUP("SECTION_1_TOC_LABEL",A:B,2,FALSE)</f>
        <v>1     FHLBNY Member</v>
      </c>
      <c r="J17" s="382"/>
      <c r="K17" s="382"/>
      <c r="L17" s="382"/>
      <c r="M17" s="382"/>
      <c r="N17" s="59" t="str">
        <f>IF($B$30,1,"")</f>
        <v/>
      </c>
      <c r="O17" s="73" t="str">
        <f ca="1">$B$26</f>
        <v>Not Started</v>
      </c>
      <c r="P17" s="59" t="str">
        <f ca="1">B27</f>
        <v/>
      </c>
      <c r="Q17" s="383" t="str">
        <f>"4     "&amp;VLOOKUP("SECTION_4_TOC_LABEL",A:B,2,FALSE)</f>
        <v>4     Mortgage Information</v>
      </c>
      <c r="R17" s="383"/>
      <c r="S17" s="383"/>
      <c r="T17" s="383"/>
      <c r="U17" s="383"/>
      <c r="V17" s="59" t="str">
        <f ca="1">IF($B$91,1,"")</f>
        <v/>
      </c>
      <c r="W17" s="73" t="str">
        <f ca="1">$B$83</f>
        <v>Not Started</v>
      </c>
      <c r="X17" s="59" t="str">
        <f ca="1">$B84</f>
        <v/>
      </c>
    </row>
    <row r="18" spans="1:25" s="36" customFormat="1" ht="21.95" customHeight="1" x14ac:dyDescent="0.25">
      <c r="A18" s="91" t="s">
        <v>118</v>
      </c>
      <c r="B18" s="93" t="s">
        <v>2832</v>
      </c>
      <c r="C18" s="92"/>
      <c r="D18" s="92"/>
      <c r="E18" s="92"/>
      <c r="F18" s="92"/>
      <c r="G18" s="92"/>
      <c r="I18" s="382" t="str">
        <f>"2     "&amp;VLOOKUP("SECTION_2_TOC_LABEL",A:B,2,FALSE)</f>
        <v>2     Household Information</v>
      </c>
      <c r="J18" s="382"/>
      <c r="K18" s="382"/>
      <c r="L18" s="382"/>
      <c r="M18" s="382"/>
      <c r="N18" s="59" t="str">
        <f>IF($B$44,1,"")</f>
        <v/>
      </c>
      <c r="O18" s="73" t="str">
        <f ca="1">$B$40</f>
        <v>Not Started</v>
      </c>
      <c r="P18" s="59" t="str">
        <f ca="1">B41</f>
        <v/>
      </c>
      <c r="Q18" s="383" t="str">
        <f>"5    "&amp;VLOOKUP("SECTION_5_TOC_LABEL",A:B,2,FALSE)</f>
        <v>5    Other Grants</v>
      </c>
      <c r="R18" s="383"/>
      <c r="S18" s="383"/>
      <c r="T18" s="383"/>
      <c r="U18" s="383"/>
      <c r="V18" s="59" t="str">
        <f>IF($B$114,1,"")</f>
        <v/>
      </c>
      <c r="W18" s="73" t="str">
        <f ca="1">$B$110</f>
        <v>Not Started</v>
      </c>
      <c r="X18" s="59" t="str">
        <f ca="1">$B111</f>
        <v/>
      </c>
    </row>
    <row r="19" spans="1:25" s="36" customFormat="1" ht="21.95" customHeight="1" x14ac:dyDescent="0.25">
      <c r="A19" s="61" t="s">
        <v>2221</v>
      </c>
      <c r="B19" s="95" t="str">
        <f>IF(I24="","",I24)</f>
        <v/>
      </c>
      <c r="C19" s="54">
        <f ca="1">VLOOKUP(A19,DB_TBL_DATA_FIELDS[[FIELD_ID]:[PCT_CALC_FIELD_STATUS_CODE]],22,FALSE)</f>
        <v>1</v>
      </c>
      <c r="D19" s="54" t="str">
        <f>IF(VLOOKUP(A19,DB_TBL_DATA_FIELDS[[FIELD_ID]:[ERROR_MESSAGE]],23,FALSE)&lt;&gt;0,VLOOKUP(A19,DB_TBL_DATA_FIELDS[[FIELD_ID]:[ERROR_MESSAGE]],23,FALSE),"")</f>
        <v/>
      </c>
      <c r="E19" s="54">
        <f>VLOOKUP(A19,DB_TBL_DATA_FIELDS[[#All],[FIELD_ID]:[RANGE_VALIDATION_MAX]],18,FALSE)</f>
        <v>0</v>
      </c>
      <c r="F19" s="54">
        <f>VLOOKUP(A19,DB_TBL_DATA_FIELDS[[#All],[FIELD_ID]:[RANGE_VALIDATION_MAX]],19,FALSE)</f>
        <v>100</v>
      </c>
      <c r="G19" s="54">
        <f ca="1">IF(C19&lt;0,"",C19)</f>
        <v>1</v>
      </c>
      <c r="I19" s="382" t="str">
        <f>"3     "&amp;VLOOKUP("SECTION_3_TOC_LABEL",A:B,2,FALSE)</f>
        <v>3     Grant Summary</v>
      </c>
      <c r="J19" s="382"/>
      <c r="K19" s="382"/>
      <c r="L19" s="382"/>
      <c r="M19" s="382"/>
      <c r="N19" s="59" t="str">
        <f>IF($B$59,1,"")</f>
        <v/>
      </c>
      <c r="O19" s="73" t="str">
        <f ca="1">$B$55</f>
        <v>Not Started</v>
      </c>
      <c r="P19" s="59" t="str">
        <f ca="1">B56</f>
        <v/>
      </c>
      <c r="Q19" s="383" t="str">
        <f>"6    "&amp;VLOOKUP("SECTION_6_TOC_LABEL",A:B,2,FALSE)</f>
        <v>6    Member Certification</v>
      </c>
      <c r="R19" s="383"/>
      <c r="S19" s="383"/>
      <c r="T19" s="383"/>
      <c r="U19" s="383"/>
      <c r="V19" s="59" t="str">
        <f>IF($B$130,1,"")</f>
        <v/>
      </c>
      <c r="W19" s="73" t="str">
        <f ca="1">$B$126</f>
        <v>Not Started</v>
      </c>
      <c r="X19" s="59" t="str">
        <f ca="1">$B127</f>
        <v/>
      </c>
    </row>
    <row r="20" spans="1:25" s="36" customFormat="1" ht="21.95" customHeight="1" x14ac:dyDescent="0.25">
      <c r="A20" s="61" t="s">
        <v>2282</v>
      </c>
      <c r="B20" s="116" t="str">
        <f>IF(U24="","",U24)</f>
        <v/>
      </c>
      <c r="C20" s="54" t="str">
        <f>VLOOKUP(A20,DB_TBL_DATA_FIELDS[[FIELD_ID]:[PCT_CALC_FIELD_STATUS_CODE]],22,FALSE)</f>
        <v/>
      </c>
      <c r="D20" s="54" t="str">
        <f>IF(VLOOKUP(A20,DB_TBL_DATA_FIELDS[[FIELD_ID]:[ERROR_MESSAGE]],23,FALSE)&lt;&gt;0,VLOOKUP(A20,DB_TBL_DATA_FIELDS[[FIELD_ID]:[ERROR_MESSAGE]],23,FALSE),"")</f>
        <v/>
      </c>
      <c r="E20" s="54">
        <f>VLOOKUP(A20,DB_TBL_DATA_FIELDS[[#All],[FIELD_ID]:[RANGE_VALIDATION_MAX]],18,FALSE)</f>
        <v>0</v>
      </c>
      <c r="F20" s="54">
        <f>VLOOKUP(A20,DB_TBL_DATA_FIELDS[[#All],[FIELD_ID]:[RANGE_VALIDATION_MAX]],19,FALSE)</f>
        <v>0</v>
      </c>
      <c r="G20" s="54" t="str">
        <f t="shared" ref="G20" si="0">IF(C20&lt;0,"",C20)</f>
        <v/>
      </c>
      <c r="J20" s="44"/>
      <c r="L20" s="44"/>
      <c r="N20" s="44"/>
      <c r="P20" s="44"/>
      <c r="R20" s="44"/>
      <c r="T20" s="44"/>
      <c r="V20" s="44"/>
      <c r="X20" s="44"/>
    </row>
    <row r="21" spans="1:25" s="36" customFormat="1" ht="21.95" customHeight="1" thickBot="1" x14ac:dyDescent="0.3">
      <c r="A21" s="61" t="s">
        <v>117</v>
      </c>
      <c r="B21" s="65" t="str">
        <f>"C"&amp;MATCH(LEFT(A21,LEN(A21)-LEN("_RANGE")),A:A,0)+1&amp;":C"&amp;(ROW()-1)</f>
        <v>C19:C20</v>
      </c>
      <c r="C21" s="54"/>
      <c r="D21" s="54"/>
      <c r="E21" s="54"/>
      <c r="F21" s="54"/>
      <c r="G21" s="54"/>
      <c r="H21" s="37"/>
      <c r="I21" s="55" t="str">
        <f>B18</f>
        <v>Federal Home Loan Bank of New York Member</v>
      </c>
      <c r="J21" s="55"/>
      <c r="K21" s="55"/>
      <c r="L21" s="55"/>
      <c r="M21" s="55"/>
      <c r="N21" s="55"/>
      <c r="O21" s="55"/>
      <c r="P21" s="55"/>
      <c r="Q21" s="55"/>
      <c r="R21" s="55"/>
      <c r="S21" s="55"/>
      <c r="T21" s="55"/>
      <c r="U21" s="55"/>
      <c r="V21" s="55"/>
      <c r="W21" s="55"/>
      <c r="X21" s="56" t="str">
        <f ca="1">"Status: "&amp;$B$26</f>
        <v>Status: Not Started</v>
      </c>
      <c r="Y21" s="37"/>
    </row>
    <row r="22" spans="1:25" s="36" customFormat="1" ht="21.95" customHeight="1" x14ac:dyDescent="0.25">
      <c r="A22" s="61" t="s">
        <v>111</v>
      </c>
      <c r="B22" s="65">
        <f ca="1">COUNTIF(INDIRECT($B21),2)</f>
        <v>0</v>
      </c>
      <c r="C22" s="54"/>
      <c r="D22" s="54"/>
      <c r="E22" s="54"/>
      <c r="F22" s="54"/>
      <c r="G22" s="54"/>
      <c r="H22" s="37"/>
      <c r="I22" s="37"/>
      <c r="J22" s="37"/>
      <c r="K22" s="37"/>
      <c r="L22" s="37"/>
      <c r="M22" s="37"/>
      <c r="N22" s="37"/>
      <c r="O22" s="37"/>
      <c r="P22" s="37"/>
      <c r="Q22" s="37"/>
      <c r="R22" s="37"/>
      <c r="S22" s="37"/>
      <c r="T22" s="37"/>
      <c r="U22" s="37"/>
      <c r="V22" s="37"/>
      <c r="W22" s="37"/>
      <c r="X22" s="37"/>
      <c r="Y22" s="37"/>
    </row>
    <row r="23" spans="1:25" s="36" customFormat="1" ht="21.95" customHeight="1" x14ac:dyDescent="0.25">
      <c r="A23" s="61" t="s">
        <v>112</v>
      </c>
      <c r="B23" s="65">
        <f ca="1">COUNTIF(INDIRECT($B21),0)+COUNTIF(INDIRECT($B21),1)+COUNTIF(INDIRECT($B21),2)</f>
        <v>1</v>
      </c>
      <c r="C23" s="54"/>
      <c r="D23" s="54"/>
      <c r="E23" s="54"/>
      <c r="F23" s="54"/>
      <c r="G23" s="54"/>
      <c r="I23" s="36" t="s">
        <v>129</v>
      </c>
      <c r="J23" s="44"/>
      <c r="L23" s="44"/>
      <c r="N23" s="44"/>
      <c r="P23" s="44"/>
      <c r="R23" s="44"/>
      <c r="T23" s="44"/>
      <c r="U23" s="44"/>
      <c r="V23" s="44"/>
      <c r="W23" s="44"/>
      <c r="X23" s="44"/>
    </row>
    <row r="24" spans="1:25" s="36" customFormat="1" ht="21.95" customHeight="1" x14ac:dyDescent="0.25">
      <c r="A24" s="61" t="s">
        <v>113</v>
      </c>
      <c r="B24" s="65">
        <f ca="1">COUNTIF(INDIRECT($B21),0)</f>
        <v>0</v>
      </c>
      <c r="C24" s="54"/>
      <c r="D24" s="54"/>
      <c r="E24" s="54"/>
      <c r="F24" s="54"/>
      <c r="G24" s="54"/>
      <c r="I24" s="316"/>
      <c r="J24" s="317"/>
      <c r="K24" s="317"/>
      <c r="L24" s="317"/>
      <c r="M24" s="317"/>
      <c r="N24" s="317"/>
      <c r="O24" s="317"/>
      <c r="P24" s="317"/>
      <c r="Q24" s="317"/>
      <c r="R24" s="317"/>
      <c r="S24" s="317"/>
      <c r="T24" s="317"/>
      <c r="U24" s="317"/>
      <c r="V24" s="317"/>
      <c r="W24" s="318"/>
      <c r="X24" s="52">
        <f ca="1">$G19</f>
        <v>1</v>
      </c>
    </row>
    <row r="25" spans="1:25" s="36" customFormat="1" ht="21.95" customHeight="1" x14ac:dyDescent="0.25">
      <c r="A25" s="61" t="s">
        <v>114</v>
      </c>
      <c r="B25" s="97">
        <f ca="1">IFERROR(B22/B23,1.01)</f>
        <v>0</v>
      </c>
      <c r="C25" s="54"/>
      <c r="D25" s="54"/>
      <c r="E25" s="54"/>
      <c r="F25" s="54"/>
      <c r="G25" s="54"/>
      <c r="N25" s="52"/>
      <c r="X25" s="52"/>
    </row>
    <row r="26" spans="1:25" s="36" customFormat="1" ht="21.95" customHeight="1" thickBot="1" x14ac:dyDescent="0.3">
      <c r="A26" s="61" t="s">
        <v>115</v>
      </c>
      <c r="B26" s="65" t="str">
        <f ca="1">IF(B24&gt;0,"Data Error(s)",IF(B25=0,"Not Started",IF(B25&lt;1,ROUNDUP(B25*100,0)&amp;"% Done",IF(B25&gt;1,"Optional","Complete"))))</f>
        <v>Not Started</v>
      </c>
      <c r="C26" s="54"/>
      <c r="D26" s="54"/>
      <c r="E26" s="54"/>
      <c r="F26" s="54"/>
      <c r="G26" s="54"/>
      <c r="I26" s="55" t="str">
        <f>B31</f>
        <v>Household Information</v>
      </c>
      <c r="J26" s="55"/>
      <c r="K26" s="55"/>
      <c r="L26" s="55"/>
      <c r="M26" s="55"/>
      <c r="N26" s="55"/>
      <c r="O26" s="55"/>
      <c r="P26" s="55"/>
      <c r="Q26" s="55"/>
      <c r="R26" s="55"/>
      <c r="S26" s="55"/>
      <c r="T26" s="55"/>
      <c r="U26" s="55"/>
      <c r="V26" s="55"/>
      <c r="W26" s="55"/>
      <c r="X26" s="56" t="str">
        <f ca="1">"Status: "&amp;$B$40</f>
        <v>Status: Not Started</v>
      </c>
    </row>
    <row r="27" spans="1:25" s="36" customFormat="1" ht="21.95" customHeight="1" x14ac:dyDescent="0.25">
      <c r="A27" s="61" t="s">
        <v>116</v>
      </c>
      <c r="B27" s="65" t="str">
        <f ca="1">IF(B24&gt;0,0,IF(B25&lt;1,"",2))</f>
        <v/>
      </c>
      <c r="C27" s="54"/>
      <c r="D27" s="54"/>
      <c r="E27" s="54"/>
      <c r="F27" s="54"/>
      <c r="G27" s="54"/>
      <c r="J27" s="44"/>
      <c r="L27" s="44"/>
      <c r="N27" s="44"/>
      <c r="P27" s="44"/>
      <c r="R27" s="44"/>
      <c r="T27" s="44"/>
      <c r="V27" s="44"/>
      <c r="X27" s="44"/>
    </row>
    <row r="28" spans="1:25" s="36" customFormat="1" ht="21.95" customHeight="1" x14ac:dyDescent="0.25">
      <c r="A28" s="61" t="s">
        <v>119</v>
      </c>
      <c r="B28" s="96" t="s">
        <v>2833</v>
      </c>
      <c r="C28" s="54"/>
      <c r="D28" s="54"/>
      <c r="E28" s="54"/>
      <c r="F28" s="54"/>
      <c r="G28" s="54"/>
      <c r="I28" s="36" t="s">
        <v>2494</v>
      </c>
      <c r="J28" s="44"/>
      <c r="L28" s="44"/>
      <c r="M28" s="36" t="s">
        <v>2495</v>
      </c>
      <c r="N28" s="44"/>
      <c r="P28" s="44"/>
      <c r="S28" s="36" t="s">
        <v>2496</v>
      </c>
      <c r="T28" s="44"/>
      <c r="V28" s="44"/>
      <c r="X28" s="44"/>
    </row>
    <row r="29" spans="1:25" s="36" customFormat="1" ht="21.95" customHeight="1" x14ac:dyDescent="0.25">
      <c r="A29" s="77" t="s">
        <v>2144</v>
      </c>
      <c r="B29" s="65">
        <v>0</v>
      </c>
      <c r="C29" s="54"/>
      <c r="D29" s="54"/>
      <c r="E29" s="54"/>
      <c r="F29" s="54"/>
      <c r="G29" s="54"/>
      <c r="I29" s="316"/>
      <c r="J29" s="317"/>
      <c r="K29" s="318"/>
      <c r="L29" s="52">
        <f ca="1">G32</f>
        <v>1</v>
      </c>
      <c r="M29" s="316"/>
      <c r="N29" s="317"/>
      <c r="O29" s="317"/>
      <c r="P29" s="317"/>
      <c r="Q29" s="318"/>
      <c r="R29" s="52">
        <f ca="1">G33</f>
        <v>1</v>
      </c>
      <c r="S29" s="316"/>
      <c r="T29" s="317"/>
      <c r="U29" s="317"/>
      <c r="V29" s="317"/>
      <c r="W29" s="318"/>
      <c r="X29" s="52">
        <f ca="1">G34</f>
        <v>1</v>
      </c>
    </row>
    <row r="30" spans="1:25" s="36" customFormat="1" ht="21.95" customHeight="1" x14ac:dyDescent="0.25">
      <c r="A30" s="77" t="s">
        <v>2145</v>
      </c>
      <c r="B30" s="65" t="b">
        <f>(B29&gt;0)</f>
        <v>0</v>
      </c>
      <c r="C30" s="54"/>
      <c r="D30" s="54"/>
      <c r="E30" s="54"/>
      <c r="F30" s="54"/>
      <c r="G30" s="54"/>
      <c r="J30" s="44"/>
      <c r="L30" s="44"/>
      <c r="N30" s="44"/>
      <c r="P30" s="44"/>
      <c r="R30" s="44"/>
      <c r="T30" s="44"/>
      <c r="V30" s="44"/>
      <c r="X30" s="44"/>
    </row>
    <row r="31" spans="1:25" s="36" customFormat="1" ht="21.95" customHeight="1" thickBot="1" x14ac:dyDescent="0.3">
      <c r="A31" s="91" t="s">
        <v>120</v>
      </c>
      <c r="B31" s="93" t="s">
        <v>2355</v>
      </c>
      <c r="C31" s="92"/>
      <c r="D31" s="92"/>
      <c r="E31" s="92"/>
      <c r="F31" s="92"/>
      <c r="G31" s="92"/>
      <c r="H31"/>
      <c r="I31" s="55" t="str">
        <f>B45</f>
        <v>Grant Summary</v>
      </c>
      <c r="J31" s="55"/>
      <c r="K31" s="55"/>
      <c r="L31" s="55"/>
      <c r="M31" s="55"/>
      <c r="N31" s="55"/>
      <c r="O31" s="55"/>
      <c r="P31" s="55"/>
      <c r="Q31" s="55"/>
      <c r="R31" s="55"/>
      <c r="S31" s="55"/>
      <c r="T31" s="55"/>
      <c r="U31" s="55"/>
      <c r="V31" s="55"/>
      <c r="W31" s="55"/>
      <c r="X31" s="56" t="str">
        <f ca="1">"Status: "&amp;$B$55</f>
        <v>Status: Not Started</v>
      </c>
    </row>
    <row r="32" spans="1:25" s="36" customFormat="1" ht="21.95" customHeight="1" x14ac:dyDescent="0.25">
      <c r="A32" s="61" t="s">
        <v>2489</v>
      </c>
      <c r="B32" s="95" t="str">
        <f>IF(I29&lt;&gt;"",I29,"")</f>
        <v/>
      </c>
      <c r="C32" s="54">
        <f ca="1">VLOOKUP(A32,DB_TBL_DATA_FIELDS[[FIELD_ID]:[PCT_CALC_FIELD_STATUS_CODE]],22,FALSE)</f>
        <v>1</v>
      </c>
      <c r="D32" s="54" t="str">
        <f>IF(VLOOKUP(A32,DB_TBL_DATA_FIELDS[[FIELD_ID]:[ERROR_MESSAGE]],23,FALSE)&lt;&gt;0,VLOOKUP(A32,DB_TBL_DATA_FIELDS[[FIELD_ID]:[ERROR_MESSAGE]],23,FALSE),"")</f>
        <v/>
      </c>
      <c r="E32" s="54" t="str">
        <f>VLOOKUP(A32,DB_TBL_DATA_FIELDS[[#All],[FIELD_ID]:[RANGE_VALIDATION_MAX]],18,FALSE)</f>
        <v/>
      </c>
      <c r="F32" s="54">
        <f>VLOOKUP(A32,DB_TBL_DATA_FIELDS[[#All],[FIELD_ID]:[RANGE_VALIDATION_MAX]],19,FALSE)</f>
        <v>999999</v>
      </c>
      <c r="G32" s="54">
        <f t="shared" ref="G32:G34" ca="1" si="1">IF(C32&lt;0,"",C32)</f>
        <v>1</v>
      </c>
      <c r="H32"/>
      <c r="I32" s="122"/>
      <c r="J32" s="122"/>
      <c r="K32" s="122"/>
      <c r="L32" s="122"/>
      <c r="M32" s="122"/>
      <c r="N32" s="122"/>
      <c r="O32" s="122"/>
      <c r="P32" s="122"/>
      <c r="Q32" s="122"/>
      <c r="R32" s="122"/>
      <c r="S32" s="122"/>
      <c r="T32" s="122"/>
      <c r="U32" s="122"/>
      <c r="V32" s="122"/>
      <c r="W32" s="122"/>
      <c r="X32" s="123"/>
    </row>
    <row r="33" spans="1:25" s="36" customFormat="1" ht="21.95" customHeight="1" x14ac:dyDescent="0.25">
      <c r="A33" s="61" t="s">
        <v>2238</v>
      </c>
      <c r="B33" s="95" t="str">
        <f>IF(M29&lt;&gt;"",M29,"")</f>
        <v/>
      </c>
      <c r="C33" s="54">
        <f ca="1">VLOOKUP(A33,DB_TBL_DATA_FIELDS[[FIELD_ID]:[PCT_CALC_FIELD_STATUS_CODE]],22,FALSE)</f>
        <v>1</v>
      </c>
      <c r="D33" s="54" t="str">
        <f>IF(VLOOKUP(A33,DB_TBL_DATA_FIELDS[[FIELD_ID]:[ERROR_MESSAGE]],23,FALSE)&lt;&gt;0,VLOOKUP(A33,DB_TBL_DATA_FIELDS[[FIELD_ID]:[ERROR_MESSAGE]],23,FALSE),"")</f>
        <v/>
      </c>
      <c r="E33" s="54">
        <f>VLOOKUP(A33,DB_TBL_DATA_FIELDS[[#All],[FIELD_ID]:[RANGE_VALIDATION_MAX]],18,FALSE)</f>
        <v>0</v>
      </c>
      <c r="F33" s="54">
        <f>VLOOKUP(A33,DB_TBL_DATA_FIELDS[[#All],[FIELD_ID]:[RANGE_VALIDATION_MAX]],19,FALSE)</f>
        <v>30</v>
      </c>
      <c r="G33" s="54">
        <f t="shared" ca="1" si="1"/>
        <v>1</v>
      </c>
      <c r="H33"/>
      <c r="I33" s="122"/>
      <c r="J33" s="122"/>
      <c r="K33" s="122"/>
      <c r="L33" s="122"/>
      <c r="M33" s="122"/>
      <c r="N33" s="122"/>
      <c r="O33" s="122"/>
      <c r="P33" s="122"/>
      <c r="Q33" s="122"/>
      <c r="R33" s="122"/>
      <c r="S33" s="122"/>
      <c r="T33" s="122"/>
      <c r="U33" s="122"/>
      <c r="V33" s="122"/>
      <c r="W33" s="122"/>
      <c r="X33" s="123"/>
    </row>
    <row r="34" spans="1:25" s="36" customFormat="1" ht="21.95" customHeight="1" x14ac:dyDescent="0.25">
      <c r="A34" s="61" t="s">
        <v>2239</v>
      </c>
      <c r="B34" s="95" t="str">
        <f>IF(S29&lt;&gt;"",S29,"")</f>
        <v/>
      </c>
      <c r="C34" s="54">
        <f ca="1">VLOOKUP(A34,DB_TBL_DATA_FIELDS[[FIELD_ID]:[PCT_CALC_FIELD_STATUS_CODE]],22,FALSE)</f>
        <v>1</v>
      </c>
      <c r="D34" s="54" t="str">
        <f>IF(VLOOKUP(A34,DB_TBL_DATA_FIELDS[[FIELD_ID]:[ERROR_MESSAGE]],23,FALSE)&lt;&gt;0,VLOOKUP(A34,DB_TBL_DATA_FIELDS[[FIELD_ID]:[ERROR_MESSAGE]],23,FALSE),"")</f>
        <v/>
      </c>
      <c r="E34" s="54">
        <f>VLOOKUP(A34,DB_TBL_DATA_FIELDS[[#All],[FIELD_ID]:[RANGE_VALIDATION_MAX]],18,FALSE)</f>
        <v>0</v>
      </c>
      <c r="F34" s="54">
        <f>VLOOKUP(A34,DB_TBL_DATA_FIELDS[[#All],[FIELD_ID]:[RANGE_VALIDATION_MAX]],19,FALSE)</f>
        <v>30</v>
      </c>
      <c r="G34" s="54">
        <f t="shared" ca="1" si="1"/>
        <v>1</v>
      </c>
      <c r="H34"/>
      <c r="I34" s="36" t="str">
        <f>"Requested Grant Amount (must not exceed "&amp;TEXT(CONFIG_GRANT_AMT_MAX,"$#,###")&amp;")"</f>
        <v>Requested Grant Amount (must not exceed )</v>
      </c>
      <c r="J34" s="44"/>
      <c r="K34"/>
      <c r="L34" s="121"/>
      <c r="M34"/>
      <c r="N34" s="44"/>
      <c r="O34"/>
      <c r="P34" s="44"/>
      <c r="Q34"/>
      <c r="R34" s="44"/>
      <c r="S34"/>
      <c r="T34" s="44"/>
      <c r="U34" s="388"/>
      <c r="V34" s="388"/>
      <c r="W34" s="388"/>
      <c r="X34" s="52">
        <f ca="1">G46</f>
        <v>1</v>
      </c>
      <c r="Y34"/>
    </row>
    <row r="35" spans="1:25" s="36" customFormat="1" ht="21.95" customHeight="1" x14ac:dyDescent="0.25">
      <c r="A35" s="61" t="s">
        <v>121</v>
      </c>
      <c r="B35" s="65" t="str">
        <f>"C"&amp;MATCH(LEFT(A35,LEN(A35)-LEN("_RANGE")),A:A,0)+1&amp;":C"&amp;(ROW()-1)</f>
        <v>C32:C34</v>
      </c>
      <c r="C35" s="54"/>
      <c r="D35" s="54"/>
      <c r="E35" s="54"/>
      <c r="F35" s="54"/>
      <c r="G35" s="54"/>
      <c r="H35"/>
      <c r="I35" s="124"/>
      <c r="J35" s="124"/>
      <c r="K35" s="124"/>
      <c r="L35" s="124"/>
      <c r="M35" s="124"/>
      <c r="N35" s="124"/>
      <c r="O35" s="124"/>
      <c r="P35" s="124"/>
      <c r="Q35" s="350" t="str">
        <f ca="1">D48</f>
        <v/>
      </c>
      <c r="R35" s="350"/>
      <c r="S35" s="350"/>
      <c r="T35" s="350"/>
      <c r="U35" s="350"/>
      <c r="V35" s="350"/>
      <c r="W35" s="350"/>
      <c r="X35" s="124"/>
    </row>
    <row r="36" spans="1:25" s="36" customFormat="1" ht="21.95" customHeight="1" x14ac:dyDescent="0.25">
      <c r="A36" s="61" t="s">
        <v>122</v>
      </c>
      <c r="B36" s="65">
        <f ca="1">COUNTIF(INDIRECT($B$35),2)</f>
        <v>0</v>
      </c>
      <c r="C36" s="54"/>
      <c r="D36" s="54"/>
      <c r="E36" s="54"/>
      <c r="F36" s="54"/>
      <c r="G36" s="54"/>
      <c r="H36"/>
      <c r="I36" s="367" t="s">
        <v>2381</v>
      </c>
      <c r="J36" s="367"/>
      <c r="K36" s="367"/>
      <c r="L36" s="367"/>
      <c r="M36" s="367"/>
      <c r="N36" s="367"/>
      <c r="O36" s="367"/>
      <c r="P36" s="367"/>
      <c r="Q36" s="367"/>
      <c r="R36" s="367"/>
      <c r="S36" s="367"/>
      <c r="T36" s="125"/>
      <c r="U36" s="125"/>
      <c r="W36" s="40"/>
      <c r="X36" s="52" t="str">
        <f ca="1">G49</f>
        <v/>
      </c>
    </row>
    <row r="37" spans="1:25" ht="21.95" customHeight="1" x14ac:dyDescent="0.25">
      <c r="A37" s="61" t="s">
        <v>123</v>
      </c>
      <c r="B37" s="65">
        <f ca="1">COUNTIF(INDIRECT($B$35),0)+COUNTIF(INDIRECT($B$35),1)+COUNTIF(INDIRECT($B$35),2)</f>
        <v>3</v>
      </c>
      <c r="C37" s="54"/>
      <c r="D37" s="54"/>
      <c r="E37" s="54"/>
      <c r="F37" s="54"/>
      <c r="G37" s="54"/>
      <c r="I37" s="367"/>
      <c r="J37" s="367"/>
      <c r="K37" s="367"/>
      <c r="L37" s="367"/>
      <c r="M37" s="367"/>
      <c r="N37" s="367"/>
      <c r="O37" s="367"/>
      <c r="P37" s="367"/>
      <c r="Q37" s="367"/>
      <c r="R37" s="367"/>
      <c r="S37" s="367"/>
      <c r="T37" s="125"/>
      <c r="U37" s="125"/>
      <c r="V37"/>
      <c r="X37"/>
      <c r="Y37" s="36"/>
    </row>
    <row r="38" spans="1:25" ht="21.95" customHeight="1" x14ac:dyDescent="0.25">
      <c r="A38" s="61" t="s">
        <v>124</v>
      </c>
      <c r="B38" s="65">
        <f ca="1">COUNTIF(INDIRECT($B$35),0)</f>
        <v>0</v>
      </c>
      <c r="C38" s="54"/>
      <c r="D38" s="54"/>
      <c r="E38" s="54"/>
      <c r="F38" s="54"/>
      <c r="G38" s="54"/>
      <c r="J38"/>
      <c r="L38"/>
      <c r="N38"/>
      <c r="P38"/>
      <c r="R38"/>
      <c r="T38"/>
      <c r="V38"/>
      <c r="X38"/>
      <c r="Y38" s="36"/>
    </row>
    <row r="39" spans="1:25" ht="21.95" customHeight="1" thickBot="1" x14ac:dyDescent="0.3">
      <c r="A39" s="61" t="s">
        <v>125</v>
      </c>
      <c r="B39" s="97">
        <f ca="1">IFERROR(B36/B37,1.01)</f>
        <v>0</v>
      </c>
      <c r="C39" s="54"/>
      <c r="D39" s="54"/>
      <c r="E39" s="54"/>
      <c r="F39" s="54"/>
      <c r="G39" s="54"/>
      <c r="I39" s="55" t="str">
        <f>B60</f>
        <v>Mortgage Information</v>
      </c>
      <c r="J39" s="55"/>
      <c r="K39" s="55"/>
      <c r="L39" s="55"/>
      <c r="M39" s="55"/>
      <c r="N39" s="55"/>
      <c r="O39" s="55"/>
      <c r="P39" s="55"/>
      <c r="Q39" s="55"/>
      <c r="R39" s="55"/>
      <c r="S39" s="55"/>
      <c r="T39" s="55"/>
      <c r="U39" s="55"/>
      <c r="V39" s="55"/>
      <c r="W39" s="55"/>
      <c r="X39" s="56" t="str">
        <f ca="1">"Status: "&amp;$B$83</f>
        <v>Status: Not Started</v>
      </c>
    </row>
    <row r="40" spans="1:25" ht="21.95" customHeight="1" x14ac:dyDescent="0.25">
      <c r="A40" s="61" t="s">
        <v>126</v>
      </c>
      <c r="B40" s="65" t="str">
        <f ca="1">IF(B38&gt;0,"Data Error(s)",IF(B39=0,"Not Started",IF(B39&lt;1,ROUNDUP(B39*100,0)&amp;"% Done",IF(B39&gt;1,"Optional","Complete"))))</f>
        <v>Not Started</v>
      </c>
      <c r="C40" s="54"/>
      <c r="D40" s="54"/>
      <c r="E40" s="54"/>
      <c r="F40" s="54"/>
      <c r="G40" s="54"/>
    </row>
    <row r="41" spans="1:25" ht="21.95" customHeight="1" x14ac:dyDescent="0.25">
      <c r="A41" s="61" t="s">
        <v>127</v>
      </c>
      <c r="B41" s="65" t="str">
        <f ca="1">IF(B38&gt;0,0,IF(B39&lt;1,"",2))</f>
        <v/>
      </c>
      <c r="C41" s="54"/>
      <c r="D41" s="54"/>
      <c r="E41" s="54"/>
      <c r="F41" s="54"/>
      <c r="G41" s="54"/>
      <c r="I41" s="36"/>
      <c r="J41" s="36"/>
      <c r="K41" s="36"/>
      <c r="L41" s="36"/>
      <c r="M41" s="36"/>
      <c r="N41" s="36"/>
      <c r="O41" s="36"/>
      <c r="P41" s="36"/>
      <c r="Q41" s="36"/>
      <c r="R41" s="36"/>
      <c r="S41" s="36"/>
      <c r="T41" s="36"/>
      <c r="U41" s="36"/>
      <c r="V41" s="36"/>
      <c r="W41" s="36"/>
      <c r="X41" s="36"/>
    </row>
    <row r="42" spans="1:25" ht="21.95" customHeight="1" thickBot="1" x14ac:dyDescent="0.3">
      <c r="A42" s="61" t="s">
        <v>128</v>
      </c>
      <c r="B42" s="96" t="s">
        <v>2355</v>
      </c>
      <c r="C42" s="54"/>
      <c r="D42" s="54"/>
      <c r="E42" s="54"/>
      <c r="F42" s="54"/>
      <c r="G42" s="54"/>
      <c r="I42" s="64" t="s">
        <v>2566</v>
      </c>
      <c r="J42" s="64"/>
      <c r="K42" s="64"/>
      <c r="L42" s="64"/>
      <c r="M42" s="64"/>
      <c r="N42" s="64"/>
      <c r="O42" s="64"/>
      <c r="P42" s="64"/>
      <c r="Q42" s="64"/>
      <c r="R42" s="64"/>
      <c r="S42" s="64"/>
      <c r="T42" s="64"/>
      <c r="U42" s="64"/>
      <c r="V42" s="64"/>
      <c r="W42" s="157" t="str">
        <f ca="1">IF(B86&lt;&gt;"",B86,IF(B87&lt;&gt;"",B87,IF(B88&lt;&gt;"",B88,IF(B89&lt;&gt;"",B89,""))))</f>
        <v/>
      </c>
      <c r="X42" s="132" t="str">
        <f ca="1">IF(SUM(C86:C89)&gt;0,1,"")</f>
        <v/>
      </c>
    </row>
    <row r="43" spans="1:25" ht="21.95" customHeight="1" thickTop="1" x14ac:dyDescent="0.25">
      <c r="A43" s="77" t="s">
        <v>2152</v>
      </c>
      <c r="B43" s="65">
        <v>0</v>
      </c>
      <c r="C43" s="54"/>
      <c r="D43" s="54"/>
      <c r="E43" s="54"/>
      <c r="F43" s="54"/>
      <c r="G43" s="54"/>
      <c r="I43" s="36"/>
      <c r="J43" s="36"/>
      <c r="K43" s="36"/>
      <c r="L43" s="36"/>
      <c r="M43" s="36"/>
      <c r="N43" s="36"/>
      <c r="O43" s="36"/>
      <c r="P43" s="36"/>
      <c r="Q43" s="36"/>
      <c r="R43" s="36"/>
      <c r="S43" s="36"/>
      <c r="T43" s="36"/>
      <c r="U43" s="36"/>
      <c r="V43" s="36"/>
      <c r="W43" s="36"/>
      <c r="X43" s="36"/>
    </row>
    <row r="44" spans="1:25" ht="21.95" customHeight="1" x14ac:dyDescent="0.25">
      <c r="A44" s="77" t="s">
        <v>2153</v>
      </c>
      <c r="B44" s="65" t="b">
        <f>(B43&gt;0)</f>
        <v>0</v>
      </c>
      <c r="C44" s="54"/>
      <c r="D44" s="54"/>
      <c r="E44" s="54"/>
      <c r="F44" s="54"/>
      <c r="G44" s="54"/>
      <c r="I44" s="36" t="s">
        <v>2567</v>
      </c>
      <c r="J44" s="36"/>
      <c r="K44" s="36"/>
      <c r="L44" s="36"/>
      <c r="M44" s="237" t="s">
        <v>2539</v>
      </c>
      <c r="N44" s="36"/>
      <c r="O44" s="36"/>
      <c r="P44" s="36"/>
      <c r="Q44" s="36" t="s">
        <v>2569</v>
      </c>
      <c r="R44" s="36"/>
      <c r="S44" s="237" t="s">
        <v>2570</v>
      </c>
      <c r="T44" s="36"/>
      <c r="U44" s="36" t="s">
        <v>2571</v>
      </c>
      <c r="V44" s="36"/>
      <c r="X44" s="36"/>
    </row>
    <row r="45" spans="1:25" ht="21.95" customHeight="1" x14ac:dyDescent="0.25">
      <c r="A45" s="91" t="s">
        <v>141</v>
      </c>
      <c r="B45" s="93" t="s">
        <v>2356</v>
      </c>
      <c r="C45" s="92"/>
      <c r="D45" s="92"/>
      <c r="E45" s="92"/>
      <c r="F45" s="92"/>
      <c r="G45" s="92"/>
      <c r="I45" s="338"/>
      <c r="J45" s="339"/>
      <c r="K45" s="340"/>
      <c r="L45" s="52">
        <f ca="1">G61</f>
        <v>1</v>
      </c>
      <c r="M45" s="388"/>
      <c r="N45" s="388"/>
      <c r="O45" s="388"/>
      <c r="P45" s="52">
        <f ca="1">G70</f>
        <v>1</v>
      </c>
      <c r="Q45" s="238"/>
      <c r="R45" s="52">
        <f ca="1">G71</f>
        <v>1</v>
      </c>
      <c r="S45" s="236"/>
      <c r="T45" s="52">
        <f ca="1">G72</f>
        <v>1</v>
      </c>
      <c r="U45" s="316"/>
      <c r="V45" s="317"/>
      <c r="W45" s="318"/>
      <c r="X45" s="52">
        <f ca="1">G73</f>
        <v>1</v>
      </c>
    </row>
    <row r="46" spans="1:25" ht="21.95" customHeight="1" x14ac:dyDescent="0.25">
      <c r="A46" s="61" t="s">
        <v>2283</v>
      </c>
      <c r="B46" s="95" t="str">
        <f>IF(U34&lt;&gt;"",U34,"")</f>
        <v/>
      </c>
      <c r="C46" s="54">
        <f ca="1">VLOOKUP(A46,DB_TBL_DATA_FIELDS[[FIELD_ID]:[PCT_CALC_FIELD_STATUS_CODE]],22,FALSE)</f>
        <v>1</v>
      </c>
      <c r="D46" s="54" t="str">
        <f>IF(VLOOKUP(A46,DB_TBL_DATA_FIELDS[[FIELD_ID]:[ERROR_MESSAGE]],23,FALSE)&lt;&gt;0,VLOOKUP(A46,DB_TBL_DATA_FIELDS[[FIELD_ID]:[ERROR_MESSAGE]],23,FALSE),"")</f>
        <v/>
      </c>
      <c r="E46" s="54">
        <f>VLOOKUP(A46,DB_TBL_DATA_FIELDS[[#All],[FIELD_ID]:[RANGE_VALIDATION_MAX]],18,FALSE)</f>
        <v>1</v>
      </c>
      <c r="F46" s="54" t="str">
        <f>VLOOKUP(A46,DB_TBL_DATA_FIELDS[[#All],[FIELD_ID]:[RANGE_VALIDATION_MAX]],19,FALSE)</f>
        <v/>
      </c>
      <c r="G46" s="54">
        <f t="shared" ref="G46:G49" ca="1" si="2">IF(C46&lt;0,"",C46)</f>
        <v>1</v>
      </c>
      <c r="I46" s="36" t="s">
        <v>9297</v>
      </c>
      <c r="J46" s="36"/>
      <c r="K46" s="36"/>
      <c r="L46" s="36"/>
      <c r="M46" s="36" t="s">
        <v>9298</v>
      </c>
      <c r="N46" s="36"/>
      <c r="O46" s="36"/>
      <c r="P46" s="36"/>
      <c r="Q46" s="36"/>
      <c r="R46" s="36"/>
      <c r="S46" s="36"/>
      <c r="T46" s="36"/>
      <c r="U46" s="36"/>
      <c r="V46" s="36"/>
      <c r="W46" s="36"/>
      <c r="X46" s="36"/>
    </row>
    <row r="47" spans="1:25" ht="21.95" customHeight="1" x14ac:dyDescent="0.25">
      <c r="A47" s="244" t="s">
        <v>2284</v>
      </c>
      <c r="B47" s="245" t="str">
        <f>""</f>
        <v/>
      </c>
      <c r="C47" s="245" t="str">
        <f>VLOOKUP(A47,DB_TBL_DATA_FIELDS[[FIELD_ID]:[PCT_CALC_FIELD_STATUS_CODE]],22,FALSE)</f>
        <v/>
      </c>
      <c r="D47" s="245" t="str">
        <f>IF(VLOOKUP(A47,DB_TBL_DATA_FIELDS[[FIELD_ID]:[ERROR_MESSAGE]],23,FALSE)&lt;&gt;0,VLOOKUP(A47,DB_TBL_DATA_FIELDS[[FIELD_ID]:[ERROR_MESSAGE]],23,FALSE),"")</f>
        <v/>
      </c>
      <c r="E47" s="245">
        <f>VLOOKUP(A47,DB_TBL_DATA_FIELDS[[#All],[FIELD_ID]:[RANGE_VALIDATION_MAX]],18,FALSE)</f>
        <v>0</v>
      </c>
      <c r="F47" s="245" t="str">
        <f>VLOOKUP(A47,DB_TBL_DATA_FIELDS[[#All],[FIELD_ID]:[RANGE_VALIDATION_MAX]],19,FALSE)</f>
        <v/>
      </c>
      <c r="G47" s="245" t="str">
        <f t="shared" si="2"/>
        <v/>
      </c>
      <c r="I47" s="388"/>
      <c r="J47" s="388"/>
      <c r="K47" s="388"/>
      <c r="L47" s="52">
        <f ca="1">G65</f>
        <v>1</v>
      </c>
      <c r="M47" s="388"/>
      <c r="N47" s="388"/>
      <c r="O47" s="388"/>
      <c r="P47" s="52" t="str">
        <f ca="1">G66</f>
        <v/>
      </c>
      <c r="Q47" s="36"/>
      <c r="R47" s="36"/>
      <c r="S47" s="36"/>
      <c r="T47" s="36"/>
      <c r="U47" s="36"/>
      <c r="V47" s="36"/>
      <c r="W47" s="36"/>
      <c r="X47" s="36"/>
    </row>
    <row r="48" spans="1:25" ht="21.95" customHeight="1" x14ac:dyDescent="0.25">
      <c r="A48" s="61" t="s">
        <v>2285</v>
      </c>
      <c r="B48" s="65">
        <f ca="1">VLOOKUP(A48,DB_TBL_DATA_FIELDS[[#All],[FIELD_ID]:[FIELD_VALUE_RAW]],5,FALSE)</f>
        <v>0</v>
      </c>
      <c r="C48" s="54" t="str">
        <f ca="1">VLOOKUP(A48,DB_TBL_DATA_FIELDS[[FIELD_ID]:[PCT_CALC_FIELD_STATUS_CODE]],22,FALSE)</f>
        <v/>
      </c>
      <c r="D48" s="54" t="str">
        <f ca="1">IF(VLOOKUP(A48,DB_TBL_DATA_FIELDS[[FIELD_ID]:[ERROR_MESSAGE]],23,FALSE)&lt;&gt;0,VLOOKUP(A48,DB_TBL_DATA_FIELDS[[FIELD_ID]:[ERROR_MESSAGE]],23,FALSE),"")</f>
        <v/>
      </c>
      <c r="E48" s="54">
        <f>VLOOKUP(A48,DB_TBL_DATA_FIELDS[[#All],[FIELD_ID]:[RANGE_VALIDATION_MAX]],18,FALSE)</f>
        <v>0</v>
      </c>
      <c r="F48" s="54" t="str">
        <f>VLOOKUP(A48,DB_TBL_DATA_FIELDS[[#All],[FIELD_ID]:[RANGE_VALIDATION_MAX]],19,FALSE)</f>
        <v/>
      </c>
      <c r="G48" s="54" t="str">
        <f t="shared" ca="1" si="2"/>
        <v/>
      </c>
      <c r="I48" s="36"/>
      <c r="J48" s="36"/>
      <c r="K48" s="36"/>
      <c r="L48" s="36"/>
      <c r="M48" s="36"/>
      <c r="N48" s="36"/>
      <c r="O48" s="36"/>
      <c r="P48" s="36"/>
      <c r="Q48" s="36"/>
      <c r="R48" s="36"/>
      <c r="S48" s="36"/>
      <c r="T48" s="36"/>
      <c r="U48" s="36"/>
      <c r="V48" s="36"/>
      <c r="W48" s="36"/>
      <c r="X48" s="36"/>
    </row>
    <row r="49" spans="1:24" ht="21.95" customHeight="1" x14ac:dyDescent="0.25">
      <c r="A49" s="61" t="s">
        <v>2348</v>
      </c>
      <c r="B49" s="95" t="str">
        <f>IF(W36="","",IF(UPPER(W36)="YES",TRUE,FALSE))</f>
        <v/>
      </c>
      <c r="C49" s="54">
        <f ca="1">VLOOKUP(A49,DB_TBL_DATA_FIELDS[[FIELD_ID]:[PCT_CALC_FIELD_STATUS_CODE]],22,FALSE)</f>
        <v>-1</v>
      </c>
      <c r="D49" s="54" t="str">
        <f>IF(VLOOKUP(A49,DB_TBL_DATA_FIELDS[[FIELD_ID]:[ERROR_MESSAGE]],23,FALSE)&lt;&gt;0,VLOOKUP(A49,DB_TBL_DATA_FIELDS[[FIELD_ID]:[ERROR_MESSAGE]],23,FALSE),"")</f>
        <v/>
      </c>
      <c r="E49" s="54">
        <f>VLOOKUP(A49,DB_TBL_DATA_FIELDS[[#All],[FIELD_ID]:[RANGE_VALIDATION_MAX]],18,FALSE)</f>
        <v>0</v>
      </c>
      <c r="F49" s="54">
        <f>VLOOKUP(A49,DB_TBL_DATA_FIELDS[[#All],[FIELD_ID]:[RANGE_VALIDATION_MAX]],19,FALSE)</f>
        <v>0</v>
      </c>
      <c r="G49" s="54" t="str">
        <f t="shared" ca="1" si="2"/>
        <v/>
      </c>
      <c r="I49" s="36" t="s">
        <v>2510</v>
      </c>
      <c r="L49" s="121"/>
      <c r="U49" s="36"/>
      <c r="V49" s="36"/>
      <c r="W49" s="294" t="str">
        <f ca="1">B67</f>
        <v/>
      </c>
      <c r="X49" s="52">
        <f ca="1">G67</f>
        <v>1</v>
      </c>
    </row>
    <row r="50" spans="1:24" ht="21.95" customHeight="1" x14ac:dyDescent="0.25">
      <c r="A50" s="61" t="s">
        <v>142</v>
      </c>
      <c r="B50" s="65" t="str">
        <f>"C"&amp;MATCH(LEFT(A50,LEN(A50)-LEN("_RANGE")),A:A,0)+1&amp;":C"&amp;(ROW()-1)</f>
        <v>C46:C49</v>
      </c>
      <c r="C50" s="54"/>
      <c r="D50" s="54"/>
      <c r="E50" s="54"/>
      <c r="F50" s="54"/>
      <c r="G50" s="54"/>
      <c r="I50" s="36" t="s">
        <v>2535</v>
      </c>
      <c r="L50" s="121"/>
      <c r="U50" s="36"/>
      <c r="V50" s="36"/>
      <c r="W50" s="159"/>
      <c r="X50" s="52">
        <f ca="1">G62</f>
        <v>1</v>
      </c>
    </row>
    <row r="51" spans="1:24" ht="21.95" customHeight="1" x14ac:dyDescent="0.25">
      <c r="A51" s="61" t="s">
        <v>143</v>
      </c>
      <c r="B51" s="65">
        <f ca="1">COUNTIF(INDIRECT($B50),2)</f>
        <v>0</v>
      </c>
      <c r="C51" s="54"/>
      <c r="D51" s="54"/>
      <c r="E51" s="54"/>
      <c r="F51" s="54"/>
      <c r="G51" s="54"/>
      <c r="I51" s="36" t="s">
        <v>2536</v>
      </c>
      <c r="L51" s="121"/>
      <c r="U51" s="36"/>
      <c r="V51" s="36"/>
      <c r="W51" s="159"/>
      <c r="X51" s="52">
        <f ca="1">G63</f>
        <v>1</v>
      </c>
    </row>
    <row r="52" spans="1:24" ht="21.95" customHeight="1" x14ac:dyDescent="0.25">
      <c r="A52" s="61" t="s">
        <v>144</v>
      </c>
      <c r="B52" s="65">
        <f ca="1">COUNTIF(INDIRECT($B50),0)+COUNTIF(INDIRECT($B50),1)+COUNTIF(INDIRECT($B50),2)</f>
        <v>1</v>
      </c>
      <c r="C52" s="54"/>
      <c r="D52" s="54"/>
      <c r="E52" s="54"/>
      <c r="F52" s="54"/>
      <c r="G52" s="54"/>
      <c r="I52" s="36"/>
      <c r="L52" s="121"/>
      <c r="O52" s="350" t="str">
        <f ca="1">D63</f>
        <v/>
      </c>
      <c r="P52" s="350"/>
      <c r="Q52" s="350"/>
      <c r="R52" s="350"/>
      <c r="S52" s="350"/>
      <c r="T52" s="350"/>
      <c r="U52" s="350"/>
      <c r="V52" s="350"/>
      <c r="W52" s="350"/>
      <c r="X52" s="52"/>
    </row>
    <row r="53" spans="1:24" ht="21.95" customHeight="1" x14ac:dyDescent="0.25">
      <c r="A53" s="61" t="s">
        <v>145</v>
      </c>
      <c r="B53" s="65">
        <f ca="1">COUNTIF(INDIRECT($B50),0)</f>
        <v>0</v>
      </c>
      <c r="C53" s="54"/>
      <c r="D53" s="54"/>
      <c r="E53" s="54"/>
      <c r="F53" s="54"/>
      <c r="G53" s="54"/>
      <c r="I53" s="36" t="str">
        <f>"If Total Debt to Income Ratio is greater than "&amp;TEXT(CONFIG_DTI_THRESH_AFFORDABILITY,"0%")&amp;", provide an explanation of affordability:"</f>
        <v>If Total Debt to Income Ratio is greater than , provide an explanation of affordability:</v>
      </c>
      <c r="J53" s="36"/>
      <c r="K53" s="36"/>
      <c r="L53" s="36"/>
      <c r="M53" s="36"/>
      <c r="N53" s="36"/>
      <c r="O53" s="36"/>
      <c r="P53" s="36"/>
      <c r="Q53" s="36"/>
      <c r="R53" s="36"/>
      <c r="S53" s="36"/>
      <c r="T53" s="36"/>
      <c r="U53" s="36"/>
      <c r="V53" s="36"/>
      <c r="W53" s="155" t="str">
        <f ca="1">IF(DATA_EXPLANATION_OF_AFFORDABILITY_REQ_FLAG,SUBSTITUTE(SUBSTITUTE(SUBSTITUTE(IF(LEN(B64)&gt;F64,CONFIG_CHAR_LIMIT_TEMPLATE_ERR,CONFIG_CHAR_LIMIT_TEMPLATE),"[diff]",ABS(LEN(B64)-F64)),"[limit]",F64),"[used]",LEN(B64)),"")</f>
        <v/>
      </c>
      <c r="X53" s="36"/>
    </row>
    <row r="54" spans="1:24" ht="21.95" customHeight="1" x14ac:dyDescent="0.25">
      <c r="A54" s="61" t="s">
        <v>146</v>
      </c>
      <c r="B54" s="97">
        <f ca="1">IFERROR(B51/B52,1.01)</f>
        <v>0</v>
      </c>
      <c r="C54" s="54"/>
      <c r="D54" s="54"/>
      <c r="E54" s="54"/>
      <c r="F54" s="54"/>
      <c r="G54" s="54"/>
      <c r="I54" s="389"/>
      <c r="J54" s="390"/>
      <c r="K54" s="390"/>
      <c r="L54" s="390"/>
      <c r="M54" s="390"/>
      <c r="N54" s="390"/>
      <c r="O54" s="390"/>
      <c r="P54" s="390"/>
      <c r="Q54" s="390"/>
      <c r="R54" s="390"/>
      <c r="S54" s="390"/>
      <c r="T54" s="390"/>
      <c r="U54" s="390"/>
      <c r="V54" s="390"/>
      <c r="W54" s="391"/>
      <c r="X54" s="52" t="str">
        <f ca="1">G64</f>
        <v/>
      </c>
    </row>
    <row r="55" spans="1:24" ht="21.95" customHeight="1" x14ac:dyDescent="0.25">
      <c r="A55" s="61" t="s">
        <v>147</v>
      </c>
      <c r="B55" s="65" t="str">
        <f ca="1">IF(B53&gt;0,"Data Error(s)",IF(B54=0,"Not Started",IF(B54&lt;1,ROUNDUP(B54*100,0)&amp;"% Done",IF(B54&gt;1,"Optional","Complete"))))</f>
        <v>Not Started</v>
      </c>
      <c r="C55" s="54"/>
      <c r="D55" s="54"/>
      <c r="E55" s="54"/>
      <c r="F55" s="54"/>
      <c r="G55" s="54"/>
      <c r="I55" s="392"/>
      <c r="J55" s="393"/>
      <c r="K55" s="393"/>
      <c r="L55" s="393"/>
      <c r="M55" s="393"/>
      <c r="N55" s="393"/>
      <c r="O55" s="393"/>
      <c r="P55" s="393"/>
      <c r="Q55" s="393"/>
      <c r="R55" s="393"/>
      <c r="S55" s="393"/>
      <c r="T55" s="393"/>
      <c r="U55" s="393"/>
      <c r="V55" s="393"/>
      <c r="W55" s="394"/>
      <c r="X55" s="36"/>
    </row>
    <row r="56" spans="1:24" ht="21.95" customHeight="1" x14ac:dyDescent="0.25">
      <c r="A56" s="61" t="s">
        <v>148</v>
      </c>
      <c r="B56" s="65" t="str">
        <f ca="1">IF(B53&gt;0,0,IF(B54&lt;1,"",2))</f>
        <v/>
      </c>
      <c r="C56" s="54"/>
      <c r="D56" s="54"/>
      <c r="E56" s="54"/>
      <c r="F56" s="54"/>
      <c r="G56" s="54"/>
      <c r="I56" s="392"/>
      <c r="J56" s="393"/>
      <c r="K56" s="393"/>
      <c r="L56" s="393"/>
      <c r="M56" s="393"/>
      <c r="N56" s="393"/>
      <c r="O56" s="393"/>
      <c r="P56" s="393"/>
      <c r="Q56" s="393"/>
      <c r="R56" s="393"/>
      <c r="S56" s="393"/>
      <c r="T56" s="393"/>
      <c r="U56" s="393"/>
      <c r="V56" s="393"/>
      <c r="W56" s="394"/>
      <c r="X56" s="36"/>
    </row>
    <row r="57" spans="1:24" ht="21.95" customHeight="1" x14ac:dyDescent="0.25">
      <c r="A57" s="61" t="s">
        <v>149</v>
      </c>
      <c r="B57" s="96" t="s">
        <v>2356</v>
      </c>
      <c r="C57" s="54"/>
      <c r="D57" s="54"/>
      <c r="E57" s="54"/>
      <c r="F57" s="54"/>
      <c r="G57" s="54"/>
      <c r="I57" s="392"/>
      <c r="J57" s="393"/>
      <c r="K57" s="393"/>
      <c r="L57" s="393"/>
      <c r="M57" s="393"/>
      <c r="N57" s="393"/>
      <c r="O57" s="393"/>
      <c r="P57" s="393"/>
      <c r="Q57" s="393"/>
      <c r="R57" s="393"/>
      <c r="S57" s="393"/>
      <c r="T57" s="393"/>
      <c r="U57" s="393"/>
      <c r="V57" s="393"/>
      <c r="W57" s="394"/>
      <c r="X57" s="36"/>
    </row>
    <row r="58" spans="1:24" ht="21.95" customHeight="1" x14ac:dyDescent="0.25">
      <c r="A58" s="77" t="s">
        <v>2150</v>
      </c>
      <c r="B58" s="65">
        <v>0</v>
      </c>
      <c r="C58" s="54"/>
      <c r="D58" s="54"/>
      <c r="E58" s="54"/>
      <c r="F58" s="54"/>
      <c r="G58" s="54"/>
      <c r="I58" s="392"/>
      <c r="J58" s="393"/>
      <c r="K58" s="393"/>
      <c r="L58" s="393"/>
      <c r="M58" s="393"/>
      <c r="N58" s="393"/>
      <c r="O58" s="393"/>
      <c r="P58" s="393"/>
      <c r="Q58" s="393"/>
      <c r="R58" s="393"/>
      <c r="S58" s="393"/>
      <c r="T58" s="393"/>
      <c r="U58" s="393"/>
      <c r="V58" s="393"/>
      <c r="W58" s="394"/>
      <c r="X58" s="36"/>
    </row>
    <row r="59" spans="1:24" ht="21.95" customHeight="1" x14ac:dyDescent="0.25">
      <c r="A59" s="77" t="s">
        <v>2151</v>
      </c>
      <c r="B59" s="65" t="b">
        <f>(B58&gt;0)</f>
        <v>0</v>
      </c>
      <c r="C59" s="54"/>
      <c r="D59" s="54"/>
      <c r="E59" s="54"/>
      <c r="F59" s="54"/>
      <c r="G59" s="54"/>
      <c r="I59" s="395"/>
      <c r="J59" s="396"/>
      <c r="K59" s="396"/>
      <c r="L59" s="396"/>
      <c r="M59" s="396"/>
      <c r="N59" s="396"/>
      <c r="O59" s="396"/>
      <c r="P59" s="396"/>
      <c r="Q59" s="396"/>
      <c r="R59" s="396"/>
      <c r="S59" s="396"/>
      <c r="T59" s="396"/>
      <c r="U59" s="396"/>
      <c r="V59" s="396"/>
      <c r="W59" s="397"/>
      <c r="X59" s="36"/>
    </row>
    <row r="60" spans="1:24" ht="21.95" customHeight="1" x14ac:dyDescent="0.25">
      <c r="A60" s="91" t="s">
        <v>152</v>
      </c>
      <c r="B60" s="93" t="s">
        <v>2564</v>
      </c>
      <c r="C60" s="92"/>
      <c r="D60" s="92"/>
      <c r="E60" s="92"/>
      <c r="F60" s="92"/>
      <c r="G60" s="92"/>
      <c r="I60" s="36"/>
      <c r="J60" s="36"/>
      <c r="K60" s="36"/>
      <c r="L60" s="36"/>
      <c r="M60" s="36"/>
      <c r="N60" s="36"/>
      <c r="O60" s="36"/>
      <c r="P60" s="36"/>
      <c r="Q60" s="36"/>
      <c r="R60" s="36"/>
      <c r="S60" s="36"/>
      <c r="T60" s="36"/>
      <c r="U60" s="36"/>
      <c r="V60" s="36"/>
      <c r="W60" s="36"/>
      <c r="X60" s="36"/>
    </row>
    <row r="61" spans="1:24" ht="21.95" customHeight="1" x14ac:dyDescent="0.25">
      <c r="A61" s="61" t="s">
        <v>2513</v>
      </c>
      <c r="B61" s="95" t="str">
        <f>IF(I45&lt;&gt;"",I45,"")</f>
        <v/>
      </c>
      <c r="C61" s="54">
        <f ca="1">VLOOKUP(A61,DB_TBL_DATA_FIELDS[[FIELD_ID]:[PCT_CALC_FIELD_STATUS_CODE]],22,FALSE)</f>
        <v>1</v>
      </c>
      <c r="D61" s="54" t="str">
        <f>IF(VLOOKUP(A61,DB_TBL_DATA_FIELDS[[FIELD_ID]:[ERROR_MESSAGE]],23,FALSE)&lt;&gt;0,VLOOKUP(A61,DB_TBL_DATA_FIELDS[[FIELD_ID]:[ERROR_MESSAGE]],23,FALSE),"")</f>
        <v/>
      </c>
      <c r="E61" s="54">
        <f>VLOOKUP(A61,DB_TBL_DATA_FIELDS[[#All],[FIELD_ID]:[RANGE_VALIDATION_MAX]],18,FALSE)</f>
        <v>0</v>
      </c>
      <c r="F61" s="54">
        <f>VLOOKUP(A61,DB_TBL_DATA_FIELDS[[#All],[FIELD_ID]:[RANGE_VALIDATION_MAX]],19,FALSE)</f>
        <v>0</v>
      </c>
      <c r="G61" s="54">
        <f t="shared" ref="G61:G77" ca="1" si="3">IF(C61&lt;0,"",C61)</f>
        <v>1</v>
      </c>
      <c r="I61" s="36" t="s">
        <v>2538</v>
      </c>
      <c r="L61" s="121"/>
      <c r="U61" s="388"/>
      <c r="V61" s="388"/>
      <c r="W61" s="388"/>
      <c r="X61" s="52">
        <f ca="1">G69</f>
        <v>1</v>
      </c>
    </row>
    <row r="62" spans="1:24" ht="21.95" customHeight="1" x14ac:dyDescent="0.25">
      <c r="A62" s="61" t="s">
        <v>2508</v>
      </c>
      <c r="B62" s="95" t="str">
        <f>IF(W50&lt;&gt;"",W50,"")</f>
        <v/>
      </c>
      <c r="C62" s="54">
        <f ca="1">VLOOKUP(A62,DB_TBL_DATA_FIELDS[[FIELD_ID]:[PCT_CALC_FIELD_STATUS_CODE]],22,FALSE)</f>
        <v>1</v>
      </c>
      <c r="D62" s="54" t="str">
        <f>IF(VLOOKUP(A62,DB_TBL_DATA_FIELDS[[FIELD_ID]:[ERROR_MESSAGE]],23,FALSE)&lt;&gt;0,VLOOKUP(A62,DB_TBL_DATA_FIELDS[[FIELD_ID]:[ERROR_MESSAGE]],23,FALSE),"")</f>
        <v/>
      </c>
      <c r="E62" s="54">
        <f>VLOOKUP(A62,DB_TBL_DATA_FIELDS[[#All],[FIELD_ID]:[RANGE_VALIDATION_MAX]],18,FALSE)</f>
        <v>0</v>
      </c>
      <c r="F62" s="54">
        <f>VLOOKUP(A62,DB_TBL_DATA_FIELDS[[#All],[FIELD_ID]:[RANGE_VALIDATION_MAX]],19,FALSE)</f>
        <v>999999999</v>
      </c>
      <c r="G62" s="54">
        <f t="shared" ca="1" si="3"/>
        <v>1</v>
      </c>
      <c r="I62" s="36" t="s">
        <v>2537</v>
      </c>
      <c r="L62" s="121"/>
      <c r="U62" s="388"/>
      <c r="V62" s="388"/>
      <c r="W62" s="388"/>
      <c r="X62" s="52">
        <f ca="1">G68</f>
        <v>1</v>
      </c>
    </row>
    <row r="63" spans="1:24" ht="21.95" customHeight="1" x14ac:dyDescent="0.25">
      <c r="A63" s="61" t="s">
        <v>2509</v>
      </c>
      <c r="B63" s="95" t="str">
        <f>IF(W51&lt;&gt;"",W51,"")</f>
        <v/>
      </c>
      <c r="C63" s="54">
        <f ca="1">VLOOKUP(A63,DB_TBL_DATA_FIELDS[[FIELD_ID]:[PCT_CALC_FIELD_STATUS_CODE]],22,FALSE)</f>
        <v>1</v>
      </c>
      <c r="D63" s="54" t="str">
        <f ca="1">IF(VLOOKUP(A63,DB_TBL_DATA_FIELDS[[FIELD_ID]:[ERROR_MESSAGE]],23,FALSE)&lt;&gt;0,VLOOKUP(A63,DB_TBL_DATA_FIELDS[[FIELD_ID]:[ERROR_MESSAGE]],23,FALSE),"")</f>
        <v/>
      </c>
      <c r="E63" s="54">
        <f>VLOOKUP(A63,DB_TBL_DATA_FIELDS[[#All],[FIELD_ID]:[RANGE_VALIDATION_MAX]],18,FALSE)</f>
        <v>0</v>
      </c>
      <c r="F63" s="54">
        <f>VLOOKUP(A63,DB_TBL_DATA_FIELDS[[#All],[FIELD_ID]:[RANGE_VALIDATION_MAX]],19,FALSE)</f>
        <v>999999999</v>
      </c>
      <c r="G63" s="54">
        <f t="shared" ca="1" si="3"/>
        <v>1</v>
      </c>
      <c r="I63" s="36"/>
      <c r="J63" s="36"/>
      <c r="K63" s="36"/>
      <c r="L63" s="36"/>
      <c r="M63" s="36"/>
      <c r="N63" s="36"/>
      <c r="O63" s="36"/>
      <c r="P63" s="36"/>
      <c r="Q63" s="36"/>
      <c r="R63" s="36"/>
      <c r="S63" s="36"/>
      <c r="T63" s="36"/>
      <c r="U63" s="36"/>
      <c r="V63" s="36"/>
      <c r="W63" s="36"/>
      <c r="X63" s="36"/>
    </row>
    <row r="64" spans="1:24" ht="21.95" customHeight="1" thickBot="1" x14ac:dyDescent="0.3">
      <c r="A64" s="61" t="s">
        <v>2840</v>
      </c>
      <c r="B64" s="95" t="str">
        <f>IF(I54&lt;&gt;"",I54,"")</f>
        <v/>
      </c>
      <c r="C64" s="54">
        <f ca="1">VLOOKUP(A64,DB_TBL_DATA_FIELDS[[FIELD_ID]:[PCT_CALC_FIELD_STATUS_CODE]],22,FALSE)</f>
        <v>-1</v>
      </c>
      <c r="D64" s="54" t="str">
        <f>IF(VLOOKUP(A64,DB_TBL_DATA_FIELDS[[FIELD_ID]:[ERROR_MESSAGE]],23,FALSE)&lt;&gt;0,VLOOKUP(A64,DB_TBL_DATA_FIELDS[[FIELD_ID]:[ERROR_MESSAGE]],23,FALSE),"")</f>
        <v/>
      </c>
      <c r="E64" s="54">
        <f>VLOOKUP(A64,DB_TBL_DATA_FIELDS[[#All],[FIELD_ID]:[RANGE_VALIDATION_MAX]],18,FALSE)</f>
        <v>0</v>
      </c>
      <c r="F64" s="54">
        <f>VLOOKUP(A64,DB_TBL_DATA_FIELDS[[#All],[FIELD_ID]:[RANGE_VALIDATION_MAX]],19,FALSE)</f>
        <v>1000</v>
      </c>
      <c r="G64" s="54" t="str">
        <f t="shared" ca="1" si="3"/>
        <v/>
      </c>
      <c r="I64" s="64" t="s">
        <v>2572</v>
      </c>
      <c r="J64" s="64"/>
      <c r="K64" s="64"/>
      <c r="L64" s="64"/>
      <c r="M64" s="64"/>
      <c r="N64" s="64"/>
      <c r="O64" s="64"/>
      <c r="P64" s="64"/>
      <c r="Q64" s="64"/>
      <c r="R64" s="64"/>
      <c r="S64" s="64"/>
      <c r="T64" s="64"/>
      <c r="U64" s="64"/>
      <c r="V64" s="64"/>
      <c r="W64" s="64"/>
      <c r="X64" s="36"/>
    </row>
    <row r="65" spans="1:24" ht="21.95" customHeight="1" thickTop="1" x14ac:dyDescent="0.25">
      <c r="A65" s="61" t="s">
        <v>9293</v>
      </c>
      <c r="B65" s="95" t="str">
        <f>IF(I47&lt;&gt;"",I47,"")</f>
        <v/>
      </c>
      <c r="C65" s="54">
        <f ca="1">VLOOKUP(A65,DB_TBL_DATA_FIELDS[[FIELD_ID]:[PCT_CALC_FIELD_STATUS_CODE]],22,FALSE)</f>
        <v>1</v>
      </c>
      <c r="D65" s="54" t="str">
        <f>IF(VLOOKUP(A65,DB_TBL_DATA_FIELDS[[FIELD_ID]:[ERROR_MESSAGE]],23,FALSE)&lt;&gt;0,VLOOKUP(A65,DB_TBL_DATA_FIELDS[[FIELD_ID]:[ERROR_MESSAGE]],23,FALSE),"")</f>
        <v/>
      </c>
      <c r="E65" s="54">
        <f>VLOOKUP(A65,DB_TBL_DATA_FIELDS[[#All],[FIELD_ID]:[RANGE_VALIDATION_MAX]],18,FALSE)</f>
        <v>1</v>
      </c>
      <c r="F65" s="54">
        <f>VLOOKUP(A65,DB_TBL_DATA_FIELDS[[#All],[FIELD_ID]:[RANGE_VALIDATION_MAX]],19,FALSE)</f>
        <v>999999999</v>
      </c>
      <c r="G65" s="54">
        <f t="shared" ref="G65:G66" ca="1" si="4">IF(C65&lt;0,"",C65)</f>
        <v>1</v>
      </c>
      <c r="I65" s="36"/>
      <c r="J65" s="36"/>
      <c r="K65" s="36"/>
      <c r="L65" s="36"/>
      <c r="M65" s="36"/>
      <c r="N65" s="36"/>
      <c r="O65" s="36"/>
      <c r="P65" s="36"/>
      <c r="Q65" s="36"/>
      <c r="R65" s="36"/>
      <c r="S65" s="36"/>
      <c r="T65" s="36"/>
      <c r="U65" s="36"/>
      <c r="V65" s="36"/>
      <c r="W65" s="36"/>
      <c r="X65" s="36"/>
    </row>
    <row r="66" spans="1:24" ht="21.95" customHeight="1" x14ac:dyDescent="0.25">
      <c r="A66" s="61" t="s">
        <v>9294</v>
      </c>
      <c r="B66" s="95" t="str">
        <f>IF(M47&lt;&gt;"",M47,"")</f>
        <v/>
      </c>
      <c r="C66" s="54">
        <f ca="1">VLOOKUP(A66,DB_TBL_DATA_FIELDS[[FIELD_ID]:[PCT_CALC_FIELD_STATUS_CODE]],22,FALSE)</f>
        <v>-1</v>
      </c>
      <c r="D66" s="54" t="str">
        <f>IF(VLOOKUP(A66,DB_TBL_DATA_FIELDS[[FIELD_ID]:[ERROR_MESSAGE]],23,FALSE)&lt;&gt;0,VLOOKUP(A66,DB_TBL_DATA_FIELDS[[FIELD_ID]:[ERROR_MESSAGE]],23,FALSE),"")</f>
        <v/>
      </c>
      <c r="E66" s="54">
        <f>VLOOKUP(A66,DB_TBL_DATA_FIELDS[[#All],[FIELD_ID]:[RANGE_VALIDATION_MAX]],18,FALSE)</f>
        <v>0</v>
      </c>
      <c r="F66" s="54">
        <f>VLOOKUP(A66,DB_TBL_DATA_FIELDS[[#All],[FIELD_ID]:[RANGE_VALIDATION_MAX]],19,FALSE)</f>
        <v>999999999</v>
      </c>
      <c r="G66" s="54" t="str">
        <f t="shared" ca="1" si="4"/>
        <v/>
      </c>
      <c r="I66" s="36" t="s">
        <v>2576</v>
      </c>
      <c r="J66" s="36"/>
      <c r="K66" s="36"/>
      <c r="L66" s="36"/>
      <c r="M66" s="36"/>
      <c r="N66" s="36"/>
      <c r="O66" s="36"/>
      <c r="P66" s="36"/>
      <c r="Q66" s="36"/>
      <c r="R66" s="36"/>
      <c r="S66" s="36"/>
      <c r="T66" s="125"/>
      <c r="U66" s="125"/>
      <c r="V66" s="36"/>
      <c r="W66" s="40"/>
      <c r="X66" s="52">
        <f ca="1">G74</f>
        <v>1</v>
      </c>
    </row>
    <row r="67" spans="1:24" ht="21.95" customHeight="1" x14ac:dyDescent="0.25">
      <c r="A67" s="61" t="s">
        <v>2510</v>
      </c>
      <c r="B67" s="65" t="str">
        <f ca="1">VLOOKUP(A67,DB_TBL_DATA_FIELDS[[#All],[FIELD_ID]:[FIELD_VALUE_RAW]],5,FALSE)</f>
        <v/>
      </c>
      <c r="C67" s="54">
        <f ca="1">VLOOKUP(A67,DB_TBL_DATA_FIELDS[[FIELD_ID]:[PCT_CALC_FIELD_STATUS_CODE]],22,FALSE)</f>
        <v>1</v>
      </c>
      <c r="D67" s="54" t="str">
        <f>IF(VLOOKUP(A67,DB_TBL_DATA_FIELDS[[FIELD_ID]:[ERROR_MESSAGE]],23,FALSE)&lt;&gt;0,VLOOKUP(A67,DB_TBL_DATA_FIELDS[[FIELD_ID]:[ERROR_MESSAGE]],23,FALSE),"")</f>
        <v/>
      </c>
      <c r="E67" s="54">
        <f>VLOOKUP(A67,DB_TBL_DATA_FIELDS[[#All],[FIELD_ID]:[RANGE_VALIDATION_MAX]],18,FALSE)</f>
        <v>0</v>
      </c>
      <c r="F67" s="54">
        <f>VLOOKUP(A67,DB_TBL_DATA_FIELDS[[#All],[FIELD_ID]:[RANGE_VALIDATION_MAX]],19,FALSE)</f>
        <v>999999999</v>
      </c>
      <c r="G67" s="54">
        <f t="shared" ca="1" si="3"/>
        <v>1</v>
      </c>
      <c r="I67" s="36"/>
      <c r="J67" s="36"/>
      <c r="K67" s="36"/>
      <c r="L67" s="36"/>
      <c r="M67" s="36"/>
      <c r="N67" s="36"/>
      <c r="O67" s="36"/>
      <c r="P67" s="36"/>
      <c r="Q67" s="36"/>
      <c r="R67" s="36"/>
      <c r="S67" s="36"/>
      <c r="T67" s="36"/>
      <c r="U67" s="36"/>
      <c r="V67" s="36"/>
      <c r="W67" s="36"/>
      <c r="X67" s="36"/>
    </row>
    <row r="68" spans="1:24" ht="21.95" customHeight="1" x14ac:dyDescent="0.25">
      <c r="A68" s="61" t="s">
        <v>2511</v>
      </c>
      <c r="B68" s="95" t="str">
        <f>IF(U62&lt;&gt;"",U62,"")</f>
        <v/>
      </c>
      <c r="C68" s="54">
        <f ca="1">VLOOKUP(A68,DB_TBL_DATA_FIELDS[[FIELD_ID]:[PCT_CALC_FIELD_STATUS_CODE]],22,FALSE)</f>
        <v>1</v>
      </c>
      <c r="D68" s="54" t="str">
        <f>IF(VLOOKUP(A68,DB_TBL_DATA_FIELDS[[FIELD_ID]:[ERROR_MESSAGE]],23,FALSE)&lt;&gt;0,VLOOKUP(A68,DB_TBL_DATA_FIELDS[[FIELD_ID]:[ERROR_MESSAGE]],23,FALSE),"")</f>
        <v/>
      </c>
      <c r="E68" s="54">
        <f>VLOOKUP(A68,DB_TBL_DATA_FIELDS[[#All],[FIELD_ID]:[RANGE_VALIDATION_MAX]],18,FALSE)</f>
        <v>0</v>
      </c>
      <c r="F68" s="54">
        <f>VLOOKUP(A68,DB_TBL_DATA_FIELDS[[#All],[FIELD_ID]:[RANGE_VALIDATION_MAX]],19,FALSE)</f>
        <v>999999999</v>
      </c>
      <c r="G68" s="54">
        <f t="shared" ca="1" si="3"/>
        <v>1</v>
      </c>
      <c r="I68" s="36" t="s">
        <v>2545</v>
      </c>
      <c r="J68" s="36"/>
      <c r="K68" s="36"/>
      <c r="L68" s="36"/>
      <c r="O68" s="36" t="s">
        <v>2569</v>
      </c>
      <c r="P68" s="36"/>
      <c r="S68" s="36"/>
      <c r="T68" s="36"/>
      <c r="U68" s="36" t="s">
        <v>2570</v>
      </c>
      <c r="V68" s="36"/>
      <c r="W68" s="36"/>
      <c r="X68" s="36"/>
    </row>
    <row r="69" spans="1:24" ht="21.95" customHeight="1" x14ac:dyDescent="0.25">
      <c r="A69" s="61" t="s">
        <v>2514</v>
      </c>
      <c r="B69" s="95" t="str">
        <f>IF(U61&lt;&gt;"",U61,"")</f>
        <v/>
      </c>
      <c r="C69" s="54">
        <f ca="1">VLOOKUP(A69,DB_TBL_DATA_FIELDS[[FIELD_ID]:[PCT_CALC_FIELD_STATUS_CODE]],22,FALSE)</f>
        <v>1</v>
      </c>
      <c r="D69" s="54" t="str">
        <f>IF(VLOOKUP(A69,DB_TBL_DATA_FIELDS[[FIELD_ID]:[ERROR_MESSAGE]],23,FALSE)&lt;&gt;0,VLOOKUP(A69,DB_TBL_DATA_FIELDS[[FIELD_ID]:[ERROR_MESSAGE]],23,FALSE),"")</f>
        <v/>
      </c>
      <c r="E69" s="54">
        <f>VLOOKUP(A69,DB_TBL_DATA_FIELDS[[#All],[FIELD_ID]:[RANGE_VALIDATION_MAX]],18,FALSE)</f>
        <v>0</v>
      </c>
      <c r="F69" s="54">
        <f>VLOOKUP(A69,DB_TBL_DATA_FIELDS[[#All],[FIELD_ID]:[RANGE_VALIDATION_MAX]],19,FALSE)</f>
        <v>999999999</v>
      </c>
      <c r="G69" s="54">
        <f t="shared" ca="1" si="3"/>
        <v>1</v>
      </c>
      <c r="I69" s="325"/>
      <c r="J69" s="325"/>
      <c r="K69" s="325"/>
      <c r="L69" s="52" t="str">
        <f ca="1">G75</f>
        <v/>
      </c>
      <c r="O69" s="404"/>
      <c r="P69" s="405"/>
      <c r="Q69" s="406"/>
      <c r="R69" s="52" t="str">
        <f ca="1">G76</f>
        <v/>
      </c>
      <c r="S69" s="36"/>
      <c r="T69" s="36"/>
      <c r="U69" s="401"/>
      <c r="V69" s="402"/>
      <c r="W69" s="403"/>
      <c r="X69" s="52" t="str">
        <f ca="1">G77</f>
        <v/>
      </c>
    </row>
    <row r="70" spans="1:24" ht="21.95" customHeight="1" x14ac:dyDescent="0.25">
      <c r="A70" s="61" t="s">
        <v>2512</v>
      </c>
      <c r="B70" s="95" t="str">
        <f>IF(M45&lt;&gt;"",M45,"")</f>
        <v/>
      </c>
      <c r="C70" s="54">
        <f ca="1">VLOOKUP(A70,DB_TBL_DATA_FIELDS[[FIELD_ID]:[PCT_CALC_FIELD_STATUS_CODE]],22,FALSE)</f>
        <v>1</v>
      </c>
      <c r="D70" s="54" t="str">
        <f>IF(VLOOKUP(A70,DB_TBL_DATA_FIELDS[[FIELD_ID]:[ERROR_MESSAGE]],23,FALSE)&lt;&gt;0,VLOOKUP(A70,DB_TBL_DATA_FIELDS[[FIELD_ID]:[ERROR_MESSAGE]],23,FALSE),"")</f>
        <v/>
      </c>
      <c r="E70" s="54">
        <f>VLOOKUP(A70,DB_TBL_DATA_FIELDS[[#All],[FIELD_ID]:[RANGE_VALIDATION_MAX]],18,FALSE)</f>
        <v>1</v>
      </c>
      <c r="F70" s="54">
        <f>VLOOKUP(A70,DB_TBL_DATA_FIELDS[[#All],[FIELD_ID]:[RANGE_VALIDATION_MAX]],19,FALSE)</f>
        <v>999999999</v>
      </c>
      <c r="G70" s="54">
        <f t="shared" ca="1" si="3"/>
        <v>1</v>
      </c>
      <c r="I70" s="36"/>
      <c r="J70" s="36"/>
      <c r="K70" s="36"/>
      <c r="L70" s="36"/>
      <c r="M70" s="36"/>
      <c r="N70" s="36"/>
      <c r="O70" s="36"/>
      <c r="P70" s="36"/>
      <c r="Q70" s="36"/>
      <c r="R70" s="36"/>
      <c r="S70" s="36"/>
      <c r="T70" s="36"/>
      <c r="U70" s="36"/>
      <c r="V70" s="36"/>
      <c r="W70" s="36"/>
      <c r="X70" s="36"/>
    </row>
    <row r="71" spans="1:24" ht="21.95" customHeight="1" thickBot="1" x14ac:dyDescent="0.3">
      <c r="A71" s="61" t="s">
        <v>2515</v>
      </c>
      <c r="B71" s="95" t="str">
        <f>IF(Q45&lt;&gt;"",Q45,"")</f>
        <v/>
      </c>
      <c r="C71" s="54">
        <f ca="1">VLOOKUP(A71,DB_TBL_DATA_FIELDS[[FIELD_ID]:[PCT_CALC_FIELD_STATUS_CODE]],22,FALSE)</f>
        <v>1</v>
      </c>
      <c r="D71" s="54" t="str">
        <f>IF(VLOOKUP(A71,DB_TBL_DATA_FIELDS[[FIELD_ID]:[ERROR_MESSAGE]],23,FALSE)&lt;&gt;0,VLOOKUP(A71,DB_TBL_DATA_FIELDS[[FIELD_ID]:[ERROR_MESSAGE]],23,FALSE),"")</f>
        <v/>
      </c>
      <c r="E71" s="54">
        <f>VLOOKUP(A71,DB_TBL_DATA_FIELDS[[#All],[FIELD_ID]:[RANGE_VALIDATION_MAX]],18,FALSE)</f>
        <v>0</v>
      </c>
      <c r="F71" s="54">
        <f>VLOOKUP(A71,DB_TBL_DATA_FIELDS[[#All],[FIELD_ID]:[RANGE_VALIDATION_MAX]],19,FALSE)</f>
        <v>0.5</v>
      </c>
      <c r="G71" s="54">
        <f t="shared" ca="1" si="3"/>
        <v>1</v>
      </c>
      <c r="I71" s="55" t="str">
        <f>B92</f>
        <v>Other Grants</v>
      </c>
      <c r="J71" s="55"/>
      <c r="K71" s="55"/>
      <c r="L71" s="55"/>
      <c r="M71" s="55"/>
      <c r="N71" s="55"/>
      <c r="O71" s="55"/>
      <c r="P71" s="55"/>
      <c r="Q71" s="55"/>
      <c r="R71" s="55"/>
      <c r="S71" s="55"/>
      <c r="T71" s="55"/>
      <c r="U71" s="55"/>
      <c r="V71" s="55"/>
      <c r="W71" s="55"/>
      <c r="X71" s="56" t="str">
        <f ca="1">"Status: "&amp;$B$110</f>
        <v>Status: Not Started</v>
      </c>
    </row>
    <row r="72" spans="1:24" ht="21.95" customHeight="1" x14ac:dyDescent="0.25">
      <c r="A72" s="61" t="s">
        <v>2516</v>
      </c>
      <c r="B72" s="95" t="str">
        <f>IF(S45&lt;&gt;"",S45,"")</f>
        <v/>
      </c>
      <c r="C72" s="54">
        <f ca="1">VLOOKUP(A72,DB_TBL_DATA_FIELDS[[FIELD_ID]:[PCT_CALC_FIELD_STATUS_CODE]],22,FALSE)</f>
        <v>1</v>
      </c>
      <c r="D72" s="54" t="str">
        <f>IF(VLOOKUP(A72,DB_TBL_DATA_FIELDS[[FIELD_ID]:[ERROR_MESSAGE]],23,FALSE)&lt;&gt;0,VLOOKUP(A72,DB_TBL_DATA_FIELDS[[FIELD_ID]:[ERROR_MESSAGE]],23,FALSE),"")</f>
        <v/>
      </c>
      <c r="E72" s="54">
        <f>VLOOKUP(A72,DB_TBL_DATA_FIELDS[[#All],[FIELD_ID]:[RANGE_VALIDATION_MAX]],18,FALSE)</f>
        <v>1</v>
      </c>
      <c r="F72" s="54">
        <f>VLOOKUP(A72,DB_TBL_DATA_FIELDS[[#All],[FIELD_ID]:[RANGE_VALIDATION_MAX]],19,FALSE)</f>
        <v>600</v>
      </c>
      <c r="G72" s="54">
        <f t="shared" ca="1" si="3"/>
        <v>1</v>
      </c>
    </row>
    <row r="73" spans="1:24" ht="21.95" customHeight="1" x14ac:dyDescent="0.25">
      <c r="A73" s="61" t="s">
        <v>2517</v>
      </c>
      <c r="B73" s="95" t="str">
        <f>IF(U45&lt;&gt;"",U45,"")</f>
        <v/>
      </c>
      <c r="C73" s="54">
        <f ca="1">VLOOKUP(A73,DB_TBL_DATA_FIELDS[[FIELD_ID]:[PCT_CALC_FIELD_STATUS_CODE]],22,FALSE)</f>
        <v>1</v>
      </c>
      <c r="D73" s="54" t="str">
        <f>IF(VLOOKUP(A73,DB_TBL_DATA_FIELDS[[FIELD_ID]:[ERROR_MESSAGE]],23,FALSE)&lt;&gt;0,VLOOKUP(A73,DB_TBL_DATA_FIELDS[[FIELD_ID]:[ERROR_MESSAGE]],23,FALSE),"")</f>
        <v/>
      </c>
      <c r="E73" s="54">
        <f>VLOOKUP(A73,DB_TBL_DATA_FIELDS[[#All],[FIELD_ID]:[RANGE_VALIDATION_MAX]],18,FALSE)</f>
        <v>0</v>
      </c>
      <c r="F73" s="54">
        <f>VLOOKUP(A73,DB_TBL_DATA_FIELDS[[#All],[FIELD_ID]:[RANGE_VALIDATION_MAX]],19,FALSE)</f>
        <v>100</v>
      </c>
      <c r="G73" s="54">
        <f t="shared" ca="1" si="3"/>
        <v>1</v>
      </c>
      <c r="J73"/>
      <c r="L73"/>
      <c r="N73"/>
      <c r="P73"/>
      <c r="R73"/>
      <c r="T73"/>
      <c r="V73"/>
      <c r="X73"/>
    </row>
    <row r="74" spans="1:24" ht="21.95" customHeight="1" x14ac:dyDescent="0.25">
      <c r="A74" s="61" t="s">
        <v>2532</v>
      </c>
      <c r="B74" s="95" t="str">
        <f>IF(W66="","",IF(UPPER(W66)="YES",TRUE,FALSE))</f>
        <v/>
      </c>
      <c r="C74" s="54">
        <f ca="1">VLOOKUP(A74,DB_TBL_DATA_FIELDS[[FIELD_ID]:[PCT_CALC_FIELD_STATUS_CODE]],22,FALSE)</f>
        <v>1</v>
      </c>
      <c r="D74" s="54" t="str">
        <f>IF(VLOOKUP(A74,DB_TBL_DATA_FIELDS[[FIELD_ID]:[ERROR_MESSAGE]],23,FALSE)&lt;&gt;0,VLOOKUP(A74,DB_TBL_DATA_FIELDS[[FIELD_ID]:[ERROR_MESSAGE]],23,FALSE),"")</f>
        <v/>
      </c>
      <c r="E74" s="54">
        <f>VLOOKUP(A74,DB_TBL_DATA_FIELDS[[#All],[FIELD_ID]:[RANGE_VALIDATION_MAX]],18,FALSE)</f>
        <v>0</v>
      </c>
      <c r="F74" s="54">
        <f>VLOOKUP(A74,DB_TBL_DATA_FIELDS[[#All],[FIELD_ID]:[RANGE_VALIDATION_MAX]],19,FALSE)</f>
        <v>0</v>
      </c>
      <c r="G74" s="54">
        <f t="shared" ca="1" si="3"/>
        <v>1</v>
      </c>
      <c r="I74" s="36" t="s">
        <v>2575</v>
      </c>
      <c r="J74" s="36"/>
      <c r="K74" s="36"/>
      <c r="L74" s="36"/>
      <c r="M74" s="36"/>
      <c r="N74" s="36"/>
      <c r="O74" s="36"/>
      <c r="P74" s="36"/>
      <c r="Q74" s="36"/>
      <c r="R74" s="36"/>
      <c r="S74" s="36"/>
      <c r="T74" s="125"/>
      <c r="U74" s="125"/>
      <c r="V74" s="36"/>
      <c r="W74" s="40"/>
      <c r="X74" s="52">
        <f ca="1">G102</f>
        <v>1</v>
      </c>
    </row>
    <row r="75" spans="1:24" ht="21.95" customHeight="1" x14ac:dyDescent="0.25">
      <c r="A75" s="61" t="s">
        <v>2519</v>
      </c>
      <c r="B75" s="95" t="str">
        <f>IF(I69&lt;&gt;"",I69,"")</f>
        <v/>
      </c>
      <c r="C75" s="54">
        <f ca="1">VLOOKUP(A75,DB_TBL_DATA_FIELDS[[FIELD_ID]:[PCT_CALC_FIELD_STATUS_CODE]],22,FALSE)</f>
        <v>-1</v>
      </c>
      <c r="D75" s="54" t="str">
        <f>IF(VLOOKUP(A75,DB_TBL_DATA_FIELDS[[FIELD_ID]:[ERROR_MESSAGE]],23,FALSE)&lt;&gt;0,VLOOKUP(A75,DB_TBL_DATA_FIELDS[[FIELD_ID]:[ERROR_MESSAGE]],23,FALSE),"")</f>
        <v/>
      </c>
      <c r="E75" s="54">
        <f>VLOOKUP(A75,DB_TBL_DATA_FIELDS[[#All],[FIELD_ID]:[RANGE_VALIDATION_MAX]],18,FALSE)</f>
        <v>1</v>
      </c>
      <c r="F75" s="54">
        <f>VLOOKUP(A75,DB_TBL_DATA_FIELDS[[#All],[FIELD_ID]:[RANGE_VALIDATION_MAX]],19,FALSE)</f>
        <v>999999999</v>
      </c>
      <c r="G75" s="54" t="str">
        <f t="shared" ca="1" si="3"/>
        <v/>
      </c>
      <c r="I75" s="407" t="s">
        <v>9001</v>
      </c>
      <c r="J75" s="407"/>
      <c r="K75" s="407"/>
      <c r="L75" s="407"/>
      <c r="M75" s="407"/>
      <c r="N75" s="407"/>
      <c r="O75" s="407"/>
      <c r="P75" s="407"/>
      <c r="Q75" s="407"/>
      <c r="R75" s="407"/>
      <c r="S75" s="407"/>
      <c r="T75" s="407"/>
      <c r="U75" s="407"/>
      <c r="V75" s="407"/>
      <c r="W75" s="407"/>
      <c r="X75"/>
    </row>
    <row r="76" spans="1:24" ht="21.95" customHeight="1" x14ac:dyDescent="0.25">
      <c r="A76" s="61" t="s">
        <v>2520</v>
      </c>
      <c r="B76" s="95" t="str">
        <f>IF(O69&lt;&gt;"",O69,"")</f>
        <v/>
      </c>
      <c r="C76" s="54">
        <f ca="1">VLOOKUP(A76,DB_TBL_DATA_FIELDS[[FIELD_ID]:[PCT_CALC_FIELD_STATUS_CODE]],22,FALSE)</f>
        <v>-1</v>
      </c>
      <c r="D76" s="54" t="str">
        <f>IF(VLOOKUP(A76,DB_TBL_DATA_FIELDS[[FIELD_ID]:[ERROR_MESSAGE]],23,FALSE)&lt;&gt;0,VLOOKUP(A76,DB_TBL_DATA_FIELDS[[FIELD_ID]:[ERROR_MESSAGE]],23,FALSE),"")</f>
        <v/>
      </c>
      <c r="E76" s="54">
        <f>VLOOKUP(A76,DB_TBL_DATA_FIELDS[[#All],[FIELD_ID]:[RANGE_VALIDATION_MAX]],18,FALSE)</f>
        <v>0</v>
      </c>
      <c r="F76" s="54">
        <f>VLOOKUP(A76,DB_TBL_DATA_FIELDS[[#All],[FIELD_ID]:[RANGE_VALIDATION_MAX]],19,FALSE)</f>
        <v>0.5</v>
      </c>
      <c r="G76" s="54" t="str">
        <f t="shared" ca="1" si="3"/>
        <v/>
      </c>
      <c r="I76" s="407"/>
      <c r="J76" s="407"/>
      <c r="K76" s="407"/>
      <c r="L76" s="407"/>
      <c r="M76" s="407"/>
      <c r="N76" s="407"/>
      <c r="O76" s="407"/>
      <c r="P76" s="407"/>
      <c r="Q76" s="407"/>
      <c r="R76" s="407"/>
      <c r="S76" s="407"/>
      <c r="T76" s="407"/>
      <c r="U76" s="407"/>
      <c r="V76" s="407"/>
      <c r="W76" s="407"/>
      <c r="X76"/>
    </row>
    <row r="77" spans="1:24" ht="21.95" customHeight="1" x14ac:dyDescent="0.25">
      <c r="A77" s="61" t="s">
        <v>2521</v>
      </c>
      <c r="B77" s="95" t="str">
        <f>IF(U69&lt;&gt;"",U69,"")</f>
        <v/>
      </c>
      <c r="C77" s="54">
        <f ca="1">VLOOKUP(A77,DB_TBL_DATA_FIELDS[[FIELD_ID]:[PCT_CALC_FIELD_STATUS_CODE]],22,FALSE)</f>
        <v>-1</v>
      </c>
      <c r="D77" s="54" t="str">
        <f>IF(VLOOKUP(A77,DB_TBL_DATA_FIELDS[[FIELD_ID]:[ERROR_MESSAGE]],23,FALSE)&lt;&gt;0,VLOOKUP(A77,DB_TBL_DATA_FIELDS[[FIELD_ID]:[ERROR_MESSAGE]],23,FALSE),"")</f>
        <v/>
      </c>
      <c r="E77" s="54">
        <f>VLOOKUP(A77,DB_TBL_DATA_FIELDS[[#All],[FIELD_ID]:[RANGE_VALIDATION_MAX]],18,FALSE)</f>
        <v>1</v>
      </c>
      <c r="F77" s="54">
        <f>VLOOKUP(A77,DB_TBL_DATA_FIELDS[[#All],[FIELD_ID]:[RANGE_VALIDATION_MAX]],19,FALSE)</f>
        <v>600</v>
      </c>
      <c r="G77" s="54" t="str">
        <f t="shared" ca="1" si="3"/>
        <v/>
      </c>
      <c r="I77" s="36" t="s">
        <v>8999</v>
      </c>
      <c r="J77"/>
      <c r="L77"/>
      <c r="N77"/>
      <c r="P77"/>
      <c r="R77"/>
      <c r="T77"/>
      <c r="U77" s="36" t="s">
        <v>9000</v>
      </c>
    </row>
    <row r="78" spans="1:24" ht="21.95" customHeight="1" x14ac:dyDescent="0.25">
      <c r="A78" s="61" t="s">
        <v>153</v>
      </c>
      <c r="B78" s="65" t="str">
        <f>"C"&amp;MATCH(LEFT(A78,LEN(A78)-LEN("_RANGE")),A:A,0)+1&amp;":C"&amp;(ROW()-1)</f>
        <v>C61:C77</v>
      </c>
      <c r="C78" s="54"/>
      <c r="D78" s="54"/>
      <c r="E78" s="54"/>
      <c r="F78" s="54"/>
      <c r="G78" s="54"/>
      <c r="I78" s="355"/>
      <c r="J78" s="356"/>
      <c r="K78" s="356"/>
      <c r="L78" s="356"/>
      <c r="M78" s="356"/>
      <c r="N78" s="356"/>
      <c r="O78" s="356"/>
      <c r="P78" s="356"/>
      <c r="Q78" s="356"/>
      <c r="R78" s="356"/>
      <c r="S78" s="357"/>
      <c r="T78" s="52" t="str">
        <f ca="1">G103</f>
        <v/>
      </c>
      <c r="U78" s="388"/>
      <c r="V78" s="388"/>
      <c r="W78" s="388"/>
      <c r="X78" s="52" t="str">
        <f ca="1">G104</f>
        <v/>
      </c>
    </row>
    <row r="79" spans="1:24" ht="21.95" customHeight="1" thickBot="1" x14ac:dyDescent="0.3">
      <c r="A79" s="61" t="s">
        <v>154</v>
      </c>
      <c r="B79" s="65">
        <f ca="1">COUNTIF(INDIRECT($B78),2)</f>
        <v>0</v>
      </c>
      <c r="C79" s="54"/>
      <c r="D79" s="54"/>
      <c r="E79" s="54"/>
      <c r="F79" s="54"/>
      <c r="G79" s="54"/>
      <c r="I79" s="130"/>
      <c r="J79" s="130"/>
      <c r="K79" s="130"/>
      <c r="L79" s="130"/>
      <c r="M79" s="130"/>
      <c r="N79" s="130"/>
      <c r="O79" s="130"/>
      <c r="P79" s="130"/>
      <c r="Q79" s="130"/>
      <c r="R79" s="130"/>
      <c r="S79" s="130"/>
      <c r="T79" s="130"/>
      <c r="U79" s="130"/>
      <c r="V79" s="130"/>
      <c r="W79" s="130"/>
      <c r="X79"/>
    </row>
    <row r="80" spans="1:24" ht="21.95" customHeight="1" thickTop="1" x14ac:dyDescent="0.25">
      <c r="A80" s="61" t="s">
        <v>155</v>
      </c>
      <c r="B80" s="65">
        <f ca="1">COUNTIF(INDIRECT($B78),0)+COUNTIF(INDIRECT($B78),1)+COUNTIF(INDIRECT($B78),2)</f>
        <v>12</v>
      </c>
      <c r="C80" s="54"/>
      <c r="D80" s="54"/>
      <c r="E80" s="54"/>
      <c r="F80" s="54"/>
      <c r="G80" s="54"/>
    </row>
    <row r="81" spans="1:24" ht="21.95" customHeight="1" x14ac:dyDescent="0.25">
      <c r="A81" s="61" t="s">
        <v>156</v>
      </c>
      <c r="B81" s="65">
        <f ca="1">COUNTIF(INDIRECT($B78),0)</f>
        <v>0</v>
      </c>
      <c r="C81" s="54"/>
      <c r="D81" s="54"/>
      <c r="E81" s="54"/>
      <c r="F81" s="54"/>
      <c r="G81" s="54"/>
      <c r="I81" s="36" t="s">
        <v>2574</v>
      </c>
      <c r="J81" s="36"/>
      <c r="K81" s="36"/>
      <c r="L81" s="36"/>
      <c r="M81" s="36"/>
      <c r="N81" s="36"/>
      <c r="O81" s="36"/>
      <c r="P81" s="36"/>
      <c r="Q81" s="36"/>
      <c r="R81" s="36"/>
      <c r="S81" s="36"/>
      <c r="T81" s="125"/>
      <c r="U81" s="125"/>
      <c r="V81" s="36"/>
      <c r="W81" s="40"/>
      <c r="X81" s="52">
        <f ca="1">G93</f>
        <v>1</v>
      </c>
    </row>
    <row r="82" spans="1:24" ht="21.95" customHeight="1" x14ac:dyDescent="0.25">
      <c r="A82" s="61" t="s">
        <v>157</v>
      </c>
      <c r="B82" s="97">
        <f ca="1">IFERROR(B79/B80,1.01)</f>
        <v>0</v>
      </c>
      <c r="C82" s="54"/>
      <c r="D82" s="54"/>
      <c r="E82" s="54"/>
      <c r="F82" s="54"/>
      <c r="G82" s="54"/>
      <c r="J82"/>
      <c r="L82"/>
      <c r="N82"/>
      <c r="P82"/>
      <c r="R82"/>
      <c r="T82"/>
      <c r="V82"/>
      <c r="X82"/>
    </row>
    <row r="83" spans="1:24" ht="21.95" customHeight="1" x14ac:dyDescent="0.25">
      <c r="A83" s="61" t="s">
        <v>158</v>
      </c>
      <c r="B83" s="65" t="str">
        <f ca="1">IF(B81&gt;0,"Data Error(s)",IF(B82=0,"Not Started",IF(B82&lt;1,ROUNDUP(B82*100,0)&amp;"% Done",IF(B82&gt;1,"Optional","Complete"))))</f>
        <v>Not Started</v>
      </c>
      <c r="C83" s="54"/>
      <c r="D83" s="54"/>
      <c r="E83" s="54"/>
      <c r="F83" s="54"/>
      <c r="G83" s="54"/>
      <c r="I83" s="343" t="s">
        <v>2573</v>
      </c>
      <c r="J83" s="343"/>
      <c r="K83" s="343"/>
      <c r="L83" s="343"/>
      <c r="M83" s="343"/>
      <c r="N83" s="343"/>
      <c r="O83" s="343"/>
      <c r="P83" s="343"/>
      <c r="Q83" s="343"/>
      <c r="R83" s="343"/>
      <c r="S83" s="343"/>
      <c r="T83" s="343"/>
      <c r="U83" s="400" t="s">
        <v>2568</v>
      </c>
      <c r="V83" s="400"/>
      <c r="W83" s="400"/>
      <c r="X83" s="400"/>
    </row>
    <row r="84" spans="1:24" ht="21.95" customHeight="1" x14ac:dyDescent="0.25">
      <c r="A84" s="61" t="s">
        <v>159</v>
      </c>
      <c r="B84" s="65" t="str">
        <f ca="1">IF(B81&gt;0,0,IF(B82&lt;1,"",2))</f>
        <v/>
      </c>
      <c r="C84" s="54"/>
      <c r="D84" s="54"/>
      <c r="E84" s="54"/>
      <c r="F84" s="54"/>
      <c r="G84" s="54"/>
      <c r="I84" s="316"/>
      <c r="J84" s="317"/>
      <c r="K84" s="317"/>
      <c r="L84" s="317"/>
      <c r="M84" s="317"/>
      <c r="N84" s="317"/>
      <c r="O84" s="317"/>
      <c r="P84" s="317"/>
      <c r="Q84" s="317"/>
      <c r="R84" s="317"/>
      <c r="S84" s="317"/>
      <c r="T84" s="66" t="str">
        <f ca="1">G94</f>
        <v/>
      </c>
      <c r="U84" s="398"/>
      <c r="V84" s="399"/>
      <c r="W84" s="399"/>
      <c r="X84" s="66" t="str">
        <f ca="1">G95</f>
        <v/>
      </c>
    </row>
    <row r="85" spans="1:24" ht="21.95" customHeight="1" x14ac:dyDescent="0.25">
      <c r="A85" s="61" t="s">
        <v>160</v>
      </c>
      <c r="B85" s="96" t="s">
        <v>2564</v>
      </c>
      <c r="C85" s="54"/>
      <c r="D85" s="54"/>
      <c r="E85" s="54"/>
      <c r="F85" s="54"/>
      <c r="G85" s="54"/>
      <c r="I85" s="316"/>
      <c r="J85" s="317"/>
      <c r="K85" s="317"/>
      <c r="L85" s="317"/>
      <c r="M85" s="317"/>
      <c r="N85" s="317"/>
      <c r="O85" s="317"/>
      <c r="P85" s="317"/>
      <c r="Q85" s="317"/>
      <c r="R85" s="317"/>
      <c r="S85" s="317"/>
      <c r="T85" s="66" t="str">
        <f ca="1">G96</f>
        <v/>
      </c>
      <c r="U85" s="398"/>
      <c r="V85" s="399"/>
      <c r="W85" s="399"/>
      <c r="X85" s="66" t="str">
        <f ca="1">G97</f>
        <v/>
      </c>
    </row>
    <row r="86" spans="1:24" ht="21.95" customHeight="1" x14ac:dyDescent="0.25">
      <c r="A86" s="77" t="s">
        <v>2813</v>
      </c>
      <c r="B86" s="65" t="str">
        <f ca="1">IF(DATA_HSEHLD_CONTRIBUTION_AMT&lt;&gt;"",IF(VALUE(DATA_HSEHLD_CONTRIBUTION_AMT)&lt;VALUE(CONFIG_MIN_HOUSEHOLD_CONTRIB_AMT),'$DB.CONFIG'!$M$3,""),"")</f>
        <v/>
      </c>
      <c r="C86" s="54">
        <f ca="1">IF(B86="",0,1)</f>
        <v>0</v>
      </c>
      <c r="D86" s="54"/>
      <c r="E86" s="54"/>
      <c r="F86" s="54"/>
      <c r="G86" s="54"/>
      <c r="I86" s="316"/>
      <c r="J86" s="317"/>
      <c r="K86" s="317"/>
      <c r="L86" s="317"/>
      <c r="M86" s="317"/>
      <c r="N86" s="317"/>
      <c r="O86" s="317"/>
      <c r="P86" s="317"/>
      <c r="Q86" s="317"/>
      <c r="R86" s="317"/>
      <c r="S86" s="317"/>
      <c r="T86" s="66" t="str">
        <f ca="1">G98</f>
        <v/>
      </c>
      <c r="U86" s="398"/>
      <c r="V86" s="399"/>
      <c r="W86" s="399"/>
      <c r="X86" s="66" t="str">
        <f ca="1">G99</f>
        <v/>
      </c>
    </row>
    <row r="87" spans="1:24" ht="21.95" customHeight="1" x14ac:dyDescent="0.25">
      <c r="A87" s="77" t="s">
        <v>2823</v>
      </c>
      <c r="B87" s="65" t="str">
        <f ca="1">IF(DATA_LTV&lt;&gt;"",IF(VALUE(DATA_LTV)&gt;VALUE(CONFIG_MAX_LTV_RATIO),'$DB.CONFIG'!$M$3,""),"")</f>
        <v/>
      </c>
      <c r="C87" s="54">
        <f t="shared" ref="C87:C89" ca="1" si="5">IF(B87="",0,1)</f>
        <v>0</v>
      </c>
      <c r="D87" s="54"/>
      <c r="E87" s="54"/>
      <c r="F87" s="54"/>
      <c r="G87" s="54"/>
      <c r="I87" s="316"/>
      <c r="J87" s="317"/>
      <c r="K87" s="317"/>
      <c r="L87" s="317"/>
      <c r="M87" s="317"/>
      <c r="N87" s="317"/>
      <c r="O87" s="317"/>
      <c r="P87" s="317"/>
      <c r="Q87" s="317"/>
      <c r="R87" s="317"/>
      <c r="S87" s="317"/>
      <c r="T87" s="66" t="str">
        <f ca="1">G100</f>
        <v/>
      </c>
      <c r="U87" s="398"/>
      <c r="V87" s="399"/>
      <c r="W87" s="399"/>
      <c r="X87" s="66" t="str">
        <f ca="1">G101</f>
        <v/>
      </c>
    </row>
    <row r="88" spans="1:24" ht="21.95" customHeight="1" x14ac:dyDescent="0.25">
      <c r="A88" s="77" t="s">
        <v>2824</v>
      </c>
      <c r="B88" s="65" t="str">
        <f ca="1">IF(DATA_HOUSING_EXP_INC_RATIO&lt;&gt;"",IF(VALUE(DATA_HOUSING_EXP_INC_RATIO)&gt;VALUE(CONFIG_MAX_DTI_FE_RATIO),'$DB.CONFIG'!$M$3,""),"")</f>
        <v/>
      </c>
      <c r="C88" s="54">
        <f t="shared" ca="1" si="5"/>
        <v>0</v>
      </c>
      <c r="D88" s="54"/>
      <c r="E88" s="54"/>
      <c r="F88" s="54"/>
      <c r="G88" s="54"/>
      <c r="J88"/>
      <c r="L88"/>
      <c r="N88"/>
      <c r="P88"/>
      <c r="R88"/>
      <c r="T88"/>
      <c r="V88"/>
      <c r="X88"/>
    </row>
    <row r="89" spans="1:24" ht="21.95" customHeight="1" thickBot="1" x14ac:dyDescent="0.3">
      <c r="A89" s="77" t="s">
        <v>2825</v>
      </c>
      <c r="B89" s="65" t="str">
        <f ca="1">IF(DATA_TOTAL_DEBT_INC_RATIO&lt;&gt;"",IF(VALUE(DATA_TOTAL_DEBT_INC_RATIO)&gt;VALUE(CONFIG_MAX_DTI_BE_RATIO),'$DB.CONFIG'!$M$3,""),"")</f>
        <v/>
      </c>
      <c r="C89" s="54">
        <f t="shared" ca="1" si="5"/>
        <v>0</v>
      </c>
      <c r="D89" s="54"/>
      <c r="E89" s="54"/>
      <c r="F89" s="54"/>
      <c r="G89" s="54"/>
      <c r="I89" s="55" t="str">
        <f>B115</f>
        <v>Member Certification</v>
      </c>
      <c r="J89" s="55"/>
      <c r="K89" s="55"/>
      <c r="L89" s="55"/>
      <c r="M89" s="55"/>
      <c r="N89" s="55"/>
      <c r="O89" s="55"/>
      <c r="P89" s="55"/>
      <c r="Q89" s="55"/>
      <c r="R89" s="55"/>
      <c r="S89" s="55"/>
      <c r="T89" s="55"/>
      <c r="U89" s="55"/>
      <c r="V89" s="55"/>
      <c r="W89" s="55"/>
      <c r="X89" s="56" t="str">
        <f ca="1">"Status: "&amp;$B$126</f>
        <v>Status: Not Started</v>
      </c>
    </row>
    <row r="90" spans="1:24" ht="21.95" customHeight="1" x14ac:dyDescent="0.25">
      <c r="A90" s="77" t="s">
        <v>2148</v>
      </c>
      <c r="B90" s="65">
        <f ca="1">COUNTIF(C86:C89,1)</f>
        <v>0</v>
      </c>
      <c r="C90" s="54"/>
      <c r="D90" s="54"/>
      <c r="E90" s="54"/>
      <c r="F90" s="54"/>
      <c r="G90" s="54"/>
      <c r="J90"/>
      <c r="V90"/>
      <c r="X90"/>
    </row>
    <row r="91" spans="1:24" ht="21.95" customHeight="1" x14ac:dyDescent="0.25">
      <c r="A91" s="77" t="s">
        <v>2149</v>
      </c>
      <c r="B91" s="65" t="b">
        <f ca="1">(B90&gt;0)</f>
        <v>0</v>
      </c>
      <c r="C91" s="54"/>
      <c r="D91" s="54"/>
      <c r="E91" s="54"/>
      <c r="F91" s="54"/>
      <c r="G91" s="54"/>
      <c r="I91" s="367" t="s">
        <v>8996</v>
      </c>
      <c r="J91" s="367"/>
      <c r="K91" s="367"/>
      <c r="L91" s="367"/>
      <c r="M91" s="367"/>
      <c r="N91" s="367"/>
      <c r="O91" s="367"/>
      <c r="P91" s="367"/>
      <c r="Q91" s="367"/>
      <c r="R91" s="367"/>
      <c r="S91" s="367"/>
      <c r="T91" s="367"/>
      <c r="U91" s="367"/>
      <c r="V91" s="367"/>
      <c r="W91" s="367"/>
      <c r="X91" s="367"/>
    </row>
    <row r="92" spans="1:24" ht="21.95" customHeight="1" x14ac:dyDescent="0.25">
      <c r="A92" s="91" t="s">
        <v>162</v>
      </c>
      <c r="B92" s="93" t="s">
        <v>2565</v>
      </c>
      <c r="C92" s="92"/>
      <c r="D92" s="92"/>
      <c r="E92" s="92"/>
      <c r="F92" s="92"/>
      <c r="G92" s="92"/>
      <c r="I92" s="367"/>
      <c r="J92" s="367"/>
      <c r="K92" s="367"/>
      <c r="L92" s="367"/>
      <c r="M92" s="367"/>
      <c r="N92" s="367"/>
      <c r="O92" s="367"/>
      <c r="P92" s="367"/>
      <c r="Q92" s="367"/>
      <c r="R92" s="367"/>
      <c r="S92" s="367"/>
      <c r="T92" s="367"/>
      <c r="U92" s="367"/>
      <c r="V92" s="367"/>
      <c r="W92" s="367"/>
      <c r="X92" s="367"/>
    </row>
    <row r="93" spans="1:24" ht="21.95" customHeight="1" x14ac:dyDescent="0.25">
      <c r="A93" s="61" t="s">
        <v>2533</v>
      </c>
      <c r="B93" s="95" t="str">
        <f>IF(W81="","",IF(UPPER(W81)="YES",TRUE,FALSE))</f>
        <v/>
      </c>
      <c r="C93" s="54">
        <f ca="1">VLOOKUP(A93,DB_TBL_DATA_FIELDS[[FIELD_ID]:[PCT_CALC_FIELD_STATUS_CODE]],22,FALSE)</f>
        <v>1</v>
      </c>
      <c r="D93" s="54" t="str">
        <f>IF(VLOOKUP(A93,DB_TBL_DATA_FIELDS[[FIELD_ID]:[ERROR_MESSAGE]],23,FALSE)&lt;&gt;0,VLOOKUP(A93,DB_TBL_DATA_FIELDS[[FIELD_ID]:[ERROR_MESSAGE]],23,FALSE),"")</f>
        <v/>
      </c>
      <c r="E93" s="54">
        <f>VLOOKUP(A93,DB_TBL_DATA_FIELDS[[#All],[FIELD_ID]:[RANGE_VALIDATION_MAX]],18,FALSE)</f>
        <v>0</v>
      </c>
      <c r="F93" s="54">
        <f>VLOOKUP(A93,DB_TBL_DATA_FIELDS[[#All],[FIELD_ID]:[RANGE_VALIDATION_MAX]],19,FALSE)</f>
        <v>0</v>
      </c>
      <c r="G93" s="54">
        <f t="shared" ref="G93:G104" ca="1" si="6">IF(C93&lt;0,"",C93)</f>
        <v>1</v>
      </c>
      <c r="I93" s="367"/>
      <c r="J93" s="367"/>
      <c r="K93" s="367"/>
      <c r="L93" s="367"/>
      <c r="M93" s="367"/>
      <c r="N93" s="367"/>
      <c r="O93" s="367"/>
      <c r="P93" s="367"/>
      <c r="Q93" s="367"/>
      <c r="R93" s="367"/>
      <c r="S93" s="367"/>
      <c r="T93" s="367"/>
      <c r="U93" s="367"/>
      <c r="V93" s="367"/>
      <c r="W93" s="367"/>
      <c r="X93" s="367"/>
    </row>
    <row r="94" spans="1:24" ht="21.95" customHeight="1" x14ac:dyDescent="0.25">
      <c r="A94" s="61" t="s">
        <v>2522</v>
      </c>
      <c r="B94" s="95" t="str">
        <f>IF(I84&lt;&gt;"",I84,"")</f>
        <v/>
      </c>
      <c r="C94" s="54">
        <f ca="1">VLOOKUP(A94,DB_TBL_DATA_FIELDS[[FIELD_ID]:[PCT_CALC_FIELD_STATUS_CODE]],22,FALSE)</f>
        <v>-1</v>
      </c>
      <c r="D94" s="54" t="str">
        <f>IF(VLOOKUP(A94,DB_TBL_DATA_FIELDS[[FIELD_ID]:[ERROR_MESSAGE]],23,FALSE)&lt;&gt;0,VLOOKUP(A94,DB_TBL_DATA_FIELDS[[FIELD_ID]:[ERROR_MESSAGE]],23,FALSE),"")</f>
        <v/>
      </c>
      <c r="E94" s="54">
        <f>VLOOKUP(A94,DB_TBL_DATA_FIELDS[[#All],[FIELD_ID]:[RANGE_VALIDATION_MAX]],18,FALSE)</f>
        <v>0</v>
      </c>
      <c r="F94" s="54">
        <f>VLOOKUP(A94,DB_TBL_DATA_FIELDS[[#All],[FIELD_ID]:[RANGE_VALIDATION_MAX]],19,FALSE)</f>
        <v>100</v>
      </c>
      <c r="G94" s="54" t="str">
        <f t="shared" ca="1" si="6"/>
        <v/>
      </c>
      <c r="I94" s="367"/>
      <c r="J94" s="367"/>
      <c r="K94" s="367"/>
      <c r="L94" s="367"/>
      <c r="M94" s="367"/>
      <c r="N94" s="367"/>
      <c r="O94" s="367"/>
      <c r="P94" s="367"/>
      <c r="Q94" s="367"/>
      <c r="R94" s="367"/>
      <c r="S94" s="367"/>
      <c r="T94" s="367"/>
      <c r="U94" s="367"/>
      <c r="V94" s="367"/>
      <c r="W94" s="367"/>
      <c r="X94" s="367"/>
    </row>
    <row r="95" spans="1:24" ht="21.95" customHeight="1" x14ac:dyDescent="0.25">
      <c r="A95" s="61" t="s">
        <v>2523</v>
      </c>
      <c r="B95" s="95" t="str">
        <f>IF(U84&lt;&gt;"",U84,"")</f>
        <v/>
      </c>
      <c r="C95" s="54">
        <f ca="1">VLOOKUP(A95,DB_TBL_DATA_FIELDS[[FIELD_ID]:[PCT_CALC_FIELD_STATUS_CODE]],22,FALSE)</f>
        <v>-1</v>
      </c>
      <c r="D95" s="54" t="str">
        <f>IF(VLOOKUP(A95,DB_TBL_DATA_FIELDS[[FIELD_ID]:[ERROR_MESSAGE]],23,FALSE)&lt;&gt;0,VLOOKUP(A95,DB_TBL_DATA_FIELDS[[FIELD_ID]:[ERROR_MESSAGE]],23,FALSE),"")</f>
        <v/>
      </c>
      <c r="E95" s="54">
        <f>VLOOKUP(A95,DB_TBL_DATA_FIELDS[[#All],[FIELD_ID]:[RANGE_VALIDATION_MAX]],18,FALSE)</f>
        <v>0</v>
      </c>
      <c r="F95" s="54">
        <f>VLOOKUP(A95,DB_TBL_DATA_FIELDS[[#All],[FIELD_ID]:[RANGE_VALIDATION_MAX]],19,FALSE)</f>
        <v>999999999</v>
      </c>
      <c r="G95" s="54" t="str">
        <f t="shared" ca="1" si="6"/>
        <v/>
      </c>
      <c r="I95" s="367"/>
      <c r="J95" s="367"/>
      <c r="K95" s="367"/>
      <c r="L95" s="367"/>
      <c r="M95" s="367"/>
      <c r="N95" s="367"/>
      <c r="O95" s="367"/>
      <c r="P95" s="367"/>
      <c r="Q95" s="367"/>
      <c r="R95" s="367"/>
      <c r="S95" s="367"/>
      <c r="T95" s="367"/>
      <c r="U95" s="367"/>
      <c r="V95" s="367"/>
      <c r="W95" s="367"/>
      <c r="X95" s="367"/>
    </row>
    <row r="96" spans="1:24" ht="21.95" customHeight="1" x14ac:dyDescent="0.25">
      <c r="A96" s="61" t="s">
        <v>2524</v>
      </c>
      <c r="B96" s="95" t="str">
        <f>IF(I85&lt;&gt;"",I85,"")</f>
        <v/>
      </c>
      <c r="C96" s="54">
        <f ca="1">VLOOKUP(A96,DB_TBL_DATA_FIELDS[[FIELD_ID]:[PCT_CALC_FIELD_STATUS_CODE]],22,FALSE)</f>
        <v>-1</v>
      </c>
      <c r="D96" s="54" t="str">
        <f>IF(VLOOKUP(A96,DB_TBL_DATA_FIELDS[[FIELD_ID]:[ERROR_MESSAGE]],23,FALSE)&lt;&gt;0,VLOOKUP(A96,DB_TBL_DATA_FIELDS[[FIELD_ID]:[ERROR_MESSAGE]],23,FALSE),"")</f>
        <v/>
      </c>
      <c r="E96" s="54">
        <f>VLOOKUP(A96,DB_TBL_DATA_FIELDS[[#All],[FIELD_ID]:[RANGE_VALIDATION_MAX]],18,FALSE)</f>
        <v>0</v>
      </c>
      <c r="F96" s="54">
        <f>VLOOKUP(A96,DB_TBL_DATA_FIELDS[[#All],[FIELD_ID]:[RANGE_VALIDATION_MAX]],19,FALSE)</f>
        <v>100</v>
      </c>
      <c r="G96" s="54" t="str">
        <f t="shared" ca="1" si="6"/>
        <v/>
      </c>
      <c r="I96" s="367"/>
      <c r="J96" s="367"/>
      <c r="K96" s="367"/>
      <c r="L96" s="367"/>
      <c r="M96" s="367"/>
      <c r="N96" s="367"/>
      <c r="O96" s="367"/>
      <c r="P96" s="367"/>
      <c r="Q96" s="367"/>
      <c r="R96" s="367"/>
      <c r="S96" s="367"/>
      <c r="T96" s="367"/>
      <c r="U96" s="367"/>
      <c r="V96" s="367"/>
      <c r="W96" s="367"/>
      <c r="X96" s="367"/>
    </row>
    <row r="97" spans="1:24" ht="21.95" customHeight="1" x14ac:dyDescent="0.25">
      <c r="A97" s="61" t="s">
        <v>2525</v>
      </c>
      <c r="B97" s="95" t="str">
        <f>IF(U85&lt;&gt;"",U85,"")</f>
        <v/>
      </c>
      <c r="C97" s="54">
        <f ca="1">VLOOKUP(A97,DB_TBL_DATA_FIELDS[[FIELD_ID]:[PCT_CALC_FIELD_STATUS_CODE]],22,FALSE)</f>
        <v>-1</v>
      </c>
      <c r="D97" s="54" t="str">
        <f>IF(VLOOKUP(A97,DB_TBL_DATA_FIELDS[[FIELD_ID]:[ERROR_MESSAGE]],23,FALSE)&lt;&gt;0,VLOOKUP(A97,DB_TBL_DATA_FIELDS[[FIELD_ID]:[ERROR_MESSAGE]],23,FALSE),"")</f>
        <v/>
      </c>
      <c r="E97" s="54">
        <f>VLOOKUP(A97,DB_TBL_DATA_FIELDS[[#All],[FIELD_ID]:[RANGE_VALIDATION_MAX]],18,FALSE)</f>
        <v>0</v>
      </c>
      <c r="F97" s="54">
        <f>VLOOKUP(A97,DB_TBL_DATA_FIELDS[[#All],[FIELD_ID]:[RANGE_VALIDATION_MAX]],19,FALSE)</f>
        <v>999999999</v>
      </c>
      <c r="G97" s="54" t="str">
        <f t="shared" ca="1" si="6"/>
        <v/>
      </c>
      <c r="I97" s="367"/>
      <c r="J97" s="367"/>
      <c r="K97" s="367"/>
      <c r="L97" s="367"/>
      <c r="M97" s="367"/>
      <c r="N97" s="367"/>
      <c r="O97" s="367"/>
      <c r="P97" s="367"/>
      <c r="Q97" s="367"/>
      <c r="R97" s="367"/>
      <c r="S97" s="367"/>
      <c r="T97" s="367"/>
      <c r="U97" s="367"/>
      <c r="V97" s="367"/>
      <c r="W97" s="367"/>
      <c r="X97" s="367"/>
    </row>
    <row r="98" spans="1:24" ht="21.95" customHeight="1" x14ac:dyDescent="0.25">
      <c r="A98" s="61" t="s">
        <v>2526</v>
      </c>
      <c r="B98" s="95" t="str">
        <f>IF(I86&lt;&gt;"",I86,"")</f>
        <v/>
      </c>
      <c r="C98" s="54">
        <f ca="1">VLOOKUP(A98,DB_TBL_DATA_FIELDS[[FIELD_ID]:[PCT_CALC_FIELD_STATUS_CODE]],22,FALSE)</f>
        <v>-1</v>
      </c>
      <c r="D98" s="54" t="str">
        <f>IF(VLOOKUP(A98,DB_TBL_DATA_FIELDS[[FIELD_ID]:[ERROR_MESSAGE]],23,FALSE)&lt;&gt;0,VLOOKUP(A98,DB_TBL_DATA_FIELDS[[FIELD_ID]:[ERROR_MESSAGE]],23,FALSE),"")</f>
        <v/>
      </c>
      <c r="E98" s="54">
        <f>VLOOKUP(A98,DB_TBL_DATA_FIELDS[[#All],[FIELD_ID]:[RANGE_VALIDATION_MAX]],18,FALSE)</f>
        <v>0</v>
      </c>
      <c r="F98" s="54">
        <f>VLOOKUP(A98,DB_TBL_DATA_FIELDS[[#All],[FIELD_ID]:[RANGE_VALIDATION_MAX]],19,FALSE)</f>
        <v>100</v>
      </c>
      <c r="G98" s="54" t="str">
        <f t="shared" ca="1" si="6"/>
        <v/>
      </c>
      <c r="I98" s="367"/>
      <c r="J98" s="367"/>
      <c r="K98" s="367"/>
      <c r="L98" s="367"/>
      <c r="M98" s="367"/>
      <c r="N98" s="367"/>
      <c r="O98" s="367"/>
      <c r="P98" s="367"/>
      <c r="Q98" s="367"/>
      <c r="R98" s="367"/>
      <c r="S98" s="367"/>
      <c r="T98" s="367"/>
      <c r="U98" s="367"/>
      <c r="V98" s="367"/>
      <c r="W98" s="367"/>
      <c r="X98" s="367"/>
    </row>
    <row r="99" spans="1:24" ht="21.95" customHeight="1" x14ac:dyDescent="0.25">
      <c r="A99" s="61" t="s">
        <v>2527</v>
      </c>
      <c r="B99" s="95" t="str">
        <f>IF(U86&lt;&gt;"",U86,"")</f>
        <v/>
      </c>
      <c r="C99" s="54">
        <f ca="1">VLOOKUP(A99,DB_TBL_DATA_FIELDS[[FIELD_ID]:[PCT_CALC_FIELD_STATUS_CODE]],22,FALSE)</f>
        <v>-1</v>
      </c>
      <c r="D99" s="54" t="str">
        <f>IF(VLOOKUP(A99,DB_TBL_DATA_FIELDS[[FIELD_ID]:[ERROR_MESSAGE]],23,FALSE)&lt;&gt;0,VLOOKUP(A99,DB_TBL_DATA_FIELDS[[FIELD_ID]:[ERROR_MESSAGE]],23,FALSE),"")</f>
        <v/>
      </c>
      <c r="E99" s="54">
        <f>VLOOKUP(A99,DB_TBL_DATA_FIELDS[[#All],[FIELD_ID]:[RANGE_VALIDATION_MAX]],18,FALSE)</f>
        <v>0</v>
      </c>
      <c r="F99" s="54">
        <f>VLOOKUP(A99,DB_TBL_DATA_FIELDS[[#All],[FIELD_ID]:[RANGE_VALIDATION_MAX]],19,FALSE)</f>
        <v>999999999</v>
      </c>
      <c r="G99" s="54" t="str">
        <f t="shared" ca="1" si="6"/>
        <v/>
      </c>
      <c r="I99" s="367"/>
      <c r="J99" s="367"/>
      <c r="K99" s="367"/>
      <c r="L99" s="367"/>
      <c r="M99" s="367"/>
      <c r="N99" s="367"/>
      <c r="O99" s="367"/>
      <c r="P99" s="367"/>
      <c r="Q99" s="367"/>
      <c r="R99" s="367"/>
      <c r="S99" s="367"/>
      <c r="T99" s="367"/>
      <c r="U99" s="367"/>
      <c r="V99" s="367"/>
      <c r="W99" s="367"/>
      <c r="X99" s="367"/>
    </row>
    <row r="100" spans="1:24" ht="21.95" customHeight="1" x14ac:dyDescent="0.25">
      <c r="A100" s="61" t="s">
        <v>2528</v>
      </c>
      <c r="B100" s="95" t="str">
        <f>IF(I87&lt;&gt;"",I87,"")</f>
        <v/>
      </c>
      <c r="C100" s="54">
        <f ca="1">VLOOKUP(A100,DB_TBL_DATA_FIELDS[[FIELD_ID]:[PCT_CALC_FIELD_STATUS_CODE]],22,FALSE)</f>
        <v>-1</v>
      </c>
      <c r="D100" s="54" t="str">
        <f>IF(VLOOKUP(A100,DB_TBL_DATA_FIELDS[[FIELD_ID]:[ERROR_MESSAGE]],23,FALSE)&lt;&gt;0,VLOOKUP(A100,DB_TBL_DATA_FIELDS[[FIELD_ID]:[ERROR_MESSAGE]],23,FALSE),"")</f>
        <v/>
      </c>
      <c r="E100" s="54">
        <f>VLOOKUP(A100,DB_TBL_DATA_FIELDS[[#All],[FIELD_ID]:[RANGE_VALIDATION_MAX]],18,FALSE)</f>
        <v>0</v>
      </c>
      <c r="F100" s="54">
        <f>VLOOKUP(A100,DB_TBL_DATA_FIELDS[[#All],[FIELD_ID]:[RANGE_VALIDATION_MAX]],19,FALSE)</f>
        <v>100</v>
      </c>
      <c r="G100" s="54" t="str">
        <f t="shared" ca="1" si="6"/>
        <v/>
      </c>
      <c r="I100" s="367"/>
      <c r="J100" s="367"/>
      <c r="K100" s="367"/>
      <c r="L100" s="367"/>
      <c r="M100" s="367"/>
      <c r="N100" s="367"/>
      <c r="O100" s="367"/>
      <c r="P100" s="367"/>
      <c r="Q100" s="367"/>
      <c r="R100" s="367"/>
      <c r="S100" s="367"/>
      <c r="T100" s="367"/>
      <c r="U100" s="367"/>
      <c r="V100" s="367"/>
      <c r="W100" s="367"/>
      <c r="X100" s="367"/>
    </row>
    <row r="101" spans="1:24" ht="21.95" customHeight="1" x14ac:dyDescent="0.25">
      <c r="A101" s="61" t="s">
        <v>2529</v>
      </c>
      <c r="B101" s="95" t="str">
        <f>IF(U87&lt;&gt;"",U87,"")</f>
        <v/>
      </c>
      <c r="C101" s="54">
        <f ca="1">VLOOKUP(A101,DB_TBL_DATA_FIELDS[[FIELD_ID]:[PCT_CALC_FIELD_STATUS_CODE]],22,FALSE)</f>
        <v>-1</v>
      </c>
      <c r="D101" s="54" t="str">
        <f>IF(VLOOKUP(A101,DB_TBL_DATA_FIELDS[[FIELD_ID]:[ERROR_MESSAGE]],23,FALSE)&lt;&gt;0,VLOOKUP(A101,DB_TBL_DATA_FIELDS[[FIELD_ID]:[ERROR_MESSAGE]],23,FALSE),"")</f>
        <v/>
      </c>
      <c r="E101" s="54">
        <f>VLOOKUP(A101,DB_TBL_DATA_FIELDS[[#All],[FIELD_ID]:[RANGE_VALIDATION_MAX]],18,FALSE)</f>
        <v>0</v>
      </c>
      <c r="F101" s="54">
        <f>VLOOKUP(A101,DB_TBL_DATA_FIELDS[[#All],[FIELD_ID]:[RANGE_VALIDATION_MAX]],19,FALSE)</f>
        <v>999999999</v>
      </c>
      <c r="G101" s="54" t="str">
        <f t="shared" ca="1" si="6"/>
        <v/>
      </c>
      <c r="I101" s="367"/>
      <c r="J101" s="367"/>
      <c r="K101" s="367"/>
      <c r="L101" s="367"/>
      <c r="M101" s="367"/>
      <c r="N101" s="367"/>
      <c r="O101" s="367"/>
      <c r="P101" s="367"/>
      <c r="Q101" s="367"/>
      <c r="R101" s="367"/>
      <c r="S101" s="367"/>
      <c r="T101" s="367"/>
      <c r="U101" s="367"/>
      <c r="V101" s="367"/>
      <c r="W101" s="367"/>
      <c r="X101" s="367"/>
    </row>
    <row r="102" spans="1:24" ht="21.95" customHeight="1" x14ac:dyDescent="0.25">
      <c r="A102" s="61" t="s">
        <v>2534</v>
      </c>
      <c r="B102" s="95" t="str">
        <f>IF(W74="","",IF(UPPER(W74)="YES",TRUE,FALSE))</f>
        <v/>
      </c>
      <c r="C102" s="54">
        <f ca="1">VLOOKUP(A102,DB_TBL_DATA_FIELDS[[FIELD_ID]:[PCT_CALC_FIELD_STATUS_CODE]],22,FALSE)</f>
        <v>1</v>
      </c>
      <c r="D102" s="54" t="str">
        <f>IF(VLOOKUP(A102,DB_TBL_DATA_FIELDS[[FIELD_ID]:[ERROR_MESSAGE]],23,FALSE)&lt;&gt;0,VLOOKUP(A102,DB_TBL_DATA_FIELDS[[FIELD_ID]:[ERROR_MESSAGE]],23,FALSE),"")</f>
        <v/>
      </c>
      <c r="E102" s="54">
        <f>VLOOKUP(A102,DB_TBL_DATA_FIELDS[[#All],[FIELD_ID]:[RANGE_VALIDATION_MAX]],18,FALSE)</f>
        <v>0</v>
      </c>
      <c r="F102" s="54">
        <f>VLOOKUP(A102,DB_TBL_DATA_FIELDS[[#All],[FIELD_ID]:[RANGE_VALIDATION_MAX]],19,FALSE)</f>
        <v>0</v>
      </c>
      <c r="G102" s="54">
        <f t="shared" ca="1" si="6"/>
        <v>1</v>
      </c>
      <c r="I102" s="367"/>
      <c r="J102" s="367"/>
      <c r="K102" s="367"/>
      <c r="L102" s="367"/>
      <c r="M102" s="367"/>
      <c r="N102" s="367"/>
      <c r="O102" s="367"/>
      <c r="P102" s="367"/>
      <c r="Q102" s="367"/>
      <c r="R102" s="367"/>
      <c r="S102" s="367"/>
      <c r="T102" s="367"/>
      <c r="U102" s="367"/>
      <c r="V102" s="367"/>
      <c r="W102" s="367"/>
      <c r="X102" s="367"/>
    </row>
    <row r="103" spans="1:24" ht="21.95" customHeight="1" x14ac:dyDescent="0.25">
      <c r="A103" s="61" t="s">
        <v>2531</v>
      </c>
      <c r="B103" s="95" t="str">
        <f>IF(I78&lt;&gt;"",I78,"")</f>
        <v/>
      </c>
      <c r="C103" s="54">
        <f ca="1">VLOOKUP(A103,DB_TBL_DATA_FIELDS[[FIELD_ID]:[PCT_CALC_FIELD_STATUS_CODE]],22,FALSE)</f>
        <v>-1</v>
      </c>
      <c r="D103" s="54" t="str">
        <f>IF(VLOOKUP(A103,DB_TBL_DATA_FIELDS[[FIELD_ID]:[ERROR_MESSAGE]],23,FALSE)&lt;&gt;0,VLOOKUP(A103,DB_TBL_DATA_FIELDS[[FIELD_ID]:[ERROR_MESSAGE]],23,FALSE),"")</f>
        <v/>
      </c>
      <c r="E103" s="54">
        <f>VLOOKUP(A103,DB_TBL_DATA_FIELDS[[#All],[FIELD_ID]:[RANGE_VALIDATION_MAX]],18,FALSE)</f>
        <v>0</v>
      </c>
      <c r="F103" s="54">
        <f>VLOOKUP(A103,DB_TBL_DATA_FIELDS[[#All],[FIELD_ID]:[RANGE_VALIDATION_MAX]],19,FALSE)</f>
        <v>100</v>
      </c>
      <c r="G103" s="54" t="str">
        <f t="shared" ca="1" si="6"/>
        <v/>
      </c>
      <c r="I103" s="367"/>
      <c r="J103" s="367"/>
      <c r="K103" s="367"/>
      <c r="L103" s="367"/>
      <c r="M103" s="367"/>
      <c r="N103" s="367"/>
      <c r="O103" s="367"/>
      <c r="P103" s="367"/>
      <c r="Q103" s="367"/>
      <c r="R103" s="367"/>
      <c r="S103" s="367"/>
      <c r="T103" s="367"/>
      <c r="U103" s="367"/>
      <c r="V103" s="367"/>
      <c r="W103" s="367"/>
      <c r="X103" s="367"/>
    </row>
    <row r="104" spans="1:24" ht="21.95" customHeight="1" x14ac:dyDescent="0.25">
      <c r="A104" s="61" t="s">
        <v>2530</v>
      </c>
      <c r="B104" s="95" t="str">
        <f>IF(U78&lt;&gt;"",U78,"")</f>
        <v/>
      </c>
      <c r="C104" s="54">
        <f ca="1">VLOOKUP(A104,DB_TBL_DATA_FIELDS[[FIELD_ID]:[PCT_CALC_FIELD_STATUS_CODE]],22,FALSE)</f>
        <v>-1</v>
      </c>
      <c r="D104" s="54" t="str">
        <f>IF(VLOOKUP(A104,DB_TBL_DATA_FIELDS[[FIELD_ID]:[ERROR_MESSAGE]],23,FALSE)&lt;&gt;0,VLOOKUP(A104,DB_TBL_DATA_FIELDS[[FIELD_ID]:[ERROR_MESSAGE]],23,FALSE),"")</f>
        <v/>
      </c>
      <c r="E104" s="54">
        <f>VLOOKUP(A104,DB_TBL_DATA_FIELDS[[#All],[FIELD_ID]:[RANGE_VALIDATION_MAX]],18,FALSE)</f>
        <v>0</v>
      </c>
      <c r="F104" s="54">
        <f>VLOOKUP(A104,DB_TBL_DATA_FIELDS[[#All],[FIELD_ID]:[RANGE_VALIDATION_MAX]],19,FALSE)</f>
        <v>999999999</v>
      </c>
      <c r="G104" s="54" t="str">
        <f t="shared" ca="1" si="6"/>
        <v/>
      </c>
      <c r="I104" s="367"/>
      <c r="J104" s="367"/>
      <c r="K104" s="367"/>
      <c r="L104" s="367"/>
      <c r="M104" s="367"/>
      <c r="N104" s="367"/>
      <c r="O104" s="367"/>
      <c r="P104" s="367"/>
      <c r="Q104" s="367"/>
      <c r="R104" s="367"/>
      <c r="S104" s="367"/>
      <c r="T104" s="367"/>
      <c r="U104" s="367"/>
      <c r="V104" s="367"/>
      <c r="W104" s="367"/>
      <c r="X104" s="367"/>
    </row>
    <row r="105" spans="1:24" ht="21.95" customHeight="1" x14ac:dyDescent="0.25">
      <c r="A105" s="61" t="s">
        <v>164</v>
      </c>
      <c r="B105" s="65" t="str">
        <f>"C"&amp;MATCH(LEFT(A105,LEN(A105)-LEN("_RANGE")),A:A,0)+1&amp;":C"&amp;(ROW()-1)</f>
        <v>C93:C104</v>
      </c>
      <c r="C105" s="54"/>
      <c r="D105" s="54"/>
      <c r="E105" s="54"/>
      <c r="F105" s="54"/>
      <c r="G105" s="54"/>
      <c r="I105" s="367"/>
      <c r="J105" s="367"/>
      <c r="K105" s="367"/>
      <c r="L105" s="367"/>
      <c r="M105" s="367"/>
      <c r="N105" s="367"/>
      <c r="O105" s="367"/>
      <c r="P105" s="367"/>
      <c r="Q105" s="367"/>
      <c r="R105" s="367"/>
      <c r="S105" s="367"/>
      <c r="T105" s="367"/>
      <c r="U105" s="367"/>
      <c r="V105" s="367"/>
      <c r="W105" s="367"/>
      <c r="X105" s="367"/>
    </row>
    <row r="106" spans="1:24" ht="21.95" customHeight="1" x14ac:dyDescent="0.25">
      <c r="A106" s="61" t="s">
        <v>165</v>
      </c>
      <c r="B106" s="65">
        <f ca="1">COUNTIF(INDIRECT($B105),2)</f>
        <v>0</v>
      </c>
      <c r="C106" s="54"/>
      <c r="D106" s="54"/>
      <c r="E106" s="54"/>
      <c r="F106" s="54"/>
      <c r="G106" s="54"/>
      <c r="I106" s="367"/>
      <c r="J106" s="367"/>
      <c r="K106" s="367"/>
      <c r="L106" s="367"/>
      <c r="M106" s="367"/>
      <c r="N106" s="367"/>
      <c r="O106" s="367"/>
      <c r="P106" s="367"/>
      <c r="Q106" s="367"/>
      <c r="R106" s="367"/>
      <c r="S106" s="367"/>
      <c r="T106" s="367"/>
      <c r="U106" s="367"/>
      <c r="V106" s="367"/>
      <c r="W106" s="367"/>
      <c r="X106" s="367"/>
    </row>
    <row r="107" spans="1:24" ht="21.95" customHeight="1" x14ac:dyDescent="0.25">
      <c r="A107" s="61" t="s">
        <v>166</v>
      </c>
      <c r="B107" s="65">
        <f ca="1">COUNTIF(INDIRECT($B105),0)+COUNTIF(INDIRECT($B105),1)+COUNTIF(INDIRECT($B105),2)</f>
        <v>2</v>
      </c>
      <c r="C107" s="54"/>
      <c r="D107" s="54"/>
      <c r="E107" s="54"/>
      <c r="F107" s="54"/>
      <c r="G107" s="54"/>
      <c r="I107" s="367"/>
      <c r="J107" s="367"/>
      <c r="K107" s="367"/>
      <c r="L107" s="367"/>
      <c r="M107" s="367"/>
      <c r="N107" s="367"/>
      <c r="O107" s="367"/>
      <c r="P107" s="367"/>
      <c r="Q107" s="367"/>
      <c r="R107" s="367"/>
      <c r="S107" s="367"/>
      <c r="T107" s="367"/>
      <c r="U107" s="367"/>
      <c r="V107" s="367"/>
      <c r="W107" s="367"/>
      <c r="X107" s="367"/>
    </row>
    <row r="108" spans="1:24" ht="21.95" customHeight="1" x14ac:dyDescent="0.25">
      <c r="A108" s="61" t="s">
        <v>167</v>
      </c>
      <c r="B108" s="65">
        <f ca="1">COUNTIF(INDIRECT($B105),0)</f>
        <v>0</v>
      </c>
      <c r="C108" s="54"/>
      <c r="D108" s="54"/>
      <c r="E108" s="54"/>
      <c r="F108" s="54"/>
      <c r="G108" s="54"/>
      <c r="I108" s="367"/>
      <c r="J108" s="367"/>
      <c r="K108" s="367"/>
      <c r="L108" s="367"/>
      <c r="M108" s="367"/>
      <c r="N108" s="367"/>
      <c r="O108" s="367"/>
      <c r="P108" s="367"/>
      <c r="Q108" s="367"/>
      <c r="R108" s="367"/>
      <c r="S108" s="367"/>
      <c r="T108" s="367"/>
      <c r="U108" s="367"/>
      <c r="V108" s="367"/>
      <c r="W108" s="367"/>
      <c r="X108" s="367"/>
    </row>
    <row r="109" spans="1:24" ht="21.95" customHeight="1" x14ac:dyDescent="0.25">
      <c r="A109" s="61" t="s">
        <v>168</v>
      </c>
      <c r="B109" s="97">
        <f ca="1">IFERROR(B106/B107,1.01)</f>
        <v>0</v>
      </c>
      <c r="C109" s="54"/>
      <c r="D109" s="54"/>
      <c r="E109" s="54"/>
      <c r="F109" s="54"/>
      <c r="G109" s="54"/>
      <c r="I109" s="367"/>
      <c r="J109" s="367"/>
      <c r="K109" s="367"/>
      <c r="L109" s="367"/>
      <c r="M109" s="367"/>
      <c r="N109" s="367"/>
      <c r="O109" s="367"/>
      <c r="P109" s="367"/>
      <c r="Q109" s="367"/>
      <c r="R109" s="367"/>
      <c r="S109" s="367"/>
      <c r="T109" s="367"/>
      <c r="U109" s="367"/>
      <c r="V109" s="367"/>
      <c r="W109" s="367"/>
      <c r="X109" s="367"/>
    </row>
    <row r="110" spans="1:24" ht="21.95" customHeight="1" x14ac:dyDescent="0.25">
      <c r="A110" s="61" t="s">
        <v>169</v>
      </c>
      <c r="B110" s="65" t="str">
        <f ca="1">IF(B108&gt;0,"Data Error(s)",IF(B109=0,"Not Started",IF(B109&lt;1,ROUNDUP(B109*100,0)&amp;"% Done",IF(B109&gt;1,"Optional","Complete"))))</f>
        <v>Not Started</v>
      </c>
      <c r="C110" s="54"/>
      <c r="D110" s="54"/>
      <c r="E110" s="54"/>
      <c r="F110" s="54"/>
      <c r="G110" s="54"/>
      <c r="I110" s="367"/>
      <c r="J110" s="367"/>
      <c r="K110" s="367"/>
      <c r="L110" s="367"/>
      <c r="M110" s="367"/>
      <c r="N110" s="367"/>
      <c r="O110" s="367"/>
      <c r="P110" s="367"/>
      <c r="Q110" s="367"/>
      <c r="R110" s="367"/>
      <c r="S110" s="367"/>
      <c r="T110" s="367"/>
      <c r="U110" s="367"/>
      <c r="V110" s="367"/>
      <c r="W110" s="367"/>
      <c r="X110" s="367"/>
    </row>
    <row r="111" spans="1:24" ht="21.95" customHeight="1" x14ac:dyDescent="0.25">
      <c r="A111" s="61" t="s">
        <v>170</v>
      </c>
      <c r="B111" s="65" t="str">
        <f ca="1">IF(B108&gt;0,0,IF(B109&lt;1,"",2))</f>
        <v/>
      </c>
      <c r="C111" s="54"/>
      <c r="D111" s="54"/>
      <c r="E111" s="54"/>
      <c r="F111" s="54"/>
      <c r="G111" s="54"/>
      <c r="I111" s="367"/>
      <c r="J111" s="367"/>
      <c r="K111" s="367"/>
      <c r="L111" s="367"/>
      <c r="M111" s="367"/>
      <c r="N111" s="367"/>
      <c r="O111" s="367"/>
      <c r="P111" s="367"/>
      <c r="Q111" s="367"/>
      <c r="R111" s="367"/>
      <c r="S111" s="367"/>
      <c r="T111" s="367"/>
      <c r="U111" s="367"/>
      <c r="V111" s="367"/>
      <c r="W111" s="367"/>
      <c r="X111" s="367"/>
    </row>
    <row r="112" spans="1:24" ht="21.95" customHeight="1" x14ac:dyDescent="0.25">
      <c r="A112" s="61" t="s">
        <v>171</v>
      </c>
      <c r="B112" s="96" t="s">
        <v>2565</v>
      </c>
      <c r="C112" s="54"/>
      <c r="D112" s="54"/>
      <c r="E112" s="54"/>
      <c r="F112" s="54"/>
      <c r="G112" s="54"/>
      <c r="I112" s="367"/>
      <c r="J112" s="367"/>
      <c r="K112" s="367"/>
      <c r="L112" s="367"/>
      <c r="M112" s="367"/>
      <c r="N112" s="367"/>
      <c r="O112" s="367"/>
      <c r="P112" s="367"/>
      <c r="Q112" s="367"/>
      <c r="R112" s="367"/>
      <c r="S112" s="367"/>
      <c r="T112" s="367"/>
      <c r="U112" s="367"/>
      <c r="V112" s="367"/>
      <c r="W112" s="367"/>
      <c r="X112" s="367"/>
    </row>
    <row r="113" spans="1:24" ht="21.95" customHeight="1" x14ac:dyDescent="0.25">
      <c r="A113" s="77" t="s">
        <v>2146</v>
      </c>
      <c r="B113" s="65">
        <v>0</v>
      </c>
      <c r="C113" s="54"/>
      <c r="D113" s="54"/>
      <c r="E113" s="54"/>
      <c r="F113" s="54"/>
      <c r="G113" s="54"/>
      <c r="J113"/>
      <c r="L113"/>
      <c r="N113"/>
      <c r="P113"/>
      <c r="R113"/>
      <c r="T113"/>
      <c r="V113"/>
      <c r="X113"/>
    </row>
    <row r="114" spans="1:24" ht="21.95" customHeight="1" x14ac:dyDescent="0.25">
      <c r="A114" s="77" t="s">
        <v>2147</v>
      </c>
      <c r="B114" s="65" t="b">
        <f>(B113&gt;0)</f>
        <v>0</v>
      </c>
      <c r="C114" s="54"/>
      <c r="D114" s="54"/>
      <c r="E114" s="54"/>
      <c r="F114" s="54"/>
      <c r="G114" s="54"/>
      <c r="I114" s="36" t="s">
        <v>2873</v>
      </c>
      <c r="K114" s="36"/>
      <c r="M114" s="36"/>
      <c r="N114" s="36"/>
      <c r="O114" s="36" t="s">
        <v>2874</v>
      </c>
      <c r="Q114" s="36"/>
      <c r="S114" s="36"/>
      <c r="T114" s="36"/>
      <c r="U114" s="36" t="s">
        <v>31</v>
      </c>
      <c r="V114" s="36"/>
      <c r="W114" s="36"/>
      <c r="X114" s="36"/>
    </row>
    <row r="115" spans="1:24" ht="21.95" customHeight="1" x14ac:dyDescent="0.25">
      <c r="A115" s="91" t="s">
        <v>2861</v>
      </c>
      <c r="B115" s="93" t="s">
        <v>2862</v>
      </c>
      <c r="C115" s="92"/>
      <c r="D115" s="92"/>
      <c r="E115" s="92"/>
      <c r="F115" s="92"/>
      <c r="G115" s="92"/>
      <c r="I115" s="316"/>
      <c r="J115" s="317"/>
      <c r="K115" s="317"/>
      <c r="L115" s="317"/>
      <c r="M115" s="318"/>
      <c r="N115" s="52">
        <f ca="1">G116</f>
        <v>1</v>
      </c>
      <c r="O115" s="316"/>
      <c r="P115" s="317"/>
      <c r="Q115" s="317"/>
      <c r="R115" s="317"/>
      <c r="S115" s="318"/>
      <c r="T115" s="52">
        <f ca="1">G117</f>
        <v>1</v>
      </c>
      <c r="U115" s="338"/>
      <c r="V115" s="339"/>
      <c r="W115" s="340"/>
      <c r="X115" s="52">
        <f ca="1">G118</f>
        <v>1</v>
      </c>
    </row>
    <row r="116" spans="1:24" ht="21.95" customHeight="1" x14ac:dyDescent="0.25">
      <c r="A116" s="61" t="s">
        <v>2855</v>
      </c>
      <c r="B116" s="95" t="str">
        <f>IF(I115&lt;&gt;"",I115,"")</f>
        <v/>
      </c>
      <c r="C116" s="54">
        <f ca="1">VLOOKUP(A116,DB_TBL_DATA_FIELDS[[FIELD_ID]:[PCT_CALC_FIELD_STATUS_CODE]],22,FALSE)</f>
        <v>1</v>
      </c>
      <c r="D116" s="54" t="str">
        <f ca="1">IF(VLOOKUP(A116,DB_TBL_DATA_FIELDS[[FIELD_ID]:[ERROR_MESSAGE]],23,FALSE)&lt;&gt;0,VLOOKUP(A116,DB_TBL_DATA_FIELDS[[FIELD_ID]:[ERROR_MESSAGE]],23,FALSE),"")</f>
        <v/>
      </c>
      <c r="E116" s="54">
        <f>VLOOKUP(A116,DB_TBL_DATA_FIELDS[[#All],[FIELD_ID]:[RANGE_VALIDATION_MAX]],18,FALSE)</f>
        <v>0</v>
      </c>
      <c r="F116" s="54">
        <f>VLOOKUP(A116,DB_TBL_DATA_FIELDS[[#All],[FIELD_ID]:[RANGE_VALIDATION_MAX]],19,FALSE)</f>
        <v>100</v>
      </c>
      <c r="G116" s="54">
        <f t="shared" ref="G116:G120" ca="1" si="7">IF(C116&lt;0,"",C116)</f>
        <v>1</v>
      </c>
      <c r="I116" s="36" t="s">
        <v>132</v>
      </c>
      <c r="K116" s="36"/>
      <c r="M116" s="36"/>
      <c r="N116" s="36"/>
      <c r="O116" s="36"/>
      <c r="P116" s="36"/>
      <c r="S116" s="36" t="s">
        <v>2158</v>
      </c>
      <c r="W116" s="36"/>
    </row>
    <row r="117" spans="1:24" ht="21.95" customHeight="1" x14ac:dyDescent="0.25">
      <c r="A117" s="61" t="s">
        <v>2857</v>
      </c>
      <c r="B117" s="95" t="str">
        <f>IF(O115&lt;&gt;"",O115,"")</f>
        <v/>
      </c>
      <c r="C117" s="54">
        <f ca="1">VLOOKUP(A117,DB_TBL_DATA_FIELDS[[FIELD_ID]:[PCT_CALC_FIELD_STATUS_CODE]],22,FALSE)</f>
        <v>1</v>
      </c>
      <c r="D117" s="54" t="str">
        <f ca="1">IF(VLOOKUP(A117,DB_TBL_DATA_FIELDS[[FIELD_ID]:[ERROR_MESSAGE]],23,FALSE)&lt;&gt;0,VLOOKUP(A117,DB_TBL_DATA_FIELDS[[FIELD_ID]:[ERROR_MESSAGE]],23,FALSE),"")</f>
        <v/>
      </c>
      <c r="E117" s="54">
        <f>VLOOKUP(A117,DB_TBL_DATA_FIELDS[[#All],[FIELD_ID]:[RANGE_VALIDATION_MAX]],18,FALSE)</f>
        <v>0</v>
      </c>
      <c r="F117" s="54">
        <f>VLOOKUP(A117,DB_TBL_DATA_FIELDS[[#All],[FIELD_ID]:[RANGE_VALIDATION_MAX]],19,FALSE)</f>
        <v>100</v>
      </c>
      <c r="G117" s="54">
        <f t="shared" ca="1" si="7"/>
        <v>1</v>
      </c>
      <c r="I117" s="409"/>
      <c r="J117" s="317"/>
      <c r="K117" s="317"/>
      <c r="L117" s="317"/>
      <c r="M117" s="317"/>
      <c r="N117" s="317"/>
      <c r="O117" s="317"/>
      <c r="P117" s="317"/>
      <c r="Q117" s="318"/>
      <c r="R117" s="52">
        <f ca="1">G119</f>
        <v>1</v>
      </c>
      <c r="S117" s="313"/>
      <c r="T117" s="314"/>
      <c r="U117" s="314"/>
      <c r="V117" s="314"/>
      <c r="W117" s="315"/>
      <c r="X117" s="52">
        <f ca="1">G120</f>
        <v>1</v>
      </c>
    </row>
    <row r="118" spans="1:24" ht="21.95" customHeight="1" x14ac:dyDescent="0.25">
      <c r="A118" s="61" t="s">
        <v>2858</v>
      </c>
      <c r="B118" s="95" t="str">
        <f>IF(U115&lt;&gt;"",U115,"")</f>
        <v/>
      </c>
      <c r="C118" s="54">
        <f ca="1">VLOOKUP(A118,DB_TBL_DATA_FIELDS[[FIELD_ID]:[PCT_CALC_FIELD_STATUS_CODE]],22,FALSE)</f>
        <v>1</v>
      </c>
      <c r="D118" s="54" t="str">
        <f ca="1">IF(VLOOKUP(A118,DB_TBL_DATA_FIELDS[[FIELD_ID]:[ERROR_MESSAGE]],23,FALSE)&lt;&gt;0,VLOOKUP(A118,DB_TBL_DATA_FIELDS[[FIELD_ID]:[ERROR_MESSAGE]],23,FALSE),"")</f>
        <v/>
      </c>
      <c r="E118" s="54">
        <f>VLOOKUP(A118,DB_TBL_DATA_FIELDS[[#All],[FIELD_ID]:[RANGE_VALIDATION_MAX]],18,FALSE)</f>
        <v>0</v>
      </c>
      <c r="F118" s="54">
        <f>VLOOKUP(A118,DB_TBL_DATA_FIELDS[[#All],[FIELD_ID]:[RANGE_VALIDATION_MAX]],19,FALSE)</f>
        <v>0</v>
      </c>
      <c r="G118" s="54">
        <f t="shared" ca="1" si="7"/>
        <v>1</v>
      </c>
      <c r="I118" s="331" t="str">
        <f ca="1">D119</f>
        <v/>
      </c>
      <c r="J118" s="331"/>
      <c r="K118" s="331"/>
      <c r="L118" s="331"/>
      <c r="M118" s="331"/>
      <c r="N118" s="331"/>
      <c r="O118" s="331"/>
      <c r="P118" s="331"/>
      <c r="Q118" s="331"/>
      <c r="R118"/>
      <c r="T118"/>
      <c r="V118"/>
      <c r="X118"/>
    </row>
    <row r="119" spans="1:24" ht="21.95" customHeight="1" x14ac:dyDescent="0.25">
      <c r="A119" s="61" t="s">
        <v>2230</v>
      </c>
      <c r="B119" s="95" t="str">
        <f>IF(I117&lt;&gt;"",I117,"")</f>
        <v/>
      </c>
      <c r="C119" s="54">
        <f ca="1">VLOOKUP(A119,DB_TBL_DATA_FIELDS[[FIELD_ID]:[PCT_CALC_FIELD_STATUS_CODE]],22,FALSE)</f>
        <v>1</v>
      </c>
      <c r="D119" s="54" t="str">
        <f ca="1">IF(VLOOKUP(A119,DB_TBL_DATA_FIELDS[[FIELD_ID]:[ERROR_MESSAGE]],23,FALSE)&lt;&gt;0,VLOOKUP(A119,DB_TBL_DATA_FIELDS[[FIELD_ID]:[ERROR_MESSAGE]],23,FALSE),"")</f>
        <v/>
      </c>
      <c r="E119" s="54">
        <f>VLOOKUP(A119,DB_TBL_DATA_FIELDS[[#All],[FIELD_ID]:[RANGE_VALIDATION_MAX]],18,FALSE)</f>
        <v>0</v>
      </c>
      <c r="F119" s="54">
        <f>VLOOKUP(A119,DB_TBL_DATA_FIELDS[[#All],[FIELD_ID]:[RANGE_VALIDATION_MAX]],19,FALSE)</f>
        <v>60</v>
      </c>
      <c r="G119" s="54">
        <f t="shared" ca="1" si="7"/>
        <v>1</v>
      </c>
      <c r="J119"/>
      <c r="L119"/>
      <c r="N119"/>
      <c r="P119"/>
    </row>
    <row r="120" spans="1:24" ht="21.95" customHeight="1" x14ac:dyDescent="0.25">
      <c r="A120" s="61" t="s">
        <v>2231</v>
      </c>
      <c r="B120" s="95" t="str">
        <f>IF(S117&lt;&gt;"",S117,"")</f>
        <v/>
      </c>
      <c r="C120" s="54">
        <f ca="1">VLOOKUP(A120,DB_TBL_DATA_FIELDS[[FIELD_ID]:[PCT_CALC_FIELD_STATUS_CODE]],22,FALSE)</f>
        <v>1</v>
      </c>
      <c r="D120" s="54" t="str">
        <f>IF(VLOOKUP(A120,DB_TBL_DATA_FIELDS[[FIELD_ID]:[ERROR_MESSAGE]],23,FALSE)&lt;&gt;0,VLOOKUP(A120,DB_TBL_DATA_FIELDS[[FIELD_ID]:[ERROR_MESSAGE]],23,FALSE),"")</f>
        <v/>
      </c>
      <c r="E120" s="54">
        <f>VLOOKUP(A120,DB_TBL_DATA_FIELDS[[#All],[FIELD_ID]:[RANGE_VALIDATION_MAX]],18,FALSE)</f>
        <v>0</v>
      </c>
      <c r="F120" s="54">
        <f>VLOOKUP(A120,DB_TBL_DATA_FIELDS[[#All],[FIELD_ID]:[RANGE_VALIDATION_MAX]],19,FALSE)</f>
        <v>50</v>
      </c>
      <c r="G120" s="54">
        <f t="shared" ca="1" si="7"/>
        <v>1</v>
      </c>
    </row>
    <row r="121" spans="1:24" ht="21.95" hidden="1" customHeight="1" x14ac:dyDescent="0.25">
      <c r="A121" s="61" t="s">
        <v>2863</v>
      </c>
      <c r="B121" s="65" t="str">
        <f>"C"&amp;MATCH(LEFT(A121,LEN(A121)-LEN("_RANGE")),A:A,0)+1&amp;":C"&amp;(ROW()-1)</f>
        <v>C116:C120</v>
      </c>
      <c r="C121" s="54"/>
      <c r="D121" s="54"/>
      <c r="E121" s="54"/>
      <c r="F121" s="54"/>
      <c r="G121" s="54"/>
    </row>
    <row r="122" spans="1:24" ht="21.95" hidden="1" customHeight="1" x14ac:dyDescent="0.25">
      <c r="A122" s="61" t="s">
        <v>2864</v>
      </c>
      <c r="B122" s="65">
        <f ca="1">COUNTIF(INDIRECT($B121),2)</f>
        <v>0</v>
      </c>
      <c r="C122" s="54"/>
      <c r="D122" s="54"/>
      <c r="E122" s="54"/>
      <c r="F122" s="54"/>
      <c r="G122" s="54"/>
    </row>
    <row r="123" spans="1:24" ht="21.95" hidden="1" customHeight="1" x14ac:dyDescent="0.25">
      <c r="A123" s="61" t="s">
        <v>2865</v>
      </c>
      <c r="B123" s="65">
        <f ca="1">COUNTIF(INDIRECT($B121),0)+COUNTIF(INDIRECT($B121),1)+COUNTIF(INDIRECT($B121),2)</f>
        <v>5</v>
      </c>
      <c r="C123" s="54"/>
      <c r="D123" s="54"/>
      <c r="E123" s="54"/>
      <c r="F123" s="54"/>
      <c r="G123" s="54"/>
    </row>
    <row r="124" spans="1:24" ht="21.95" hidden="1" customHeight="1" x14ac:dyDescent="0.25">
      <c r="A124" s="61" t="s">
        <v>2866</v>
      </c>
      <c r="B124" s="65">
        <f ca="1">COUNTIF(INDIRECT($B121),0)</f>
        <v>0</v>
      </c>
      <c r="C124" s="54"/>
      <c r="D124" s="54"/>
      <c r="E124" s="54"/>
      <c r="F124" s="54"/>
      <c r="G124" s="54"/>
    </row>
    <row r="125" spans="1:24" ht="21.95" hidden="1" customHeight="1" x14ac:dyDescent="0.25">
      <c r="A125" s="61" t="s">
        <v>2867</v>
      </c>
      <c r="B125" s="97">
        <f ca="1">IFERROR(B122/B123,1.01)</f>
        <v>0</v>
      </c>
      <c r="C125" s="54"/>
      <c r="D125" s="54"/>
      <c r="E125" s="54"/>
      <c r="F125" s="54"/>
      <c r="G125" s="54"/>
    </row>
    <row r="126" spans="1:24" ht="21.95" hidden="1" customHeight="1" x14ac:dyDescent="0.25">
      <c r="A126" s="61" t="s">
        <v>2868</v>
      </c>
      <c r="B126" s="65" t="str">
        <f ca="1">IF(B124&gt;0,"Data Error(s)",IF(B125=0,"Not Started",IF(B125&lt;1,ROUNDUP(B125*100,0)&amp;"% Done",IF(B125&gt;1,"Optional","Complete"))))</f>
        <v>Not Started</v>
      </c>
      <c r="C126" s="54"/>
      <c r="D126" s="54"/>
      <c r="E126" s="54"/>
      <c r="F126" s="54"/>
      <c r="G126" s="54"/>
    </row>
    <row r="127" spans="1:24" ht="21.95" hidden="1" customHeight="1" x14ac:dyDescent="0.25">
      <c r="A127" s="61" t="s">
        <v>2869</v>
      </c>
      <c r="B127" s="65" t="str">
        <f ca="1">IF(B124&gt;0,0,IF(B125&lt;1,"",2))</f>
        <v/>
      </c>
      <c r="C127" s="54"/>
      <c r="D127" s="54"/>
      <c r="E127" s="54"/>
      <c r="F127" s="54"/>
      <c r="G127" s="54"/>
    </row>
    <row r="128" spans="1:24" ht="21.95" hidden="1" customHeight="1" x14ac:dyDescent="0.25">
      <c r="A128" s="61" t="s">
        <v>2870</v>
      </c>
      <c r="B128" s="96" t="s">
        <v>2862</v>
      </c>
      <c r="C128" s="54"/>
      <c r="D128" s="54"/>
      <c r="E128" s="54"/>
      <c r="F128" s="54"/>
      <c r="G128" s="54"/>
    </row>
    <row r="129" spans="1:7" ht="21.95" hidden="1" customHeight="1" x14ac:dyDescent="0.25">
      <c r="A129" s="77" t="s">
        <v>2871</v>
      </c>
      <c r="B129" s="65">
        <v>0</v>
      </c>
      <c r="C129" s="54"/>
      <c r="D129" s="54"/>
      <c r="E129" s="54"/>
      <c r="F129" s="54"/>
      <c r="G129" s="54"/>
    </row>
    <row r="130" spans="1:7" ht="21.95" hidden="1" customHeight="1" x14ac:dyDescent="0.25">
      <c r="A130" s="77" t="s">
        <v>2872</v>
      </c>
      <c r="B130" s="65" t="b">
        <f>(B129&gt;0)</f>
        <v>0</v>
      </c>
      <c r="C130" s="54"/>
      <c r="D130" s="54"/>
      <c r="E130" s="54"/>
      <c r="F130" s="54"/>
      <c r="G130" s="54"/>
    </row>
    <row r="131" spans="1:7" ht="21.95" hidden="1" customHeight="1" x14ac:dyDescent="0.25"/>
    <row r="132" spans="1:7" ht="21.95" hidden="1" customHeight="1" x14ac:dyDescent="0.25"/>
    <row r="133" spans="1:7" ht="21.95" hidden="1" customHeight="1" x14ac:dyDescent="0.25"/>
    <row r="134" spans="1:7" ht="21.95" hidden="1" customHeight="1" x14ac:dyDescent="0.25"/>
    <row r="135" spans="1:7" ht="21.95" hidden="1" customHeight="1" x14ac:dyDescent="0.25"/>
    <row r="136" spans="1:7" ht="15" hidden="1" x14ac:dyDescent="0.25"/>
    <row r="137" spans="1:7" ht="15" hidden="1" x14ac:dyDescent="0.25"/>
    <row r="138" spans="1:7" ht="15" hidden="1" x14ac:dyDescent="0.25"/>
    <row r="139" spans="1:7" ht="15" hidden="1" x14ac:dyDescent="0.25"/>
    <row r="140" spans="1:7" ht="15" hidden="1" x14ac:dyDescent="0.25"/>
    <row r="141" spans="1:7" ht="15" hidden="1" x14ac:dyDescent="0.25"/>
    <row r="142" spans="1:7" ht="15" hidden="1" x14ac:dyDescent="0.25"/>
    <row r="143" spans="1:7" ht="15" hidden="1" x14ac:dyDescent="0.25"/>
    <row r="144" spans="1:7" ht="15" hidden="1" x14ac:dyDescent="0.25"/>
    <row r="145" ht="15" hidden="1" x14ac:dyDescent="0.25"/>
    <row r="146" ht="15" hidden="1" x14ac:dyDescent="0.25"/>
    <row r="147" ht="15" hidden="1" x14ac:dyDescent="0.25"/>
    <row r="148" ht="15" hidden="1" x14ac:dyDescent="0.25"/>
    <row r="149" ht="15" hidden="1" x14ac:dyDescent="0.25"/>
    <row r="150" ht="15" hidden="1" x14ac:dyDescent="0.25"/>
    <row r="151" ht="15" hidden="1" x14ac:dyDescent="0.25"/>
    <row r="152" ht="15" hidden="1" x14ac:dyDescent="0.25"/>
    <row r="153" ht="15" hidden="1" x14ac:dyDescent="0.25"/>
    <row r="154" ht="15" hidden="1" x14ac:dyDescent="0.25"/>
    <row r="155" ht="15" hidden="1" x14ac:dyDescent="0.25"/>
    <row r="156" ht="15" hidden="1" x14ac:dyDescent="0.25"/>
    <row r="157" ht="15" hidden="1" x14ac:dyDescent="0.25"/>
    <row r="158" ht="15" hidden="1" x14ac:dyDescent="0.25"/>
    <row r="159" ht="15" hidden="1" x14ac:dyDescent="0.25"/>
    <row r="160" ht="15" hidden="1" x14ac:dyDescent="0.25"/>
    <row r="161" ht="15" hidden="1" x14ac:dyDescent="0.25"/>
    <row r="162" ht="15" hidden="1" x14ac:dyDescent="0.25"/>
    <row r="163" ht="15" hidden="1" x14ac:dyDescent="0.25"/>
    <row r="164" ht="15" hidden="1" x14ac:dyDescent="0.25"/>
    <row r="165" ht="15" hidden="1" x14ac:dyDescent="0.25"/>
    <row r="166" ht="15" hidden="1" x14ac:dyDescent="0.25"/>
    <row r="167" ht="15" hidden="1" x14ac:dyDescent="0.25"/>
    <row r="168" ht="15" hidden="1" x14ac:dyDescent="0.25"/>
    <row r="169" ht="15" hidden="1" x14ac:dyDescent="0.25"/>
    <row r="170" ht="15" hidden="1" x14ac:dyDescent="0.25"/>
    <row r="171" ht="15" hidden="1" x14ac:dyDescent="0.25"/>
    <row r="172" ht="15" hidden="1" x14ac:dyDescent="0.25"/>
    <row r="173" ht="15" hidden="1" x14ac:dyDescent="0.25"/>
    <row r="174" ht="15" hidden="1" x14ac:dyDescent="0.25"/>
    <row r="175" ht="15" hidden="1" x14ac:dyDescent="0.25"/>
    <row r="176" ht="15" hidden="1" x14ac:dyDescent="0.25"/>
    <row r="177" ht="15" hidden="1" x14ac:dyDescent="0.25"/>
    <row r="178" ht="15" hidden="1" x14ac:dyDescent="0.25"/>
    <row r="179" ht="15" hidden="1" x14ac:dyDescent="0.25"/>
    <row r="180" ht="15" hidden="1" x14ac:dyDescent="0.25"/>
    <row r="181" ht="15" hidden="1" x14ac:dyDescent="0.25"/>
    <row r="182" ht="15" hidden="1" x14ac:dyDescent="0.25"/>
    <row r="183" ht="15" hidden="1" x14ac:dyDescent="0.25"/>
    <row r="184" ht="15" hidden="1" x14ac:dyDescent="0.25"/>
    <row r="185" ht="15" hidden="1" x14ac:dyDescent="0.25"/>
    <row r="186" ht="15" hidden="1" x14ac:dyDescent="0.25"/>
    <row r="187" ht="15" hidden="1" x14ac:dyDescent="0.25"/>
    <row r="188" ht="15" hidden="1" x14ac:dyDescent="0.25"/>
    <row r="189" ht="15" hidden="1" x14ac:dyDescent="0.25"/>
    <row r="190" ht="15" hidden="1" x14ac:dyDescent="0.25"/>
    <row r="191" ht="15" hidden="1" x14ac:dyDescent="0.25"/>
    <row r="192" ht="15" hidden="1" x14ac:dyDescent="0.25"/>
    <row r="193" ht="15" hidden="1" x14ac:dyDescent="0.25"/>
    <row r="194" ht="15" hidden="1" x14ac:dyDescent="0.25"/>
    <row r="195" ht="15" hidden="1" x14ac:dyDescent="0.25"/>
    <row r="196" ht="15" hidden="1" x14ac:dyDescent="0.25"/>
    <row r="197" ht="15" hidden="1" x14ac:dyDescent="0.25"/>
    <row r="198" ht="15" hidden="1" x14ac:dyDescent="0.25"/>
    <row r="199" ht="15" hidden="1" x14ac:dyDescent="0.25"/>
    <row r="200" ht="15" hidden="1" x14ac:dyDescent="0.25"/>
    <row r="201" ht="15" hidden="1" x14ac:dyDescent="0.25"/>
    <row r="202" ht="15" hidden="1" x14ac:dyDescent="0.25"/>
    <row r="203" ht="15" hidden="1" x14ac:dyDescent="0.25"/>
    <row r="204" ht="15" hidden="1" x14ac:dyDescent="0.25"/>
    <row r="205" ht="15" hidden="1" x14ac:dyDescent="0.25"/>
    <row r="206" ht="15" hidden="1" x14ac:dyDescent="0.25"/>
    <row r="207" ht="15" hidden="1" x14ac:dyDescent="0.25"/>
    <row r="208" ht="15" hidden="1" x14ac:dyDescent="0.25"/>
    <row r="209" ht="15" hidden="1" x14ac:dyDescent="0.25"/>
    <row r="210" ht="15" hidden="1" x14ac:dyDescent="0.25"/>
    <row r="211" ht="15" hidden="1" x14ac:dyDescent="0.25"/>
    <row r="212" ht="15" hidden="1" x14ac:dyDescent="0.25"/>
  </sheetData>
  <sheetProtection algorithmName="SHA-512" hashValue="awOmz5JBsH6SjdxQFgXlGQrNceJPiAZ1acMoKe+b9smqZF/okUo/iMLh5Wr+G1VDRSaeCL3FgQwO3IMb/mT5Tg==" saltValue="j9L/jKLLkZUuIR9yrmds9Q==" spinCount="100000" sheet="1" objects="1" scenarios="1" selectLockedCells="1"/>
  <dataConsolidate/>
  <mergeCells count="48">
    <mergeCell ref="I18:M18"/>
    <mergeCell ref="Q18:U18"/>
    <mergeCell ref="I75:W76"/>
    <mergeCell ref="I6:Y6"/>
    <mergeCell ref="I9:X9"/>
    <mergeCell ref="U13:X13"/>
    <mergeCell ref="I17:M17"/>
    <mergeCell ref="Q17:U17"/>
    <mergeCell ref="I45:K45"/>
    <mergeCell ref="M45:O45"/>
    <mergeCell ref="U45:W45"/>
    <mergeCell ref="I19:M19"/>
    <mergeCell ref="Q19:U19"/>
    <mergeCell ref="I24:W24"/>
    <mergeCell ref="I29:K29"/>
    <mergeCell ref="M29:Q29"/>
    <mergeCell ref="S29:W29"/>
    <mergeCell ref="U34:W34"/>
    <mergeCell ref="Q35:W35"/>
    <mergeCell ref="I36:S37"/>
    <mergeCell ref="I54:W59"/>
    <mergeCell ref="O52:W52"/>
    <mergeCell ref="I47:K47"/>
    <mergeCell ref="M47:O47"/>
    <mergeCell ref="U61:W61"/>
    <mergeCell ref="U62:W62"/>
    <mergeCell ref="I69:K69"/>
    <mergeCell ref="O69:Q69"/>
    <mergeCell ref="U69:W69"/>
    <mergeCell ref="I78:S78"/>
    <mergeCell ref="U78:W78"/>
    <mergeCell ref="I83:T83"/>
    <mergeCell ref="U83:X83"/>
    <mergeCell ref="I84:S84"/>
    <mergeCell ref="U84:W84"/>
    <mergeCell ref="I85:S85"/>
    <mergeCell ref="U85:W85"/>
    <mergeCell ref="I86:S86"/>
    <mergeCell ref="U86:W86"/>
    <mergeCell ref="I87:S87"/>
    <mergeCell ref="U87:W87"/>
    <mergeCell ref="I118:Q118"/>
    <mergeCell ref="I91:X112"/>
    <mergeCell ref="I115:M115"/>
    <mergeCell ref="O115:S115"/>
    <mergeCell ref="U115:W115"/>
    <mergeCell ref="I117:Q117"/>
    <mergeCell ref="S117:W117"/>
  </mergeCells>
  <conditionalFormatting sqref="H6">
    <cfRule type="iconSet" priority="76">
      <iconSet iconSet="3Flags" showValue="0">
        <cfvo type="percent" val="0"/>
        <cfvo type="num" val="1"/>
        <cfvo type="num" val="2" gte="0"/>
      </iconSet>
    </cfRule>
    <cfRule type="expression" dxfId="93" priority="77">
      <formula>($B$10=TRUE)</formula>
    </cfRule>
  </conditionalFormatting>
  <conditionalFormatting sqref="I118">
    <cfRule type="notContainsBlanks" dxfId="92" priority="13">
      <formula>LEN(TRIM(I118))&gt;0</formula>
    </cfRule>
  </conditionalFormatting>
  <conditionalFormatting sqref="I69:K69 O69 U69">
    <cfRule type="expression" dxfId="91" priority="41">
      <formula>(DATA_SECOND_MTG_FLAG&lt;&gt;TRUE)</formula>
    </cfRule>
  </conditionalFormatting>
  <conditionalFormatting sqref="I78:S78 U78">
    <cfRule type="expression" dxfId="90" priority="28">
      <formula>(DATA_OTHER_FHLB_GRANT_FLAG&lt;&gt;TRUE)</formula>
    </cfRule>
  </conditionalFormatting>
  <conditionalFormatting sqref="I85:T87">
    <cfRule type="expression" dxfId="89" priority="26">
      <formula>OR(DATA_OTHER_NON_FHLB_GRANT_FLAG&lt;&gt;TRUE,$I84="",$T84=0)</formula>
    </cfRule>
  </conditionalFormatting>
  <conditionalFormatting sqref="I54:W59">
    <cfRule type="expression" dxfId="88" priority="18">
      <formula>NOT(DATA_EXPLANATION_OF_AFFORDABILITY_REQ_FLAG)</formula>
    </cfRule>
  </conditionalFormatting>
  <conditionalFormatting sqref="I42:X42">
    <cfRule type="expression" dxfId="87" priority="22">
      <formula>$X$42=1</formula>
    </cfRule>
  </conditionalFormatting>
  <conditionalFormatting sqref="I84:X87">
    <cfRule type="expression" dxfId="86" priority="27">
      <formula>(DATA_OTHER_NON_FHLB_GRANT_FLAG&lt;&gt;TRUE)</formula>
    </cfRule>
  </conditionalFormatting>
  <conditionalFormatting sqref="I6:Y6">
    <cfRule type="expression" dxfId="85" priority="78">
      <formula>($B$10=TRUE)</formula>
    </cfRule>
  </conditionalFormatting>
  <conditionalFormatting sqref="L29">
    <cfRule type="iconSet" priority="64">
      <iconSet iconSet="3Symbols" showValue="0">
        <cfvo type="percent" val="0"/>
        <cfvo type="num" val="0" gte="0"/>
        <cfvo type="num" val="2"/>
      </iconSet>
    </cfRule>
    <cfRule type="iconSet" priority="63">
      <iconSet iconSet="3Symbols" showValue="0">
        <cfvo type="percent" val="0"/>
        <cfvo type="num" val="0" gte="0"/>
        <cfvo type="num" val="2"/>
      </iconSet>
    </cfRule>
  </conditionalFormatting>
  <conditionalFormatting sqref="L45">
    <cfRule type="iconSet" priority="59">
      <iconSet iconSet="3Symbols" showValue="0">
        <cfvo type="percent" val="0"/>
        <cfvo type="num" val="0" gte="0"/>
        <cfvo type="num" val="2"/>
      </iconSet>
    </cfRule>
    <cfRule type="iconSet" priority="58">
      <iconSet iconSet="3Symbols" showValue="0">
        <cfvo type="percent" val="0"/>
        <cfvo type="num" val="0" gte="0"/>
        <cfvo type="num" val="2"/>
      </iconSet>
    </cfRule>
  </conditionalFormatting>
  <conditionalFormatting sqref="L46">
    <cfRule type="iconSet" priority="3">
      <iconSet iconSet="3Symbols" showValue="0">
        <cfvo type="percent" val="0"/>
        <cfvo type="num" val="0" gte="0"/>
        <cfvo type="num" val="2"/>
      </iconSet>
    </cfRule>
  </conditionalFormatting>
  <conditionalFormatting sqref="L47">
    <cfRule type="iconSet" priority="2">
      <iconSet iconSet="3Symbols" showValue="0">
        <cfvo type="percent" val="0"/>
        <cfvo type="num" val="0" gte="0"/>
        <cfvo type="num" val="2"/>
      </iconSet>
    </cfRule>
  </conditionalFormatting>
  <conditionalFormatting sqref="L68">
    <cfRule type="iconSet" priority="46">
      <iconSet iconSet="3Symbols" showValue="0">
        <cfvo type="percent" val="0"/>
        <cfvo type="num" val="0" gte="0"/>
        <cfvo type="num" val="2"/>
      </iconSet>
    </cfRule>
  </conditionalFormatting>
  <conditionalFormatting sqref="L69">
    <cfRule type="iconSet" priority="44">
      <iconSet iconSet="3Symbols" showValue="0">
        <cfvo type="percent" val="0"/>
        <cfvo type="num" val="0" gte="0"/>
        <cfvo type="num" val="2"/>
      </iconSet>
    </cfRule>
  </conditionalFormatting>
  <conditionalFormatting sqref="N17:N19 V17:V18">
    <cfRule type="iconSet" priority="84">
      <iconSet iconSet="3Flags">
        <cfvo type="percent" val="0"/>
        <cfvo type="num" val="0" gte="0"/>
        <cfvo type="num" val="1000" gte="0"/>
      </iconSet>
    </cfRule>
  </conditionalFormatting>
  <conditionalFormatting sqref="N25">
    <cfRule type="iconSet" priority="85">
      <iconSet iconSet="3Symbols" showValue="0">
        <cfvo type="percent" val="0"/>
        <cfvo type="num" val="0" gte="0"/>
        <cfvo type="num" val="2"/>
      </iconSet>
    </cfRule>
  </conditionalFormatting>
  <conditionalFormatting sqref="N115">
    <cfRule type="iconSet" priority="15">
      <iconSet iconSet="3Symbols" showValue="0">
        <cfvo type="percent" val="0"/>
        <cfvo type="num" val="0" gte="0"/>
        <cfvo type="num" val="2"/>
      </iconSet>
    </cfRule>
  </conditionalFormatting>
  <conditionalFormatting sqref="O52">
    <cfRule type="notContainsBlanks" dxfId="84" priority="4">
      <formula>LEN(TRIM(O52))&gt;0</formula>
    </cfRule>
  </conditionalFormatting>
  <conditionalFormatting sqref="O17:P19">
    <cfRule type="expression" dxfId="83" priority="80">
      <formula>($P17=2)</formula>
    </cfRule>
    <cfRule type="expression" dxfId="82" priority="79">
      <formula>($P17=0)</formula>
    </cfRule>
  </conditionalFormatting>
  <conditionalFormatting sqref="P17:P19">
    <cfRule type="iconSet" priority="83">
      <iconSet iconSet="3Symbols2" showValue="0">
        <cfvo type="percent" val="0"/>
        <cfvo type="num" val="0" gte="0"/>
        <cfvo type="num" val="1" gte="0"/>
      </iconSet>
    </cfRule>
  </conditionalFormatting>
  <conditionalFormatting sqref="P42 T42 V42">
    <cfRule type="iconSet" priority="68">
      <iconSet iconSet="3Symbols" showValue="0">
        <cfvo type="percent" val="0"/>
        <cfvo type="num" val="0" gte="0"/>
        <cfvo type="num" val="2"/>
      </iconSet>
    </cfRule>
  </conditionalFormatting>
  <conditionalFormatting sqref="P44">
    <cfRule type="iconSet" priority="67">
      <iconSet iconSet="3Symbols" showValue="0">
        <cfvo type="percent" val="0"/>
        <cfvo type="num" val="0" gte="0"/>
        <cfvo type="num" val="2"/>
      </iconSet>
    </cfRule>
  </conditionalFormatting>
  <conditionalFormatting sqref="P45">
    <cfRule type="iconSet" priority="57">
      <iconSet iconSet="3Symbols" showValue="0">
        <cfvo type="percent" val="0"/>
        <cfvo type="num" val="0" gte="0"/>
        <cfvo type="num" val="2"/>
      </iconSet>
    </cfRule>
  </conditionalFormatting>
  <conditionalFormatting sqref="P47">
    <cfRule type="iconSet" priority="1">
      <iconSet iconSet="3Symbols" showValue="0">
        <cfvo type="percent" val="0"/>
        <cfvo type="num" val="0" gte="0"/>
        <cfvo type="num" val="2"/>
      </iconSet>
    </cfRule>
  </conditionalFormatting>
  <conditionalFormatting sqref="P64 T64 V64">
    <cfRule type="iconSet" priority="48">
      <iconSet iconSet="3Symbols" showValue="0">
        <cfvo type="percent" val="0"/>
        <cfvo type="num" val="0" gte="0"/>
        <cfvo type="num" val="2"/>
      </iconSet>
    </cfRule>
  </conditionalFormatting>
  <conditionalFormatting sqref="Q35">
    <cfRule type="notContainsBlanks" dxfId="81" priority="24">
      <formula>LEN(TRIM(Q35))&gt;0</formula>
    </cfRule>
  </conditionalFormatting>
  <conditionalFormatting sqref="R13 N13 J13">
    <cfRule type="iconSet" priority="81">
      <iconSet iconSet="3Symbols" showValue="0">
        <cfvo type="percent" val="0"/>
        <cfvo type="num" val="0" gte="0"/>
        <cfvo type="num" val="2"/>
      </iconSet>
    </cfRule>
  </conditionalFormatting>
  <conditionalFormatting sqref="R29">
    <cfRule type="iconSet" priority="61">
      <iconSet iconSet="3Symbols" showValue="0">
        <cfvo type="percent" val="0"/>
        <cfvo type="num" val="0" gte="0"/>
        <cfvo type="num" val="2"/>
      </iconSet>
    </cfRule>
  </conditionalFormatting>
  <conditionalFormatting sqref="R45">
    <cfRule type="iconSet" priority="56">
      <iconSet iconSet="3Symbols" showValue="0">
        <cfvo type="percent" val="0"/>
        <cfvo type="num" val="0" gte="0"/>
        <cfvo type="num" val="2"/>
      </iconSet>
    </cfRule>
  </conditionalFormatting>
  <conditionalFormatting sqref="R69">
    <cfRule type="iconSet" priority="43">
      <iconSet iconSet="3Symbols" showValue="0">
        <cfvo type="percent" val="0"/>
        <cfvo type="num" val="0" gte="0"/>
        <cfvo type="num" val="2"/>
      </iconSet>
    </cfRule>
  </conditionalFormatting>
  <conditionalFormatting sqref="R117 X117 N115">
    <cfRule type="iconSet" priority="16">
      <iconSet iconSet="3Symbols" showValue="0">
        <cfvo type="percent" val="0"/>
        <cfvo type="num" val="0" gte="0"/>
        <cfvo type="num" val="2"/>
      </iconSet>
    </cfRule>
  </conditionalFormatting>
  <conditionalFormatting sqref="R117">
    <cfRule type="iconSet" priority="17">
      <iconSet iconSet="3Symbols" showValue="0">
        <cfvo type="percent" val="0"/>
        <cfvo type="num" val="0" gte="0"/>
        <cfvo type="num" val="2"/>
      </iconSet>
    </cfRule>
  </conditionalFormatting>
  <conditionalFormatting sqref="S3">
    <cfRule type="dataBar" priority="82">
      <dataBar>
        <cfvo type="num" val="0"/>
        <cfvo type="num" val="1"/>
        <color theme="6" tint="-0.249977111117893"/>
      </dataBar>
      <extLst>
        <ext xmlns:x14="http://schemas.microsoft.com/office/spreadsheetml/2009/9/main" uri="{B025F937-C7B1-47D3-B67F-A62EFF666E3E}">
          <x14:id>{7E9DC9E8-08E2-4225-8F9E-FD7D6279B654}</x14:id>
        </ext>
      </extLst>
    </cfRule>
  </conditionalFormatting>
  <conditionalFormatting sqref="T3">
    <cfRule type="iconSet" priority="73">
      <iconSet iconSet="3Symbols2" showValue="0">
        <cfvo type="percent" val="0"/>
        <cfvo type="num" val="0" gte="0"/>
        <cfvo type="num" val="1" gte="0"/>
      </iconSet>
    </cfRule>
  </conditionalFormatting>
  <conditionalFormatting sqref="T44">
    <cfRule type="iconSet" priority="66">
      <iconSet iconSet="3Symbols" showValue="0">
        <cfvo type="percent" val="0"/>
        <cfvo type="num" val="0" gte="0"/>
        <cfvo type="num" val="2"/>
      </iconSet>
    </cfRule>
  </conditionalFormatting>
  <conditionalFormatting sqref="T45">
    <cfRule type="iconSet" priority="54">
      <iconSet iconSet="3Symbols" showValue="0">
        <cfvo type="percent" val="0"/>
        <cfvo type="num" val="0" gte="0"/>
        <cfvo type="num" val="2"/>
      </iconSet>
    </cfRule>
  </conditionalFormatting>
  <conditionalFormatting sqref="T78">
    <cfRule type="iconSet" priority="38">
      <iconSet iconSet="3Symbols" showValue="0">
        <cfvo type="percent" val="0"/>
        <cfvo type="num" val="0" gte="0"/>
        <cfvo type="num" val="2"/>
      </iconSet>
    </cfRule>
  </conditionalFormatting>
  <conditionalFormatting sqref="T84">
    <cfRule type="iconSet" priority="36">
      <iconSet iconSet="3Symbols" showValue="0">
        <cfvo type="percent" val="0"/>
        <cfvo type="num" val="0" gte="0"/>
        <cfvo type="num" val="2"/>
      </iconSet>
    </cfRule>
  </conditionalFormatting>
  <conditionalFormatting sqref="T85">
    <cfRule type="iconSet" priority="34">
      <iconSet iconSet="3Symbols" showValue="0">
        <cfvo type="percent" val="0"/>
        <cfvo type="num" val="0" gte="0"/>
        <cfvo type="num" val="2"/>
      </iconSet>
    </cfRule>
  </conditionalFormatting>
  <conditionalFormatting sqref="T86">
    <cfRule type="iconSet" priority="32">
      <iconSet iconSet="3Symbols" showValue="0">
        <cfvo type="percent" val="0"/>
        <cfvo type="num" val="0" gte="0"/>
        <cfvo type="num" val="2"/>
      </iconSet>
    </cfRule>
  </conditionalFormatting>
  <conditionalFormatting sqref="T87">
    <cfRule type="iconSet" priority="30">
      <iconSet iconSet="3Symbols" showValue="0">
        <cfvo type="percent" val="0"/>
        <cfvo type="num" val="0" gte="0"/>
        <cfvo type="num" val="2"/>
      </iconSet>
    </cfRule>
  </conditionalFormatting>
  <conditionalFormatting sqref="T115">
    <cfRule type="iconSet" priority="12">
      <iconSet iconSet="3Symbols" showValue="0">
        <cfvo type="percent" val="0"/>
        <cfvo type="num" val="0" gte="0"/>
        <cfvo type="num" val="2"/>
      </iconSet>
    </cfRule>
    <cfRule type="iconSet" priority="11">
      <iconSet iconSet="3Symbols" showValue="0">
        <cfvo type="percent" val="0"/>
        <cfvo type="num" val="0" gte="0"/>
        <cfvo type="num" val="2"/>
      </iconSet>
    </cfRule>
  </conditionalFormatting>
  <conditionalFormatting sqref="U62:W62">
    <cfRule type="expression" dxfId="80" priority="21">
      <formula>$C$86=1</formula>
    </cfRule>
  </conditionalFormatting>
  <conditionalFormatting sqref="U85:X87">
    <cfRule type="expression" dxfId="79" priority="25">
      <formula>OR(DATA_OTHER_NON_FHLB_GRANT_FLAG&lt;&gt;TRUE,$I85="",$T85=0)</formula>
    </cfRule>
  </conditionalFormatting>
  <conditionalFormatting sqref="V19">
    <cfRule type="iconSet" priority="8">
      <iconSet iconSet="3Flags">
        <cfvo type="percent" val="0"/>
        <cfvo type="num" val="0" gte="0"/>
        <cfvo type="num" val="1000" gte="0"/>
      </iconSet>
    </cfRule>
  </conditionalFormatting>
  <conditionalFormatting sqref="V68">
    <cfRule type="iconSet" priority="45">
      <iconSet iconSet="3Symbols" showValue="0">
        <cfvo type="percent" val="0"/>
        <cfvo type="num" val="0" gte="0"/>
        <cfvo type="num" val="2"/>
      </iconSet>
    </cfRule>
  </conditionalFormatting>
  <conditionalFormatting sqref="W49:W51">
    <cfRule type="expression" dxfId="78" priority="20">
      <formula>$C87=1</formula>
    </cfRule>
  </conditionalFormatting>
  <conditionalFormatting sqref="W17:X19">
    <cfRule type="expression" dxfId="77" priority="5">
      <formula>($X17=0)</formula>
    </cfRule>
    <cfRule type="expression" dxfId="76" priority="6">
      <formula>($X17=2)</formula>
    </cfRule>
  </conditionalFormatting>
  <conditionalFormatting sqref="X17">
    <cfRule type="iconSet" priority="75">
      <iconSet iconSet="3Symbols2" showValue="0">
        <cfvo type="percent" val="0"/>
        <cfvo type="num" val="0" gte="0"/>
        <cfvo type="num" val="1" gte="0"/>
      </iconSet>
    </cfRule>
  </conditionalFormatting>
  <conditionalFormatting sqref="X18">
    <cfRule type="iconSet" priority="74">
      <iconSet iconSet="3Symbols2" showValue="0">
        <cfvo type="percent" val="0"/>
        <cfvo type="num" val="0" gte="0"/>
        <cfvo type="num" val="1" gte="0"/>
      </iconSet>
    </cfRule>
  </conditionalFormatting>
  <conditionalFormatting sqref="X19">
    <cfRule type="iconSet" priority="7">
      <iconSet iconSet="3Symbols2" showValue="0">
        <cfvo type="percent" val="0"/>
        <cfvo type="num" val="0" gte="0"/>
        <cfvo type="num" val="1" gte="0"/>
      </iconSet>
    </cfRule>
  </conditionalFormatting>
  <conditionalFormatting sqref="X24">
    <cfRule type="iconSet" priority="86">
      <iconSet iconSet="3Symbols" showValue="0">
        <cfvo type="percent" val="0"/>
        <cfvo type="num" val="0" gte="0"/>
        <cfvo type="num" val="2"/>
      </iconSet>
    </cfRule>
  </conditionalFormatting>
  <conditionalFormatting sqref="X25">
    <cfRule type="iconSet" priority="87">
      <iconSet iconSet="3Symbols" showValue="0">
        <cfvo type="percent" val="0"/>
        <cfvo type="num" val="0" gte="0"/>
        <cfvo type="num" val="2"/>
      </iconSet>
    </cfRule>
  </conditionalFormatting>
  <conditionalFormatting sqref="X29 R29">
    <cfRule type="iconSet" priority="62">
      <iconSet iconSet="3Symbols" showValue="0">
        <cfvo type="percent" val="0"/>
        <cfvo type="num" val="0" gte="0"/>
        <cfvo type="num" val="2"/>
      </iconSet>
    </cfRule>
  </conditionalFormatting>
  <conditionalFormatting sqref="X29">
    <cfRule type="iconSet" priority="60">
      <iconSet iconSet="3Symbols" showValue="0">
        <cfvo type="percent" val="0"/>
        <cfvo type="num" val="0" gte="0"/>
        <cfvo type="num" val="2"/>
      </iconSet>
    </cfRule>
  </conditionalFormatting>
  <conditionalFormatting sqref="X34">
    <cfRule type="iconSet" priority="72">
      <iconSet iconSet="3Symbols" showValue="0">
        <cfvo type="percent" val="0"/>
        <cfvo type="num" val="0" gte="0"/>
        <cfvo type="num" val="2"/>
      </iconSet>
    </cfRule>
  </conditionalFormatting>
  <conditionalFormatting sqref="X36">
    <cfRule type="iconSet" priority="69">
      <iconSet iconSet="3Symbols" showValue="0">
        <cfvo type="percent" val="0"/>
        <cfvo type="num" val="0" gte="0"/>
        <cfvo type="num" val="2"/>
      </iconSet>
    </cfRule>
  </conditionalFormatting>
  <conditionalFormatting sqref="X42">
    <cfRule type="iconSet" priority="23">
      <iconSet iconSet="3Flags" showValue="0">
        <cfvo type="percent" val="0"/>
        <cfvo type="num" val="1"/>
        <cfvo type="num" val="2" gte="0"/>
      </iconSet>
    </cfRule>
  </conditionalFormatting>
  <conditionalFormatting sqref="X44">
    <cfRule type="iconSet" priority="65">
      <iconSet iconSet="3Symbols" showValue="0">
        <cfvo type="percent" val="0"/>
        <cfvo type="num" val="0" gte="0"/>
        <cfvo type="num" val="2"/>
      </iconSet>
    </cfRule>
  </conditionalFormatting>
  <conditionalFormatting sqref="X45">
    <cfRule type="iconSet" priority="55">
      <iconSet iconSet="3Symbols" showValue="0">
        <cfvo type="percent" val="0"/>
        <cfvo type="num" val="0" gte="0"/>
        <cfvo type="num" val="2"/>
      </iconSet>
    </cfRule>
  </conditionalFormatting>
  <conditionalFormatting sqref="X49">
    <cfRule type="iconSet" priority="53">
      <iconSet iconSet="3Symbols" showValue="0">
        <cfvo type="percent" val="0"/>
        <cfvo type="num" val="0" gte="0"/>
        <cfvo type="num" val="2"/>
      </iconSet>
    </cfRule>
  </conditionalFormatting>
  <conditionalFormatting sqref="X50">
    <cfRule type="iconSet" priority="52">
      <iconSet iconSet="3Symbols" showValue="0">
        <cfvo type="percent" val="0"/>
        <cfvo type="num" val="0" gte="0"/>
        <cfvo type="num" val="2"/>
      </iconSet>
    </cfRule>
  </conditionalFormatting>
  <conditionalFormatting sqref="X51:X52">
    <cfRule type="iconSet" priority="51">
      <iconSet iconSet="3Symbols" showValue="0">
        <cfvo type="percent" val="0"/>
        <cfvo type="num" val="0" gte="0"/>
        <cfvo type="num" val="2"/>
      </iconSet>
    </cfRule>
  </conditionalFormatting>
  <conditionalFormatting sqref="X54">
    <cfRule type="iconSet" priority="19">
      <iconSet iconSet="3Symbols" showValue="0">
        <cfvo type="percent" val="0"/>
        <cfvo type="num" val="0" gte="0"/>
        <cfvo type="num" val="2"/>
      </iconSet>
    </cfRule>
  </conditionalFormatting>
  <conditionalFormatting sqref="X61">
    <cfRule type="iconSet" priority="50">
      <iconSet iconSet="3Symbols" showValue="0">
        <cfvo type="percent" val="0"/>
        <cfvo type="num" val="0" gte="0"/>
        <cfvo type="num" val="2"/>
      </iconSet>
    </cfRule>
  </conditionalFormatting>
  <conditionalFormatting sqref="X62">
    <cfRule type="iconSet" priority="49">
      <iconSet iconSet="3Symbols" showValue="0">
        <cfvo type="percent" val="0"/>
        <cfvo type="num" val="0" gte="0"/>
        <cfvo type="num" val="2"/>
      </iconSet>
    </cfRule>
  </conditionalFormatting>
  <conditionalFormatting sqref="X66">
    <cfRule type="iconSet" priority="47">
      <iconSet iconSet="3Symbols" showValue="0">
        <cfvo type="percent" val="0"/>
        <cfvo type="num" val="0" gte="0"/>
        <cfvo type="num" val="2"/>
      </iconSet>
    </cfRule>
  </conditionalFormatting>
  <conditionalFormatting sqref="X69">
    <cfRule type="iconSet" priority="42">
      <iconSet iconSet="3Symbols" showValue="0">
        <cfvo type="percent" val="0"/>
        <cfvo type="num" val="0" gte="0"/>
        <cfvo type="num" val="2"/>
      </iconSet>
    </cfRule>
  </conditionalFormatting>
  <conditionalFormatting sqref="X74">
    <cfRule type="iconSet" priority="39">
      <iconSet iconSet="3Symbols" showValue="0">
        <cfvo type="percent" val="0"/>
        <cfvo type="num" val="0" gte="0"/>
        <cfvo type="num" val="2"/>
      </iconSet>
    </cfRule>
  </conditionalFormatting>
  <conditionalFormatting sqref="X78">
    <cfRule type="iconSet" priority="37">
      <iconSet iconSet="3Symbols" showValue="0">
        <cfvo type="percent" val="0"/>
        <cfvo type="num" val="0" gte="0"/>
        <cfvo type="num" val="2"/>
      </iconSet>
    </cfRule>
  </conditionalFormatting>
  <conditionalFormatting sqref="X81">
    <cfRule type="iconSet" priority="40">
      <iconSet iconSet="3Symbols" showValue="0">
        <cfvo type="percent" val="0"/>
        <cfvo type="num" val="0" gte="0"/>
        <cfvo type="num" val="2"/>
      </iconSet>
    </cfRule>
  </conditionalFormatting>
  <conditionalFormatting sqref="X84">
    <cfRule type="iconSet" priority="35">
      <iconSet iconSet="3Symbols" showValue="0">
        <cfvo type="percent" val="0"/>
        <cfvo type="num" val="0" gte="0"/>
        <cfvo type="num" val="2"/>
      </iconSet>
    </cfRule>
  </conditionalFormatting>
  <conditionalFormatting sqref="X85">
    <cfRule type="iconSet" priority="33">
      <iconSet iconSet="3Symbols" showValue="0">
        <cfvo type="percent" val="0"/>
        <cfvo type="num" val="0" gte="0"/>
        <cfvo type="num" val="2"/>
      </iconSet>
    </cfRule>
  </conditionalFormatting>
  <conditionalFormatting sqref="X86">
    <cfRule type="iconSet" priority="31">
      <iconSet iconSet="3Symbols" showValue="0">
        <cfvo type="percent" val="0"/>
        <cfvo type="num" val="0" gte="0"/>
        <cfvo type="num" val="2"/>
      </iconSet>
    </cfRule>
  </conditionalFormatting>
  <conditionalFormatting sqref="X87">
    <cfRule type="iconSet" priority="29">
      <iconSet iconSet="3Symbols" showValue="0">
        <cfvo type="percent" val="0"/>
        <cfvo type="num" val="0" gte="0"/>
        <cfvo type="num" val="2"/>
      </iconSet>
    </cfRule>
  </conditionalFormatting>
  <conditionalFormatting sqref="X115">
    <cfRule type="iconSet" priority="10">
      <iconSet iconSet="3Symbols" showValue="0">
        <cfvo type="percent" val="0"/>
        <cfvo type="num" val="0" gte="0"/>
        <cfvo type="num" val="2"/>
      </iconSet>
    </cfRule>
    <cfRule type="iconSet" priority="9">
      <iconSet iconSet="3Symbols" showValue="0">
        <cfvo type="percent" val="0"/>
        <cfvo type="num" val="0" gte="0"/>
        <cfvo type="num" val="2"/>
      </iconSet>
    </cfRule>
  </conditionalFormatting>
  <conditionalFormatting sqref="X117">
    <cfRule type="iconSet" priority="14">
      <iconSet iconSet="3Symbols" showValue="0">
        <cfvo type="percent" val="0"/>
        <cfvo type="num" val="0" gte="0"/>
        <cfvo type="num" val="2"/>
      </iconSet>
    </cfRule>
  </conditionalFormatting>
  <dataValidations count="32">
    <dataValidation type="textLength" allowBlank="1" showInputMessage="1" showErrorMessage="1" error="Maximum Number of Characters Exceeded" sqref="S29:W29" xr:uid="{BF497B55-7F98-4630-B022-E51029B56CF3}">
      <formula1>E34</formula1>
      <formula2>F34</formula2>
    </dataValidation>
    <dataValidation type="textLength" allowBlank="1" showInputMessage="1" showErrorMessage="1" error="Maximum Number of Characters Exceeded" sqref="M29:Q29" xr:uid="{28B125AA-2AFE-4E50-B0A8-FA6D0B864CF6}">
      <formula1>E33</formula1>
      <formula2>F33</formula2>
    </dataValidation>
    <dataValidation type="whole" allowBlank="1" showInputMessage="1" showErrorMessage="1" error="Invalid Household ID Entered" sqref="I29:K29" xr:uid="{F8DC16EF-4EF8-4DA6-A083-06170DC321C9}">
      <formula1>E32</formula1>
      <formula2>F32</formula2>
    </dataValidation>
    <dataValidation type="date" operator="greaterThanOrEqual" allowBlank="1" showErrorMessage="1" sqref="U115:W115" xr:uid="{C219D94E-9459-4AFA-BE04-91B9F5CE831E}">
      <formula1>43466</formula1>
    </dataValidation>
    <dataValidation type="decimal" allowBlank="1" showInputMessage="1" showErrorMessage="1" sqref="U62:W62 I69:K69" xr:uid="{D00C0271-8F49-4C8B-8D7D-666ED0EC1117}">
      <formula1>$E68</formula1>
      <formula2>$F68</formula2>
    </dataValidation>
    <dataValidation type="decimal" allowBlank="1" showInputMessage="1" showErrorMessage="1" sqref="W50:W51 U85:W85" xr:uid="{6631D7C5-660C-4D7F-9AED-A4CADDA7B24F}">
      <formula1>$E62</formula1>
      <formula2>$F62</formula2>
    </dataValidation>
    <dataValidation type="decimal" allowBlank="1" showInputMessage="1" showErrorMessage="1" sqref="O69:Q69" xr:uid="{9A369185-0965-47B5-8831-1629381EF8F9}">
      <formula1>$E76</formula1>
      <formula2>$F76</formula2>
    </dataValidation>
    <dataValidation type="decimal" allowBlank="1" showInputMessage="1" showErrorMessage="1" sqref="U84:W84" xr:uid="{2A399AD3-3E4C-4F2B-AD9B-8A151ADC4E31}">
      <formula1>$E95</formula1>
      <formula2>$F95</formula2>
    </dataValidation>
    <dataValidation type="decimal" allowBlank="1" showInputMessage="1" showErrorMessage="1" sqref="U86:W86" xr:uid="{66910236-AD85-402D-92E3-BE1B2A858811}">
      <formula1>$E99</formula1>
      <formula2>$F99</formula2>
    </dataValidation>
    <dataValidation type="textLength" allowBlank="1" showInputMessage="1" showErrorMessage="1" error="Maximum Number of Characters Exceeded" sqref="I78:S78" xr:uid="{5A676A93-2C22-4D58-AA4A-8481BA03FD6D}">
      <formula1>$E103</formula1>
      <formula2>$F103</formula2>
    </dataValidation>
    <dataValidation type="decimal" allowBlank="1" showInputMessage="1" showErrorMessage="1" sqref="U78:W78 Q45" xr:uid="{DF385A5E-6BCE-483B-8111-D5AAA867E0ED}">
      <formula1>$E71</formula1>
      <formula2>$F71</formula2>
    </dataValidation>
    <dataValidation type="textLength" allowBlank="1" showInputMessage="1" showErrorMessage="1" sqref="I87:S87" xr:uid="{4DBF0E7F-E776-42A0-B9EB-1FB2CBFB29F6}">
      <formula1>$E100</formula1>
      <formula2>$F100</formula2>
    </dataValidation>
    <dataValidation type="textLength" allowBlank="1" showInputMessage="1" showErrorMessage="1" sqref="I86:S86" xr:uid="{55B89BA8-7713-4AA5-A18E-1BD535FFBDE0}">
      <formula1>$E98</formula1>
      <formula2>$F98</formula2>
    </dataValidation>
    <dataValidation type="textLength" allowBlank="1" showInputMessage="1" showErrorMessage="1" sqref="I85:S85" xr:uid="{B917DEC0-4DFB-4DFE-8A6C-5594C43B095A}">
      <formula1>$E96</formula1>
      <formula2>$F96</formula2>
    </dataValidation>
    <dataValidation type="textLength" allowBlank="1" showInputMessage="1" showErrorMessage="1" sqref="I84:S84" xr:uid="{D5133BBF-4703-4A9F-9AA6-AEF0963D8225}">
      <formula1>$E94</formula1>
      <formula2>$F94</formula2>
    </dataValidation>
    <dataValidation type="whole" allowBlank="1" showInputMessage="1" showErrorMessage="1" sqref="U69:W69" xr:uid="{FB76C7B6-A036-4CCF-A075-2EEFDD66D05D}">
      <formula1>$E77</formula1>
      <formula2>$F77</formula2>
    </dataValidation>
    <dataValidation type="decimal" allowBlank="1" showInputMessage="1" showErrorMessage="1" sqref="U61:W61" xr:uid="{B87D53AE-44B2-4DFE-B708-B33AF15ACF42}">
      <formula1>$E69</formula1>
      <formula2>$F69</formula2>
    </dataValidation>
    <dataValidation type="whole" allowBlank="1" showInputMessage="1" showErrorMessage="1" sqref="S45" xr:uid="{92AE5D45-DE7D-46F1-84BB-4145FD6E6275}">
      <formula1>$E72</formula1>
      <formula2>$F72</formula2>
    </dataValidation>
    <dataValidation type="decimal" allowBlank="1" showInputMessage="1" showErrorMessage="1" sqref="M45:O45" xr:uid="{FAB374F5-64EF-4BBE-86ED-E9C6E71E1CFF}">
      <formula1>$E70</formula1>
      <formula2>$F70</formula2>
    </dataValidation>
    <dataValidation type="list" allowBlank="1" showInputMessage="1" showErrorMessage="1" error="Invalid Mortgage Type Selected" sqref="U45" xr:uid="{A80E83A3-49EB-4401-A221-778DF1A8C330}">
      <formula1>RANGE_LOOKUP_MTG_TYPE</formula1>
    </dataValidation>
    <dataValidation type="textLength" allowBlank="1" showInputMessage="1" showErrorMessage="1" error="Maximum Number of Characters Exceeded" sqref="I24" xr:uid="{58C0C206-71B6-43D9-8CFB-ED9901FB8E3A}">
      <formula1>E19</formula1>
      <formula2>F19</formula2>
    </dataValidation>
    <dataValidation type="list" allowBlank="1" showInputMessage="1" showErrorMessage="1" error="Select 'Yes' or 'No'" sqref="W36 W66 W81 W74" xr:uid="{3D4A01EB-6B9F-4E92-B233-C2F0AA6CEB23}">
      <formula1>RANGE_LOOKUP_YESNO</formula1>
    </dataValidation>
    <dataValidation type="custom" showInputMessage="1" showErrorMessage="1" errorTitle="No Data Entry" error="Field is Read-Only" sqref="H15" xr:uid="{073BE2DD-8551-4D8A-B7DD-702E848E8C4E}">
      <formula1>"&lt;0&gt;0"</formula1>
    </dataValidation>
    <dataValidation type="date" operator="greaterThanOrEqual" allowBlank="1" showInputMessage="1" showErrorMessage="1" sqref="I45:K45" xr:uid="{A2B4C353-29E5-4FE9-9E10-6F5496095910}">
      <formula1>43101</formula1>
    </dataValidation>
    <dataValidation type="decimal" allowBlank="1" showInputMessage="1" showErrorMessage="1" error="Invalid Grant Amount Requested" sqref="U34:W34" xr:uid="{87D7A2E4-A630-4D31-8E25-46D8BA1C7C6C}">
      <formula1>E46</formula1>
      <formula2>F46</formula2>
    </dataValidation>
    <dataValidation type="decimal" allowBlank="1" showInputMessage="1" showErrorMessage="1" sqref="U87:W87" xr:uid="{0B7F7151-31D5-4F01-8A6E-8AC35A73FFE2}">
      <formula1>$E101</formula1>
      <formula2>$F101</formula2>
    </dataValidation>
    <dataValidation type="textLength" allowBlank="1" showInputMessage="1" showErrorMessage="1" error="Maximum Number of Characters Exceeded" sqref="I115:M115" xr:uid="{BB63FD97-DC76-408E-8B45-61B01E930EC1}">
      <formula1>E116</formula1>
      <formula2>F116</formula2>
    </dataValidation>
    <dataValidation type="textLength" allowBlank="1" showInputMessage="1" showErrorMessage="1" error="Maximum Number of Characters Exceeded" sqref="I117:Q117" xr:uid="{7D580DFC-6826-4DC1-8C7E-106875CA4C2C}">
      <formula1>E119</formula1>
      <formula2>F119</formula2>
    </dataValidation>
    <dataValidation type="textLength" allowBlank="1" showInputMessage="1" showErrorMessage="1" error="Maximum Number of Characters Exceeded" sqref="O115:S115" xr:uid="{AE8C44AC-F377-4472-A1AD-A32C199E7CE3}">
      <formula1>E117</formula1>
      <formula2>F117</formula2>
    </dataValidation>
    <dataValidation type="textLength" allowBlank="1" showInputMessage="1" showErrorMessage="1" error="Invalid Phone Number Entered" sqref="S117:W117" xr:uid="{F1801AE4-4006-408E-B1FE-3FAA6204B4F5}">
      <formula1>E120</formula1>
      <formula2>F120</formula2>
    </dataValidation>
    <dataValidation type="decimal" allowBlank="1" showInputMessage="1" showErrorMessage="1" sqref="I47:K47" xr:uid="{A30AFB65-7FAD-4CB0-9D0A-089CCE8070AA}">
      <formula1>E65</formula1>
      <formula2>F65</formula2>
    </dataValidation>
    <dataValidation type="decimal" allowBlank="1" showInputMessage="1" showErrorMessage="1" sqref="M47:O47" xr:uid="{7A60CF77-9960-4CA4-ACC4-CD0B54EDB8C2}">
      <formula1>E66</formula1>
      <formula2>F66</formula2>
    </dataValidation>
  </dataValidations>
  <pageMargins left="0.25" right="0.25" top="0.5" bottom="0.5" header="0.3" footer="0.3"/>
  <pageSetup scale="90" fitToHeight="0" orientation="portrait" r:id="rId1"/>
  <headerFooter>
    <oddFooter>&amp;R&amp;8&amp;P of &amp;N</oddFooter>
  </headerFooter>
  <rowBreaks count="3" manualBreakCount="3">
    <brk id="30" min="7" max="24" man="1"/>
    <brk id="63" min="7" max="24" man="1"/>
    <brk id="88" min="7" max="24" man="1"/>
  </rowBreaks>
  <drawing r:id="rId2"/>
  <extLst>
    <ext xmlns:x14="http://schemas.microsoft.com/office/spreadsheetml/2009/9/main" uri="{78C0D931-6437-407d-A8EE-F0AAD7539E65}">
      <x14:conditionalFormattings>
        <x14:conditionalFormatting xmlns:xm="http://schemas.microsoft.com/office/excel/2006/main">
          <x14:cfRule type="dataBar" id="{7E9DC9E8-08E2-4225-8F9E-FD7D6279B654}">
            <x14:dataBar direction="leftToRight" axisPosition="none">
              <x14:cfvo type="num">
                <xm:f>0</xm:f>
              </x14:cfvo>
              <x14:cfvo type="num">
                <xm:f>1</xm:f>
              </x14:cfvo>
              <x14:negativeFillColor theme="5"/>
            </x14:dataBar>
          </x14:cfRule>
          <xm:sqref>S3</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1C310-2BFB-4C64-90E0-2328A9549190}">
  <sheetPr>
    <pageSetUpPr autoPageBreaks="0" fitToPage="1"/>
  </sheetPr>
  <dimension ref="A1:Y154"/>
  <sheetViews>
    <sheetView showGridLines="0" showRowColHeaders="0" topLeftCell="H1" zoomScaleNormal="100" zoomScaleSheetLayoutView="100" workbookViewId="0">
      <pane ySplit="4" topLeftCell="A5" activePane="bottomLeft" state="frozen"/>
      <selection activeCell="H5" sqref="H5"/>
      <selection pane="bottomLeft" activeCell="H5" sqref="H5"/>
    </sheetView>
  </sheetViews>
  <sheetFormatPr defaultColWidth="0" defaultRowHeight="15" customHeight="1" zeroHeight="1" x14ac:dyDescent="0.25"/>
  <cols>
    <col min="1" max="1" width="27.5703125" style="67" hidden="1" customWidth="1"/>
    <col min="2" max="7" width="15.7109375" style="67" hidden="1" customWidth="1"/>
    <col min="8" max="8" width="2.42578125" customWidth="1"/>
    <col min="9" max="9" width="10.7109375" customWidth="1"/>
    <col min="10" max="10" width="2.7109375" style="44" customWidth="1"/>
    <col min="11" max="11" width="10.7109375" customWidth="1"/>
    <col min="12" max="12" width="2.7109375" style="44" customWidth="1"/>
    <col min="13" max="13" width="10.7109375" customWidth="1"/>
    <col min="14" max="14" width="2.7109375" style="44" customWidth="1"/>
    <col min="15" max="15" width="10.7109375" customWidth="1"/>
    <col min="16" max="16" width="2.7109375" style="44" customWidth="1"/>
    <col min="17" max="17" width="10.7109375" customWidth="1"/>
    <col min="18" max="18" width="2.7109375" style="44" customWidth="1"/>
    <col min="19" max="19" width="10.7109375" customWidth="1"/>
    <col min="20" max="20" width="2.7109375" style="44" customWidth="1"/>
    <col min="21" max="21" width="10.7109375" customWidth="1"/>
    <col min="22" max="22" width="2.7109375" style="44" customWidth="1"/>
    <col min="23" max="23" width="10.7109375" customWidth="1"/>
    <col min="24" max="24" width="2.7109375" style="44" customWidth="1"/>
    <col min="25" max="25" width="2.42578125" customWidth="1"/>
    <col min="26" max="16384" width="9.140625" hidden="1"/>
  </cols>
  <sheetData>
    <row r="1" spans="1:25" ht="40.5" customHeight="1" thickBot="1" x14ac:dyDescent="0.3">
      <c r="A1" s="43" t="s">
        <v>179</v>
      </c>
      <c r="B1" s="43" t="s">
        <v>178</v>
      </c>
      <c r="C1" s="43" t="s">
        <v>175</v>
      </c>
      <c r="D1" s="43" t="s">
        <v>176</v>
      </c>
      <c r="E1" s="43" t="s">
        <v>173</v>
      </c>
      <c r="F1" s="43" t="s">
        <v>174</v>
      </c>
      <c r="G1" s="84" t="s">
        <v>177</v>
      </c>
      <c r="H1" s="82"/>
      <c r="I1" s="82"/>
      <c r="J1" s="83"/>
      <c r="K1" s="82"/>
      <c r="L1" s="83"/>
      <c r="M1" s="82"/>
      <c r="N1" s="83"/>
      <c r="O1" s="82"/>
      <c r="P1" s="83"/>
      <c r="Q1" s="82"/>
      <c r="R1" s="83"/>
      <c r="S1" s="82"/>
      <c r="T1" s="83"/>
      <c r="U1" s="82"/>
      <c r="V1" s="83"/>
      <c r="W1" s="82"/>
      <c r="X1" s="83"/>
      <c r="Y1" s="82"/>
    </row>
    <row r="2" spans="1:25" ht="3" customHeight="1" x14ac:dyDescent="0.25">
      <c r="A2" s="45"/>
      <c r="B2" s="45"/>
      <c r="C2" s="45"/>
      <c r="D2" s="45"/>
      <c r="E2" s="45"/>
      <c r="F2" s="45"/>
      <c r="G2" s="45"/>
      <c r="H2" s="46"/>
      <c r="I2" s="75"/>
      <c r="J2" s="75"/>
      <c r="K2" s="75"/>
      <c r="L2" s="75"/>
      <c r="M2" s="75"/>
      <c r="N2" s="75"/>
      <c r="O2" s="75"/>
      <c r="P2" s="76"/>
      <c r="Q2" s="76"/>
      <c r="R2" s="47"/>
      <c r="S2" s="48"/>
      <c r="T2" s="47"/>
      <c r="U2" s="47"/>
      <c r="V2" s="47"/>
      <c r="W2" s="47"/>
      <c r="X2" s="47"/>
      <c r="Y2" s="47"/>
    </row>
    <row r="3" spans="1:25" ht="15" customHeight="1" x14ac:dyDescent="0.25">
      <c r="A3" s="45"/>
      <c r="B3" s="45"/>
      <c r="C3" s="45"/>
      <c r="D3" s="45"/>
      <c r="E3" s="45"/>
      <c r="F3" s="45"/>
      <c r="G3" s="45"/>
      <c r="H3" s="49"/>
      <c r="I3" s="75" t="str">
        <f ca="1">(LEFT($B$8,40)&amp;IF(LEN($B$8)&gt;40,"…",""))</f>
        <v>Household Not Yet Specified</v>
      </c>
      <c r="J3" s="75"/>
      <c r="K3" s="75"/>
      <c r="L3" s="75"/>
      <c r="M3" s="75"/>
      <c r="N3" s="75"/>
      <c r="O3" s="75"/>
      <c r="P3" s="76"/>
      <c r="Q3" s="76"/>
      <c r="R3" s="76" t="s">
        <v>2140</v>
      </c>
      <c r="S3" s="133" t="str">
        <f>IF('$DB.DATA'!G11="ADL",VLOOKUP("APP_PROGRESS_PCT_COMPLETE",DB_TBL_DATA_FIELDS[[FIELD_ID]:[FIELD_VALUE_CLEAN]],10,FALSE),"N/A")</f>
        <v>N/A</v>
      </c>
      <c r="T3" s="117" t="str">
        <f ca="1">IF(DATA_APP_PROGRESS_ERROR_COUNT&gt;0,0,IF(DATA_EFORM_COMPLETE_FLAG,2,""))</f>
        <v/>
      </c>
      <c r="U3" s="49"/>
      <c r="V3" s="50"/>
      <c r="W3" s="49"/>
      <c r="X3" s="50"/>
      <c r="Y3" s="49"/>
    </row>
    <row r="4" spans="1:25" ht="3" customHeight="1" x14ac:dyDescent="0.25">
      <c r="A4" s="45"/>
      <c r="B4" s="45"/>
      <c r="C4" s="45"/>
      <c r="D4" s="45"/>
      <c r="E4" s="45"/>
      <c r="F4" s="45"/>
      <c r="G4" s="45"/>
      <c r="H4" s="34"/>
      <c r="I4" s="85"/>
      <c r="J4" s="85"/>
      <c r="K4" s="85"/>
      <c r="L4" s="85"/>
      <c r="M4" s="85"/>
      <c r="N4" s="85"/>
      <c r="O4" s="85"/>
      <c r="P4" s="86"/>
      <c r="Q4" s="86"/>
      <c r="R4" s="87"/>
      <c r="S4" s="34"/>
      <c r="T4" s="87"/>
      <c r="U4" s="34"/>
      <c r="V4" s="87"/>
      <c r="W4" s="34"/>
      <c r="X4" s="87"/>
      <c r="Y4" s="34"/>
    </row>
    <row r="5" spans="1:25" ht="3.95" customHeight="1" x14ac:dyDescent="0.25">
      <c r="A5" s="45"/>
      <c r="B5" s="45"/>
      <c r="C5" s="45"/>
      <c r="D5" s="45"/>
      <c r="E5" s="45"/>
      <c r="F5" s="45"/>
      <c r="G5" s="45"/>
      <c r="H5" s="39"/>
      <c r="I5" s="79"/>
      <c r="J5" s="79"/>
      <c r="K5" s="79"/>
      <c r="L5" s="79"/>
      <c r="M5" s="79"/>
      <c r="N5" s="79"/>
      <c r="O5" s="79"/>
      <c r="P5" s="80"/>
      <c r="Q5" s="80"/>
    </row>
    <row r="6" spans="1:25" ht="18" customHeight="1" x14ac:dyDescent="0.25">
      <c r="A6" s="51" t="s">
        <v>32</v>
      </c>
      <c r="B6" s="94" t="str">
        <f>LOOKUP_PROGRAM_NAME_HDPPLUS&amp;" - "&amp;CONFIG_ENROLL_PERD_DESC</f>
        <v>Homebuyer Dream Program Plus - 2026 Round</v>
      </c>
      <c r="C6" s="51"/>
      <c r="D6" s="51"/>
      <c r="E6" s="51"/>
      <c r="F6" s="51"/>
      <c r="G6" s="51"/>
      <c r="H6" s="59" t="str">
        <f>B11</f>
        <v/>
      </c>
      <c r="I6" s="381" t="str">
        <f>B12</f>
        <v/>
      </c>
      <c r="J6" s="381"/>
      <c r="K6" s="381"/>
      <c r="L6" s="381"/>
      <c r="M6" s="381"/>
      <c r="N6" s="381"/>
      <c r="O6" s="381"/>
      <c r="P6" s="381"/>
      <c r="Q6" s="381"/>
      <c r="R6" s="381"/>
      <c r="S6" s="381"/>
      <c r="T6" s="381"/>
      <c r="U6" s="381"/>
      <c r="V6" s="381"/>
      <c r="W6" s="381"/>
      <c r="X6" s="381"/>
      <c r="Y6" s="381"/>
    </row>
    <row r="7" spans="1:25" ht="3.95" customHeight="1" x14ac:dyDescent="0.25">
      <c r="A7" s="51" t="s">
        <v>2207</v>
      </c>
      <c r="B7" s="94" t="str">
        <f>VLOOKUP(A7,DB_TBL_CONFIG_APP[#All],4,FALSE)</f>
        <v xml:space="preserve">Other Documentation Request </v>
      </c>
      <c r="C7" s="51"/>
      <c r="D7" s="51"/>
      <c r="E7" s="51"/>
      <c r="F7" s="51"/>
      <c r="G7" s="51"/>
      <c r="H7" s="59"/>
      <c r="I7" s="59"/>
      <c r="J7" s="59"/>
      <c r="K7" s="59"/>
      <c r="L7" s="59"/>
      <c r="M7" s="59"/>
      <c r="N7" s="59"/>
      <c r="O7" s="59"/>
      <c r="P7" s="59"/>
      <c r="Q7" s="59"/>
      <c r="R7" s="59"/>
      <c r="S7" s="59"/>
      <c r="T7" s="59"/>
      <c r="U7" s="59"/>
      <c r="V7" s="59"/>
      <c r="W7" s="59"/>
      <c r="X7" s="59"/>
      <c r="Y7" s="59"/>
    </row>
    <row r="8" spans="1:25" s="36" customFormat="1" ht="21.95" customHeight="1" thickBot="1" x14ac:dyDescent="0.25">
      <c r="A8" s="51" t="s">
        <v>2351</v>
      </c>
      <c r="B8" s="94" t="str">
        <f ca="1">IF(DATA_HSEHLD_BANNER="","Household Not Yet Specified",DATA_HSEHLD_BANNER)</f>
        <v>Household Not Yet Specified</v>
      </c>
      <c r="C8" s="54"/>
      <c r="D8" s="54"/>
      <c r="E8" s="51"/>
      <c r="F8" s="51"/>
      <c r="G8" s="51"/>
      <c r="H8" s="59"/>
      <c r="I8" s="114" t="s">
        <v>2354</v>
      </c>
      <c r="J8" s="115"/>
      <c r="K8" s="115"/>
      <c r="L8" s="115"/>
      <c r="M8" s="115"/>
      <c r="N8" s="115"/>
      <c r="O8" s="115"/>
      <c r="P8" s="115"/>
      <c r="Q8" s="115"/>
      <c r="R8" s="115"/>
      <c r="S8" s="115"/>
      <c r="T8" s="115"/>
      <c r="U8" s="115"/>
      <c r="V8" s="115"/>
      <c r="W8" s="115"/>
      <c r="X8" s="115"/>
      <c r="Y8" s="59"/>
    </row>
    <row r="9" spans="1:25" s="36" customFormat="1" ht="99.75" customHeight="1" x14ac:dyDescent="0.25">
      <c r="A9" s="54" t="s">
        <v>2154</v>
      </c>
      <c r="B9" s="65">
        <f>SUM(B28,B54)</f>
        <v>0</v>
      </c>
      <c r="C9" s="54"/>
      <c r="D9" s="54"/>
      <c r="E9" s="54"/>
      <c r="F9" s="54"/>
      <c r="G9" s="54"/>
      <c r="H9" s="59"/>
      <c r="I9" s="387" t="s">
        <v>9342</v>
      </c>
      <c r="J9" s="387"/>
      <c r="K9" s="387"/>
      <c r="L9" s="387"/>
      <c r="M9" s="387"/>
      <c r="N9" s="387"/>
      <c r="O9" s="387"/>
      <c r="P9" s="387"/>
      <c r="Q9" s="387"/>
      <c r="R9" s="387"/>
      <c r="S9" s="387"/>
      <c r="T9" s="387"/>
      <c r="U9" s="387"/>
      <c r="V9" s="387"/>
      <c r="W9" s="387"/>
      <c r="X9" s="387"/>
      <c r="Y9" s="59"/>
    </row>
    <row r="10" spans="1:25" s="36" customFormat="1" ht="9.9499999999999993" customHeight="1" x14ac:dyDescent="0.25">
      <c r="A10" s="54" t="s">
        <v>2155</v>
      </c>
      <c r="B10" s="65" t="b">
        <f>B9&gt;0</f>
        <v>0</v>
      </c>
      <c r="C10" s="54"/>
      <c r="D10" s="54"/>
      <c r="E10" s="54"/>
      <c r="F10" s="54"/>
      <c r="G10" s="54"/>
      <c r="H10" s="59"/>
      <c r="I10" s="59"/>
      <c r="J10" s="59"/>
      <c r="K10" s="59"/>
      <c r="L10" s="59"/>
      <c r="M10" s="59"/>
      <c r="N10" s="59"/>
      <c r="O10" s="59"/>
      <c r="P10" s="59"/>
      <c r="Q10" s="59"/>
      <c r="R10" s="59"/>
      <c r="S10" s="59"/>
      <c r="T10" s="59"/>
      <c r="U10" s="59"/>
      <c r="V10" s="59"/>
      <c r="W10" s="59"/>
      <c r="X10" s="59"/>
      <c r="Y10" s="59"/>
    </row>
    <row r="11" spans="1:25" s="36" customFormat="1" ht="21.95" customHeight="1" thickBot="1" x14ac:dyDescent="0.3">
      <c r="A11" s="54" t="s">
        <v>2156</v>
      </c>
      <c r="B11" s="65" t="str">
        <f>IF(B10,1,"")</f>
        <v/>
      </c>
      <c r="C11" s="54"/>
      <c r="D11" s="54"/>
      <c r="E11" s="54"/>
      <c r="F11" s="54"/>
      <c r="G11" s="54"/>
      <c r="H11" s="59"/>
      <c r="I11" s="114" t="s">
        <v>2879</v>
      </c>
      <c r="J11" s="115"/>
      <c r="K11" s="115"/>
      <c r="L11" s="115"/>
      <c r="M11" s="115"/>
      <c r="N11" s="115"/>
      <c r="O11" s="115"/>
      <c r="P11" s="115"/>
      <c r="Q11" s="115"/>
      <c r="R11" s="115"/>
      <c r="S11" s="115"/>
      <c r="T11" s="115"/>
      <c r="U11" s="115"/>
      <c r="V11" s="115"/>
      <c r="W11" s="115"/>
      <c r="X11" s="115"/>
      <c r="Y11" s="59"/>
    </row>
    <row r="12" spans="1:25" s="36" customFormat="1" ht="6.75" customHeight="1" x14ac:dyDescent="0.2">
      <c r="A12" s="54" t="s">
        <v>2157</v>
      </c>
      <c r="B12" s="94" t="str">
        <f>IF(B10,B9&amp;" "&amp;'$DB.CONFIG'!$M$5,"")</f>
        <v/>
      </c>
      <c r="C12" s="54"/>
      <c r="D12" s="54"/>
      <c r="E12" s="54"/>
      <c r="F12" s="54"/>
      <c r="G12" s="54"/>
      <c r="H12" s="59"/>
      <c r="I12" s="60"/>
      <c r="J12" s="59"/>
      <c r="K12" s="59"/>
      <c r="L12" s="59"/>
      <c r="M12" s="59"/>
      <c r="N12" s="59"/>
      <c r="O12" s="59"/>
      <c r="P12" s="59"/>
      <c r="Q12" s="59"/>
      <c r="R12" s="59"/>
      <c r="S12" s="59"/>
      <c r="T12" s="59"/>
      <c r="U12" s="59"/>
      <c r="V12" s="59"/>
      <c r="W12" s="59"/>
      <c r="X12" s="59"/>
      <c r="Y12" s="59"/>
    </row>
    <row r="13" spans="1:25" s="36" customFormat="1" ht="21.95" customHeight="1" x14ac:dyDescent="0.25">
      <c r="A13" s="54"/>
      <c r="B13" s="54"/>
      <c r="C13" s="54"/>
      <c r="D13" s="54"/>
      <c r="E13" s="54"/>
      <c r="F13" s="54"/>
      <c r="G13" s="54"/>
      <c r="H13"/>
      <c r="I13" s="53" t="s">
        <v>25</v>
      </c>
      <c r="J13" s="78">
        <f>1</f>
        <v>1</v>
      </c>
      <c r="K13" s="74"/>
      <c r="L13" s="74"/>
      <c r="M13" s="53" t="s">
        <v>2186</v>
      </c>
      <c r="N13" s="78">
        <f>2</f>
        <v>2</v>
      </c>
      <c r="Q13" s="53" t="s">
        <v>2187</v>
      </c>
      <c r="R13" s="78">
        <f>0</f>
        <v>0</v>
      </c>
      <c r="U13" s="384" t="s">
        <v>2188</v>
      </c>
      <c r="V13" s="385"/>
      <c r="W13" s="385"/>
      <c r="X13" s="386"/>
      <c r="Y13"/>
    </row>
    <row r="14" spans="1:25" s="36" customFormat="1" ht="21.95" customHeight="1" x14ac:dyDescent="0.25">
      <c r="A14" s="54"/>
      <c r="B14" s="54"/>
      <c r="C14" s="54"/>
      <c r="D14" s="54"/>
      <c r="E14" s="54"/>
      <c r="F14" s="54"/>
      <c r="G14" s="54"/>
      <c r="H14"/>
      <c r="I14"/>
      <c r="J14" s="44"/>
      <c r="K14"/>
      <c r="L14" s="44"/>
      <c r="M14"/>
      <c r="N14" s="44"/>
      <c r="O14"/>
      <c r="P14" s="44"/>
      <c r="Q14"/>
      <c r="R14" s="44"/>
      <c r="S14"/>
      <c r="T14" s="44"/>
      <c r="U14"/>
      <c r="V14" s="44"/>
      <c r="W14"/>
      <c r="X14" s="44"/>
      <c r="Y14"/>
    </row>
    <row r="15" spans="1:25" s="36" customFormat="1" ht="21.95" customHeight="1" thickBot="1" x14ac:dyDescent="0.3">
      <c r="A15" s="54"/>
      <c r="B15" s="54"/>
      <c r="C15" s="54"/>
      <c r="D15" s="54"/>
      <c r="E15" s="54"/>
      <c r="F15" s="54"/>
      <c r="G15" s="54"/>
      <c r="I15" s="55" t="s">
        <v>186</v>
      </c>
      <c r="J15" s="55"/>
      <c r="K15" s="55"/>
      <c r="L15" s="55"/>
      <c r="M15" s="55"/>
      <c r="N15" s="55"/>
      <c r="O15" s="55"/>
      <c r="P15" s="55"/>
      <c r="Q15" s="55"/>
      <c r="R15" s="55"/>
      <c r="S15" s="55"/>
      <c r="T15" s="55"/>
      <c r="U15" s="55"/>
      <c r="V15" s="55"/>
      <c r="W15" s="55"/>
      <c r="X15" s="56"/>
    </row>
    <row r="16" spans="1:25" s="36" customFormat="1" ht="21.95" customHeight="1" x14ac:dyDescent="0.25">
      <c r="A16" s="54"/>
      <c r="B16" s="54"/>
      <c r="C16" s="54"/>
      <c r="D16" s="54"/>
      <c r="E16" s="54"/>
      <c r="F16" s="54"/>
      <c r="G16" s="54"/>
      <c r="H16" s="57"/>
      <c r="I16" s="37"/>
      <c r="J16" s="37"/>
      <c r="K16" s="37"/>
      <c r="L16" s="37"/>
      <c r="M16" s="37"/>
      <c r="N16" s="37"/>
      <c r="O16" s="58"/>
      <c r="P16" s="58"/>
      <c r="Q16" s="37"/>
      <c r="R16" s="37"/>
      <c r="S16" s="37"/>
      <c r="T16" s="37"/>
      <c r="U16" s="37"/>
      <c r="V16" s="37"/>
      <c r="W16" s="37"/>
      <c r="X16" s="37"/>
    </row>
    <row r="17" spans="1:25" s="36" customFormat="1" ht="21.95" customHeight="1" x14ac:dyDescent="0.25">
      <c r="A17" s="54"/>
      <c r="B17" s="54"/>
      <c r="C17" s="54"/>
      <c r="D17" s="54"/>
      <c r="E17" s="54"/>
      <c r="F17" s="54"/>
      <c r="G17" s="54"/>
      <c r="I17" s="382" t="str">
        <f>"1     "&amp;VLOOKUP("SECTION_1_TOC_LABEL",A:B,2,FALSE)</f>
        <v>1     FHLBNY Member</v>
      </c>
      <c r="J17" s="382"/>
      <c r="K17" s="382"/>
      <c r="L17" s="382"/>
      <c r="M17" s="382"/>
      <c r="N17" s="59" t="str">
        <f>IF($B$29,1,"")</f>
        <v/>
      </c>
      <c r="O17" s="73" t="str">
        <f ca="1">$B$25</f>
        <v>Not Started</v>
      </c>
      <c r="P17" s="59" t="str">
        <f ca="1">B26</f>
        <v/>
      </c>
      <c r="Q17" s="383" t="str">
        <f>"3     "&amp;VLOOKUP("SECTION_3_TOC_LABEL",$A:$B,2,FALSE)</f>
        <v>3     Member Certification</v>
      </c>
      <c r="R17" s="383"/>
      <c r="S17" s="383"/>
      <c r="T17" s="383"/>
      <c r="U17" s="383"/>
      <c r="V17" s="59" t="str">
        <f>IF($B$71,1,"")</f>
        <v/>
      </c>
      <c r="W17" s="73" t="str">
        <f ca="1">$B$67</f>
        <v>Not Started</v>
      </c>
      <c r="X17" s="59" t="str">
        <f ca="1">$B$68</f>
        <v/>
      </c>
    </row>
    <row r="18" spans="1:25" s="36" customFormat="1" ht="21.95" customHeight="1" x14ac:dyDescent="0.25">
      <c r="A18" s="91" t="s">
        <v>118</v>
      </c>
      <c r="B18" s="222" t="s">
        <v>2832</v>
      </c>
      <c r="C18" s="92"/>
      <c r="D18" s="92"/>
      <c r="E18" s="92"/>
      <c r="F18" s="92"/>
      <c r="G18" s="92"/>
      <c r="I18" s="382" t="str">
        <f>"2     "&amp;VLOOKUP("SECTION_2_TOC_LABEL",$A:$B,2,FALSE)</f>
        <v>2     Household &amp; Submission Details</v>
      </c>
      <c r="J18" s="382"/>
      <c r="K18" s="382"/>
      <c r="L18" s="382"/>
      <c r="M18" s="382"/>
      <c r="N18" s="59" t="str">
        <f>IF($B$55,1,"")</f>
        <v/>
      </c>
      <c r="O18" s="73" t="str">
        <f ca="1">$B$51</f>
        <v>Not Started</v>
      </c>
      <c r="P18" s="59" t="str">
        <f ca="1">$B$52</f>
        <v/>
      </c>
      <c r="Q18" s="229"/>
      <c r="R18" s="229"/>
      <c r="S18" s="229"/>
      <c r="T18" s="229"/>
      <c r="U18" s="229"/>
      <c r="V18" s="59"/>
      <c r="W18" s="73"/>
      <c r="X18" s="59" t="s">
        <v>53</v>
      </c>
    </row>
    <row r="19" spans="1:25" s="36" customFormat="1" ht="21.95" customHeight="1" x14ac:dyDescent="0.25">
      <c r="A19" s="61" t="s">
        <v>2221</v>
      </c>
      <c r="B19" s="95" t="str">
        <f>IF(I23="","",I23)</f>
        <v/>
      </c>
      <c r="C19" s="54">
        <f ca="1">VLOOKUP(A19,DB_TBL_DATA_FIELDS[[FIELD_ID]:[PCT_CALC_FIELD_STATUS_CODE]],22,FALSE)</f>
        <v>1</v>
      </c>
      <c r="D19" s="54" t="str">
        <f>IF(VLOOKUP(A19,DB_TBL_DATA_FIELDS[[FIELD_ID]:[ERROR_MESSAGE]],23,FALSE)&lt;&gt;0,VLOOKUP(A19,DB_TBL_DATA_FIELDS[[FIELD_ID]:[ERROR_MESSAGE]],23,FALSE),"")</f>
        <v/>
      </c>
      <c r="E19" s="54">
        <f>VLOOKUP(A19,DB_TBL_DATA_FIELDS[[#All],[FIELD_ID]:[RANGE_VALIDATION_MAX]],18,FALSE)</f>
        <v>0</v>
      </c>
      <c r="F19" s="54">
        <f>VLOOKUP(A19,DB_TBL_DATA_FIELDS[[#All],[FIELD_ID]:[RANGE_VALIDATION_MAX]],19,FALSE)</f>
        <v>100</v>
      </c>
      <c r="G19" s="54">
        <f ca="1">IF(C19&lt;0,"",C19)</f>
        <v>1</v>
      </c>
      <c r="J19" s="44"/>
      <c r="L19" s="44"/>
      <c r="N19" s="44"/>
      <c r="P19" s="44"/>
      <c r="R19" s="44"/>
      <c r="T19" s="44"/>
      <c r="V19" s="44"/>
      <c r="X19" s="44"/>
    </row>
    <row r="20" spans="1:25" s="36" customFormat="1" ht="21.95" customHeight="1" thickBot="1" x14ac:dyDescent="0.3">
      <c r="A20" s="61" t="s">
        <v>117</v>
      </c>
      <c r="B20" s="65" t="str">
        <f>"C"&amp;MATCH(LEFT(A20,LEN(A20)-LEN("_RANGE")),A:A,0)+1&amp;":C"&amp;(ROW()-1)</f>
        <v>C19:C19</v>
      </c>
      <c r="C20" s="54"/>
      <c r="D20" s="54"/>
      <c r="E20" s="54"/>
      <c r="F20" s="54"/>
      <c r="G20" s="54"/>
      <c r="H20" s="37"/>
      <c r="I20" s="55" t="str">
        <f>B18</f>
        <v>Federal Home Loan Bank of New York Member</v>
      </c>
      <c r="J20" s="55"/>
      <c r="K20" s="55"/>
      <c r="L20" s="55"/>
      <c r="M20" s="55"/>
      <c r="N20" s="55"/>
      <c r="O20" s="55"/>
      <c r="P20" s="55"/>
      <c r="Q20" s="55"/>
      <c r="R20" s="55"/>
      <c r="S20" s="55"/>
      <c r="T20" s="55"/>
      <c r="U20" s="55"/>
      <c r="V20" s="55"/>
      <c r="W20" s="55"/>
      <c r="X20" s="56" t="str">
        <f ca="1">"Status: "&amp;$B$25</f>
        <v>Status: Not Started</v>
      </c>
      <c r="Y20" s="37"/>
    </row>
    <row r="21" spans="1:25" s="36" customFormat="1" ht="21.95" customHeight="1" x14ac:dyDescent="0.25">
      <c r="A21" s="61" t="s">
        <v>111</v>
      </c>
      <c r="B21" s="65">
        <f ca="1">COUNTIF(INDIRECT($B20),2)</f>
        <v>0</v>
      </c>
      <c r="C21" s="54"/>
      <c r="D21" s="54"/>
      <c r="E21" s="54"/>
      <c r="F21" s="54"/>
      <c r="G21" s="54"/>
      <c r="H21" s="37"/>
      <c r="I21" s="37"/>
      <c r="J21" s="37"/>
      <c r="K21" s="37"/>
      <c r="L21" s="37"/>
      <c r="M21" s="37"/>
      <c r="N21" s="37"/>
      <c r="O21" s="37"/>
      <c r="P21" s="37"/>
      <c r="Q21" s="37"/>
      <c r="R21" s="37"/>
      <c r="S21" s="37"/>
      <c r="T21" s="37"/>
      <c r="U21" s="37"/>
      <c r="V21" s="37"/>
      <c r="W21" s="37"/>
      <c r="X21" s="37"/>
      <c r="Y21" s="37"/>
    </row>
    <row r="22" spans="1:25" s="36" customFormat="1" ht="21.95" customHeight="1" x14ac:dyDescent="0.25">
      <c r="A22" s="61" t="s">
        <v>112</v>
      </c>
      <c r="B22" s="65">
        <f ca="1">COUNTIF(INDIRECT($B20),0)+COUNTIF(INDIRECT($B20),1)+COUNTIF(INDIRECT($B20),2)</f>
        <v>1</v>
      </c>
      <c r="C22" s="54"/>
      <c r="D22" s="54"/>
      <c r="E22" s="54"/>
      <c r="F22" s="54"/>
      <c r="G22" s="54"/>
      <c r="I22" s="36" t="s">
        <v>129</v>
      </c>
      <c r="J22" s="44"/>
      <c r="L22" s="44"/>
      <c r="N22" s="44"/>
      <c r="P22" s="44"/>
      <c r="R22" s="44"/>
      <c r="T22" s="44"/>
      <c r="U22" s="154"/>
      <c r="V22" s="154"/>
      <c r="W22" s="154"/>
      <c r="X22" s="154"/>
    </row>
    <row r="23" spans="1:25" s="36" customFormat="1" ht="21.95" customHeight="1" x14ac:dyDescent="0.25">
      <c r="A23" s="61" t="s">
        <v>113</v>
      </c>
      <c r="B23" s="65">
        <f ca="1">COUNTIF(INDIRECT($B20),0)</f>
        <v>0</v>
      </c>
      <c r="C23" s="54"/>
      <c r="D23" s="54"/>
      <c r="E23" s="54"/>
      <c r="F23" s="54"/>
      <c r="G23" s="54"/>
      <c r="I23" s="316"/>
      <c r="J23" s="317"/>
      <c r="K23" s="317"/>
      <c r="L23" s="317"/>
      <c r="M23" s="317"/>
      <c r="N23" s="317"/>
      <c r="O23" s="317"/>
      <c r="P23" s="317"/>
      <c r="Q23" s="317"/>
      <c r="R23" s="317"/>
      <c r="S23" s="317"/>
      <c r="T23" s="317"/>
      <c r="U23" s="317"/>
      <c r="V23" s="317"/>
      <c r="W23" s="318"/>
      <c r="X23" s="52">
        <f ca="1">$G19</f>
        <v>1</v>
      </c>
    </row>
    <row r="24" spans="1:25" s="36" customFormat="1" ht="21.95" customHeight="1" x14ac:dyDescent="0.25">
      <c r="A24" s="61" t="s">
        <v>114</v>
      </c>
      <c r="B24" s="97">
        <f ca="1">IFERROR(B21/B22,1.01)</f>
        <v>0</v>
      </c>
      <c r="C24" s="54"/>
      <c r="D24" s="54"/>
      <c r="E24" s="54"/>
      <c r="F24" s="54"/>
      <c r="G24" s="54"/>
      <c r="N24" s="52"/>
      <c r="X24" s="52"/>
    </row>
    <row r="25" spans="1:25" s="36" customFormat="1" ht="21.95" customHeight="1" thickBot="1" x14ac:dyDescent="0.3">
      <c r="A25" s="61" t="s">
        <v>115</v>
      </c>
      <c r="B25" s="65" t="str">
        <f ca="1">IF(B23&gt;0,"Data Error(s)",IF(B24=0,"Not Started",IF(B24&lt;1,ROUNDUP(B24*100,0)&amp;"% Done",IF(B24&gt;1,"Optional","Complete"))))</f>
        <v>Not Started</v>
      </c>
      <c r="C25" s="54"/>
      <c r="D25" s="54"/>
      <c r="E25" s="54"/>
      <c r="F25" s="54"/>
      <c r="G25" s="54"/>
      <c r="I25" s="55" t="str">
        <f>B30</f>
        <v>Household &amp; Submission Details</v>
      </c>
      <c r="J25" s="55"/>
      <c r="K25" s="55"/>
      <c r="L25" s="55"/>
      <c r="M25" s="55"/>
      <c r="N25" s="55"/>
      <c r="O25" s="55"/>
      <c r="P25" s="55"/>
      <c r="Q25" s="55"/>
      <c r="R25" s="55"/>
      <c r="S25" s="55"/>
      <c r="T25" s="55"/>
      <c r="U25" s="55"/>
      <c r="V25" s="55"/>
      <c r="W25" s="55"/>
      <c r="X25" s="56" t="str">
        <f ca="1">"Status: "&amp;$B$51</f>
        <v>Status: Not Started</v>
      </c>
    </row>
    <row r="26" spans="1:25" s="36" customFormat="1" ht="21.95" customHeight="1" x14ac:dyDescent="0.25">
      <c r="A26" s="61" t="s">
        <v>116</v>
      </c>
      <c r="B26" s="65" t="str">
        <f ca="1">IF(B23&gt;0,0,IF(B24&lt;1,"",2))</f>
        <v/>
      </c>
      <c r="C26" s="54"/>
      <c r="D26" s="54"/>
      <c r="E26" s="54"/>
      <c r="F26" s="54"/>
      <c r="G26" s="54"/>
      <c r="J26" s="44"/>
      <c r="L26" s="44"/>
      <c r="N26" s="44"/>
      <c r="P26" s="44"/>
      <c r="R26" s="44"/>
      <c r="T26" s="44"/>
      <c r="V26" s="44"/>
      <c r="X26" s="44"/>
    </row>
    <row r="27" spans="1:25" s="36" customFormat="1" ht="21.95" customHeight="1" x14ac:dyDescent="0.25">
      <c r="A27" s="61" t="s">
        <v>119</v>
      </c>
      <c r="B27" s="96" t="s">
        <v>2833</v>
      </c>
      <c r="C27" s="54"/>
      <c r="D27" s="54"/>
      <c r="E27" s="54"/>
      <c r="F27" s="54"/>
      <c r="G27" s="54"/>
      <c r="I27" s="36" t="s">
        <v>2494</v>
      </c>
      <c r="J27" s="44"/>
      <c r="L27" s="44"/>
      <c r="M27" s="36" t="s">
        <v>2495</v>
      </c>
      <c r="N27" s="44"/>
      <c r="P27" s="44"/>
      <c r="S27" s="36" t="s">
        <v>2496</v>
      </c>
      <c r="T27" s="44"/>
      <c r="V27" s="44"/>
      <c r="X27" s="44"/>
    </row>
    <row r="28" spans="1:25" s="36" customFormat="1" ht="21.95" customHeight="1" x14ac:dyDescent="0.25">
      <c r="A28" s="77" t="s">
        <v>2144</v>
      </c>
      <c r="B28" s="65">
        <v>0</v>
      </c>
      <c r="C28" s="54"/>
      <c r="D28" s="54"/>
      <c r="E28" s="54"/>
      <c r="F28" s="54"/>
      <c r="G28" s="54"/>
      <c r="I28" s="316"/>
      <c r="J28" s="317"/>
      <c r="K28" s="318"/>
      <c r="L28" s="52">
        <f ca="1">G35</f>
        <v>1</v>
      </c>
      <c r="M28" s="316"/>
      <c r="N28" s="317"/>
      <c r="O28" s="317"/>
      <c r="P28" s="317"/>
      <c r="Q28" s="318"/>
      <c r="R28" s="52">
        <f ca="1">G31</f>
        <v>1</v>
      </c>
      <c r="S28" s="316"/>
      <c r="T28" s="317"/>
      <c r="U28" s="317"/>
      <c r="V28" s="317"/>
      <c r="W28" s="318"/>
      <c r="X28" s="52">
        <f ca="1">G32</f>
        <v>1</v>
      </c>
    </row>
    <row r="29" spans="1:25" s="36" customFormat="1" ht="21.95" customHeight="1" x14ac:dyDescent="0.25">
      <c r="A29" s="77" t="s">
        <v>2145</v>
      </c>
      <c r="B29" s="65" t="b">
        <f>(B28&gt;0)</f>
        <v>0</v>
      </c>
      <c r="C29" s="54"/>
      <c r="D29" s="54"/>
      <c r="E29" s="54"/>
      <c r="F29" s="54"/>
      <c r="G29" s="54"/>
      <c r="I29" s="36" t="s">
        <v>2497</v>
      </c>
      <c r="J29" s="44"/>
      <c r="L29" s="44"/>
      <c r="N29" s="44"/>
      <c r="P29" s="44"/>
      <c r="R29" s="44"/>
      <c r="W29" s="155" t="str">
        <f>SUBSTITUTE(SUBSTITUTE(SUBSTITUTE(IF(LEN(B34)&gt;F34,CONFIG_CHAR_LIMIT_TEMPLATE_ERR,CONFIG_CHAR_LIMIT_TEMPLATE),"[diff]",ABS(LEN(B34)-F34)),"[limit]",F34),"[used]",LEN(B34))</f>
        <v>400 character(s) remaining</v>
      </c>
      <c r="X29" s="44"/>
    </row>
    <row r="30" spans="1:25" s="36" customFormat="1" ht="21.95" customHeight="1" x14ac:dyDescent="0.25">
      <c r="A30" s="91" t="s">
        <v>120</v>
      </c>
      <c r="B30" s="93" t="s">
        <v>2493</v>
      </c>
      <c r="C30" s="92"/>
      <c r="D30" s="92"/>
      <c r="E30" s="92"/>
      <c r="F30" s="92"/>
      <c r="G30" s="92"/>
      <c r="I30" s="389"/>
      <c r="J30" s="390"/>
      <c r="K30" s="390"/>
      <c r="L30" s="390"/>
      <c r="M30" s="390"/>
      <c r="N30" s="390"/>
      <c r="O30" s="390"/>
      <c r="P30" s="390"/>
      <c r="Q30" s="390"/>
      <c r="R30" s="390"/>
      <c r="S30" s="390"/>
      <c r="T30" s="390"/>
      <c r="U30" s="390"/>
      <c r="V30" s="390"/>
      <c r="W30" s="391"/>
      <c r="X30" s="52">
        <f ca="1">G34</f>
        <v>1</v>
      </c>
    </row>
    <row r="31" spans="1:25" s="36" customFormat="1" ht="21.95" customHeight="1" x14ac:dyDescent="0.25">
      <c r="A31" s="61" t="s">
        <v>2238</v>
      </c>
      <c r="B31" s="95" t="str">
        <f>IF(M28&lt;&gt;"",M28,"")</f>
        <v/>
      </c>
      <c r="C31" s="54">
        <f ca="1">VLOOKUP(A31,DB_TBL_DATA_FIELDS[[FIELD_ID]:[PCT_CALC_FIELD_STATUS_CODE]],22,FALSE)</f>
        <v>1</v>
      </c>
      <c r="D31" s="54" t="str">
        <f>IF(VLOOKUP(A31,DB_TBL_DATA_FIELDS[[FIELD_ID]:[ERROR_MESSAGE]],23,FALSE)&lt;&gt;0,VLOOKUP(A31,DB_TBL_DATA_FIELDS[[FIELD_ID]:[ERROR_MESSAGE]],23,FALSE),"")</f>
        <v/>
      </c>
      <c r="E31" s="54">
        <f>VLOOKUP(A31,DB_TBL_DATA_FIELDS[[#All],[FIELD_ID]:[RANGE_VALIDATION_MAX]],18,FALSE)</f>
        <v>0</v>
      </c>
      <c r="F31" s="54">
        <f>VLOOKUP(A31,DB_TBL_DATA_FIELDS[[#All],[FIELD_ID]:[RANGE_VALIDATION_MAX]],19,FALSE)</f>
        <v>30</v>
      </c>
      <c r="G31" s="54">
        <f t="shared" ref="G31:G45" ca="1" si="0">IF(C31&lt;0,"",C31)</f>
        <v>1</v>
      </c>
      <c r="I31" s="392"/>
      <c r="J31" s="393"/>
      <c r="K31" s="393"/>
      <c r="L31" s="393"/>
      <c r="M31" s="393"/>
      <c r="N31" s="393"/>
      <c r="O31" s="393"/>
      <c r="P31" s="393"/>
      <c r="Q31" s="393"/>
      <c r="R31" s="393"/>
      <c r="S31" s="393"/>
      <c r="T31" s="393"/>
      <c r="U31" s="393"/>
      <c r="V31" s="393"/>
      <c r="W31" s="394"/>
      <c r="X31" s="44"/>
    </row>
    <row r="32" spans="1:25" s="36" customFormat="1" ht="21.95" customHeight="1" x14ac:dyDescent="0.25">
      <c r="A32" s="61" t="s">
        <v>2239</v>
      </c>
      <c r="B32" s="95" t="str">
        <f>IF(S28&lt;&gt;"",S28,"")</f>
        <v/>
      </c>
      <c r="C32" s="54">
        <f ca="1">VLOOKUP(A32,DB_TBL_DATA_FIELDS[[FIELD_ID]:[PCT_CALC_FIELD_STATUS_CODE]],22,FALSE)</f>
        <v>1</v>
      </c>
      <c r="D32" s="54" t="str">
        <f>IF(VLOOKUP(A32,DB_TBL_DATA_FIELDS[[FIELD_ID]:[ERROR_MESSAGE]],23,FALSE)&lt;&gt;0,VLOOKUP(A32,DB_TBL_DATA_FIELDS[[FIELD_ID]:[ERROR_MESSAGE]],23,FALSE),"")</f>
        <v/>
      </c>
      <c r="E32" s="54">
        <f>VLOOKUP(A32,DB_TBL_DATA_FIELDS[[#All],[FIELD_ID]:[RANGE_VALIDATION_MAX]],18,FALSE)</f>
        <v>0</v>
      </c>
      <c r="F32" s="54">
        <f>VLOOKUP(A32,DB_TBL_DATA_FIELDS[[#All],[FIELD_ID]:[RANGE_VALIDATION_MAX]],19,FALSE)</f>
        <v>30</v>
      </c>
      <c r="G32" s="54">
        <f t="shared" ca="1" si="0"/>
        <v>1</v>
      </c>
      <c r="I32" s="392"/>
      <c r="J32" s="393"/>
      <c r="K32" s="393"/>
      <c r="L32" s="393"/>
      <c r="M32" s="393"/>
      <c r="N32" s="393"/>
      <c r="O32" s="393"/>
      <c r="P32" s="393"/>
      <c r="Q32" s="393"/>
      <c r="R32" s="393"/>
      <c r="S32" s="393"/>
      <c r="T32" s="393"/>
      <c r="U32" s="393"/>
      <c r="V32" s="393"/>
      <c r="W32" s="394"/>
      <c r="X32" s="44"/>
    </row>
    <row r="33" spans="1:25" s="36" customFormat="1" ht="21.95" customHeight="1" x14ac:dyDescent="0.25">
      <c r="A33" s="61" t="s">
        <v>2348</v>
      </c>
      <c r="B33" s="95" t="str">
        <f>IF(W38="","",IF(UPPER(W38)="YES",TRUE,FALSE))</f>
        <v/>
      </c>
      <c r="C33" s="54">
        <f ca="1">VLOOKUP(A33,DB_TBL_DATA_FIELDS[[FIELD_ID]:[PCT_CALC_FIELD_STATUS_CODE]],22,FALSE)</f>
        <v>-1</v>
      </c>
      <c r="D33" s="54" t="str">
        <f>IF(VLOOKUP(A33,DB_TBL_DATA_FIELDS[[FIELD_ID]:[ERROR_MESSAGE]],23,FALSE)&lt;&gt;0,VLOOKUP(A33,DB_TBL_DATA_FIELDS[[FIELD_ID]:[ERROR_MESSAGE]],23,FALSE),"")</f>
        <v/>
      </c>
      <c r="E33" s="54">
        <f>VLOOKUP(A33,DB_TBL_DATA_FIELDS[[#All],[FIELD_ID]:[RANGE_VALIDATION_MAX]],18,FALSE)</f>
        <v>0</v>
      </c>
      <c r="F33" s="54">
        <f>VLOOKUP(A33,DB_TBL_DATA_FIELDS[[#All],[FIELD_ID]:[RANGE_VALIDATION_MAX]],19,FALSE)</f>
        <v>0</v>
      </c>
      <c r="G33" s="54" t="str">
        <f t="shared" ca="1" si="0"/>
        <v/>
      </c>
      <c r="I33" s="392"/>
      <c r="J33" s="393"/>
      <c r="K33" s="393"/>
      <c r="L33" s="393"/>
      <c r="M33" s="393"/>
      <c r="N33" s="393"/>
      <c r="O33" s="393"/>
      <c r="P33" s="393"/>
      <c r="Q33" s="393"/>
      <c r="R33" s="393"/>
      <c r="S33" s="393"/>
      <c r="T33" s="393"/>
      <c r="U33" s="393"/>
      <c r="V33" s="393"/>
      <c r="W33" s="394"/>
      <c r="X33" s="44"/>
    </row>
    <row r="34" spans="1:25" s="36" customFormat="1" ht="21.95" customHeight="1" x14ac:dyDescent="0.25">
      <c r="A34" s="61" t="s">
        <v>2487</v>
      </c>
      <c r="B34" s="95" t="str">
        <f>IF(I30&lt;&gt;"",I30,"")</f>
        <v/>
      </c>
      <c r="C34" s="54">
        <f ca="1">VLOOKUP(A34,DB_TBL_DATA_FIELDS[[FIELD_ID]:[PCT_CALC_FIELD_STATUS_CODE]],22,FALSE)</f>
        <v>1</v>
      </c>
      <c r="D34" s="54" t="str">
        <f>IF(VLOOKUP(A34,DB_TBL_DATA_FIELDS[[FIELD_ID]:[ERROR_MESSAGE]],23,FALSE)&lt;&gt;0,VLOOKUP(A34,DB_TBL_DATA_FIELDS[[FIELD_ID]:[ERROR_MESSAGE]],23,FALSE),"")</f>
        <v/>
      </c>
      <c r="E34" s="54">
        <f>VLOOKUP(A34,DB_TBL_DATA_FIELDS[[#All],[FIELD_ID]:[RANGE_VALIDATION_MAX]],18,FALSE)</f>
        <v>1</v>
      </c>
      <c r="F34" s="54">
        <f>VLOOKUP(A34,DB_TBL_DATA_FIELDS[[#All],[FIELD_ID]:[RANGE_VALIDATION_MAX]],19,FALSE)</f>
        <v>400</v>
      </c>
      <c r="G34" s="54">
        <f t="shared" ca="1" si="0"/>
        <v>1</v>
      </c>
      <c r="I34" s="395"/>
      <c r="J34" s="396"/>
      <c r="K34" s="396"/>
      <c r="L34" s="396"/>
      <c r="M34" s="396"/>
      <c r="N34" s="396"/>
      <c r="O34" s="396"/>
      <c r="P34" s="396"/>
      <c r="Q34" s="396"/>
      <c r="R34" s="396"/>
      <c r="S34" s="396"/>
      <c r="T34" s="396"/>
      <c r="U34" s="396"/>
      <c r="V34" s="396"/>
      <c r="W34" s="397"/>
      <c r="X34" s="44"/>
    </row>
    <row r="35" spans="1:25" s="36" customFormat="1" ht="21.95" customHeight="1" x14ac:dyDescent="0.25">
      <c r="A35" s="61" t="s">
        <v>2489</v>
      </c>
      <c r="B35" s="95" t="str">
        <f>IF(I28&lt;&gt;"",I28,"")</f>
        <v/>
      </c>
      <c r="C35" s="54">
        <f ca="1">VLOOKUP(A35,DB_TBL_DATA_FIELDS[[FIELD_ID]:[PCT_CALC_FIELD_STATUS_CODE]],22,FALSE)</f>
        <v>1</v>
      </c>
      <c r="D35" s="54" t="str">
        <f>IF(VLOOKUP(A35,DB_TBL_DATA_FIELDS[[FIELD_ID]:[ERROR_MESSAGE]],23,FALSE)&lt;&gt;0,VLOOKUP(A35,DB_TBL_DATA_FIELDS[[FIELD_ID]:[ERROR_MESSAGE]],23,FALSE),"")</f>
        <v/>
      </c>
      <c r="E35" s="54" t="str">
        <f>VLOOKUP(A35,DB_TBL_DATA_FIELDS[[#All],[FIELD_ID]:[RANGE_VALIDATION_MAX]],18,FALSE)</f>
        <v/>
      </c>
      <c r="F35" s="54">
        <f>VLOOKUP(A35,DB_TBL_DATA_FIELDS[[#All],[FIELD_ID]:[RANGE_VALIDATION_MAX]],19,FALSE)</f>
        <v>999999</v>
      </c>
      <c r="G35" s="54">
        <f t="shared" ca="1" si="0"/>
        <v>1</v>
      </c>
      <c r="I35" s="226"/>
      <c r="J35" s="227"/>
      <c r="K35" s="226"/>
      <c r="L35" s="227"/>
      <c r="M35" s="226"/>
      <c r="N35" s="227"/>
      <c r="O35" s="226"/>
      <c r="P35" s="227"/>
      <c r="Q35" s="226"/>
      <c r="R35" s="227"/>
      <c r="S35" s="226"/>
      <c r="T35" s="227"/>
      <c r="U35" s="226"/>
      <c r="V35" s="227"/>
      <c r="W35" s="226"/>
      <c r="X35" s="44"/>
    </row>
    <row r="36" spans="1:25" s="36" customFormat="1" ht="21.95" customHeight="1" thickBot="1" x14ac:dyDescent="0.3">
      <c r="A36" s="61" t="s">
        <v>2844</v>
      </c>
      <c r="B36" s="95" t="str">
        <f>IF(W43="","",IF(UPPER(W43)="YES",TRUE,FALSE))</f>
        <v/>
      </c>
      <c r="C36" s="54">
        <f ca="1">VLOOKUP(A36,DB_TBL_DATA_FIELDS[[FIELD_ID]:[PCT_CALC_FIELD_STATUS_CODE]],22,FALSE)</f>
        <v>-1</v>
      </c>
      <c r="D36" s="54" t="str">
        <f ca="1">IF(VLOOKUP(A36,DB_TBL_DATA_FIELDS[[FIELD_ID]:[ERROR_MESSAGE]],23,FALSE)&lt;&gt;0,VLOOKUP(A36,DB_TBL_DATA_FIELDS[[FIELD_ID]:[ERROR_MESSAGE]],23,FALSE),"")</f>
        <v/>
      </c>
      <c r="E36" s="54">
        <f>VLOOKUP(A36,DB_TBL_DATA_FIELDS[[#All],[FIELD_ID]:[RANGE_VALIDATION_MAX]],18,FALSE)</f>
        <v>0</v>
      </c>
      <c r="F36" s="54">
        <f>VLOOKUP(A36,DB_TBL_DATA_FIELDS[[#All],[FIELD_ID]:[RANGE_VALIDATION_MAX]],19,FALSE)</f>
        <v>0</v>
      </c>
      <c r="G36" s="54" t="str">
        <f t="shared" ca="1" si="0"/>
        <v/>
      </c>
      <c r="I36" s="64" t="s">
        <v>2849</v>
      </c>
      <c r="J36" s="129"/>
      <c r="K36" s="135"/>
      <c r="L36" s="129"/>
      <c r="M36" s="135"/>
      <c r="N36" s="129"/>
      <c r="O36" s="135"/>
      <c r="P36" s="129"/>
      <c r="Q36" s="135"/>
      <c r="R36" s="129"/>
      <c r="S36" s="135"/>
      <c r="T36" s="129"/>
      <c r="U36" s="135"/>
      <c r="V36" s="129"/>
      <c r="W36" s="135"/>
      <c r="X36" s="44"/>
    </row>
    <row r="37" spans="1:25" s="36" customFormat="1" ht="21.95" customHeight="1" thickTop="1" x14ac:dyDescent="0.25">
      <c r="A37" s="61" t="s">
        <v>2293</v>
      </c>
      <c r="B37" s="95" t="str">
        <f>IF(I48&lt;&gt;"",I48,"")</f>
        <v/>
      </c>
      <c r="C37" s="54">
        <f ca="1">VLOOKUP(A37,DB_TBL_DATA_FIELDS[[FIELD_ID]:[PCT_CALC_FIELD_STATUS_CODE]],22,FALSE)</f>
        <v>-1</v>
      </c>
      <c r="D37" s="54" t="str">
        <f>IF(VLOOKUP(A37,DB_TBL_DATA_FIELDS[[FIELD_ID]:[ERROR_MESSAGE]],23,FALSE)&lt;&gt;0,VLOOKUP(A37,DB_TBL_DATA_FIELDS[[FIELD_ID]:[ERROR_MESSAGE]],23,FALSE),"")</f>
        <v/>
      </c>
      <c r="E37" s="54">
        <f>VLOOKUP(A37,DB_TBL_DATA_FIELDS[[#All],[FIELD_ID]:[RANGE_VALIDATION_MAX]],18,FALSE)</f>
        <v>0</v>
      </c>
      <c r="F37" s="54">
        <f>VLOOKUP(A37,DB_TBL_DATA_FIELDS[[#All],[FIELD_ID]:[RANGE_VALIDATION_MAX]],19,FALSE)</f>
        <v>75</v>
      </c>
      <c r="G37" s="54" t="str">
        <f t="shared" ca="1" si="0"/>
        <v/>
      </c>
      <c r="J37" s="44"/>
      <c r="L37" s="44"/>
      <c r="N37" s="44"/>
      <c r="P37" s="44"/>
      <c r="R37" s="44"/>
      <c r="T37" s="44"/>
      <c r="V37" s="44"/>
      <c r="X37" s="44"/>
    </row>
    <row r="38" spans="1:25" s="36" customFormat="1" ht="21.95" customHeight="1" x14ac:dyDescent="0.25">
      <c r="A38" s="61" t="s">
        <v>2294</v>
      </c>
      <c r="B38" s="95" t="str">
        <f>IF(Q48&lt;&gt;"",Q48,"")</f>
        <v/>
      </c>
      <c r="C38" s="54">
        <f ca="1">VLOOKUP(A38,DB_TBL_DATA_FIELDS[[FIELD_ID]:[PCT_CALC_FIELD_STATUS_CODE]],22,FALSE)</f>
        <v>-1</v>
      </c>
      <c r="D38" s="54" t="str">
        <f>IF(VLOOKUP(A38,DB_TBL_DATA_FIELDS[[FIELD_ID]:[ERROR_MESSAGE]],23,FALSE)&lt;&gt;0,VLOOKUP(A38,DB_TBL_DATA_FIELDS[[FIELD_ID]:[ERROR_MESSAGE]],23,FALSE),"")</f>
        <v/>
      </c>
      <c r="E38" s="54">
        <f>VLOOKUP(A38,DB_TBL_DATA_FIELDS[[#All],[FIELD_ID]:[RANGE_VALIDATION_MAX]],18,FALSE)</f>
        <v>0</v>
      </c>
      <c r="F38" s="54">
        <f>VLOOKUP(A38,DB_TBL_DATA_FIELDS[[#All],[FIELD_ID]:[RANGE_VALIDATION_MAX]],19,FALSE)</f>
        <v>30</v>
      </c>
      <c r="G38" s="54" t="str">
        <f t="shared" ca="1" si="0"/>
        <v/>
      </c>
      <c r="I38" s="367" t="s">
        <v>2381</v>
      </c>
      <c r="J38" s="367"/>
      <c r="K38" s="367"/>
      <c r="L38" s="367"/>
      <c r="M38" s="367"/>
      <c r="N38" s="367"/>
      <c r="O38" s="367"/>
      <c r="P38" s="367"/>
      <c r="Q38" s="367"/>
      <c r="R38" s="367"/>
      <c r="S38" s="367"/>
      <c r="T38" s="125"/>
      <c r="U38" s="125"/>
      <c r="W38" s="40"/>
      <c r="X38" s="52" t="str">
        <f ca="1">G33</f>
        <v/>
      </c>
    </row>
    <row r="39" spans="1:25" s="36" customFormat="1" ht="21.95" customHeight="1" x14ac:dyDescent="0.25">
      <c r="A39" s="61" t="s">
        <v>2295</v>
      </c>
      <c r="B39" s="95" t="str">
        <f>IF(U48&lt;&gt;"",U48,"")</f>
        <v/>
      </c>
      <c r="C39" s="54">
        <f ca="1">VLOOKUP(A39,DB_TBL_DATA_FIELDS[[FIELD_ID]:[PCT_CALC_FIELD_STATUS_CODE]],22,FALSE)</f>
        <v>-1</v>
      </c>
      <c r="D39" s="54" t="str">
        <f>IF(VLOOKUP(A39,DB_TBL_DATA_FIELDS[[FIELD_ID]:[ERROR_MESSAGE]],23,FALSE)&lt;&gt;0,VLOOKUP(A39,DB_TBL_DATA_FIELDS[[FIELD_ID]:[ERROR_MESSAGE]],23,FALSE),"")</f>
        <v/>
      </c>
      <c r="E39" s="54">
        <f>VLOOKUP(A39,DB_TBL_DATA_FIELDS[[#All],[FIELD_ID]:[RANGE_VALIDATION_MAX]],18,FALSE)</f>
        <v>0</v>
      </c>
      <c r="F39" s="54">
        <f>VLOOKUP(A39,DB_TBL_DATA_FIELDS[[#All],[FIELD_ID]:[RANGE_VALIDATION_MAX]],19,FALSE)</f>
        <v>2</v>
      </c>
      <c r="G39" s="54" t="str">
        <f t="shared" ca="1" si="0"/>
        <v/>
      </c>
      <c r="I39" s="367"/>
      <c r="J39" s="367"/>
      <c r="K39" s="367"/>
      <c r="L39" s="367"/>
      <c r="M39" s="367"/>
      <c r="N39" s="367"/>
      <c r="O39" s="367"/>
      <c r="P39" s="367"/>
      <c r="Q39" s="367"/>
      <c r="R39" s="367"/>
      <c r="S39" s="367"/>
      <c r="T39" s="125"/>
      <c r="U39" s="125"/>
      <c r="V39"/>
      <c r="W39"/>
      <c r="X39"/>
    </row>
    <row r="40" spans="1:25" ht="21.95" customHeight="1" x14ac:dyDescent="0.25">
      <c r="A40" s="61" t="s">
        <v>2296</v>
      </c>
      <c r="B40" s="95" t="str">
        <f>IF(W48&lt;&gt;"",TEXT(W48,"00000"),"")</f>
        <v/>
      </c>
      <c r="C40" s="54">
        <f ca="1">VLOOKUP(A40,DB_TBL_DATA_FIELDS[[FIELD_ID]:[PCT_CALC_FIELD_STATUS_CODE]],22,FALSE)</f>
        <v>-1</v>
      </c>
      <c r="D40" s="54" t="str">
        <f>IF(VLOOKUP(A40,DB_TBL_DATA_FIELDS[[FIELD_ID]:[ERROR_MESSAGE]],23,FALSE)&lt;&gt;0,VLOOKUP(A40,DB_TBL_DATA_FIELDS[[FIELD_ID]:[ERROR_MESSAGE]],23,FALSE),"")</f>
        <v/>
      </c>
      <c r="E40" s="54">
        <f>VLOOKUP(A40,DB_TBL_DATA_FIELDS[[#All],[FIELD_ID]:[RANGE_VALIDATION_MAX]],18,FALSE)</f>
        <v>5</v>
      </c>
      <c r="F40" s="54">
        <f>VLOOKUP(A40,DB_TBL_DATA_FIELDS[[#All],[FIELD_ID]:[RANGE_VALIDATION_MAX]],19,FALSE)</f>
        <v>10</v>
      </c>
      <c r="G40" s="54" t="str">
        <f t="shared" ca="1" si="0"/>
        <v/>
      </c>
      <c r="H40" s="36"/>
      <c r="I40" s="225"/>
      <c r="J40" s="225"/>
      <c r="K40" s="225"/>
      <c r="L40" s="225"/>
      <c r="M40" s="225"/>
      <c r="N40" s="225"/>
      <c r="O40" s="225"/>
      <c r="P40" s="225"/>
      <c r="Q40" s="225"/>
      <c r="R40" s="225"/>
      <c r="S40" s="225"/>
      <c r="T40" s="125"/>
      <c r="U40" s="125"/>
      <c r="V40"/>
      <c r="X40"/>
      <c r="Y40" s="36"/>
    </row>
    <row r="41" spans="1:25" ht="21.95" customHeight="1" thickBot="1" x14ac:dyDescent="0.3">
      <c r="A41" s="61" t="s">
        <v>2845</v>
      </c>
      <c r="B41" s="95" t="str">
        <f>IF(I51&lt;&gt;"",I51,"")</f>
        <v/>
      </c>
      <c r="C41" s="54">
        <f ca="1">VLOOKUP(A41,DB_TBL_DATA_FIELDS[[FIELD_ID]:[PCT_CALC_FIELD_STATUS_CODE]],22,FALSE)</f>
        <v>-1</v>
      </c>
      <c r="D41" s="54" t="str">
        <f ca="1">IF(VLOOKUP(A41,DB_TBL_DATA_FIELDS[[FIELD_ID]:[ERROR_MESSAGE]],23,FALSE)&lt;&gt;0,VLOOKUP(A41,DB_TBL_DATA_FIELDS[[FIELD_ID]:[ERROR_MESSAGE]],23,FALSE),"")</f>
        <v/>
      </c>
      <c r="E41" s="54">
        <f>VLOOKUP(A41,DB_TBL_DATA_FIELDS[[#All],[FIELD_ID]:[RANGE_VALIDATION_MAX]],18,FALSE)</f>
        <v>0</v>
      </c>
      <c r="F41" s="54">
        <f>VLOOKUP(A41,DB_TBL_DATA_FIELDS[[#All],[FIELD_ID]:[RANGE_VALIDATION_MAX]],19,FALSE)</f>
        <v>0</v>
      </c>
      <c r="G41" s="54" t="str">
        <f t="shared" ca="1" si="0"/>
        <v/>
      </c>
      <c r="H41" s="36"/>
      <c r="I41" s="64" t="s">
        <v>2801</v>
      </c>
      <c r="J41" s="129"/>
      <c r="K41" s="135"/>
      <c r="L41" s="129"/>
      <c r="M41" s="135"/>
      <c r="N41" s="129"/>
      <c r="O41" s="135"/>
      <c r="P41" s="129"/>
      <c r="Q41" s="135"/>
      <c r="R41" s="129"/>
      <c r="S41" s="135"/>
      <c r="T41" s="129"/>
      <c r="U41" s="135"/>
      <c r="V41" s="129"/>
      <c r="W41" s="135"/>
      <c r="Y41" s="36"/>
    </row>
    <row r="42" spans="1:25" ht="21.95" customHeight="1" thickTop="1" x14ac:dyDescent="0.25">
      <c r="A42" s="61" t="s">
        <v>2319</v>
      </c>
      <c r="B42" s="95" t="str">
        <f>IF(O51&lt;&gt;"",O51,"")</f>
        <v/>
      </c>
      <c r="C42" s="54">
        <f ca="1">VLOOKUP(A42,DB_TBL_DATA_FIELDS[[FIELD_ID]:[PCT_CALC_FIELD_STATUS_CODE]],22,FALSE)</f>
        <v>-1</v>
      </c>
      <c r="D42" s="54" t="str">
        <f>IF(VLOOKUP(A42,DB_TBL_DATA_FIELDS[[FIELD_ID]:[ERROR_MESSAGE]],23,FALSE)&lt;&gt;0,VLOOKUP(A42,DB_TBL_DATA_FIELDS[[FIELD_ID]:[ERROR_MESSAGE]],23,FALSE),"")</f>
        <v/>
      </c>
      <c r="E42" s="54">
        <f>VLOOKUP(A42,DB_TBL_DATA_FIELDS[[#All],[FIELD_ID]:[RANGE_VALIDATION_MAX]],18,FALSE)</f>
        <v>1</v>
      </c>
      <c r="F42" s="54">
        <f>VLOOKUP(A42,DB_TBL_DATA_FIELDS[[#All],[FIELD_ID]:[RANGE_VALIDATION_MAX]],19,FALSE)</f>
        <v>20</v>
      </c>
      <c r="G42" s="54" t="str">
        <f t="shared" ca="1" si="0"/>
        <v/>
      </c>
      <c r="H42" s="36"/>
      <c r="I42" s="36"/>
      <c r="K42" s="36"/>
      <c r="M42" s="36"/>
      <c r="O42" s="36"/>
      <c r="Q42" s="36"/>
      <c r="S42" s="36"/>
      <c r="U42" s="36"/>
      <c r="W42" s="36"/>
      <c r="Y42" s="36"/>
    </row>
    <row r="43" spans="1:25" ht="21.95" customHeight="1" x14ac:dyDescent="0.25">
      <c r="A43" s="61" t="s">
        <v>2320</v>
      </c>
      <c r="B43" s="95" t="str">
        <f>IF(U51&lt;&gt;"",U51,"")</f>
        <v/>
      </c>
      <c r="C43" s="54">
        <f ca="1">VLOOKUP(A43,DB_TBL_DATA_FIELDS[[FIELD_ID]:[PCT_CALC_FIELD_STATUS_CODE]],22,FALSE)</f>
        <v>-1</v>
      </c>
      <c r="D43" s="54" t="str">
        <f>IF(VLOOKUP(A43,DB_TBL_DATA_FIELDS[[FIELD_ID]:[ERROR_MESSAGE]],23,FALSE)&lt;&gt;0,VLOOKUP(A43,DB_TBL_DATA_FIELDS[[FIELD_ID]:[ERROR_MESSAGE]],23,FALSE),"")</f>
        <v/>
      </c>
      <c r="E43" s="54">
        <f>VLOOKUP(A43,DB_TBL_DATA_FIELDS[[#All],[FIELD_ID]:[RANGE_VALIDATION_MAX]],18,FALSE)</f>
        <v>0</v>
      </c>
      <c r="F43" s="54">
        <f>VLOOKUP(A43,DB_TBL_DATA_FIELDS[[#All],[FIELD_ID]:[RANGE_VALIDATION_MAX]],19,FALSE)</f>
        <v>999999999</v>
      </c>
      <c r="G43" s="54" t="str">
        <f t="shared" ca="1" si="0"/>
        <v/>
      </c>
      <c r="H43" s="36"/>
      <c r="I43" s="36" t="s">
        <v>2881</v>
      </c>
      <c r="J43" s="228"/>
      <c r="K43" s="228"/>
      <c r="L43" s="228"/>
      <c r="M43" s="228"/>
      <c r="N43" s="228"/>
      <c r="O43" s="228"/>
      <c r="P43" s="228"/>
      <c r="Q43" s="228"/>
      <c r="R43" s="228"/>
      <c r="S43" s="228"/>
      <c r="T43" s="125"/>
      <c r="U43" s="125"/>
      <c r="V43" s="36"/>
      <c r="W43" s="40"/>
      <c r="X43" s="52" t="str">
        <f ca="1">G36</f>
        <v/>
      </c>
      <c r="Y43" s="36"/>
    </row>
    <row r="44" spans="1:25" ht="21.95" customHeight="1" x14ac:dyDescent="0.25">
      <c r="A44" s="61" t="s">
        <v>2314</v>
      </c>
      <c r="B44" s="134" t="b">
        <v>0</v>
      </c>
      <c r="C44" s="54" t="str">
        <f ca="1">VLOOKUP(A44,DB_TBL_DATA_FIELDS[[FIELD_ID]:[PCT_CALC_FIELD_STATUS_CODE]],22,FALSE)</f>
        <v/>
      </c>
      <c r="D44" s="54" t="str">
        <f>IF(VLOOKUP(A44,DB_TBL_DATA_FIELDS[[FIELD_ID]:[ERROR_MESSAGE]],23,FALSE)&lt;&gt;0,VLOOKUP(A44,DB_TBL_DATA_FIELDS[[FIELD_ID]:[ERROR_MESSAGE]],23,FALSE),"")</f>
        <v/>
      </c>
      <c r="E44" s="54">
        <f>VLOOKUP(A44,DB_TBL_DATA_FIELDS[[#All],[FIELD_ID]:[RANGE_VALIDATION_MAX]],18,FALSE)</f>
        <v>0</v>
      </c>
      <c r="F44" s="54">
        <f>VLOOKUP(A44,DB_TBL_DATA_FIELDS[[#All],[FIELD_ID]:[RANGE_VALIDATION_MAX]],19,FALSE)</f>
        <v>0</v>
      </c>
      <c r="G44" s="54" t="str">
        <f t="shared" ca="1" si="0"/>
        <v/>
      </c>
      <c r="H44" s="36"/>
      <c r="I44" s="408" t="s">
        <v>2851</v>
      </c>
      <c r="J44" s="408"/>
      <c r="K44" s="408"/>
      <c r="L44" s="408"/>
      <c r="M44" s="408"/>
      <c r="N44" s="408"/>
      <c r="O44" s="408"/>
      <c r="P44" s="408"/>
      <c r="Q44" s="408"/>
      <c r="R44" s="408"/>
      <c r="S44" s="408"/>
      <c r="T44" s="408"/>
      <c r="U44" s="408"/>
      <c r="V44" s="408"/>
      <c r="W44" s="408"/>
      <c r="X44"/>
      <c r="Y44" s="36"/>
    </row>
    <row r="45" spans="1:25" ht="21.95" customHeight="1" x14ac:dyDescent="0.25">
      <c r="A45" s="61" t="s">
        <v>2316</v>
      </c>
      <c r="B45" s="65" t="str">
        <f ca="1">VLOOKUP(A45,DB_TBL_DATA_FIELDS[[#All],[FIELD_ID]:[FIELD_VALUE_RAW]],5,FALSE)</f>
        <v/>
      </c>
      <c r="C45" s="54">
        <f ca="1">VLOOKUP(A45,DB_TBL_DATA_FIELDS[[FIELD_ID]:[PCT_CALC_FIELD_STATUS_CODE]],22,FALSE)</f>
        <v>-1</v>
      </c>
      <c r="D45" s="54" t="str">
        <f ca="1">IF(VLOOKUP(A45,DB_TBL_DATA_FIELDS[[FIELD_ID]:[ERROR_MESSAGE]],23,FALSE)&lt;&gt;0,VLOOKUP(A45,DB_TBL_DATA_FIELDS[[FIELD_ID]:[ERROR_MESSAGE]],23,FALSE),"")</f>
        <v/>
      </c>
      <c r="E45" s="54">
        <f>VLOOKUP(A45,DB_TBL_DATA_FIELDS[[#All],[FIELD_ID]:[RANGE_VALIDATION_MAX]],18,FALSE)</f>
        <v>0</v>
      </c>
      <c r="F45" s="54">
        <f>VLOOKUP(A45,DB_TBL_DATA_FIELDS[[#All],[FIELD_ID]:[RANGE_VALIDATION_MAX]],19,FALSE)</f>
        <v>0</v>
      </c>
      <c r="G45" s="54" t="str">
        <f t="shared" ca="1" si="0"/>
        <v/>
      </c>
      <c r="H45" s="36"/>
      <c r="I45" s="408"/>
      <c r="J45" s="408"/>
      <c r="K45" s="408"/>
      <c r="L45" s="408"/>
      <c r="M45" s="408"/>
      <c r="N45" s="408"/>
      <c r="O45" s="408"/>
      <c r="P45" s="408"/>
      <c r="Q45" s="408"/>
      <c r="R45" s="408"/>
      <c r="S45" s="408"/>
      <c r="T45" s="408"/>
      <c r="U45" s="408"/>
      <c r="V45" s="408"/>
      <c r="W45" s="408"/>
      <c r="X45"/>
      <c r="Y45" s="36"/>
    </row>
    <row r="46" spans="1:25" ht="21.95" customHeight="1" x14ac:dyDescent="0.25">
      <c r="A46" s="61" t="s">
        <v>121</v>
      </c>
      <c r="B46" s="65" t="str">
        <f>"C"&amp;MATCH(LEFT(A46,LEN(A46)-LEN("_RANGE")),A:A,0)+1&amp;":C"&amp;(ROW()-1)</f>
        <v>C31:C45</v>
      </c>
      <c r="C46" s="54"/>
      <c r="D46" s="54"/>
      <c r="E46" s="54"/>
      <c r="F46" s="54"/>
      <c r="G46" s="54"/>
      <c r="H46" s="36"/>
      <c r="I46" s="230"/>
      <c r="J46" s="230"/>
      <c r="K46" s="230"/>
      <c r="L46" s="230"/>
      <c r="M46" s="230"/>
      <c r="N46" s="230"/>
      <c r="O46" s="230"/>
      <c r="P46" s="230"/>
      <c r="Q46" s="230"/>
      <c r="R46" s="230"/>
      <c r="S46" s="230"/>
      <c r="T46" s="230"/>
      <c r="U46" s="230"/>
      <c r="V46" s="230"/>
      <c r="W46" s="230"/>
      <c r="X46"/>
      <c r="Y46" s="36"/>
    </row>
    <row r="47" spans="1:25" ht="21.95" customHeight="1" x14ac:dyDescent="0.25">
      <c r="A47" s="61" t="s">
        <v>122</v>
      </c>
      <c r="B47" s="65">
        <f ca="1">COUNTIF(INDIRECT($B$46),2)</f>
        <v>0</v>
      </c>
      <c r="C47" s="54"/>
      <c r="D47" s="54"/>
      <c r="E47" s="54"/>
      <c r="F47" s="54"/>
      <c r="G47" s="54"/>
      <c r="H47" s="36"/>
      <c r="I47" s="36" t="s">
        <v>2848</v>
      </c>
      <c r="K47" s="36"/>
      <c r="M47" s="36"/>
      <c r="Q47" s="36" t="s">
        <v>50</v>
      </c>
      <c r="S47" s="36"/>
      <c r="U47" s="36" t="s">
        <v>51</v>
      </c>
      <c r="W47" s="36" t="s">
        <v>52</v>
      </c>
      <c r="Y47" s="36"/>
    </row>
    <row r="48" spans="1:25" ht="21.95" customHeight="1" x14ac:dyDescent="0.25">
      <c r="A48" s="61" t="s">
        <v>123</v>
      </c>
      <c r="B48" s="65">
        <f ca="1">COUNTIF(INDIRECT($B$46),0)+COUNTIF(INDIRECT($B$46),1)+COUNTIF(INDIRECT($B$46),2)</f>
        <v>4</v>
      </c>
      <c r="C48" s="54"/>
      <c r="D48" s="54"/>
      <c r="E48" s="54"/>
      <c r="F48" s="54"/>
      <c r="G48" s="54"/>
      <c r="H48" s="36"/>
      <c r="I48" s="354"/>
      <c r="J48" s="354"/>
      <c r="K48" s="354"/>
      <c r="L48" s="354"/>
      <c r="M48" s="354"/>
      <c r="N48" s="354"/>
      <c r="O48" s="354"/>
      <c r="P48" s="52" t="str">
        <f ca="1">G37</f>
        <v/>
      </c>
      <c r="Q48" s="316"/>
      <c r="R48" s="317"/>
      <c r="S48" s="318"/>
      <c r="T48" s="52" t="str">
        <f ca="1">G38</f>
        <v/>
      </c>
      <c r="U48" s="40"/>
      <c r="V48" s="52" t="str">
        <f ca="1">G39</f>
        <v/>
      </c>
      <c r="W48" s="120"/>
      <c r="X48" s="52" t="str">
        <f ca="1">G40</f>
        <v/>
      </c>
      <c r="Y48" s="36"/>
    </row>
    <row r="49" spans="1:25" ht="21.95" customHeight="1" x14ac:dyDescent="0.25">
      <c r="A49" s="61" t="s">
        <v>124</v>
      </c>
      <c r="B49" s="65">
        <f ca="1">COUNTIF(INDIRECT($B$46),0)</f>
        <v>0</v>
      </c>
      <c r="C49" s="54"/>
      <c r="D49" s="54"/>
      <c r="E49" s="54"/>
      <c r="F49" s="54"/>
      <c r="G49" s="54"/>
      <c r="H49" s="36"/>
      <c r="I49" s="225"/>
      <c r="J49" s="225"/>
      <c r="K49" s="225"/>
      <c r="L49" s="225"/>
      <c r="M49" s="225"/>
      <c r="N49" s="225"/>
      <c r="O49" s="225"/>
      <c r="P49" s="225"/>
      <c r="Q49" s="225"/>
      <c r="R49" s="225"/>
      <c r="S49" s="225"/>
      <c r="T49" s="125"/>
      <c r="U49" s="125"/>
      <c r="V49"/>
      <c r="X49"/>
      <c r="Y49" s="36"/>
    </row>
    <row r="50" spans="1:25" ht="21.95" customHeight="1" x14ac:dyDescent="0.25">
      <c r="A50" s="61" t="s">
        <v>125</v>
      </c>
      <c r="B50" s="97">
        <f ca="1">IFERROR(B47/B48,1.01)</f>
        <v>0</v>
      </c>
      <c r="C50" s="54"/>
      <c r="D50" s="54"/>
      <c r="E50" s="54"/>
      <c r="F50" s="54"/>
      <c r="G50" s="54"/>
      <c r="H50" s="36"/>
      <c r="I50" s="36" t="s">
        <v>2850</v>
      </c>
      <c r="M50" s="225"/>
      <c r="N50" s="225"/>
      <c r="O50" s="36" t="s">
        <v>2327</v>
      </c>
      <c r="U50" s="109" t="s">
        <v>2387</v>
      </c>
      <c r="V50" s="109"/>
      <c r="W50" s="109"/>
      <c r="X50" s="36"/>
      <c r="Y50" s="36"/>
    </row>
    <row r="51" spans="1:25" ht="21.95" customHeight="1" x14ac:dyDescent="0.25">
      <c r="A51" s="61" t="s">
        <v>126</v>
      </c>
      <c r="B51" s="65" t="str">
        <f ca="1">IF(B49&gt;0,"Data Error(s)",IF(B50=0,"Not Started",IF(B50&lt;1,ROUNDUP(B50*100,0)&amp;"% Done",IF(B50&gt;1,"Optional","Complete"))))</f>
        <v>Not Started</v>
      </c>
      <c r="C51" s="54"/>
      <c r="D51" s="54"/>
      <c r="E51" s="54"/>
      <c r="F51" s="54"/>
      <c r="G51" s="54"/>
      <c r="H51" s="36"/>
      <c r="I51" s="338"/>
      <c r="J51" s="339"/>
      <c r="K51" s="340"/>
      <c r="L51" s="52" t="str">
        <f ca="1">G41</f>
        <v/>
      </c>
      <c r="M51" s="225"/>
      <c r="N51" s="225"/>
      <c r="O51" s="326" t="str">
        <f>IF(ICW_HOUSEHOLD_SIZE&lt;&gt;"",IF(VALUE(ICW_HOUSEHOLD_SIZE)&gt;0,ICW_HOUSEHOLD_SIZE,""),"")</f>
        <v/>
      </c>
      <c r="P51" s="327"/>
      <c r="Q51" s="328"/>
      <c r="R51" s="52" t="str">
        <f ca="1">G42</f>
        <v/>
      </c>
      <c r="U51" s="368" t="str">
        <f>IF(VALUE(ICW_TOTAL_INCOME)&gt;0,ICW_TOTAL_INCOME,"")</f>
        <v/>
      </c>
      <c r="V51" s="369"/>
      <c r="W51" s="370"/>
      <c r="X51" s="52" t="str">
        <f ca="1">G43</f>
        <v/>
      </c>
      <c r="Y51" s="36"/>
    </row>
    <row r="52" spans="1:25" ht="21.95" customHeight="1" x14ac:dyDescent="0.25">
      <c r="A52" s="61" t="s">
        <v>127</v>
      </c>
      <c r="B52" s="65" t="str">
        <f ca="1">IF(B49&gt;0,0,IF(B50&lt;1,"",2))</f>
        <v/>
      </c>
      <c r="C52" s="54"/>
      <c r="D52" s="54"/>
      <c r="E52" s="54"/>
      <c r="F52" s="54"/>
      <c r="G52" s="54"/>
      <c r="H52" s="36"/>
      <c r="S52" s="225"/>
      <c r="T52" s="125"/>
      <c r="Y52" s="36"/>
    </row>
    <row r="53" spans="1:25" ht="21.95" customHeight="1" x14ac:dyDescent="0.25">
      <c r="A53" s="61" t="s">
        <v>128</v>
      </c>
      <c r="B53" s="96" t="s">
        <v>2493</v>
      </c>
      <c r="C53" s="54"/>
      <c r="D53" s="54"/>
      <c r="E53" s="54"/>
      <c r="F53" s="54"/>
      <c r="G53" s="54"/>
      <c r="H53" s="36"/>
      <c r="J53"/>
      <c r="L53"/>
      <c r="N53"/>
      <c r="P53"/>
      <c r="R53"/>
      <c r="T53"/>
      <c r="V53"/>
      <c r="X53"/>
      <c r="Y53" s="36"/>
    </row>
    <row r="54" spans="1:25" ht="21.95" customHeight="1" x14ac:dyDescent="0.25">
      <c r="A54" s="77" t="s">
        <v>2152</v>
      </c>
      <c r="B54" s="65">
        <v>0</v>
      </c>
      <c r="C54" s="54"/>
      <c r="D54" s="54"/>
      <c r="E54" s="54"/>
      <c r="F54" s="54"/>
      <c r="G54" s="54"/>
      <c r="H54" s="36"/>
      <c r="J54"/>
      <c r="L54"/>
      <c r="N54"/>
      <c r="P54"/>
      <c r="R54"/>
      <c r="T54"/>
      <c r="V54"/>
      <c r="X54"/>
      <c r="Y54" s="36"/>
    </row>
    <row r="55" spans="1:25" ht="21.95" customHeight="1" x14ac:dyDescent="0.25">
      <c r="A55" s="77" t="s">
        <v>2153</v>
      </c>
      <c r="B55" s="65" t="b">
        <f>(B54&gt;0)</f>
        <v>0</v>
      </c>
      <c r="C55" s="54"/>
      <c r="D55" s="54"/>
      <c r="E55" s="54"/>
      <c r="F55" s="54"/>
      <c r="G55" s="54"/>
      <c r="H55" s="36"/>
      <c r="I55" s="330" t="s">
        <v>2386</v>
      </c>
      <c r="J55" s="330"/>
      <c r="K55" s="330"/>
      <c r="L55" s="330"/>
      <c r="M55" s="330"/>
      <c r="N55" s="330"/>
      <c r="O55" s="330"/>
      <c r="P55" s="330"/>
      <c r="Q55" s="330"/>
      <c r="R55" s="330"/>
      <c r="S55" s="330"/>
      <c r="T55" s="330"/>
      <c r="U55" s="330"/>
      <c r="V55" s="330"/>
      <c r="W55" s="330"/>
      <c r="X55" s="330"/>
      <c r="Y55" s="36"/>
    </row>
    <row r="56" spans="1:25" ht="21.95" customHeight="1" x14ac:dyDescent="0.25">
      <c r="A56" s="91" t="s">
        <v>141</v>
      </c>
      <c r="B56" s="93" t="s">
        <v>2862</v>
      </c>
      <c r="C56" s="92"/>
      <c r="D56" s="92"/>
      <c r="E56" s="92"/>
      <c r="F56" s="92"/>
      <c r="G56" s="92"/>
      <c r="H56" s="231"/>
      <c r="J56"/>
      <c r="L56"/>
      <c r="M56" s="126"/>
      <c r="N56" s="127"/>
      <c r="O56" s="127"/>
      <c r="P56" s="127"/>
      <c r="Q56" s="127"/>
      <c r="R56" s="127"/>
      <c r="S56" s="128"/>
      <c r="T56" s="52" t="str">
        <f ca="1">G45</f>
        <v/>
      </c>
      <c r="V56"/>
      <c r="X56"/>
      <c r="Y56" s="36"/>
    </row>
    <row r="57" spans="1:25" ht="21.95" customHeight="1" x14ac:dyDescent="0.25">
      <c r="A57" s="61" t="s">
        <v>2855</v>
      </c>
      <c r="B57" s="95" t="str">
        <f>IF(I85&lt;&gt;"",I85,"")</f>
        <v/>
      </c>
      <c r="C57" s="54">
        <f ca="1">VLOOKUP(A57,DB_TBL_DATA_FIELDS[[FIELD_ID]:[PCT_CALC_FIELD_STATUS_CODE]],22,FALSE)</f>
        <v>1</v>
      </c>
      <c r="D57" s="54" t="str">
        <f ca="1">IF(VLOOKUP(A57,DB_TBL_DATA_FIELDS[[FIELD_ID]:[ERROR_MESSAGE]],23,FALSE)&lt;&gt;0,VLOOKUP(A57,DB_TBL_DATA_FIELDS[[FIELD_ID]:[ERROR_MESSAGE]],23,FALSE),"")</f>
        <v/>
      </c>
      <c r="E57" s="54">
        <f>VLOOKUP(A57,DB_TBL_DATA_FIELDS[[#All],[FIELD_ID]:[RANGE_VALIDATION_MAX]],18,FALSE)</f>
        <v>0</v>
      </c>
      <c r="F57" s="54">
        <f>VLOOKUP(A57,DB_TBL_DATA_FIELDS[[#All],[FIELD_ID]:[RANGE_VALIDATION_MAX]],19,FALSE)</f>
        <v>100</v>
      </c>
      <c r="G57" s="54">
        <f t="shared" ref="G57:G61" ca="1" si="1">IF(C57&lt;0,"",C57)</f>
        <v>1</v>
      </c>
      <c r="H57" s="36"/>
      <c r="J57" s="162"/>
      <c r="K57" s="162"/>
      <c r="L57" s="162"/>
      <c r="M57" s="331" t="str">
        <f ca="1">D45</f>
        <v/>
      </c>
      <c r="N57" s="331"/>
      <c r="O57" s="331"/>
      <c r="P57" s="331"/>
      <c r="Q57" s="331"/>
      <c r="R57" s="331"/>
      <c r="S57" s="331"/>
      <c r="T57" s="162"/>
      <c r="U57" s="162"/>
      <c r="V57" s="162"/>
      <c r="W57" s="162"/>
      <c r="X57" s="162"/>
      <c r="Y57" s="36"/>
    </row>
    <row r="58" spans="1:25" ht="21.95" customHeight="1" x14ac:dyDescent="0.25">
      <c r="A58" s="61" t="s">
        <v>2857</v>
      </c>
      <c r="B58" s="95" t="str">
        <f>IF(O85&lt;&gt;"",O85,"")</f>
        <v/>
      </c>
      <c r="C58" s="54">
        <f ca="1">VLOOKUP(A58,DB_TBL_DATA_FIELDS[[FIELD_ID]:[PCT_CALC_FIELD_STATUS_CODE]],22,FALSE)</f>
        <v>1</v>
      </c>
      <c r="D58" s="54" t="str">
        <f ca="1">IF(VLOOKUP(A58,DB_TBL_DATA_FIELDS[[FIELD_ID]:[ERROR_MESSAGE]],23,FALSE)&lt;&gt;0,VLOOKUP(A58,DB_TBL_DATA_FIELDS[[FIELD_ID]:[ERROR_MESSAGE]],23,FALSE),"")</f>
        <v/>
      </c>
      <c r="E58" s="54">
        <f>VLOOKUP(A58,DB_TBL_DATA_FIELDS[[#All],[FIELD_ID]:[RANGE_VALIDATION_MAX]],18,FALSE)</f>
        <v>0</v>
      </c>
      <c r="F58" s="54">
        <f>VLOOKUP(A58,DB_TBL_DATA_FIELDS[[#All],[FIELD_ID]:[RANGE_VALIDATION_MAX]],19,FALSE)</f>
        <v>100</v>
      </c>
      <c r="G58" s="54">
        <f t="shared" ca="1" si="1"/>
        <v>1</v>
      </c>
      <c r="J58"/>
      <c r="L58"/>
      <c r="N58"/>
      <c r="P58"/>
      <c r="R58"/>
      <c r="T58"/>
      <c r="V58"/>
      <c r="X58"/>
    </row>
    <row r="59" spans="1:25" ht="21.95" customHeight="1" thickBot="1" x14ac:dyDescent="0.3">
      <c r="A59" s="61" t="s">
        <v>2858</v>
      </c>
      <c r="B59" s="95" t="str">
        <f>IF(U85&lt;&gt;"",U85,"")</f>
        <v/>
      </c>
      <c r="C59" s="54">
        <f ca="1">VLOOKUP(A59,DB_TBL_DATA_FIELDS[[FIELD_ID]:[PCT_CALC_FIELD_STATUS_CODE]],22,FALSE)</f>
        <v>1</v>
      </c>
      <c r="D59" s="54" t="str">
        <f ca="1">IF(VLOOKUP(A59,DB_TBL_DATA_FIELDS[[FIELD_ID]:[ERROR_MESSAGE]],23,FALSE)&lt;&gt;0,VLOOKUP(A59,DB_TBL_DATA_FIELDS[[FIELD_ID]:[ERROR_MESSAGE]],23,FALSE),"")</f>
        <v/>
      </c>
      <c r="E59" s="54">
        <f>VLOOKUP(A59,DB_TBL_DATA_FIELDS[[#All],[FIELD_ID]:[RANGE_VALIDATION_MAX]],18,FALSE)</f>
        <v>0</v>
      </c>
      <c r="F59" s="54">
        <f>VLOOKUP(A59,DB_TBL_DATA_FIELDS[[#All],[FIELD_ID]:[RANGE_VALIDATION_MAX]],19,FALSE)</f>
        <v>0</v>
      </c>
      <c r="G59" s="54">
        <f t="shared" ca="1" si="1"/>
        <v>1</v>
      </c>
      <c r="I59" s="55" t="str">
        <f>B56</f>
        <v>Member Certification</v>
      </c>
      <c r="J59" s="55"/>
      <c r="K59" s="55"/>
      <c r="L59" s="55"/>
      <c r="M59" s="55"/>
      <c r="N59" s="55"/>
      <c r="O59" s="55"/>
      <c r="P59" s="55"/>
      <c r="Q59" s="55"/>
      <c r="R59" s="55"/>
      <c r="S59" s="55"/>
      <c r="T59" s="55"/>
      <c r="U59" s="55"/>
      <c r="V59" s="55"/>
      <c r="W59" s="55"/>
      <c r="X59" s="56" t="str">
        <f ca="1">"Status: "&amp;$B$67</f>
        <v>Status: Not Started</v>
      </c>
    </row>
    <row r="60" spans="1:25" ht="21.95" customHeight="1" x14ac:dyDescent="0.25">
      <c r="A60" s="61" t="s">
        <v>2230</v>
      </c>
      <c r="B60" s="95" t="str">
        <f>IF(I87&lt;&gt;"",I87,"")</f>
        <v/>
      </c>
      <c r="C60" s="54">
        <f ca="1">VLOOKUP(A60,DB_TBL_DATA_FIELDS[[FIELD_ID]:[PCT_CALC_FIELD_STATUS_CODE]],22,FALSE)</f>
        <v>1</v>
      </c>
      <c r="D60" s="54" t="str">
        <f ca="1">IF(VLOOKUP(A60,DB_TBL_DATA_FIELDS[[FIELD_ID]:[ERROR_MESSAGE]],23,FALSE)&lt;&gt;0,VLOOKUP(A60,DB_TBL_DATA_FIELDS[[FIELD_ID]:[ERROR_MESSAGE]],23,FALSE),"")</f>
        <v/>
      </c>
      <c r="E60" s="54">
        <f>VLOOKUP(A60,DB_TBL_DATA_FIELDS[[#All],[FIELD_ID]:[RANGE_VALIDATION_MAX]],18,FALSE)</f>
        <v>0</v>
      </c>
      <c r="F60" s="54">
        <f>VLOOKUP(A60,DB_TBL_DATA_FIELDS[[#All],[FIELD_ID]:[RANGE_VALIDATION_MAX]],19,FALSE)</f>
        <v>60</v>
      </c>
      <c r="G60" s="54">
        <f t="shared" ca="1" si="1"/>
        <v>1</v>
      </c>
      <c r="J60"/>
      <c r="V60"/>
      <c r="X60"/>
    </row>
    <row r="61" spans="1:25" ht="21.95" customHeight="1" x14ac:dyDescent="0.25">
      <c r="A61" s="61" t="s">
        <v>2231</v>
      </c>
      <c r="B61" s="95" t="str">
        <f>IF(S87&lt;&gt;"",S87,"")</f>
        <v/>
      </c>
      <c r="C61" s="54">
        <f ca="1">VLOOKUP(A61,DB_TBL_DATA_FIELDS[[FIELD_ID]:[PCT_CALC_FIELD_STATUS_CODE]],22,FALSE)</f>
        <v>1</v>
      </c>
      <c r="D61" s="54" t="str">
        <f>IF(VLOOKUP(A61,DB_TBL_DATA_FIELDS[[FIELD_ID]:[ERROR_MESSAGE]],23,FALSE)&lt;&gt;0,VLOOKUP(A61,DB_TBL_DATA_FIELDS[[FIELD_ID]:[ERROR_MESSAGE]],23,FALSE),"")</f>
        <v/>
      </c>
      <c r="E61" s="54">
        <f>VLOOKUP(A61,DB_TBL_DATA_FIELDS[[#All],[FIELD_ID]:[RANGE_VALIDATION_MAX]],18,FALSE)</f>
        <v>0</v>
      </c>
      <c r="F61" s="54">
        <f>VLOOKUP(A61,DB_TBL_DATA_FIELDS[[#All],[FIELD_ID]:[RANGE_VALIDATION_MAX]],19,FALSE)</f>
        <v>50</v>
      </c>
      <c r="G61" s="54">
        <f t="shared" ca="1" si="1"/>
        <v>1</v>
      </c>
      <c r="I61" s="367" t="s">
        <v>8997</v>
      </c>
      <c r="J61" s="367"/>
      <c r="K61" s="367"/>
      <c r="L61" s="367"/>
      <c r="M61" s="367"/>
      <c r="N61" s="367"/>
      <c r="O61" s="367"/>
      <c r="P61" s="367"/>
      <c r="Q61" s="367"/>
      <c r="R61" s="367"/>
      <c r="S61" s="367"/>
      <c r="T61" s="367"/>
      <c r="U61" s="367"/>
      <c r="V61" s="367"/>
      <c r="W61" s="367"/>
      <c r="X61" s="367"/>
    </row>
    <row r="62" spans="1:25" ht="21.95" customHeight="1" x14ac:dyDescent="0.25">
      <c r="A62" s="61" t="s">
        <v>142</v>
      </c>
      <c r="B62" s="65" t="str">
        <f>"C"&amp;MATCH(LEFT(A62,LEN(A62)-LEN("_RANGE")),A:A,0)+1&amp;":C"&amp;(ROW()-1)</f>
        <v>C57:C61</v>
      </c>
      <c r="C62" s="54"/>
      <c r="D62" s="54"/>
      <c r="E62" s="54"/>
      <c r="F62" s="54"/>
      <c r="G62" s="54"/>
      <c r="I62" s="367"/>
      <c r="J62" s="367"/>
      <c r="K62" s="367"/>
      <c r="L62" s="367"/>
      <c r="M62" s="367"/>
      <c r="N62" s="367"/>
      <c r="O62" s="367"/>
      <c r="P62" s="367"/>
      <c r="Q62" s="367"/>
      <c r="R62" s="367"/>
      <c r="S62" s="367"/>
      <c r="T62" s="367"/>
      <c r="U62" s="367"/>
      <c r="V62" s="367"/>
      <c r="W62" s="367"/>
      <c r="X62" s="367"/>
    </row>
    <row r="63" spans="1:25" ht="21.95" customHeight="1" x14ac:dyDescent="0.25">
      <c r="A63" s="61" t="s">
        <v>143</v>
      </c>
      <c r="B63" s="65">
        <f ca="1">COUNTIF(INDIRECT($B62),2)</f>
        <v>0</v>
      </c>
      <c r="C63" s="54"/>
      <c r="D63" s="54"/>
      <c r="E63" s="54"/>
      <c r="F63" s="54"/>
      <c r="G63" s="54"/>
      <c r="I63" s="367"/>
      <c r="J63" s="367"/>
      <c r="K63" s="367"/>
      <c r="L63" s="367"/>
      <c r="M63" s="367"/>
      <c r="N63" s="367"/>
      <c r="O63" s="367"/>
      <c r="P63" s="367"/>
      <c r="Q63" s="367"/>
      <c r="R63" s="367"/>
      <c r="S63" s="367"/>
      <c r="T63" s="367"/>
      <c r="U63" s="367"/>
      <c r="V63" s="367"/>
      <c r="W63" s="367"/>
      <c r="X63" s="367"/>
    </row>
    <row r="64" spans="1:25" ht="21.95" customHeight="1" x14ac:dyDescent="0.25">
      <c r="A64" s="61" t="s">
        <v>144</v>
      </c>
      <c r="B64" s="65">
        <f ca="1">COUNTIF(INDIRECT($B62),0)+COUNTIF(INDIRECT($B62),1)+COUNTIF(INDIRECT($B62),2)</f>
        <v>5</v>
      </c>
      <c r="C64" s="54"/>
      <c r="D64" s="54"/>
      <c r="E64" s="54"/>
      <c r="F64" s="54"/>
      <c r="G64" s="54"/>
      <c r="I64" s="367"/>
      <c r="J64" s="367"/>
      <c r="K64" s="367"/>
      <c r="L64" s="367"/>
      <c r="M64" s="367"/>
      <c r="N64" s="367"/>
      <c r="O64" s="367"/>
      <c r="P64" s="367"/>
      <c r="Q64" s="367"/>
      <c r="R64" s="367"/>
      <c r="S64" s="367"/>
      <c r="T64" s="367"/>
      <c r="U64" s="367"/>
      <c r="V64" s="367"/>
      <c r="W64" s="367"/>
      <c r="X64" s="367"/>
    </row>
    <row r="65" spans="1:24" ht="21.95" customHeight="1" x14ac:dyDescent="0.25">
      <c r="A65" s="61" t="s">
        <v>145</v>
      </c>
      <c r="B65" s="65">
        <f ca="1">COUNTIF(INDIRECT($B62),0)</f>
        <v>0</v>
      </c>
      <c r="C65" s="54"/>
      <c r="D65" s="54"/>
      <c r="E65" s="54"/>
      <c r="F65" s="54"/>
      <c r="G65" s="54"/>
      <c r="I65" s="367"/>
      <c r="J65" s="367"/>
      <c r="K65" s="367"/>
      <c r="L65" s="367"/>
      <c r="M65" s="367"/>
      <c r="N65" s="367"/>
      <c r="O65" s="367"/>
      <c r="P65" s="367"/>
      <c r="Q65" s="367"/>
      <c r="R65" s="367"/>
      <c r="S65" s="367"/>
      <c r="T65" s="367"/>
      <c r="U65" s="367"/>
      <c r="V65" s="367"/>
      <c r="W65" s="367"/>
      <c r="X65" s="367"/>
    </row>
    <row r="66" spans="1:24" ht="21.95" customHeight="1" x14ac:dyDescent="0.25">
      <c r="A66" s="61" t="s">
        <v>146</v>
      </c>
      <c r="B66" s="97">
        <f ca="1">IFERROR(B63/B64,1.01)</f>
        <v>0</v>
      </c>
      <c r="C66" s="54"/>
      <c r="D66" s="54"/>
      <c r="E66" s="54"/>
      <c r="F66" s="54"/>
      <c r="G66" s="54"/>
      <c r="I66" s="367"/>
      <c r="J66" s="367"/>
      <c r="K66" s="367"/>
      <c r="L66" s="367"/>
      <c r="M66" s="367"/>
      <c r="N66" s="367"/>
      <c r="O66" s="367"/>
      <c r="P66" s="367"/>
      <c r="Q66" s="367"/>
      <c r="R66" s="367"/>
      <c r="S66" s="367"/>
      <c r="T66" s="367"/>
      <c r="U66" s="367"/>
      <c r="V66" s="367"/>
      <c r="W66" s="367"/>
      <c r="X66" s="367"/>
    </row>
    <row r="67" spans="1:24" ht="21.95" customHeight="1" x14ac:dyDescent="0.25">
      <c r="A67" s="61" t="s">
        <v>147</v>
      </c>
      <c r="B67" s="65" t="str">
        <f ca="1">IF(B65&gt;0,"Data Error(s)",IF(B66=0,"Not Started",IF(B66&lt;1,ROUNDUP(B66*100,0)&amp;"% Done",IF(B66&gt;1,"Optional","Complete"))))</f>
        <v>Not Started</v>
      </c>
      <c r="C67" s="54"/>
      <c r="D67" s="54"/>
      <c r="E67" s="54"/>
      <c r="F67" s="54"/>
      <c r="G67" s="54"/>
      <c r="I67" s="367"/>
      <c r="J67" s="367"/>
      <c r="K67" s="367"/>
      <c r="L67" s="367"/>
      <c r="M67" s="367"/>
      <c r="N67" s="367"/>
      <c r="O67" s="367"/>
      <c r="P67" s="367"/>
      <c r="Q67" s="367"/>
      <c r="R67" s="367"/>
      <c r="S67" s="367"/>
      <c r="T67" s="367"/>
      <c r="U67" s="367"/>
      <c r="V67" s="367"/>
      <c r="W67" s="367"/>
      <c r="X67" s="367"/>
    </row>
    <row r="68" spans="1:24" ht="21.95" customHeight="1" x14ac:dyDescent="0.25">
      <c r="A68" s="61" t="s">
        <v>148</v>
      </c>
      <c r="B68" s="65" t="str">
        <f ca="1">IF(B65&gt;0,0,IF(B66&lt;1,"",2))</f>
        <v/>
      </c>
      <c r="C68" s="54"/>
      <c r="D68" s="54"/>
      <c r="E68" s="54"/>
      <c r="F68" s="54"/>
      <c r="G68" s="54"/>
      <c r="I68" s="367"/>
      <c r="J68" s="367"/>
      <c r="K68" s="367"/>
      <c r="L68" s="367"/>
      <c r="M68" s="367"/>
      <c r="N68" s="367"/>
      <c r="O68" s="367"/>
      <c r="P68" s="367"/>
      <c r="Q68" s="367"/>
      <c r="R68" s="367"/>
      <c r="S68" s="367"/>
      <c r="T68" s="367"/>
      <c r="U68" s="367"/>
      <c r="V68" s="367"/>
      <c r="W68" s="367"/>
      <c r="X68" s="367"/>
    </row>
    <row r="69" spans="1:24" ht="21.95" customHeight="1" x14ac:dyDescent="0.25">
      <c r="A69" s="61" t="s">
        <v>149</v>
      </c>
      <c r="B69" s="96" t="s">
        <v>2862</v>
      </c>
      <c r="C69" s="54"/>
      <c r="D69" s="54"/>
      <c r="E69" s="54"/>
      <c r="F69" s="54"/>
      <c r="G69" s="54"/>
      <c r="I69" s="367"/>
      <c r="J69" s="367"/>
      <c r="K69" s="367"/>
      <c r="L69" s="367"/>
      <c r="M69" s="367"/>
      <c r="N69" s="367"/>
      <c r="O69" s="367"/>
      <c r="P69" s="367"/>
      <c r="Q69" s="367"/>
      <c r="R69" s="367"/>
      <c r="S69" s="367"/>
      <c r="T69" s="367"/>
      <c r="U69" s="367"/>
      <c r="V69" s="367"/>
      <c r="W69" s="367"/>
      <c r="X69" s="367"/>
    </row>
    <row r="70" spans="1:24" ht="21.95" customHeight="1" x14ac:dyDescent="0.25">
      <c r="A70" s="77" t="s">
        <v>2150</v>
      </c>
      <c r="B70" s="65">
        <v>0</v>
      </c>
      <c r="C70" s="54"/>
      <c r="D70" s="54"/>
      <c r="E70" s="54"/>
      <c r="F70" s="54"/>
      <c r="G70" s="54"/>
      <c r="I70" s="367"/>
      <c r="J70" s="367"/>
      <c r="K70" s="367"/>
      <c r="L70" s="367"/>
      <c r="M70" s="367"/>
      <c r="N70" s="367"/>
      <c r="O70" s="367"/>
      <c r="P70" s="367"/>
      <c r="Q70" s="367"/>
      <c r="R70" s="367"/>
      <c r="S70" s="367"/>
      <c r="T70" s="367"/>
      <c r="U70" s="367"/>
      <c r="V70" s="367"/>
      <c r="W70" s="367"/>
      <c r="X70" s="367"/>
    </row>
    <row r="71" spans="1:24" ht="21.95" customHeight="1" x14ac:dyDescent="0.25">
      <c r="A71" s="77" t="s">
        <v>2151</v>
      </c>
      <c r="B71" s="65" t="b">
        <f>(B70&gt;0)</f>
        <v>0</v>
      </c>
      <c r="C71" s="54"/>
      <c r="D71" s="54"/>
      <c r="E71" s="54"/>
      <c r="F71" s="54"/>
      <c r="G71" s="54"/>
      <c r="I71" s="367"/>
      <c r="J71" s="367"/>
      <c r="K71" s="367"/>
      <c r="L71" s="367"/>
      <c r="M71" s="367"/>
      <c r="N71" s="367"/>
      <c r="O71" s="367"/>
      <c r="P71" s="367"/>
      <c r="Q71" s="367"/>
      <c r="R71" s="367"/>
      <c r="S71" s="367"/>
      <c r="T71" s="367"/>
      <c r="U71" s="367"/>
      <c r="V71" s="367"/>
      <c r="W71" s="367"/>
      <c r="X71" s="367"/>
    </row>
    <row r="72" spans="1:24" ht="21.95" customHeight="1" x14ac:dyDescent="0.25">
      <c r="I72" s="367"/>
      <c r="J72" s="367"/>
      <c r="K72" s="367"/>
      <c r="L72" s="367"/>
      <c r="M72" s="367"/>
      <c r="N72" s="367"/>
      <c r="O72" s="367"/>
      <c r="P72" s="367"/>
      <c r="Q72" s="367"/>
      <c r="R72" s="367"/>
      <c r="S72" s="367"/>
      <c r="T72" s="367"/>
      <c r="U72" s="367"/>
      <c r="V72" s="367"/>
      <c r="W72" s="367"/>
      <c r="X72" s="367"/>
    </row>
    <row r="73" spans="1:24" ht="21.95" customHeight="1" x14ac:dyDescent="0.25">
      <c r="I73" s="367"/>
      <c r="J73" s="367"/>
      <c r="K73" s="367"/>
      <c r="L73" s="367"/>
      <c r="M73" s="367"/>
      <c r="N73" s="367"/>
      <c r="O73" s="367"/>
      <c r="P73" s="367"/>
      <c r="Q73" s="367"/>
      <c r="R73" s="367"/>
      <c r="S73" s="367"/>
      <c r="T73" s="367"/>
      <c r="U73" s="367"/>
      <c r="V73" s="367"/>
      <c r="W73" s="367"/>
      <c r="X73" s="367"/>
    </row>
    <row r="74" spans="1:24" ht="21.95" customHeight="1" x14ac:dyDescent="0.25">
      <c r="I74" s="367"/>
      <c r="J74" s="367"/>
      <c r="K74" s="367"/>
      <c r="L74" s="367"/>
      <c r="M74" s="367"/>
      <c r="N74" s="367"/>
      <c r="O74" s="367"/>
      <c r="P74" s="367"/>
      <c r="Q74" s="367"/>
      <c r="R74" s="367"/>
      <c r="S74" s="367"/>
      <c r="T74" s="367"/>
      <c r="U74" s="367"/>
      <c r="V74" s="367"/>
      <c r="W74" s="367"/>
      <c r="X74" s="367"/>
    </row>
    <row r="75" spans="1:24" ht="21.95" customHeight="1" x14ac:dyDescent="0.25">
      <c r="I75" s="367"/>
      <c r="J75" s="367"/>
      <c r="K75" s="367"/>
      <c r="L75" s="367"/>
      <c r="M75" s="367"/>
      <c r="N75" s="367"/>
      <c r="O75" s="367"/>
      <c r="P75" s="367"/>
      <c r="Q75" s="367"/>
      <c r="R75" s="367"/>
      <c r="S75" s="367"/>
      <c r="T75" s="367"/>
      <c r="U75" s="367"/>
      <c r="V75" s="367"/>
      <c r="W75" s="367"/>
      <c r="X75" s="367"/>
    </row>
    <row r="76" spans="1:24" ht="21.95" customHeight="1" x14ac:dyDescent="0.25">
      <c r="I76" s="367"/>
      <c r="J76" s="367"/>
      <c r="K76" s="367"/>
      <c r="L76" s="367"/>
      <c r="M76" s="367"/>
      <c r="N76" s="367"/>
      <c r="O76" s="367"/>
      <c r="P76" s="367"/>
      <c r="Q76" s="367"/>
      <c r="R76" s="367"/>
      <c r="S76" s="367"/>
      <c r="T76" s="367"/>
      <c r="U76" s="367"/>
      <c r="V76" s="367"/>
      <c r="W76" s="367"/>
      <c r="X76" s="367"/>
    </row>
    <row r="77" spans="1:24" ht="21.95" customHeight="1" x14ac:dyDescent="0.25">
      <c r="I77" s="367"/>
      <c r="J77" s="367"/>
      <c r="K77" s="367"/>
      <c r="L77" s="367"/>
      <c r="M77" s="367"/>
      <c r="N77" s="367"/>
      <c r="O77" s="367"/>
      <c r="P77" s="367"/>
      <c r="Q77" s="367"/>
      <c r="R77" s="367"/>
      <c r="S77" s="367"/>
      <c r="T77" s="367"/>
      <c r="U77" s="367"/>
      <c r="V77" s="367"/>
      <c r="W77" s="367"/>
      <c r="X77" s="367"/>
    </row>
    <row r="78" spans="1:24" ht="21.95" customHeight="1" x14ac:dyDescent="0.25">
      <c r="I78" s="367"/>
      <c r="J78" s="367"/>
      <c r="K78" s="367"/>
      <c r="L78" s="367"/>
      <c r="M78" s="367"/>
      <c r="N78" s="367"/>
      <c r="O78" s="367"/>
      <c r="P78" s="367"/>
      <c r="Q78" s="367"/>
      <c r="R78" s="367"/>
      <c r="S78" s="367"/>
      <c r="T78" s="367"/>
      <c r="U78" s="367"/>
      <c r="V78" s="367"/>
      <c r="W78" s="367"/>
      <c r="X78" s="367"/>
    </row>
    <row r="79" spans="1:24" ht="21.95" customHeight="1" x14ac:dyDescent="0.25">
      <c r="I79" s="367"/>
      <c r="J79" s="367"/>
      <c r="K79" s="367"/>
      <c r="L79" s="367"/>
      <c r="M79" s="367"/>
      <c r="N79" s="367"/>
      <c r="O79" s="367"/>
      <c r="P79" s="367"/>
      <c r="Q79" s="367"/>
      <c r="R79" s="367"/>
      <c r="S79" s="367"/>
      <c r="T79" s="367"/>
      <c r="U79" s="367"/>
      <c r="V79" s="367"/>
      <c r="W79" s="367"/>
      <c r="X79" s="367"/>
    </row>
    <row r="80" spans="1:24" ht="21.95" customHeight="1" x14ac:dyDescent="0.25">
      <c r="I80" s="367"/>
      <c r="J80" s="367"/>
      <c r="K80" s="367"/>
      <c r="L80" s="367"/>
      <c r="M80" s="367"/>
      <c r="N80" s="367"/>
      <c r="O80" s="367"/>
      <c r="P80" s="367"/>
      <c r="Q80" s="367"/>
      <c r="R80" s="367"/>
      <c r="S80" s="367"/>
      <c r="T80" s="367"/>
      <c r="U80" s="367"/>
      <c r="V80" s="367"/>
      <c r="W80" s="367"/>
      <c r="X80" s="367"/>
    </row>
    <row r="81" spans="8:25" ht="21.95" customHeight="1" x14ac:dyDescent="0.25">
      <c r="I81" s="367"/>
      <c r="J81" s="367"/>
      <c r="K81" s="367"/>
      <c r="L81" s="367"/>
      <c r="M81" s="367"/>
      <c r="N81" s="367"/>
      <c r="O81" s="367"/>
      <c r="P81" s="367"/>
      <c r="Q81" s="367"/>
      <c r="R81" s="367"/>
      <c r="S81" s="367"/>
      <c r="T81" s="367"/>
      <c r="U81" s="367"/>
      <c r="V81" s="367"/>
      <c r="W81" s="367"/>
      <c r="X81" s="367"/>
    </row>
    <row r="82" spans="8:25" ht="21.95" customHeight="1" x14ac:dyDescent="0.25">
      <c r="I82" s="367"/>
      <c r="J82" s="367"/>
      <c r="K82" s="367"/>
      <c r="L82" s="367"/>
      <c r="M82" s="367"/>
      <c r="N82" s="367"/>
      <c r="O82" s="367"/>
      <c r="P82" s="367"/>
      <c r="Q82" s="367"/>
      <c r="R82" s="367"/>
      <c r="S82" s="367"/>
      <c r="T82" s="367"/>
      <c r="U82" s="367"/>
      <c r="V82" s="367"/>
      <c r="W82" s="367"/>
      <c r="X82" s="367"/>
    </row>
    <row r="83" spans="8:25" ht="21.95" customHeight="1" x14ac:dyDescent="0.25">
      <c r="J83"/>
      <c r="L83"/>
      <c r="N83"/>
      <c r="P83"/>
      <c r="R83"/>
      <c r="T83"/>
      <c r="V83"/>
      <c r="X83"/>
    </row>
    <row r="84" spans="8:25" ht="21.95" customHeight="1" x14ac:dyDescent="0.25">
      <c r="I84" s="36" t="s">
        <v>2873</v>
      </c>
      <c r="K84" s="36"/>
      <c r="M84" s="36"/>
      <c r="N84" s="36"/>
      <c r="O84" s="36" t="s">
        <v>2874</v>
      </c>
      <c r="Q84" s="36"/>
      <c r="S84" s="36"/>
      <c r="T84" s="36"/>
      <c r="U84" s="36" t="s">
        <v>31</v>
      </c>
      <c r="V84" s="36"/>
      <c r="W84" s="36"/>
      <c r="X84" s="36"/>
    </row>
    <row r="85" spans="8:25" ht="21.95" customHeight="1" x14ac:dyDescent="0.25">
      <c r="I85" s="316"/>
      <c r="J85" s="317"/>
      <c r="K85" s="317"/>
      <c r="L85" s="317"/>
      <c r="M85" s="318"/>
      <c r="N85" s="52">
        <f ca="1">G57</f>
        <v>1</v>
      </c>
      <c r="O85" s="316"/>
      <c r="P85" s="317"/>
      <c r="Q85" s="317"/>
      <c r="R85" s="317"/>
      <c r="S85" s="318"/>
      <c r="T85" s="52">
        <f ca="1">G58</f>
        <v>1</v>
      </c>
      <c r="U85" s="338"/>
      <c r="V85" s="339"/>
      <c r="W85" s="340"/>
      <c r="X85" s="52">
        <f ca="1">G59</f>
        <v>1</v>
      </c>
    </row>
    <row r="86" spans="8:25" ht="21.95" customHeight="1" x14ac:dyDescent="0.25">
      <c r="I86" s="36" t="s">
        <v>132</v>
      </c>
      <c r="K86" s="36"/>
      <c r="M86" s="36"/>
      <c r="N86" s="36"/>
      <c r="O86" s="36"/>
      <c r="P86" s="36"/>
      <c r="S86" s="36" t="s">
        <v>2158</v>
      </c>
      <c r="W86" s="36"/>
    </row>
    <row r="87" spans="8:25" ht="21.95" customHeight="1" x14ac:dyDescent="0.25">
      <c r="I87" s="409"/>
      <c r="J87" s="317"/>
      <c r="K87" s="317"/>
      <c r="L87" s="317"/>
      <c r="M87" s="317"/>
      <c r="N87" s="317"/>
      <c r="O87" s="317"/>
      <c r="P87" s="317"/>
      <c r="Q87" s="318"/>
      <c r="R87" s="52">
        <f ca="1">G60</f>
        <v>1</v>
      </c>
      <c r="S87" s="313"/>
      <c r="T87" s="314"/>
      <c r="U87" s="314"/>
      <c r="V87" s="314"/>
      <c r="W87" s="315"/>
      <c r="X87" s="52">
        <f ca="1">G61</f>
        <v>1</v>
      </c>
    </row>
    <row r="88" spans="8:25" ht="21.95" customHeight="1" x14ac:dyDescent="0.25">
      <c r="I88" s="331" t="str">
        <f ca="1">D60</f>
        <v/>
      </c>
      <c r="J88" s="331"/>
      <c r="K88" s="331"/>
      <c r="L88" s="331"/>
      <c r="M88" s="331"/>
      <c r="N88" s="331"/>
      <c r="O88" s="331"/>
      <c r="P88" s="331"/>
      <c r="Q88" s="331"/>
      <c r="R88"/>
      <c r="T88"/>
      <c r="V88"/>
      <c r="X88"/>
    </row>
    <row r="89" spans="8:25" ht="21.95" customHeight="1" x14ac:dyDescent="0.25">
      <c r="J89"/>
      <c r="L89"/>
      <c r="N89"/>
      <c r="P89"/>
    </row>
    <row r="90" spans="8:25" ht="21.95" customHeight="1" x14ac:dyDescent="0.25">
      <c r="J90"/>
      <c r="L90"/>
      <c r="N90"/>
      <c r="P90"/>
      <c r="R90"/>
      <c r="T90"/>
      <c r="V90"/>
      <c r="X90"/>
    </row>
    <row r="91" spans="8:25" ht="21.95" hidden="1" customHeight="1" x14ac:dyDescent="0.25">
      <c r="J91"/>
      <c r="L91"/>
      <c r="N91"/>
      <c r="P91"/>
      <c r="R91"/>
      <c r="T91"/>
      <c r="V91"/>
      <c r="X91"/>
    </row>
    <row r="92" spans="8:25" ht="21.95" hidden="1" customHeight="1" x14ac:dyDescent="0.25">
      <c r="J92"/>
      <c r="L92"/>
      <c r="N92"/>
      <c r="P92"/>
      <c r="R92"/>
      <c r="T92"/>
      <c r="V92"/>
      <c r="X92"/>
    </row>
    <row r="93" spans="8:25" s="67" customFormat="1" ht="21.95" hidden="1" customHeight="1" x14ac:dyDescent="0.25">
      <c r="H93"/>
      <c r="I93"/>
      <c r="J93"/>
      <c r="K93"/>
      <c r="L93"/>
      <c r="M93"/>
      <c r="N93"/>
      <c r="O93"/>
      <c r="P93"/>
      <c r="Q93"/>
      <c r="R93"/>
      <c r="S93"/>
      <c r="T93"/>
      <c r="U93"/>
      <c r="V93"/>
      <c r="W93"/>
      <c r="X93"/>
      <c r="Y93"/>
    </row>
    <row r="94" spans="8:25" s="67" customFormat="1" ht="21.95" hidden="1" customHeight="1" x14ac:dyDescent="0.25">
      <c r="H94"/>
      <c r="I94"/>
      <c r="J94"/>
      <c r="K94"/>
      <c r="L94"/>
      <c r="M94"/>
      <c r="N94"/>
      <c r="O94"/>
      <c r="P94"/>
      <c r="Q94"/>
      <c r="R94"/>
      <c r="S94"/>
      <c r="T94"/>
      <c r="U94"/>
      <c r="V94"/>
      <c r="W94"/>
      <c r="X94"/>
      <c r="Y94"/>
    </row>
    <row r="95" spans="8:25" s="67" customFormat="1" ht="21.95" hidden="1" customHeight="1" x14ac:dyDescent="0.25">
      <c r="H95"/>
      <c r="I95"/>
      <c r="J95"/>
      <c r="K95"/>
      <c r="L95"/>
      <c r="M95"/>
      <c r="N95"/>
      <c r="O95"/>
      <c r="P95"/>
      <c r="Q95"/>
      <c r="R95"/>
      <c r="S95"/>
      <c r="T95"/>
      <c r="U95"/>
      <c r="V95"/>
      <c r="W95"/>
      <c r="X95"/>
      <c r="Y95"/>
    </row>
    <row r="96" spans="8:25" s="67" customFormat="1" ht="21.95" hidden="1" customHeight="1" x14ac:dyDescent="0.25">
      <c r="H96"/>
      <c r="I96"/>
      <c r="J96"/>
      <c r="K96"/>
      <c r="L96"/>
      <c r="M96"/>
      <c r="N96"/>
      <c r="O96"/>
      <c r="P96"/>
      <c r="Q96"/>
      <c r="R96"/>
      <c r="S96"/>
      <c r="T96"/>
      <c r="U96"/>
      <c r="V96"/>
      <c r="W96"/>
      <c r="X96"/>
      <c r="Y96"/>
    </row>
    <row r="97" spans="8:25" s="67" customFormat="1" ht="21.95" hidden="1" customHeight="1" x14ac:dyDescent="0.25">
      <c r="H97"/>
      <c r="I97"/>
      <c r="J97"/>
      <c r="K97"/>
      <c r="L97"/>
      <c r="M97"/>
      <c r="N97"/>
      <c r="O97"/>
      <c r="P97"/>
      <c r="Q97"/>
      <c r="R97"/>
      <c r="S97"/>
      <c r="T97"/>
      <c r="U97"/>
      <c r="V97"/>
      <c r="W97"/>
      <c r="X97"/>
      <c r="Y97"/>
    </row>
    <row r="98" spans="8:25" s="67" customFormat="1" ht="21.95" hidden="1" customHeight="1" x14ac:dyDescent="0.25">
      <c r="H98"/>
      <c r="I98"/>
      <c r="J98"/>
      <c r="K98"/>
      <c r="L98"/>
      <c r="M98"/>
      <c r="N98"/>
      <c r="O98"/>
      <c r="P98"/>
      <c r="Q98"/>
      <c r="R98"/>
      <c r="S98"/>
      <c r="T98"/>
      <c r="U98"/>
      <c r="V98"/>
      <c r="W98"/>
      <c r="X98"/>
      <c r="Y98"/>
    </row>
    <row r="99" spans="8:25" s="67" customFormat="1" ht="21.95" hidden="1" customHeight="1" x14ac:dyDescent="0.25">
      <c r="H99"/>
      <c r="I99"/>
      <c r="J99"/>
      <c r="K99"/>
      <c r="L99"/>
      <c r="M99"/>
      <c r="N99"/>
      <c r="O99"/>
      <c r="P99"/>
      <c r="Q99"/>
      <c r="R99"/>
      <c r="S99"/>
      <c r="T99"/>
      <c r="U99"/>
      <c r="V99"/>
      <c r="W99"/>
      <c r="X99"/>
      <c r="Y99"/>
    </row>
    <row r="100" spans="8:25" s="67" customFormat="1" ht="21.95" hidden="1" customHeight="1" x14ac:dyDescent="0.25">
      <c r="H100"/>
      <c r="I100"/>
      <c r="J100"/>
      <c r="K100"/>
      <c r="L100"/>
      <c r="M100"/>
      <c r="N100"/>
      <c r="O100"/>
      <c r="P100"/>
      <c r="Q100"/>
      <c r="R100"/>
      <c r="S100"/>
      <c r="T100"/>
      <c r="U100"/>
      <c r="V100"/>
      <c r="W100"/>
      <c r="X100"/>
      <c r="Y100"/>
    </row>
    <row r="101" spans="8:25" s="67" customFormat="1" ht="21.95" hidden="1" customHeight="1" x14ac:dyDescent="0.25">
      <c r="H101"/>
      <c r="I101"/>
      <c r="J101"/>
      <c r="K101"/>
      <c r="L101"/>
      <c r="M101"/>
      <c r="N101"/>
      <c r="O101"/>
      <c r="P101"/>
      <c r="Q101"/>
      <c r="R101"/>
      <c r="S101"/>
      <c r="T101"/>
      <c r="U101"/>
      <c r="V101"/>
      <c r="W101"/>
      <c r="X101"/>
      <c r="Y101"/>
    </row>
    <row r="102" spans="8:25" s="67" customFormat="1" ht="21.95" hidden="1" customHeight="1" x14ac:dyDescent="0.25">
      <c r="H102"/>
      <c r="I102"/>
      <c r="J102"/>
      <c r="K102"/>
      <c r="L102"/>
      <c r="M102"/>
      <c r="N102"/>
      <c r="O102"/>
      <c r="P102"/>
      <c r="Q102"/>
      <c r="R102"/>
      <c r="S102"/>
      <c r="T102"/>
      <c r="U102"/>
      <c r="V102"/>
      <c r="W102"/>
      <c r="X102"/>
      <c r="Y102"/>
    </row>
    <row r="103" spans="8:25" s="67" customFormat="1" ht="21.95" hidden="1" customHeight="1" x14ac:dyDescent="0.25">
      <c r="H103"/>
      <c r="I103"/>
      <c r="J103"/>
      <c r="K103"/>
      <c r="L103"/>
      <c r="M103"/>
      <c r="N103"/>
      <c r="O103"/>
      <c r="P103"/>
      <c r="Q103"/>
      <c r="R103"/>
      <c r="S103"/>
      <c r="T103"/>
      <c r="U103"/>
      <c r="V103"/>
      <c r="W103"/>
      <c r="X103"/>
      <c r="Y103"/>
    </row>
    <row r="104" spans="8:25" s="67" customFormat="1" ht="21.95" hidden="1" customHeight="1" x14ac:dyDescent="0.25">
      <c r="H104"/>
      <c r="I104"/>
      <c r="J104"/>
      <c r="K104"/>
      <c r="L104"/>
      <c r="M104"/>
      <c r="N104"/>
      <c r="O104"/>
      <c r="P104"/>
      <c r="Q104"/>
      <c r="R104"/>
      <c r="S104"/>
      <c r="T104"/>
      <c r="U104"/>
      <c r="V104"/>
      <c r="W104"/>
      <c r="X104"/>
      <c r="Y104"/>
    </row>
    <row r="105" spans="8:25" s="67" customFormat="1" ht="21.95" hidden="1" customHeight="1" x14ac:dyDescent="0.25">
      <c r="H105"/>
      <c r="I105"/>
      <c r="J105"/>
      <c r="K105"/>
      <c r="L105"/>
      <c r="M105"/>
      <c r="N105"/>
      <c r="O105"/>
      <c r="P105"/>
      <c r="Q105"/>
      <c r="R105"/>
      <c r="S105"/>
      <c r="T105"/>
      <c r="U105"/>
      <c r="V105"/>
      <c r="W105"/>
      <c r="X105"/>
      <c r="Y105"/>
    </row>
    <row r="106" spans="8:25" s="67" customFormat="1" hidden="1" x14ac:dyDescent="0.25">
      <c r="H106"/>
      <c r="I106"/>
      <c r="J106"/>
      <c r="K106"/>
      <c r="L106"/>
      <c r="M106"/>
      <c r="N106"/>
      <c r="O106"/>
      <c r="P106"/>
      <c r="Q106"/>
      <c r="R106"/>
      <c r="S106"/>
      <c r="T106"/>
      <c r="U106"/>
      <c r="V106"/>
      <c r="W106"/>
      <c r="X106"/>
      <c r="Y106"/>
    </row>
    <row r="107" spans="8:25" s="67" customFormat="1" hidden="1" x14ac:dyDescent="0.25">
      <c r="H107"/>
      <c r="I107"/>
      <c r="J107"/>
      <c r="K107"/>
      <c r="L107"/>
      <c r="M107"/>
      <c r="N107"/>
      <c r="O107"/>
      <c r="P107"/>
      <c r="Q107"/>
      <c r="R107"/>
      <c r="S107"/>
      <c r="T107"/>
      <c r="U107"/>
      <c r="V107"/>
      <c r="W107"/>
      <c r="X107"/>
      <c r="Y107"/>
    </row>
    <row r="108" spans="8:25" s="67" customFormat="1" hidden="1" x14ac:dyDescent="0.25">
      <c r="H108"/>
      <c r="I108"/>
      <c r="J108" s="44"/>
      <c r="K108"/>
      <c r="L108" s="44"/>
      <c r="M108"/>
      <c r="N108" s="44"/>
      <c r="O108"/>
      <c r="P108" s="44"/>
      <c r="Q108"/>
      <c r="R108" s="44"/>
      <c r="S108"/>
      <c r="T108" s="44"/>
      <c r="U108"/>
      <c r="V108" s="44"/>
      <c r="W108"/>
      <c r="X108" s="44"/>
      <c r="Y108"/>
    </row>
    <row r="109" spans="8:25" s="67" customFormat="1" hidden="1" x14ac:dyDescent="0.25">
      <c r="H109"/>
      <c r="I109"/>
      <c r="J109" s="44"/>
      <c r="K109"/>
      <c r="L109" s="44"/>
      <c r="M109"/>
      <c r="N109" s="44"/>
      <c r="O109"/>
      <c r="P109" s="44"/>
      <c r="Q109"/>
      <c r="R109" s="44"/>
      <c r="S109"/>
      <c r="T109" s="44"/>
      <c r="U109"/>
      <c r="V109" s="44"/>
      <c r="W109"/>
      <c r="X109" s="44"/>
      <c r="Y109"/>
    </row>
    <row r="110" spans="8:25" s="67" customFormat="1" hidden="1" x14ac:dyDescent="0.25">
      <c r="H110"/>
      <c r="I110"/>
      <c r="J110" s="44"/>
      <c r="K110"/>
      <c r="L110" s="44"/>
      <c r="M110"/>
      <c r="N110" s="44"/>
      <c r="O110"/>
      <c r="P110" s="44"/>
      <c r="Q110"/>
      <c r="R110" s="44"/>
      <c r="S110"/>
      <c r="T110" s="44"/>
      <c r="U110"/>
      <c r="V110" s="44"/>
      <c r="W110"/>
      <c r="X110" s="44"/>
      <c r="Y110"/>
    </row>
    <row r="111" spans="8:25" s="67" customFormat="1" hidden="1" x14ac:dyDescent="0.25">
      <c r="H111"/>
      <c r="I111"/>
      <c r="J111" s="44"/>
      <c r="K111"/>
      <c r="L111" s="44"/>
      <c r="M111"/>
      <c r="N111" s="44"/>
      <c r="O111"/>
      <c r="P111" s="44"/>
      <c r="Q111"/>
      <c r="R111" s="44"/>
      <c r="S111"/>
      <c r="T111" s="44"/>
      <c r="U111"/>
      <c r="V111" s="44"/>
      <c r="W111"/>
      <c r="X111" s="44"/>
      <c r="Y111"/>
    </row>
    <row r="112" spans="8:25" s="67" customFormat="1" hidden="1" x14ac:dyDescent="0.25">
      <c r="H112"/>
      <c r="I112"/>
      <c r="J112" s="44"/>
      <c r="K112"/>
      <c r="L112" s="44"/>
      <c r="M112"/>
      <c r="N112" s="44"/>
      <c r="O112"/>
      <c r="P112" s="44"/>
      <c r="Q112"/>
      <c r="R112" s="44"/>
      <c r="S112"/>
      <c r="T112" s="44"/>
      <c r="U112"/>
      <c r="V112" s="44"/>
      <c r="W112"/>
      <c r="X112" s="44"/>
      <c r="Y112"/>
    </row>
    <row r="113" spans="8:25" s="67" customFormat="1" hidden="1" x14ac:dyDescent="0.25">
      <c r="H113"/>
      <c r="I113"/>
      <c r="J113" s="44"/>
      <c r="K113"/>
      <c r="L113" s="44"/>
      <c r="M113"/>
      <c r="N113" s="44"/>
      <c r="O113"/>
      <c r="P113" s="44"/>
      <c r="Q113"/>
      <c r="R113" s="44"/>
      <c r="S113"/>
      <c r="T113" s="44"/>
      <c r="U113"/>
      <c r="V113" s="44"/>
      <c r="W113"/>
      <c r="X113" s="44"/>
      <c r="Y113"/>
    </row>
    <row r="114" spans="8:25" s="67" customFormat="1" hidden="1" x14ac:dyDescent="0.25">
      <c r="H114"/>
      <c r="I114"/>
      <c r="J114" s="44"/>
      <c r="K114"/>
      <c r="L114" s="44"/>
      <c r="M114"/>
      <c r="N114" s="44"/>
      <c r="O114"/>
      <c r="P114" s="44"/>
      <c r="Q114"/>
      <c r="R114" s="44"/>
      <c r="S114"/>
      <c r="T114" s="44"/>
      <c r="U114"/>
      <c r="V114" s="44"/>
      <c r="W114"/>
      <c r="X114" s="44"/>
      <c r="Y114"/>
    </row>
    <row r="115" spans="8:25" s="67" customFormat="1" hidden="1" x14ac:dyDescent="0.25">
      <c r="H115"/>
      <c r="I115"/>
      <c r="J115" s="44"/>
      <c r="K115"/>
      <c r="L115" s="44"/>
      <c r="M115"/>
      <c r="N115" s="44"/>
      <c r="O115"/>
      <c r="P115" s="44"/>
      <c r="Q115"/>
      <c r="R115" s="44"/>
      <c r="S115"/>
      <c r="T115" s="44"/>
      <c r="U115"/>
      <c r="V115" s="44"/>
      <c r="W115"/>
      <c r="X115" s="44"/>
      <c r="Y115"/>
    </row>
    <row r="116" spans="8:25" s="67" customFormat="1" hidden="1" x14ac:dyDescent="0.25">
      <c r="H116"/>
      <c r="I116"/>
      <c r="J116" s="44"/>
      <c r="K116"/>
      <c r="L116" s="44"/>
      <c r="M116"/>
      <c r="N116" s="44"/>
      <c r="O116"/>
      <c r="P116" s="44"/>
      <c r="Q116"/>
      <c r="R116" s="44"/>
      <c r="S116"/>
      <c r="T116" s="44"/>
      <c r="U116"/>
      <c r="V116" s="44"/>
      <c r="W116"/>
      <c r="X116" s="44"/>
      <c r="Y116"/>
    </row>
    <row r="117" spans="8:25" s="67" customFormat="1" hidden="1" x14ac:dyDescent="0.25">
      <c r="H117"/>
      <c r="I117"/>
      <c r="J117" s="44"/>
      <c r="K117"/>
      <c r="L117" s="44"/>
      <c r="M117"/>
      <c r="N117" s="44"/>
      <c r="O117"/>
      <c r="P117" s="44"/>
      <c r="Q117"/>
      <c r="R117" s="44"/>
      <c r="S117"/>
      <c r="T117" s="44"/>
      <c r="U117"/>
      <c r="V117" s="44"/>
      <c r="W117"/>
      <c r="X117" s="44"/>
      <c r="Y117"/>
    </row>
    <row r="118" spans="8:25" s="67" customFormat="1" hidden="1" x14ac:dyDescent="0.25">
      <c r="H118"/>
      <c r="I118"/>
      <c r="J118" s="44"/>
      <c r="K118"/>
      <c r="L118" s="44"/>
      <c r="M118"/>
      <c r="N118" s="44"/>
      <c r="O118"/>
      <c r="P118" s="44"/>
      <c r="Q118"/>
      <c r="R118" s="44"/>
      <c r="S118"/>
      <c r="T118" s="44"/>
      <c r="U118"/>
      <c r="V118" s="44"/>
      <c r="W118"/>
      <c r="X118" s="44"/>
      <c r="Y118"/>
    </row>
    <row r="119" spans="8:25" s="67" customFormat="1" hidden="1" x14ac:dyDescent="0.25">
      <c r="H119"/>
      <c r="I119"/>
      <c r="J119" s="44"/>
      <c r="K119"/>
      <c r="L119" s="44"/>
      <c r="M119"/>
      <c r="N119" s="44"/>
      <c r="O119"/>
      <c r="P119" s="44"/>
      <c r="Q119"/>
      <c r="R119" s="44"/>
      <c r="S119"/>
      <c r="T119" s="44"/>
      <c r="U119"/>
      <c r="V119" s="44"/>
      <c r="W119"/>
      <c r="X119" s="44"/>
      <c r="Y119"/>
    </row>
    <row r="120" spans="8:25" s="67" customFormat="1" hidden="1" x14ac:dyDescent="0.25">
      <c r="H120"/>
      <c r="I120"/>
      <c r="J120" s="44"/>
      <c r="K120"/>
      <c r="L120" s="44"/>
      <c r="M120"/>
      <c r="N120" s="44"/>
      <c r="O120"/>
      <c r="P120" s="44"/>
      <c r="Q120"/>
      <c r="R120" s="44"/>
      <c r="S120"/>
      <c r="T120" s="44"/>
      <c r="U120"/>
      <c r="V120" s="44"/>
      <c r="W120"/>
      <c r="X120" s="44"/>
      <c r="Y120"/>
    </row>
    <row r="121" spans="8:25" s="67" customFormat="1" hidden="1" x14ac:dyDescent="0.25">
      <c r="H121"/>
      <c r="I121"/>
      <c r="J121" s="44"/>
      <c r="K121"/>
      <c r="L121" s="44"/>
      <c r="M121"/>
      <c r="N121" s="44"/>
      <c r="O121"/>
      <c r="P121" s="44"/>
      <c r="Q121"/>
      <c r="R121" s="44"/>
      <c r="S121"/>
      <c r="T121" s="44"/>
      <c r="U121"/>
      <c r="V121" s="44"/>
      <c r="W121"/>
      <c r="X121" s="44"/>
      <c r="Y121"/>
    </row>
    <row r="122" spans="8:25" s="67" customFormat="1" hidden="1" x14ac:dyDescent="0.25">
      <c r="H122"/>
      <c r="I122"/>
      <c r="J122" s="44"/>
      <c r="K122"/>
      <c r="L122" s="44"/>
      <c r="M122"/>
      <c r="N122" s="44"/>
      <c r="O122"/>
      <c r="P122" s="44"/>
      <c r="Q122"/>
      <c r="R122" s="44"/>
      <c r="S122"/>
      <c r="T122" s="44"/>
      <c r="U122"/>
      <c r="V122" s="44"/>
      <c r="W122"/>
      <c r="X122" s="44"/>
      <c r="Y122"/>
    </row>
    <row r="123" spans="8:25" s="67" customFormat="1" hidden="1" x14ac:dyDescent="0.25">
      <c r="H123"/>
      <c r="I123"/>
      <c r="J123" s="44"/>
      <c r="K123"/>
      <c r="L123" s="44"/>
      <c r="M123"/>
      <c r="N123" s="44"/>
      <c r="O123"/>
      <c r="P123" s="44"/>
      <c r="Q123"/>
      <c r="R123" s="44"/>
      <c r="S123"/>
      <c r="T123" s="44"/>
      <c r="U123"/>
      <c r="V123" s="44"/>
      <c r="W123"/>
      <c r="X123" s="44"/>
      <c r="Y123"/>
    </row>
    <row r="124" spans="8:25" s="67" customFormat="1" hidden="1" x14ac:dyDescent="0.25">
      <c r="H124"/>
      <c r="I124"/>
      <c r="J124" s="44"/>
      <c r="K124"/>
      <c r="L124" s="44"/>
      <c r="M124"/>
      <c r="N124" s="44"/>
      <c r="O124"/>
      <c r="P124" s="44"/>
      <c r="Q124"/>
      <c r="R124" s="44"/>
      <c r="S124"/>
      <c r="T124" s="44"/>
      <c r="U124"/>
      <c r="V124" s="44"/>
      <c r="W124"/>
      <c r="X124" s="44"/>
      <c r="Y124"/>
    </row>
    <row r="125" spans="8:25" s="67" customFormat="1" hidden="1" x14ac:dyDescent="0.25">
      <c r="H125"/>
      <c r="I125"/>
      <c r="J125" s="44"/>
      <c r="K125"/>
      <c r="L125" s="44"/>
      <c r="M125"/>
      <c r="N125" s="44"/>
      <c r="O125"/>
      <c r="P125" s="44"/>
      <c r="Q125"/>
      <c r="R125" s="44"/>
      <c r="S125"/>
      <c r="T125" s="44"/>
      <c r="U125"/>
      <c r="V125" s="44"/>
      <c r="W125"/>
      <c r="X125" s="44"/>
      <c r="Y125"/>
    </row>
    <row r="126" spans="8:25" s="67" customFormat="1" hidden="1" x14ac:dyDescent="0.25">
      <c r="H126"/>
      <c r="I126"/>
      <c r="J126" s="44"/>
      <c r="K126"/>
      <c r="L126" s="44"/>
      <c r="M126"/>
      <c r="N126" s="44"/>
      <c r="O126"/>
      <c r="P126" s="44"/>
      <c r="Q126"/>
      <c r="R126" s="44"/>
      <c r="S126"/>
      <c r="T126" s="44"/>
      <c r="U126"/>
      <c r="V126" s="44"/>
      <c r="W126"/>
      <c r="X126" s="44"/>
      <c r="Y126"/>
    </row>
    <row r="127" spans="8:25" s="67" customFormat="1" hidden="1" x14ac:dyDescent="0.25">
      <c r="H127"/>
      <c r="I127"/>
      <c r="J127" s="44"/>
      <c r="K127"/>
      <c r="L127" s="44"/>
      <c r="M127"/>
      <c r="N127" s="44"/>
      <c r="O127"/>
      <c r="P127" s="44"/>
      <c r="Q127"/>
      <c r="R127" s="44"/>
      <c r="S127"/>
      <c r="T127" s="44"/>
      <c r="U127"/>
      <c r="V127" s="44"/>
      <c r="W127"/>
      <c r="X127" s="44"/>
      <c r="Y127"/>
    </row>
    <row r="128" spans="8:25" s="67" customFormat="1" hidden="1" x14ac:dyDescent="0.25">
      <c r="H128"/>
      <c r="I128"/>
      <c r="J128" s="44"/>
      <c r="K128"/>
      <c r="L128" s="44"/>
      <c r="M128"/>
      <c r="N128" s="44"/>
      <c r="O128"/>
      <c r="P128" s="44"/>
      <c r="Q128"/>
      <c r="R128" s="44"/>
      <c r="S128"/>
      <c r="T128" s="44"/>
      <c r="U128"/>
      <c r="V128" s="44"/>
      <c r="W128"/>
      <c r="X128" s="44"/>
      <c r="Y128"/>
    </row>
    <row r="129" spans="8:25" s="67" customFormat="1" hidden="1" x14ac:dyDescent="0.25">
      <c r="H129"/>
      <c r="I129"/>
      <c r="J129" s="44"/>
      <c r="K129"/>
      <c r="L129" s="44"/>
      <c r="M129"/>
      <c r="N129" s="44"/>
      <c r="O129"/>
      <c r="P129" s="44"/>
      <c r="Q129"/>
      <c r="R129" s="44"/>
      <c r="S129"/>
      <c r="T129" s="44"/>
      <c r="U129"/>
      <c r="V129" s="44"/>
      <c r="W129"/>
      <c r="X129" s="44"/>
      <c r="Y129"/>
    </row>
    <row r="130" spans="8:25" s="67" customFormat="1" hidden="1" x14ac:dyDescent="0.25">
      <c r="H130"/>
      <c r="I130"/>
      <c r="J130" s="44"/>
      <c r="K130"/>
      <c r="L130" s="44"/>
      <c r="M130"/>
      <c r="N130" s="44"/>
      <c r="O130"/>
      <c r="P130" s="44"/>
      <c r="Q130"/>
      <c r="R130" s="44"/>
      <c r="S130"/>
      <c r="T130" s="44"/>
      <c r="U130"/>
      <c r="V130" s="44"/>
      <c r="W130"/>
      <c r="X130" s="44"/>
      <c r="Y130"/>
    </row>
    <row r="131" spans="8:25" s="67" customFormat="1" hidden="1" x14ac:dyDescent="0.25">
      <c r="H131"/>
      <c r="I131"/>
      <c r="J131" s="44"/>
      <c r="K131"/>
      <c r="L131" s="44"/>
      <c r="M131"/>
      <c r="N131" s="44"/>
      <c r="O131"/>
      <c r="P131" s="44"/>
      <c r="Q131"/>
      <c r="R131" s="44"/>
      <c r="S131"/>
      <c r="T131" s="44"/>
      <c r="U131"/>
      <c r="V131" s="44"/>
      <c r="W131"/>
      <c r="X131" s="44"/>
      <c r="Y131"/>
    </row>
    <row r="132" spans="8:25" s="67" customFormat="1" hidden="1" x14ac:dyDescent="0.25">
      <c r="H132"/>
      <c r="I132"/>
      <c r="J132" s="44"/>
      <c r="K132"/>
      <c r="L132" s="44"/>
      <c r="M132"/>
      <c r="N132" s="44"/>
      <c r="O132"/>
      <c r="P132" s="44"/>
      <c r="Q132"/>
      <c r="R132" s="44"/>
      <c r="S132"/>
      <c r="T132" s="44"/>
      <c r="U132"/>
      <c r="V132" s="44"/>
      <c r="W132"/>
      <c r="X132" s="44"/>
      <c r="Y132"/>
    </row>
    <row r="133" spans="8:25" s="67" customFormat="1" hidden="1" x14ac:dyDescent="0.25">
      <c r="H133"/>
      <c r="I133"/>
      <c r="J133" s="44"/>
      <c r="K133"/>
      <c r="L133" s="44"/>
      <c r="M133"/>
      <c r="N133" s="44"/>
      <c r="O133"/>
      <c r="P133" s="44"/>
      <c r="Q133"/>
      <c r="R133" s="44"/>
      <c r="S133"/>
      <c r="T133" s="44"/>
      <c r="U133"/>
      <c r="V133" s="44"/>
      <c r="W133"/>
      <c r="X133" s="44"/>
      <c r="Y133"/>
    </row>
    <row r="134" spans="8:25" s="67" customFormat="1" hidden="1" x14ac:dyDescent="0.25">
      <c r="H134"/>
      <c r="I134"/>
      <c r="J134" s="44"/>
      <c r="K134"/>
      <c r="L134" s="44"/>
      <c r="M134"/>
      <c r="N134" s="44"/>
      <c r="O134"/>
      <c r="P134" s="44"/>
      <c r="Q134"/>
      <c r="R134" s="44"/>
      <c r="S134"/>
      <c r="T134" s="44"/>
      <c r="U134"/>
      <c r="V134" s="44"/>
      <c r="W134"/>
      <c r="X134" s="44"/>
      <c r="Y134"/>
    </row>
    <row r="135" spans="8:25" s="67" customFormat="1" hidden="1" x14ac:dyDescent="0.25">
      <c r="H135"/>
      <c r="I135"/>
      <c r="J135" s="44"/>
      <c r="K135"/>
      <c r="L135" s="44"/>
      <c r="M135"/>
      <c r="N135" s="44"/>
      <c r="O135"/>
      <c r="P135" s="44"/>
      <c r="Q135"/>
      <c r="R135" s="44"/>
      <c r="S135"/>
      <c r="T135" s="44"/>
      <c r="U135"/>
      <c r="V135" s="44"/>
      <c r="W135"/>
      <c r="X135" s="44"/>
      <c r="Y135"/>
    </row>
    <row r="136" spans="8:25" s="67" customFormat="1" hidden="1" x14ac:dyDescent="0.25">
      <c r="H136"/>
      <c r="I136"/>
      <c r="J136" s="44"/>
      <c r="K136"/>
      <c r="L136" s="44"/>
      <c r="M136"/>
      <c r="N136" s="44"/>
      <c r="O136"/>
      <c r="P136" s="44"/>
      <c r="Q136"/>
      <c r="R136" s="44"/>
      <c r="S136"/>
      <c r="T136" s="44"/>
      <c r="U136"/>
      <c r="V136" s="44"/>
      <c r="W136"/>
      <c r="X136" s="44"/>
      <c r="Y136"/>
    </row>
    <row r="137" spans="8:25" s="67" customFormat="1" hidden="1" x14ac:dyDescent="0.25">
      <c r="H137"/>
      <c r="I137"/>
      <c r="J137" s="44"/>
      <c r="K137"/>
      <c r="L137" s="44"/>
      <c r="M137"/>
      <c r="N137" s="44"/>
      <c r="O137"/>
      <c r="P137" s="44"/>
      <c r="Q137"/>
      <c r="R137" s="44"/>
      <c r="S137"/>
      <c r="T137" s="44"/>
      <c r="U137"/>
      <c r="V137" s="44"/>
      <c r="W137"/>
      <c r="X137" s="44"/>
      <c r="Y137"/>
    </row>
    <row r="138" spans="8:25" s="67" customFormat="1" hidden="1" x14ac:dyDescent="0.25">
      <c r="H138"/>
      <c r="I138"/>
      <c r="J138" s="44"/>
      <c r="K138"/>
      <c r="L138" s="44"/>
      <c r="M138"/>
      <c r="N138" s="44"/>
      <c r="O138"/>
      <c r="P138" s="44"/>
      <c r="Q138"/>
      <c r="R138" s="44"/>
      <c r="S138"/>
      <c r="T138" s="44"/>
      <c r="U138"/>
      <c r="V138" s="44"/>
      <c r="W138"/>
      <c r="X138" s="44"/>
      <c r="Y138"/>
    </row>
    <row r="139" spans="8:25" s="67" customFormat="1" hidden="1" x14ac:dyDescent="0.25">
      <c r="H139"/>
      <c r="I139"/>
      <c r="J139" s="44"/>
      <c r="K139"/>
      <c r="L139" s="44"/>
      <c r="M139"/>
      <c r="N139" s="44"/>
      <c r="O139"/>
      <c r="P139" s="44"/>
      <c r="Q139"/>
      <c r="R139" s="44"/>
      <c r="S139"/>
      <c r="T139" s="44"/>
      <c r="U139"/>
      <c r="V139" s="44"/>
      <c r="W139"/>
      <c r="X139" s="44"/>
      <c r="Y139"/>
    </row>
    <row r="140" spans="8:25" s="67" customFormat="1" hidden="1" x14ac:dyDescent="0.25">
      <c r="H140"/>
      <c r="I140"/>
      <c r="J140" s="44"/>
      <c r="K140"/>
      <c r="L140" s="44"/>
      <c r="M140"/>
      <c r="N140" s="44"/>
      <c r="O140"/>
      <c r="P140" s="44"/>
      <c r="Q140"/>
      <c r="R140" s="44"/>
      <c r="S140"/>
      <c r="T140" s="44"/>
      <c r="U140"/>
      <c r="V140" s="44"/>
      <c r="W140"/>
      <c r="X140" s="44"/>
      <c r="Y140"/>
    </row>
    <row r="141" spans="8:25" s="67" customFormat="1" hidden="1" x14ac:dyDescent="0.25">
      <c r="H141"/>
      <c r="I141"/>
      <c r="J141" s="44"/>
      <c r="K141"/>
      <c r="L141" s="44"/>
      <c r="M141"/>
      <c r="N141" s="44"/>
      <c r="O141"/>
      <c r="P141" s="44"/>
      <c r="Q141"/>
      <c r="R141" s="44"/>
      <c r="S141"/>
      <c r="T141" s="44"/>
      <c r="U141"/>
      <c r="V141" s="44"/>
      <c r="W141"/>
      <c r="X141" s="44"/>
      <c r="Y141"/>
    </row>
    <row r="142" spans="8:25" s="67" customFormat="1" hidden="1" x14ac:dyDescent="0.25">
      <c r="H142"/>
      <c r="I142"/>
      <c r="J142" s="44"/>
      <c r="K142"/>
      <c r="L142" s="44"/>
      <c r="M142"/>
      <c r="N142" s="44"/>
      <c r="O142"/>
      <c r="P142" s="44"/>
      <c r="Q142"/>
      <c r="R142" s="44"/>
      <c r="S142"/>
      <c r="T142" s="44"/>
      <c r="U142"/>
      <c r="V142" s="44"/>
      <c r="W142"/>
      <c r="X142" s="44"/>
      <c r="Y142"/>
    </row>
    <row r="143" spans="8:25" s="67" customFormat="1" hidden="1" x14ac:dyDescent="0.25">
      <c r="H143"/>
      <c r="I143"/>
      <c r="J143" s="44"/>
      <c r="K143"/>
      <c r="L143" s="44"/>
      <c r="M143"/>
      <c r="N143" s="44"/>
      <c r="O143"/>
      <c r="P143" s="44"/>
      <c r="Q143"/>
      <c r="R143" s="44"/>
      <c r="S143"/>
      <c r="T143" s="44"/>
      <c r="U143"/>
      <c r="V143" s="44"/>
      <c r="W143"/>
      <c r="X143" s="44"/>
      <c r="Y143"/>
    </row>
    <row r="144" spans="8:25" s="67" customFormat="1" hidden="1" x14ac:dyDescent="0.25">
      <c r="H144"/>
      <c r="I144"/>
      <c r="J144" s="44"/>
      <c r="K144"/>
      <c r="L144" s="44"/>
      <c r="M144"/>
      <c r="N144" s="44"/>
      <c r="O144"/>
      <c r="P144" s="44"/>
      <c r="Q144"/>
      <c r="R144" s="44"/>
      <c r="S144"/>
      <c r="T144" s="44"/>
      <c r="U144"/>
      <c r="V144" s="44"/>
      <c r="W144"/>
      <c r="X144" s="44"/>
      <c r="Y144"/>
    </row>
    <row r="145" spans="8:25" s="67" customFormat="1" hidden="1" x14ac:dyDescent="0.25">
      <c r="H145"/>
      <c r="I145"/>
      <c r="J145" s="44"/>
      <c r="K145"/>
      <c r="L145" s="44"/>
      <c r="M145"/>
      <c r="N145" s="44"/>
      <c r="O145"/>
      <c r="P145" s="44"/>
      <c r="Q145"/>
      <c r="R145" s="44"/>
      <c r="S145"/>
      <c r="T145" s="44"/>
      <c r="U145"/>
      <c r="V145" s="44"/>
      <c r="W145"/>
      <c r="X145" s="44"/>
      <c r="Y145"/>
    </row>
    <row r="146" spans="8:25" s="67" customFormat="1" hidden="1" x14ac:dyDescent="0.25">
      <c r="H146"/>
      <c r="I146"/>
      <c r="J146" s="44"/>
      <c r="K146"/>
      <c r="L146" s="44"/>
      <c r="M146"/>
      <c r="N146" s="44"/>
      <c r="O146"/>
      <c r="P146" s="44"/>
      <c r="Q146"/>
      <c r="R146" s="44"/>
      <c r="S146"/>
      <c r="T146" s="44"/>
      <c r="U146"/>
      <c r="V146" s="44"/>
      <c r="W146"/>
      <c r="X146" s="44"/>
      <c r="Y146"/>
    </row>
    <row r="147" spans="8:25" s="67" customFormat="1" hidden="1" x14ac:dyDescent="0.25">
      <c r="H147"/>
      <c r="I147"/>
      <c r="J147" s="44"/>
      <c r="K147"/>
      <c r="L147" s="44"/>
      <c r="M147"/>
      <c r="N147" s="44"/>
      <c r="O147"/>
      <c r="P147" s="44"/>
      <c r="Q147"/>
      <c r="R147" s="44"/>
      <c r="S147"/>
      <c r="T147" s="44"/>
      <c r="U147"/>
      <c r="V147" s="44"/>
      <c r="W147"/>
      <c r="X147" s="44"/>
      <c r="Y147"/>
    </row>
    <row r="148" spans="8:25" s="67" customFormat="1" hidden="1" x14ac:dyDescent="0.25">
      <c r="H148"/>
      <c r="I148"/>
      <c r="J148" s="44"/>
      <c r="K148"/>
      <c r="L148" s="44"/>
      <c r="M148"/>
      <c r="N148" s="44"/>
      <c r="O148"/>
      <c r="P148" s="44"/>
      <c r="Q148"/>
      <c r="R148" s="44"/>
      <c r="S148"/>
      <c r="T148" s="44"/>
      <c r="U148"/>
      <c r="V148" s="44"/>
      <c r="W148"/>
      <c r="X148" s="44"/>
      <c r="Y148"/>
    </row>
    <row r="149" spans="8:25" s="67" customFormat="1" hidden="1" x14ac:dyDescent="0.25">
      <c r="H149"/>
      <c r="I149"/>
      <c r="J149" s="44"/>
      <c r="K149"/>
      <c r="L149" s="44"/>
      <c r="M149"/>
      <c r="N149" s="44"/>
      <c r="O149"/>
      <c r="P149" s="44"/>
      <c r="Q149"/>
      <c r="R149" s="44"/>
      <c r="S149"/>
      <c r="T149" s="44"/>
      <c r="U149"/>
      <c r="V149" s="44"/>
      <c r="W149"/>
      <c r="X149" s="44"/>
      <c r="Y149"/>
    </row>
    <row r="150" spans="8:25" s="67" customFormat="1" hidden="1" x14ac:dyDescent="0.25">
      <c r="H150"/>
      <c r="I150"/>
      <c r="J150" s="44"/>
      <c r="K150"/>
      <c r="L150" s="44"/>
      <c r="M150"/>
      <c r="N150" s="44"/>
      <c r="O150"/>
      <c r="P150" s="44"/>
      <c r="Q150"/>
      <c r="R150" s="44"/>
      <c r="S150"/>
      <c r="T150" s="44"/>
      <c r="U150"/>
      <c r="V150" s="44"/>
      <c r="W150"/>
      <c r="X150" s="44"/>
      <c r="Y150"/>
    </row>
    <row r="151" spans="8:25" s="67" customFormat="1" hidden="1" x14ac:dyDescent="0.25">
      <c r="H151"/>
      <c r="I151"/>
      <c r="J151" s="44"/>
      <c r="K151"/>
      <c r="L151" s="44"/>
      <c r="M151"/>
      <c r="N151" s="44"/>
      <c r="O151"/>
      <c r="P151" s="44"/>
      <c r="Q151"/>
      <c r="R151" s="44"/>
      <c r="S151"/>
      <c r="T151" s="44"/>
      <c r="U151"/>
      <c r="V151" s="44"/>
      <c r="W151"/>
      <c r="X151" s="44"/>
      <c r="Y151"/>
    </row>
    <row r="152" spans="8:25" s="67" customFormat="1" hidden="1" x14ac:dyDescent="0.25">
      <c r="H152"/>
      <c r="I152"/>
      <c r="J152" s="44"/>
      <c r="K152"/>
      <c r="L152" s="44"/>
      <c r="M152"/>
      <c r="N152" s="44"/>
      <c r="O152"/>
      <c r="P152" s="44"/>
      <c r="Q152"/>
      <c r="R152" s="44"/>
      <c r="S152"/>
      <c r="T152" s="44"/>
      <c r="U152"/>
      <c r="V152" s="44"/>
      <c r="W152"/>
      <c r="X152" s="44"/>
      <c r="Y152"/>
    </row>
    <row r="153" spans="8:25" s="67" customFormat="1" ht="15" hidden="1" customHeight="1" x14ac:dyDescent="0.25">
      <c r="H153"/>
      <c r="I153"/>
      <c r="J153" s="44"/>
      <c r="K153"/>
      <c r="L153" s="44"/>
      <c r="M153"/>
      <c r="N153" s="44"/>
      <c r="O153"/>
      <c r="P153" s="44"/>
      <c r="Q153"/>
      <c r="R153" s="44"/>
      <c r="S153"/>
      <c r="T153" s="44"/>
      <c r="U153"/>
      <c r="V153" s="44"/>
      <c r="W153"/>
      <c r="X153" s="44"/>
      <c r="Y153"/>
    </row>
    <row r="154" spans="8:25" s="67" customFormat="1" ht="15" hidden="1" customHeight="1" x14ac:dyDescent="0.25">
      <c r="H154"/>
      <c r="I154"/>
      <c r="J154" s="44"/>
      <c r="K154"/>
      <c r="L154" s="44"/>
      <c r="M154"/>
      <c r="N154" s="44"/>
      <c r="O154"/>
      <c r="P154" s="44"/>
      <c r="Q154"/>
      <c r="R154" s="44"/>
      <c r="S154"/>
      <c r="T154" s="44"/>
      <c r="U154"/>
      <c r="V154" s="44"/>
      <c r="W154"/>
      <c r="X154" s="44"/>
      <c r="Y154"/>
    </row>
  </sheetData>
  <sheetProtection algorithmName="SHA-512" hashValue="C2sfRQZbY3Q7t7o4XB1PBCQvWE3Ow0ZXKaurJKsM/CFhLo1nzIycqB6qqhtD3kplFq7+MU2euj24QlEMuFt0nA==" saltValue="OEygXv674ffPiEJ3O8y4IQ==" spinCount="100000" sheet="1" objects="1" scenarios="1" selectLockedCells="1"/>
  <dataConsolidate/>
  <mergeCells count="27">
    <mergeCell ref="I38:S39"/>
    <mergeCell ref="I6:Y6"/>
    <mergeCell ref="I9:X9"/>
    <mergeCell ref="U13:X13"/>
    <mergeCell ref="I17:M17"/>
    <mergeCell ref="Q17:U17"/>
    <mergeCell ref="I18:M18"/>
    <mergeCell ref="I23:W23"/>
    <mergeCell ref="I28:K28"/>
    <mergeCell ref="M28:Q28"/>
    <mergeCell ref="S28:W28"/>
    <mergeCell ref="I30:W34"/>
    <mergeCell ref="I44:W45"/>
    <mergeCell ref="I48:O48"/>
    <mergeCell ref="Q48:S48"/>
    <mergeCell ref="I51:K51"/>
    <mergeCell ref="O51:Q51"/>
    <mergeCell ref="U51:W51"/>
    <mergeCell ref="I87:Q87"/>
    <mergeCell ref="S87:W87"/>
    <mergeCell ref="I88:Q88"/>
    <mergeCell ref="I55:X55"/>
    <mergeCell ref="M57:S57"/>
    <mergeCell ref="I61:X82"/>
    <mergeCell ref="I85:M85"/>
    <mergeCell ref="O85:S85"/>
    <mergeCell ref="U85:W85"/>
  </mergeCells>
  <conditionalFormatting sqref="H6">
    <cfRule type="expression" dxfId="75" priority="36">
      <formula>($B$10=TRUE)</formula>
    </cfRule>
    <cfRule type="iconSet" priority="35">
      <iconSet iconSet="3Flags" showValue="0">
        <cfvo type="percent" val="0"/>
        <cfvo type="num" val="1"/>
        <cfvo type="num" val="2" gte="0"/>
      </iconSet>
    </cfRule>
  </conditionalFormatting>
  <conditionalFormatting sqref="I88">
    <cfRule type="notContainsBlanks" dxfId="74" priority="9">
      <formula>LEN(TRIM(I88))&gt;0</formula>
    </cfRule>
  </conditionalFormatting>
  <conditionalFormatting sqref="I48:O48 Q48 U48 W48 I51 O51 U51 M56:S56">
    <cfRule type="expression" dxfId="73" priority="15">
      <formula>DATA_ADL_ICW_FLAG&lt;&gt;TRUE</formula>
    </cfRule>
  </conditionalFormatting>
  <conditionalFormatting sqref="I6:Y6">
    <cfRule type="expression" dxfId="72" priority="37">
      <formula>($B$10=TRUE)</formula>
    </cfRule>
  </conditionalFormatting>
  <conditionalFormatting sqref="L28">
    <cfRule type="iconSet" priority="28">
      <iconSet iconSet="3Symbols" showValue="0">
        <cfvo type="percent" val="0"/>
        <cfvo type="num" val="0" gte="0"/>
        <cfvo type="num" val="2"/>
      </iconSet>
    </cfRule>
    <cfRule type="iconSet" priority="29">
      <iconSet iconSet="3Symbols" showValue="0">
        <cfvo type="percent" val="0"/>
        <cfvo type="num" val="0" gte="0"/>
        <cfvo type="num" val="2"/>
      </iconSet>
    </cfRule>
  </conditionalFormatting>
  <conditionalFormatting sqref="L51">
    <cfRule type="iconSet" priority="17">
      <iconSet iconSet="3Symbols" showValue="0">
        <cfvo type="percent" val="0"/>
        <cfvo type="num" val="0" gte="0"/>
        <cfvo type="num" val="2"/>
      </iconSet>
    </cfRule>
    <cfRule type="iconSet" priority="18">
      <iconSet iconSet="3Symbols" showValue="0">
        <cfvo type="percent" val="0"/>
        <cfvo type="num" val="0" gte="0"/>
        <cfvo type="num" val="2"/>
      </iconSet>
    </cfRule>
  </conditionalFormatting>
  <conditionalFormatting sqref="M57">
    <cfRule type="notContainsBlanks" dxfId="71" priority="14">
      <formula>LEN(TRIM(M57))&gt;0</formula>
    </cfRule>
  </conditionalFormatting>
  <conditionalFormatting sqref="N17 V17:V18">
    <cfRule type="iconSet" priority="42">
      <iconSet iconSet="3Flags">
        <cfvo type="percent" val="0"/>
        <cfvo type="num" val="0" gte="0"/>
        <cfvo type="num" val="1000" gte="0"/>
      </iconSet>
    </cfRule>
  </conditionalFormatting>
  <conditionalFormatting sqref="N18">
    <cfRule type="iconSet" priority="4">
      <iconSet iconSet="3Flags">
        <cfvo type="percent" val="0"/>
        <cfvo type="num" val="0" gte="0"/>
        <cfvo type="num" val="1000" gte="0"/>
      </iconSet>
    </cfRule>
  </conditionalFormatting>
  <conditionalFormatting sqref="N24">
    <cfRule type="iconSet" priority="40">
      <iconSet iconSet="3Symbols" showValue="0">
        <cfvo type="percent" val="0"/>
        <cfvo type="num" val="0" gte="0"/>
        <cfvo type="num" val="2"/>
      </iconSet>
    </cfRule>
  </conditionalFormatting>
  <conditionalFormatting sqref="N85">
    <cfRule type="iconSet" priority="11">
      <iconSet iconSet="3Symbols" showValue="0">
        <cfvo type="percent" val="0"/>
        <cfvo type="num" val="0" gte="0"/>
        <cfvo type="num" val="2"/>
      </iconSet>
    </cfRule>
  </conditionalFormatting>
  <conditionalFormatting sqref="O17:P18">
    <cfRule type="expression" dxfId="70" priority="2">
      <formula>($P17=2)</formula>
    </cfRule>
    <cfRule type="expression" dxfId="69" priority="1">
      <formula>($P17=0)</formula>
    </cfRule>
  </conditionalFormatting>
  <conditionalFormatting sqref="P17">
    <cfRule type="iconSet" priority="41">
      <iconSet iconSet="3Symbols2" showValue="0">
        <cfvo type="percent" val="0"/>
        <cfvo type="num" val="0" gte="0"/>
        <cfvo type="num" val="1" gte="0"/>
      </iconSet>
    </cfRule>
  </conditionalFormatting>
  <conditionalFormatting sqref="P18">
    <cfRule type="iconSet" priority="3">
      <iconSet iconSet="3Symbols2" showValue="0">
        <cfvo type="percent" val="0"/>
        <cfvo type="num" val="0" gte="0"/>
        <cfvo type="num" val="1" gte="0"/>
      </iconSet>
    </cfRule>
  </conditionalFormatting>
  <conditionalFormatting sqref="P48 X48 T48 V48">
    <cfRule type="iconSet" priority="21">
      <iconSet iconSet="3Symbols" showValue="0">
        <cfvo type="percent" val="0"/>
        <cfvo type="num" val="0" gte="0"/>
        <cfvo type="num" val="2"/>
      </iconSet>
    </cfRule>
  </conditionalFormatting>
  <conditionalFormatting sqref="R13 N13 J13">
    <cfRule type="iconSet" priority="38">
      <iconSet iconSet="3Symbols" showValue="0">
        <cfvo type="percent" val="0"/>
        <cfvo type="num" val="0" gte="0"/>
        <cfvo type="num" val="2"/>
      </iconSet>
    </cfRule>
  </conditionalFormatting>
  <conditionalFormatting sqref="R28">
    <cfRule type="iconSet" priority="26">
      <iconSet iconSet="3Symbols" showValue="0">
        <cfvo type="percent" val="0"/>
        <cfvo type="num" val="0" gte="0"/>
        <cfvo type="num" val="2"/>
      </iconSet>
    </cfRule>
  </conditionalFormatting>
  <conditionalFormatting sqref="R51">
    <cfRule type="iconSet" priority="19">
      <iconSet iconSet="3Symbols" showValue="0">
        <cfvo type="percent" val="0"/>
        <cfvo type="num" val="0" gte="0"/>
        <cfvo type="num" val="2"/>
      </iconSet>
    </cfRule>
  </conditionalFormatting>
  <conditionalFormatting sqref="R87 X87 N85">
    <cfRule type="iconSet" priority="12">
      <iconSet iconSet="3Symbols" showValue="0">
        <cfvo type="percent" val="0"/>
        <cfvo type="num" val="0" gte="0"/>
        <cfvo type="num" val="2"/>
      </iconSet>
    </cfRule>
  </conditionalFormatting>
  <conditionalFormatting sqref="R87">
    <cfRule type="iconSet" priority="13">
      <iconSet iconSet="3Symbols" showValue="0">
        <cfvo type="percent" val="0"/>
        <cfvo type="num" val="0" gte="0"/>
        <cfvo type="num" val="2"/>
      </iconSet>
    </cfRule>
  </conditionalFormatting>
  <conditionalFormatting sqref="S3">
    <cfRule type="dataBar" priority="39">
      <dataBar>
        <cfvo type="num" val="0"/>
        <cfvo type="num" val="1"/>
        <color theme="6" tint="-0.249977111117893"/>
      </dataBar>
      <extLst>
        <ext xmlns:x14="http://schemas.microsoft.com/office/spreadsheetml/2009/9/main" uri="{B025F937-C7B1-47D3-B67F-A62EFF666E3E}">
          <x14:id>{38149B6D-6E13-40D3-9FB1-E80E5B5DB57D}</x14:id>
        </ext>
      </extLst>
    </cfRule>
  </conditionalFormatting>
  <conditionalFormatting sqref="T3">
    <cfRule type="iconSet" priority="31">
      <iconSet iconSet="3Symbols2" showValue="0">
        <cfvo type="percent" val="0"/>
        <cfvo type="num" val="0" gte="0"/>
        <cfvo type="num" val="1" gte="0"/>
      </iconSet>
    </cfRule>
  </conditionalFormatting>
  <conditionalFormatting sqref="T56">
    <cfRule type="iconSet" priority="16">
      <iconSet iconSet="3Symbols" showValue="0">
        <cfvo type="percent" val="0"/>
        <cfvo type="num" val="0" gte="0"/>
        <cfvo type="num" val="2"/>
      </iconSet>
    </cfRule>
  </conditionalFormatting>
  <conditionalFormatting sqref="T85">
    <cfRule type="iconSet" priority="7">
      <iconSet iconSet="3Symbols" showValue="0">
        <cfvo type="percent" val="0"/>
        <cfvo type="num" val="0" gte="0"/>
        <cfvo type="num" val="2"/>
      </iconSet>
    </cfRule>
    <cfRule type="iconSet" priority="8">
      <iconSet iconSet="3Symbols" showValue="0">
        <cfvo type="percent" val="0"/>
        <cfvo type="num" val="0" gte="0"/>
        <cfvo type="num" val="2"/>
      </iconSet>
    </cfRule>
  </conditionalFormatting>
  <conditionalFormatting sqref="W17:X18">
    <cfRule type="expression" dxfId="68" priority="32">
      <formula>($X17=0)</formula>
    </cfRule>
    <cfRule type="expression" dxfId="67" priority="33">
      <formula>($X17=2)</formula>
    </cfRule>
  </conditionalFormatting>
  <conditionalFormatting sqref="X17:X18">
    <cfRule type="iconSet" priority="34">
      <iconSet iconSet="3Symbols2" showValue="0">
        <cfvo type="percent" val="0"/>
        <cfvo type="num" val="0" gte="0"/>
        <cfvo type="num" val="1" gte="0"/>
      </iconSet>
    </cfRule>
  </conditionalFormatting>
  <conditionalFormatting sqref="X23">
    <cfRule type="iconSet" priority="43">
      <iconSet iconSet="3Symbols" showValue="0">
        <cfvo type="percent" val="0"/>
        <cfvo type="num" val="0" gte="0"/>
        <cfvo type="num" val="2"/>
      </iconSet>
    </cfRule>
  </conditionalFormatting>
  <conditionalFormatting sqref="X24">
    <cfRule type="iconSet" priority="44">
      <iconSet iconSet="3Symbols" showValue="0">
        <cfvo type="percent" val="0"/>
        <cfvo type="num" val="0" gte="0"/>
        <cfvo type="num" val="2"/>
      </iconSet>
    </cfRule>
  </conditionalFormatting>
  <conditionalFormatting sqref="X28 R28">
    <cfRule type="iconSet" priority="27">
      <iconSet iconSet="3Symbols" showValue="0">
        <cfvo type="percent" val="0"/>
        <cfvo type="num" val="0" gte="0"/>
        <cfvo type="num" val="2"/>
      </iconSet>
    </cfRule>
  </conditionalFormatting>
  <conditionalFormatting sqref="X28">
    <cfRule type="iconSet" priority="25">
      <iconSet iconSet="3Symbols" showValue="0">
        <cfvo type="percent" val="0"/>
        <cfvo type="num" val="0" gte="0"/>
        <cfvo type="num" val="2"/>
      </iconSet>
    </cfRule>
  </conditionalFormatting>
  <conditionalFormatting sqref="X30">
    <cfRule type="iconSet" priority="24">
      <iconSet iconSet="3Symbols" showValue="0">
        <cfvo type="percent" val="0"/>
        <cfvo type="num" val="0" gte="0"/>
        <cfvo type="num" val="2"/>
      </iconSet>
    </cfRule>
    <cfRule type="iconSet" priority="23">
      <iconSet iconSet="3Symbols" showValue="0">
        <cfvo type="percent" val="0"/>
        <cfvo type="num" val="0" gte="0"/>
        <cfvo type="num" val="2"/>
      </iconSet>
    </cfRule>
  </conditionalFormatting>
  <conditionalFormatting sqref="X38">
    <cfRule type="iconSet" priority="30">
      <iconSet iconSet="3Symbols" showValue="0">
        <cfvo type="percent" val="0"/>
        <cfvo type="num" val="0" gte="0"/>
        <cfvo type="num" val="2"/>
      </iconSet>
    </cfRule>
  </conditionalFormatting>
  <conditionalFormatting sqref="X43">
    <cfRule type="iconSet" priority="22">
      <iconSet iconSet="3Symbols" showValue="0">
        <cfvo type="percent" val="0"/>
        <cfvo type="num" val="0" gte="0"/>
        <cfvo type="num" val="2"/>
      </iconSet>
    </cfRule>
  </conditionalFormatting>
  <conditionalFormatting sqref="X51">
    <cfRule type="iconSet" priority="20">
      <iconSet iconSet="3Symbols" showValue="0">
        <cfvo type="percent" val="0"/>
        <cfvo type="num" val="0" gte="0"/>
        <cfvo type="num" val="2"/>
      </iconSet>
    </cfRule>
  </conditionalFormatting>
  <conditionalFormatting sqref="X85">
    <cfRule type="iconSet" priority="5">
      <iconSet iconSet="3Symbols" showValue="0">
        <cfvo type="percent" val="0"/>
        <cfvo type="num" val="0" gte="0"/>
        <cfvo type="num" val="2"/>
      </iconSet>
    </cfRule>
    <cfRule type="iconSet" priority="6">
      <iconSet iconSet="3Symbols" showValue="0">
        <cfvo type="percent" val="0"/>
        <cfvo type="num" val="0" gte="0"/>
        <cfvo type="num" val="2"/>
      </iconSet>
    </cfRule>
  </conditionalFormatting>
  <conditionalFormatting sqref="X87">
    <cfRule type="iconSet" priority="10">
      <iconSet iconSet="3Symbols" showValue="0">
        <cfvo type="percent" val="0"/>
        <cfvo type="num" val="0" gte="0"/>
        <cfvo type="num" val="2"/>
      </iconSet>
    </cfRule>
  </conditionalFormatting>
  <dataValidations count="16">
    <dataValidation type="textLength" allowBlank="1" showInputMessage="1" showErrorMessage="1" error="Maximum Number of Characters Exceeded" sqref="S28:W28" xr:uid="{5D986D1C-6A00-46B3-9705-2F045228D926}">
      <formula1>E32</formula1>
      <formula2>F32</formula2>
    </dataValidation>
    <dataValidation type="textLength" allowBlank="1" showInputMessage="1" showErrorMessage="1" error="Maximum Number of Characters Exceeded" sqref="M28:Q28" xr:uid="{4EC5DE1B-2BAA-4111-B334-8CBB4E2D4F48}">
      <formula1>E31</formula1>
      <formula2>F31</formula2>
    </dataValidation>
    <dataValidation type="textLength" allowBlank="1" showInputMessage="1" showErrorMessage="1" error="Invalid Phone Number Entered" sqref="S87:W87" xr:uid="{EB836550-422D-4214-847E-B096BE15809F}">
      <formula1>E61</formula1>
      <formula2>F61</formula2>
    </dataValidation>
    <dataValidation type="textLength" allowBlank="1" showInputMessage="1" showErrorMessage="1" error="Maximum Number of Characters Exceeded" sqref="O85:S85" xr:uid="{4F44EA15-0358-4FED-B83C-E0348A4155FE}">
      <formula1>E58</formula1>
      <formula2>F58</formula2>
    </dataValidation>
    <dataValidation type="textLength" allowBlank="1" showInputMessage="1" showErrorMessage="1" error="Maximum Number of Characters Exceeded" sqref="I87:Q87" xr:uid="{C3A00FA7-3358-4255-80A2-EAAD45939B34}">
      <formula1>E60</formula1>
      <formula2>F60</formula2>
    </dataValidation>
    <dataValidation type="textLength" allowBlank="1" showInputMessage="1" showErrorMessage="1" error="Maximum Number of Characters Exceeded" sqref="I85:M85" xr:uid="{4660A5F9-A799-41E5-BC43-52E0ED19A422}">
      <formula1>E57</formula1>
      <formula2>F57</formula2>
    </dataValidation>
    <dataValidation type="textLength" allowBlank="1" showInputMessage="1" showErrorMessage="1" error="Maximum Number of Characters Exceeded" sqref="Q48:S48" xr:uid="{22A8E7F9-3E58-48A7-8286-167A95D1B0EE}">
      <formula1>E38</formula1>
      <formula2>F38</formula2>
    </dataValidation>
    <dataValidation type="textLength" allowBlank="1" showInputMessage="1" showErrorMessage="1" error="Maximum Number of Characters Exceeded" sqref="I48:O48" xr:uid="{2BA4FEE4-FCBD-4D61-8639-30D751B49989}">
      <formula1>E37</formula1>
      <formula2>F37</formula2>
    </dataValidation>
    <dataValidation type="whole" allowBlank="1" showInputMessage="1" showErrorMessage="1" error="Invalid Household ID Entered" sqref="I28:K28" xr:uid="{95A4FC1C-EF38-4637-9AF1-7F17EBF53F03}">
      <formula1>E35</formula1>
      <formula2>F35</formula2>
    </dataValidation>
    <dataValidation type="date" operator="greaterThanOrEqual" allowBlank="1" showErrorMessage="1" sqref="U85:W85" xr:uid="{0292B431-54A1-4206-9CC0-6A5E1A79BA3C}">
      <formula1>43466</formula1>
    </dataValidation>
    <dataValidation type="date" operator="greaterThanOrEqual" allowBlank="1" showInputMessage="1" showErrorMessage="1" sqref="I51:K51" xr:uid="{68FEB4EB-BA71-457F-8C82-AFC914EA4807}">
      <formula1>43466</formula1>
    </dataValidation>
    <dataValidation type="whole" allowBlank="1" showInputMessage="1" showErrorMessage="1" error="Invalid Zip Code Entered" sqref="W48" xr:uid="{7C339ABD-3BDD-42A7-86C5-FD73C8FB6C50}">
      <formula1>1</formula1>
      <formula2>99999</formula2>
    </dataValidation>
    <dataValidation type="list" allowBlank="1" showInputMessage="1" showErrorMessage="1" error="An invalid State has been specified" sqref="U48" xr:uid="{750A2D7E-EFA4-4C88-ABFC-1EA899081393}">
      <formula1>RANGE_LOOKUP_STATE</formula1>
    </dataValidation>
    <dataValidation type="textLength" allowBlank="1" showInputMessage="1" showErrorMessage="1" error="Maximum Number of Characters Exceeded" sqref="I23" xr:uid="{DB2131EB-02EB-42EC-A149-34718D63A134}">
      <formula1>E19</formula1>
      <formula2>F19</formula2>
    </dataValidation>
    <dataValidation type="list" allowBlank="1" showInputMessage="1" showErrorMessage="1" error="Select 'Yes' or 'No'" sqref="W38 W43" xr:uid="{E25DBBF3-D913-4983-8BAB-4EA80F06E49D}">
      <formula1>RANGE_LOOKUP_YESNO</formula1>
    </dataValidation>
    <dataValidation type="custom" showInputMessage="1" showErrorMessage="1" errorTitle="No Data Entry" error="Field is Read-Only" sqref="H15" xr:uid="{7BFFB08B-EAD4-47E1-95A1-4FE7AF76CC9D}">
      <formula1>"&lt;0&gt;0"</formula1>
    </dataValidation>
  </dataValidations>
  <pageMargins left="0.25" right="0.25" top="0.5" bottom="0.5" header="0.3" footer="0.3"/>
  <pageSetup scale="90" fitToHeight="0" orientation="portrait" r:id="rId1"/>
  <headerFooter>
    <oddFooter>&amp;R&amp;8&amp;P of &amp;N</oddFooter>
  </headerFooter>
  <rowBreaks count="2" manualBreakCount="2">
    <brk id="35" min="7" max="24" man="1"/>
    <brk id="58" min="7" max="24" man="1"/>
  </rowBreaks>
  <drawing r:id="rId2"/>
  <legacyDrawing r:id="rId3"/>
  <mc:AlternateContent xmlns:mc="http://schemas.openxmlformats.org/markup-compatibility/2006">
    <mc:Choice Requires="x14">
      <controls>
        <mc:AlternateContent xmlns:mc="http://schemas.openxmlformats.org/markup-compatibility/2006">
          <mc:Choice Requires="x14">
            <control shapeId="35841" r:id="rId4" name="ICW_COMPLETE_FLAG">
              <controlPr defaultSize="0" autoFill="0" autoLine="0" autoPict="0">
                <anchor moveWithCells="1">
                  <from>
                    <xdr:col>12</xdr:col>
                    <xdr:colOff>190500</xdr:colOff>
                    <xdr:row>55</xdr:row>
                    <xdr:rowOff>19050</xdr:rowOff>
                  </from>
                  <to>
                    <xdr:col>18</xdr:col>
                    <xdr:colOff>552450</xdr:colOff>
                    <xdr:row>55</xdr:row>
                    <xdr:rowOff>266700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38149B6D-6E13-40D3-9FB1-E80E5B5DB57D}">
            <x14:dataBar direction="leftToRight" axisPosition="none">
              <x14:cfvo type="num">
                <xm:f>0</xm:f>
              </x14:cfvo>
              <x14:cfvo type="num">
                <xm:f>1</xm:f>
              </x14:cfvo>
              <x14:negativeFillColor theme="5"/>
            </x14:dataBar>
          </x14:cfRule>
          <xm:sqref>S3</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70F08-AC6E-47AD-A94C-3ACA8C1D5A5D}">
  <sheetPr>
    <pageSetUpPr autoPageBreaks="0" fitToPage="1"/>
  </sheetPr>
  <dimension ref="A1:Y172"/>
  <sheetViews>
    <sheetView showGridLines="0" showRowColHeaders="0" topLeftCell="H1" zoomScaleNormal="100" zoomScaleSheetLayoutView="100" workbookViewId="0">
      <pane ySplit="4" topLeftCell="A5" activePane="bottomLeft" state="frozen"/>
      <selection activeCell="H5" sqref="H5"/>
      <selection pane="bottomLeft" activeCell="H5" sqref="H5"/>
    </sheetView>
  </sheetViews>
  <sheetFormatPr defaultColWidth="0" defaultRowHeight="0" customHeight="1" zeroHeight="1" x14ac:dyDescent="0.25"/>
  <cols>
    <col min="1" max="1" width="27.5703125" style="67" hidden="1" customWidth="1"/>
    <col min="2" max="7" width="15.7109375" style="67" hidden="1" customWidth="1"/>
    <col min="8" max="8" width="2.42578125" customWidth="1"/>
    <col min="9" max="9" width="10.7109375" customWidth="1"/>
    <col min="10" max="10" width="2.7109375" style="44" customWidth="1"/>
    <col min="11" max="11" width="10.7109375" customWidth="1"/>
    <col min="12" max="12" width="2.7109375" style="44" customWidth="1"/>
    <col min="13" max="13" width="10.7109375" customWidth="1"/>
    <col min="14" max="14" width="2.7109375" style="44" customWidth="1"/>
    <col min="15" max="15" width="10.7109375" customWidth="1"/>
    <col min="16" max="16" width="2.7109375" style="44" customWidth="1"/>
    <col min="17" max="17" width="10.7109375" customWidth="1"/>
    <col min="18" max="18" width="2.7109375" style="44" customWidth="1"/>
    <col min="19" max="19" width="10.7109375" customWidth="1"/>
    <col min="20" max="20" width="2.7109375" style="44" customWidth="1"/>
    <col min="21" max="21" width="10.7109375" customWidth="1"/>
    <col min="22" max="22" width="2.7109375" style="44" customWidth="1"/>
    <col min="23" max="23" width="10.7109375" customWidth="1"/>
    <col min="24" max="24" width="2.7109375" style="44" customWidth="1"/>
    <col min="25" max="25" width="2.42578125" customWidth="1"/>
    <col min="26" max="16384" width="9.140625" hidden="1"/>
  </cols>
  <sheetData>
    <row r="1" spans="1:25" ht="40.5" customHeight="1" thickBot="1" x14ac:dyDescent="0.3">
      <c r="A1" s="43" t="s">
        <v>179</v>
      </c>
      <c r="B1" s="43" t="s">
        <v>178</v>
      </c>
      <c r="C1" s="43" t="s">
        <v>175</v>
      </c>
      <c r="D1" s="43" t="s">
        <v>176</v>
      </c>
      <c r="E1" s="43" t="s">
        <v>173</v>
      </c>
      <c r="F1" s="43" t="s">
        <v>174</v>
      </c>
      <c r="G1" s="84" t="s">
        <v>177</v>
      </c>
      <c r="H1" s="82"/>
      <c r="I1" s="82"/>
      <c r="J1" s="83"/>
      <c r="K1" s="82"/>
      <c r="L1" s="83"/>
      <c r="M1" s="82"/>
      <c r="N1" s="83"/>
      <c r="O1" s="82"/>
      <c r="P1" s="83"/>
      <c r="Q1" s="82"/>
      <c r="R1" s="83"/>
      <c r="S1" s="82"/>
      <c r="T1" s="83"/>
      <c r="U1" s="82"/>
      <c r="V1" s="83"/>
      <c r="W1" s="82"/>
      <c r="X1" s="83"/>
      <c r="Y1" s="82"/>
    </row>
    <row r="2" spans="1:25" ht="3" customHeight="1" x14ac:dyDescent="0.25">
      <c r="A2" s="45"/>
      <c r="B2" s="45"/>
      <c r="C2" s="45"/>
      <c r="D2" s="45"/>
      <c r="E2" s="45"/>
      <c r="F2" s="45"/>
      <c r="G2" s="45"/>
      <c r="H2" s="46"/>
      <c r="I2" s="75"/>
      <c r="J2" s="75"/>
      <c r="K2" s="75"/>
      <c r="L2" s="75"/>
      <c r="M2" s="75"/>
      <c r="N2" s="75"/>
      <c r="O2" s="75"/>
      <c r="P2" s="76"/>
      <c r="Q2" s="76"/>
      <c r="R2" s="47"/>
      <c r="S2" s="48"/>
      <c r="T2" s="47"/>
      <c r="U2" s="47"/>
      <c r="V2" s="47"/>
      <c r="W2" s="47"/>
      <c r="X2" s="47"/>
      <c r="Y2" s="47"/>
    </row>
    <row r="3" spans="1:25" ht="15" customHeight="1" x14ac:dyDescent="0.25">
      <c r="A3" s="45"/>
      <c r="B3" s="45"/>
      <c r="C3" s="45"/>
      <c r="D3" s="45"/>
      <c r="E3" s="45"/>
      <c r="F3" s="45"/>
      <c r="G3" s="45"/>
      <c r="H3" s="49"/>
      <c r="I3" s="75" t="str">
        <f ca="1">(LEFT($B$8,40)&amp;IF(LEN($B$8)&gt;40,"…",""))</f>
        <v>Primary Borrower Not Yet Specified</v>
      </c>
      <c r="J3" s="75"/>
      <c r="K3" s="75"/>
      <c r="L3" s="75"/>
      <c r="M3" s="75"/>
      <c r="N3" s="75"/>
      <c r="O3" s="75"/>
      <c r="P3" s="76"/>
      <c r="Q3" s="76"/>
      <c r="R3" s="76" t="s">
        <v>2140</v>
      </c>
      <c r="S3" s="133" t="str">
        <f>IF('$DB.DATA'!G11="RES",VLOOKUP("APP_PROGRESS_PCT_COMPLETE",DB_TBL_DATA_FIELDS[[FIELD_ID]:[FIELD_VALUE_CLEAN]],10,FALSE),"N/A")</f>
        <v>N/A</v>
      </c>
      <c r="T3" s="117" t="str">
        <f ca="1">IF(DATA_APP_PROGRESS_ERROR_COUNT&gt;0,0,IF(DATA_EFORM_COMPLETE_FLAG,2,""))</f>
        <v/>
      </c>
      <c r="U3" s="49"/>
      <c r="V3" s="50"/>
      <c r="W3" s="49"/>
      <c r="X3" s="50"/>
      <c r="Y3" s="49"/>
    </row>
    <row r="4" spans="1:25" ht="3" customHeight="1" x14ac:dyDescent="0.25">
      <c r="A4" s="45"/>
      <c r="B4" s="45"/>
      <c r="C4" s="45"/>
      <c r="D4" s="45"/>
      <c r="E4" s="45"/>
      <c r="F4" s="45"/>
      <c r="G4" s="45"/>
      <c r="H4" s="34"/>
      <c r="I4" s="85"/>
      <c r="J4" s="85"/>
      <c r="K4" s="85"/>
      <c r="L4" s="85"/>
      <c r="M4" s="85"/>
      <c r="N4" s="85"/>
      <c r="O4" s="85"/>
      <c r="P4" s="86"/>
      <c r="Q4" s="86"/>
      <c r="R4" s="87"/>
      <c r="S4" s="34"/>
      <c r="T4" s="87"/>
      <c r="U4" s="34"/>
      <c r="V4" s="87"/>
      <c r="W4" s="34"/>
      <c r="X4" s="87"/>
      <c r="Y4" s="34"/>
    </row>
    <row r="5" spans="1:25" ht="3.95" customHeight="1" x14ac:dyDescent="0.25">
      <c r="A5" s="45"/>
      <c r="B5" s="45"/>
      <c r="C5" s="45"/>
      <c r="D5" s="45"/>
      <c r="E5" s="45"/>
      <c r="F5" s="45"/>
      <c r="G5" s="45"/>
      <c r="H5" s="39"/>
      <c r="I5" s="79"/>
      <c r="J5" s="79"/>
      <c r="K5" s="79"/>
      <c r="L5" s="79"/>
      <c r="M5" s="79"/>
      <c r="N5" s="79"/>
      <c r="O5" s="79"/>
      <c r="P5" s="80"/>
      <c r="Q5" s="80"/>
    </row>
    <row r="6" spans="1:25" ht="18" customHeight="1" x14ac:dyDescent="0.25">
      <c r="A6" s="51" t="s">
        <v>32</v>
      </c>
      <c r="B6" s="94" t="str">
        <f>LOOKUP_PROGRAM_NAME_HDPWB&amp;" - "&amp;CONFIG_ENROLL_PERD_DESC</f>
        <v>Homebuyer Dream Program Wealth Builder - 2026 Round</v>
      </c>
      <c r="C6" s="51"/>
      <c r="D6" s="51"/>
      <c r="E6" s="51"/>
      <c r="F6" s="51"/>
      <c r="G6" s="51"/>
      <c r="H6" s="59" t="str">
        <f ca="1">B11</f>
        <v/>
      </c>
      <c r="I6" s="381" t="str">
        <f ca="1">B12</f>
        <v/>
      </c>
      <c r="J6" s="381"/>
      <c r="K6" s="381"/>
      <c r="L6" s="381"/>
      <c r="M6" s="381"/>
      <c r="N6" s="381"/>
      <c r="O6" s="381"/>
      <c r="P6" s="381"/>
      <c r="Q6" s="381"/>
      <c r="R6" s="381"/>
      <c r="S6" s="381"/>
      <c r="T6" s="381"/>
      <c r="U6" s="381"/>
      <c r="V6" s="381"/>
      <c r="W6" s="381"/>
      <c r="X6" s="381"/>
      <c r="Y6" s="381"/>
    </row>
    <row r="7" spans="1:25" ht="3.95" customHeight="1" x14ac:dyDescent="0.25">
      <c r="A7" s="51" t="s">
        <v>2205</v>
      </c>
      <c r="B7" s="94" t="str">
        <f>VLOOKUP(A7,DB_TBL_CONFIG_APP[#All],4,FALSE)</f>
        <v>New Household Reservation Request</v>
      </c>
      <c r="C7" s="51"/>
      <c r="D7" s="51"/>
      <c r="E7" s="51"/>
      <c r="F7" s="51"/>
      <c r="G7" s="51"/>
      <c r="H7" s="59"/>
      <c r="I7" s="59"/>
      <c r="J7" s="59"/>
      <c r="K7" s="59"/>
      <c r="L7" s="59"/>
      <c r="M7" s="59"/>
      <c r="N7" s="59"/>
      <c r="O7" s="59"/>
      <c r="P7" s="59"/>
      <c r="Q7" s="59"/>
      <c r="R7" s="59"/>
      <c r="S7" s="59"/>
      <c r="T7" s="59"/>
      <c r="U7" s="59"/>
      <c r="V7" s="59"/>
      <c r="W7" s="59"/>
      <c r="X7" s="59"/>
      <c r="Y7" s="59"/>
    </row>
    <row r="8" spans="1:25" s="36" customFormat="1" ht="21.95" customHeight="1" thickBot="1" x14ac:dyDescent="0.25">
      <c r="A8" s="51" t="s">
        <v>2351</v>
      </c>
      <c r="B8" s="94" t="str">
        <f ca="1">IF(DATA_PRIM_BORW_FULL_NAME="","Primary Borrower Not Yet Specified",DATA_PRIM_BORW_FULL_NAME)</f>
        <v>Primary Borrower Not Yet Specified</v>
      </c>
      <c r="C8" s="54"/>
      <c r="D8" s="54"/>
      <c r="E8" s="51"/>
      <c r="F8" s="51"/>
      <c r="G8" s="51"/>
      <c r="H8" s="59"/>
      <c r="I8" s="114" t="s">
        <v>2354</v>
      </c>
      <c r="J8" s="115"/>
      <c r="K8" s="115"/>
      <c r="L8" s="115"/>
      <c r="M8" s="115"/>
      <c r="N8" s="115"/>
      <c r="O8" s="115"/>
      <c r="P8" s="115"/>
      <c r="Q8" s="115"/>
      <c r="R8" s="115"/>
      <c r="S8" s="115"/>
      <c r="T8" s="115"/>
      <c r="U8" s="115"/>
      <c r="V8" s="115"/>
      <c r="W8" s="115"/>
      <c r="X8" s="115"/>
      <c r="Y8" s="59"/>
    </row>
    <row r="9" spans="1:25" s="36" customFormat="1" ht="107.45" customHeight="1" x14ac:dyDescent="0.25">
      <c r="A9" s="54" t="s">
        <v>2154</v>
      </c>
      <c r="B9" s="65">
        <f ca="1">SUM(B28,B67,B92,B116,B141)</f>
        <v>0</v>
      </c>
      <c r="C9" s="54"/>
      <c r="D9" s="54"/>
      <c r="E9" s="54"/>
      <c r="F9" s="54"/>
      <c r="G9" s="54"/>
      <c r="H9" s="59"/>
      <c r="I9" s="387" t="s">
        <v>9341</v>
      </c>
      <c r="J9" s="387"/>
      <c r="K9" s="387"/>
      <c r="L9" s="387"/>
      <c r="M9" s="387"/>
      <c r="N9" s="387"/>
      <c r="O9" s="387"/>
      <c r="P9" s="387"/>
      <c r="Q9" s="387"/>
      <c r="R9" s="387"/>
      <c r="S9" s="387"/>
      <c r="T9" s="387"/>
      <c r="U9" s="387"/>
      <c r="V9" s="387"/>
      <c r="W9" s="387"/>
      <c r="X9" s="387"/>
      <c r="Y9" s="59"/>
    </row>
    <row r="10" spans="1:25" s="36" customFormat="1" ht="9.9499999999999993" customHeight="1" x14ac:dyDescent="0.25">
      <c r="A10" s="54" t="s">
        <v>2155</v>
      </c>
      <c r="B10" s="65" t="b">
        <f ca="1">B9&gt;0</f>
        <v>0</v>
      </c>
      <c r="C10" s="54"/>
      <c r="D10" s="54"/>
      <c r="E10" s="54"/>
      <c r="F10" s="54"/>
      <c r="G10" s="54"/>
      <c r="H10" s="59"/>
      <c r="I10" s="59"/>
      <c r="J10" s="59"/>
      <c r="K10" s="59"/>
      <c r="L10" s="59"/>
      <c r="M10" s="59"/>
      <c r="N10" s="59"/>
      <c r="O10" s="59"/>
      <c r="P10" s="59"/>
      <c r="Q10" s="59"/>
      <c r="R10" s="59"/>
      <c r="S10" s="59"/>
      <c r="T10" s="59"/>
      <c r="U10" s="59"/>
      <c r="V10" s="59"/>
      <c r="W10" s="59"/>
      <c r="X10" s="59"/>
      <c r="Y10" s="59"/>
    </row>
    <row r="11" spans="1:25" s="36" customFormat="1" ht="21.95" customHeight="1" thickBot="1" x14ac:dyDescent="0.3">
      <c r="A11" s="54" t="s">
        <v>2156</v>
      </c>
      <c r="B11" s="65" t="str">
        <f ca="1">IF(B10,1,"")</f>
        <v/>
      </c>
      <c r="C11" s="54"/>
      <c r="D11" s="54"/>
      <c r="E11" s="54"/>
      <c r="F11" s="54"/>
      <c r="G11" s="54"/>
      <c r="H11" s="59"/>
      <c r="I11" s="114" t="s">
        <v>2879</v>
      </c>
      <c r="J11" s="115"/>
      <c r="K11" s="115"/>
      <c r="L11" s="115"/>
      <c r="M11" s="115"/>
      <c r="N11" s="115"/>
      <c r="O11" s="115"/>
      <c r="P11" s="115"/>
      <c r="Q11" s="115"/>
      <c r="R11" s="115"/>
      <c r="S11" s="115"/>
      <c r="T11" s="115"/>
      <c r="U11" s="115"/>
      <c r="V11" s="115"/>
      <c r="W11" s="115"/>
      <c r="X11" s="115"/>
      <c r="Y11" s="59"/>
    </row>
    <row r="12" spans="1:25" s="36" customFormat="1" ht="6.75" customHeight="1" x14ac:dyDescent="0.2">
      <c r="A12" s="54" t="s">
        <v>2157</v>
      </c>
      <c r="B12" s="94" t="str">
        <f ca="1">IF(B10,B9&amp;" "&amp;'$DB.CONFIG'!$M$4,"")</f>
        <v/>
      </c>
      <c r="C12" s="54"/>
      <c r="D12" s="54"/>
      <c r="E12" s="54"/>
      <c r="F12" s="54"/>
      <c r="G12" s="54"/>
      <c r="H12" s="59"/>
      <c r="I12" s="60"/>
      <c r="J12" s="59"/>
      <c r="K12" s="59"/>
      <c r="L12" s="59"/>
      <c r="M12" s="59"/>
      <c r="N12" s="59"/>
      <c r="O12" s="59"/>
      <c r="P12" s="59"/>
      <c r="Q12" s="59"/>
      <c r="R12" s="59"/>
      <c r="S12" s="59"/>
      <c r="T12" s="59"/>
      <c r="U12" s="59"/>
      <c r="V12" s="59"/>
      <c r="W12" s="59"/>
      <c r="X12" s="59"/>
      <c r="Y12" s="59"/>
    </row>
    <row r="13" spans="1:25" s="36" customFormat="1" ht="21.95" customHeight="1" x14ac:dyDescent="0.25">
      <c r="A13" s="54"/>
      <c r="B13" s="54"/>
      <c r="C13" s="54"/>
      <c r="D13" s="54"/>
      <c r="E13" s="54"/>
      <c r="F13" s="54"/>
      <c r="G13" s="54"/>
      <c r="H13"/>
      <c r="I13" s="53" t="s">
        <v>25</v>
      </c>
      <c r="J13" s="78">
        <f>1</f>
        <v>1</v>
      </c>
      <c r="K13" s="74"/>
      <c r="L13" s="74"/>
      <c r="M13" s="53" t="s">
        <v>2186</v>
      </c>
      <c r="N13" s="78">
        <f>2</f>
        <v>2</v>
      </c>
      <c r="Q13" s="53" t="s">
        <v>2187</v>
      </c>
      <c r="R13" s="78">
        <f>0</f>
        <v>0</v>
      </c>
      <c r="U13" s="384" t="s">
        <v>2188</v>
      </c>
      <c r="V13" s="385"/>
      <c r="W13" s="385"/>
      <c r="X13" s="386"/>
      <c r="Y13"/>
    </row>
    <row r="14" spans="1:25" s="36" customFormat="1" ht="21.95" customHeight="1" x14ac:dyDescent="0.25">
      <c r="A14" s="54"/>
      <c r="B14" s="54"/>
      <c r="C14" s="54"/>
      <c r="D14" s="54"/>
      <c r="E14" s="54"/>
      <c r="F14" s="54"/>
      <c r="G14" s="54"/>
      <c r="H14"/>
      <c r="I14"/>
      <c r="J14" s="44"/>
      <c r="K14"/>
      <c r="L14" s="44"/>
      <c r="M14"/>
      <c r="N14" s="44"/>
      <c r="O14"/>
      <c r="P14" s="44"/>
      <c r="Q14"/>
      <c r="R14" s="44"/>
      <c r="S14"/>
      <c r="T14" s="44"/>
      <c r="U14"/>
      <c r="V14" s="44"/>
      <c r="W14"/>
      <c r="X14" s="44"/>
      <c r="Y14"/>
    </row>
    <row r="15" spans="1:25" s="36" customFormat="1" ht="21.95" customHeight="1" thickBot="1" x14ac:dyDescent="0.3">
      <c r="A15" s="54"/>
      <c r="B15" s="54"/>
      <c r="C15" s="54"/>
      <c r="D15" s="54"/>
      <c r="E15" s="54"/>
      <c r="F15" s="54"/>
      <c r="G15" s="54"/>
      <c r="I15" s="55" t="s">
        <v>186</v>
      </c>
      <c r="J15" s="55"/>
      <c r="K15" s="55"/>
      <c r="L15" s="55"/>
      <c r="M15" s="55"/>
      <c r="N15" s="55"/>
      <c r="O15" s="55"/>
      <c r="P15" s="55"/>
      <c r="Q15" s="55"/>
      <c r="R15" s="55"/>
      <c r="S15" s="55"/>
      <c r="T15" s="55"/>
      <c r="U15" s="55"/>
      <c r="V15" s="55"/>
      <c r="W15" s="55"/>
      <c r="X15" s="56"/>
    </row>
    <row r="16" spans="1:25" s="36" customFormat="1" ht="21.95" customHeight="1" x14ac:dyDescent="0.25">
      <c r="A16" s="54"/>
      <c r="B16" s="54"/>
      <c r="C16" s="54"/>
      <c r="D16" s="54"/>
      <c r="E16" s="54"/>
      <c r="F16" s="54"/>
      <c r="G16" s="54"/>
      <c r="H16" s="57"/>
      <c r="I16" s="37"/>
      <c r="J16" s="37"/>
      <c r="K16" s="37"/>
      <c r="L16" s="37"/>
      <c r="M16" s="37"/>
      <c r="N16" s="37"/>
      <c r="O16" s="58"/>
      <c r="P16" s="58"/>
      <c r="Q16" s="37"/>
      <c r="R16" s="37"/>
      <c r="S16" s="37"/>
      <c r="T16" s="37"/>
      <c r="U16" s="37"/>
      <c r="V16" s="37"/>
      <c r="W16" s="37"/>
      <c r="X16" s="37"/>
    </row>
    <row r="17" spans="1:25" s="36" customFormat="1" ht="21.95" customHeight="1" x14ac:dyDescent="0.25">
      <c r="A17" s="54"/>
      <c r="B17" s="54"/>
      <c r="C17" s="54"/>
      <c r="D17" s="54"/>
      <c r="E17" s="54"/>
      <c r="F17" s="54"/>
      <c r="G17" s="54"/>
      <c r="I17" s="382" t="str">
        <f>"1     "&amp;VLOOKUP("SECTION_1_TOC_LABEL",A:B,2,FALSE)</f>
        <v>1     FHLBNY Member</v>
      </c>
      <c r="J17" s="382"/>
      <c r="K17" s="382"/>
      <c r="L17" s="382"/>
      <c r="M17" s="382"/>
      <c r="N17" s="59" t="str">
        <f>IF($B$29,1,"")</f>
        <v/>
      </c>
      <c r="O17" s="73" t="str">
        <f ca="1">$B$25</f>
        <v>Not Started</v>
      </c>
      <c r="P17" s="59" t="str">
        <f ca="1">B26</f>
        <v/>
      </c>
      <c r="Q17" s="383" t="str">
        <f>"4     "&amp;VLOOKUP("SECTION_4_TOC_LABEL",A:B,2,FALSE)</f>
        <v>4     Purchase Property</v>
      </c>
      <c r="R17" s="383"/>
      <c r="S17" s="383"/>
      <c r="T17" s="383"/>
      <c r="U17" s="383"/>
      <c r="V17" s="59" t="str">
        <f ca="1">IF($B$117,1,"")</f>
        <v/>
      </c>
      <c r="W17" s="73" t="str">
        <f ca="1">$B$112</f>
        <v>Not Started</v>
      </c>
      <c r="X17" s="59" t="str">
        <f ca="1">$B113</f>
        <v/>
      </c>
    </row>
    <row r="18" spans="1:25" s="36" customFormat="1" ht="21.95" customHeight="1" x14ac:dyDescent="0.25">
      <c r="A18" s="91" t="s">
        <v>118</v>
      </c>
      <c r="B18" s="93" t="s">
        <v>2832</v>
      </c>
      <c r="C18" s="92"/>
      <c r="D18" s="92"/>
      <c r="E18" s="92"/>
      <c r="F18" s="92"/>
      <c r="G18" s="92"/>
      <c r="I18" s="382" t="str">
        <f>"2     "&amp;VLOOKUP("SECTION_2_TOC_LABEL",A:B,2,FALSE)</f>
        <v>2     Household Information</v>
      </c>
      <c r="J18" s="382"/>
      <c r="K18" s="382"/>
      <c r="L18" s="382"/>
      <c r="M18" s="382"/>
      <c r="N18" s="59" t="str">
        <f ca="1">IF($B$68,1,"")</f>
        <v/>
      </c>
      <c r="O18" s="73" t="str">
        <f ca="1">$B$62</f>
        <v>Not Started</v>
      </c>
      <c r="P18" s="59" t="str">
        <f ca="1">B63</f>
        <v/>
      </c>
      <c r="Q18" s="383" t="str">
        <f>"5    "&amp;VLOOKUP("SECTION_5_TOC_LABEL",A:B,2,FALSE)</f>
        <v>5    Household Qualification</v>
      </c>
      <c r="R18" s="383"/>
      <c r="S18" s="383"/>
      <c r="T18" s="383"/>
      <c r="U18" s="383"/>
      <c r="V18" s="59" t="str">
        <f ca="1">IF($B$142,1,"")</f>
        <v/>
      </c>
      <c r="W18" s="73" t="str">
        <f ca="1">$B$137</f>
        <v>Not Started</v>
      </c>
      <c r="X18" s="59" t="str">
        <f ca="1">$B138</f>
        <v/>
      </c>
    </row>
    <row r="19" spans="1:25" s="36" customFormat="1" ht="21.95" customHeight="1" x14ac:dyDescent="0.25">
      <c r="A19" s="61" t="s">
        <v>2221</v>
      </c>
      <c r="B19" s="95" t="str">
        <f>IF(I24="","",I24)</f>
        <v/>
      </c>
      <c r="C19" s="54">
        <f ca="1">VLOOKUP(A19,DB_TBL_DATA_FIELDS[[FIELD_ID]:[PCT_CALC_FIELD_STATUS_CODE]],22,FALSE)</f>
        <v>1</v>
      </c>
      <c r="D19" s="54" t="str">
        <f>IF(VLOOKUP(A19,DB_TBL_DATA_FIELDS[[FIELD_ID]:[ERROR_MESSAGE]],23,FALSE)&lt;&gt;0,VLOOKUP(A19,DB_TBL_DATA_FIELDS[[FIELD_ID]:[ERROR_MESSAGE]],23,FALSE),"")</f>
        <v/>
      </c>
      <c r="E19" s="54">
        <f>VLOOKUP(A19,DB_TBL_DATA_FIELDS[[#All],[FIELD_ID]:[RANGE_VALIDATION_MAX]],18,FALSE)</f>
        <v>0</v>
      </c>
      <c r="F19" s="54">
        <f>VLOOKUP(A19,DB_TBL_DATA_FIELDS[[#All],[FIELD_ID]:[RANGE_VALIDATION_MAX]],19,FALSE)</f>
        <v>100</v>
      </c>
      <c r="G19" s="54">
        <f ca="1">IF(C19&lt;0,"",C19)</f>
        <v>1</v>
      </c>
      <c r="I19" s="382" t="str">
        <f>"3     "&amp;VLOOKUP("SECTION_3_TOC_LABEL",A:B,2,FALSE)</f>
        <v>3     Grant Summary</v>
      </c>
      <c r="J19" s="382"/>
      <c r="K19" s="382"/>
      <c r="L19" s="382"/>
      <c r="M19" s="382"/>
      <c r="N19" s="59" t="str">
        <f ca="1">IF($B$93,1,"")</f>
        <v/>
      </c>
      <c r="O19" s="73" t="str">
        <f ca="1">$B$88</f>
        <v>Not Started</v>
      </c>
      <c r="P19" s="59" t="str">
        <f ca="1">B89</f>
        <v/>
      </c>
      <c r="Q19" s="383" t="str">
        <f>"6    "&amp;VLOOKUP("SECTION_6_TOC_LABEL",A:B,2,FALSE)</f>
        <v>6    Member Certification</v>
      </c>
      <c r="R19" s="383"/>
      <c r="S19" s="383"/>
      <c r="T19" s="383"/>
      <c r="U19" s="383"/>
      <c r="V19" s="59" t="str">
        <f>IF($B$158,1,"")</f>
        <v/>
      </c>
      <c r="W19" s="73" t="str">
        <f ca="1">$B$154</f>
        <v>Not Started</v>
      </c>
      <c r="X19" s="59" t="str">
        <f ca="1">$B155</f>
        <v/>
      </c>
    </row>
    <row r="20" spans="1:25" s="36" customFormat="1" ht="21.95" customHeight="1" x14ac:dyDescent="0.25">
      <c r="A20" s="61" t="s">
        <v>117</v>
      </c>
      <c r="B20" s="65" t="str">
        <f>"C"&amp;MATCH(LEFT(A20,LEN(A20)-LEN("_RANGE")),A:A,0)+1&amp;":C"&amp;(ROW()-1)</f>
        <v>C19:C19</v>
      </c>
      <c r="C20" s="54"/>
      <c r="D20" s="54"/>
      <c r="E20" s="54"/>
      <c r="F20" s="54"/>
      <c r="G20" s="54"/>
      <c r="J20" s="44"/>
      <c r="L20" s="44"/>
      <c r="N20" s="44"/>
      <c r="P20" s="44"/>
      <c r="R20" s="44"/>
      <c r="T20" s="44"/>
      <c r="V20" s="44"/>
      <c r="X20" s="44"/>
    </row>
    <row r="21" spans="1:25" s="36" customFormat="1" ht="21.95" customHeight="1" thickBot="1" x14ac:dyDescent="0.3">
      <c r="A21" s="61" t="s">
        <v>111</v>
      </c>
      <c r="B21" s="65">
        <f ca="1">COUNTIF(INDIRECT($B20),2)</f>
        <v>0</v>
      </c>
      <c r="C21" s="54"/>
      <c r="D21" s="54"/>
      <c r="E21" s="54"/>
      <c r="F21" s="54"/>
      <c r="G21" s="54"/>
      <c r="H21" s="37"/>
      <c r="I21" s="55" t="str">
        <f>B18</f>
        <v>Federal Home Loan Bank of New York Member</v>
      </c>
      <c r="J21" s="55"/>
      <c r="K21" s="55"/>
      <c r="L21" s="55"/>
      <c r="M21" s="55"/>
      <c r="N21" s="55"/>
      <c r="O21" s="55"/>
      <c r="P21" s="55"/>
      <c r="Q21" s="55"/>
      <c r="R21" s="55"/>
      <c r="S21" s="55"/>
      <c r="T21" s="55"/>
      <c r="U21" s="55"/>
      <c r="V21" s="55"/>
      <c r="W21" s="55"/>
      <c r="X21" s="56" t="str">
        <f ca="1">"Status: "&amp;$B$25</f>
        <v>Status: Not Started</v>
      </c>
      <c r="Y21" s="37"/>
    </row>
    <row r="22" spans="1:25" s="36" customFormat="1" ht="21.95" customHeight="1" x14ac:dyDescent="0.25">
      <c r="A22" s="61" t="s">
        <v>112</v>
      </c>
      <c r="B22" s="65">
        <f ca="1">COUNTIF(INDIRECT($B20),0)+COUNTIF(INDIRECT($B20),1)+COUNTIF(INDIRECT($B20),2)</f>
        <v>1</v>
      </c>
      <c r="C22" s="54"/>
      <c r="D22" s="54"/>
      <c r="E22" s="54"/>
      <c r="F22" s="54"/>
      <c r="G22" s="54"/>
      <c r="H22" s="37"/>
      <c r="I22" s="37"/>
      <c r="J22" s="37"/>
      <c r="K22" s="37"/>
      <c r="L22" s="37"/>
      <c r="M22" s="37"/>
      <c r="N22" s="37"/>
      <c r="O22" s="37"/>
      <c r="P22" s="37"/>
      <c r="Q22" s="37"/>
      <c r="R22" s="37"/>
      <c r="S22" s="37"/>
      <c r="T22" s="37"/>
      <c r="U22" s="37"/>
      <c r="V22" s="37"/>
      <c r="W22" s="37"/>
      <c r="X22" s="37"/>
      <c r="Y22" s="37"/>
    </row>
    <row r="23" spans="1:25" s="36" customFormat="1" ht="21.95" customHeight="1" x14ac:dyDescent="0.25">
      <c r="A23" s="61" t="s">
        <v>113</v>
      </c>
      <c r="B23" s="65">
        <f ca="1">COUNTIF(INDIRECT($B20),0)</f>
        <v>0</v>
      </c>
      <c r="C23" s="54"/>
      <c r="D23" s="54"/>
      <c r="E23" s="54"/>
      <c r="F23" s="54"/>
      <c r="G23" s="54"/>
      <c r="I23" s="36" t="s">
        <v>129</v>
      </c>
      <c r="J23" s="44"/>
      <c r="L23" s="44"/>
      <c r="N23" s="44"/>
      <c r="P23" s="44"/>
      <c r="R23" s="44"/>
      <c r="T23" s="44"/>
    </row>
    <row r="24" spans="1:25" s="36" customFormat="1" ht="21.95" customHeight="1" x14ac:dyDescent="0.25">
      <c r="A24" s="61" t="s">
        <v>114</v>
      </c>
      <c r="B24" s="97">
        <f ca="1">IFERROR(B21/B22,1.01)</f>
        <v>0</v>
      </c>
      <c r="C24" s="54"/>
      <c r="D24" s="54"/>
      <c r="E24" s="54"/>
      <c r="F24" s="54"/>
      <c r="G24" s="54"/>
      <c r="I24" s="316"/>
      <c r="J24" s="317"/>
      <c r="K24" s="317"/>
      <c r="L24" s="317"/>
      <c r="M24" s="317"/>
      <c r="N24" s="317"/>
      <c r="O24" s="317"/>
      <c r="P24" s="317"/>
      <c r="Q24" s="317"/>
      <c r="R24" s="317"/>
      <c r="S24" s="317"/>
      <c r="T24" s="317"/>
      <c r="U24" s="317"/>
      <c r="V24" s="317"/>
      <c r="W24" s="318"/>
      <c r="X24" s="52">
        <f ca="1">$G19</f>
        <v>1</v>
      </c>
    </row>
    <row r="25" spans="1:25" s="36" customFormat="1" ht="21.95" customHeight="1" x14ac:dyDescent="0.25">
      <c r="A25" s="61" t="s">
        <v>115</v>
      </c>
      <c r="B25" s="65" t="str">
        <f ca="1">IF(B23&gt;0,"Data Error(s)",IF(B24=0,"Not Started",IF(B24&lt;1,ROUNDUP(B24*100,0)&amp;"% Done",IF(B24&gt;1,"Optional","Complete"))))</f>
        <v>Not Started</v>
      </c>
      <c r="C25" s="54"/>
      <c r="D25" s="54"/>
      <c r="E25" s="54"/>
      <c r="F25" s="54"/>
      <c r="G25" s="54"/>
      <c r="I25" s="154"/>
      <c r="J25" s="154"/>
      <c r="K25" s="154"/>
      <c r="L25" s="154"/>
      <c r="M25" s="154"/>
      <c r="N25" s="154"/>
      <c r="O25" s="154"/>
      <c r="P25" s="154"/>
      <c r="Q25" s="154"/>
      <c r="R25" s="154"/>
      <c r="S25" s="154"/>
      <c r="T25" s="154"/>
      <c r="U25" s="154"/>
      <c r="V25" s="154"/>
      <c r="W25" s="154"/>
      <c r="X25" s="52"/>
    </row>
    <row r="26" spans="1:25" s="36" customFormat="1" ht="21.95" customHeight="1" thickBot="1" x14ac:dyDescent="0.3">
      <c r="A26" s="61" t="s">
        <v>116</v>
      </c>
      <c r="B26" s="65" t="str">
        <f ca="1">IF(B23&gt;0,0,IF(B24&lt;1,"",2))</f>
        <v/>
      </c>
      <c r="C26" s="54"/>
      <c r="D26" s="54"/>
      <c r="E26" s="54"/>
      <c r="F26" s="54"/>
      <c r="G26" s="54"/>
      <c r="I26" s="55" t="str">
        <f>B30</f>
        <v>Household Information</v>
      </c>
      <c r="J26" s="55"/>
      <c r="K26" s="55"/>
      <c r="L26" s="55"/>
      <c r="M26" s="55"/>
      <c r="N26" s="55"/>
      <c r="O26" s="55"/>
      <c r="P26" s="55"/>
      <c r="Q26" s="55"/>
      <c r="R26" s="55"/>
      <c r="S26" s="55"/>
      <c r="T26" s="55"/>
      <c r="U26" s="55"/>
      <c r="V26" s="55"/>
      <c r="W26" s="55"/>
      <c r="X26" s="56" t="str">
        <f ca="1">"Status: "&amp;$B$62</f>
        <v>Status: Not Started</v>
      </c>
    </row>
    <row r="27" spans="1:25" s="36" customFormat="1" ht="21.95" customHeight="1" x14ac:dyDescent="0.25">
      <c r="A27" s="61" t="s">
        <v>119</v>
      </c>
      <c r="B27" s="96" t="s">
        <v>2833</v>
      </c>
      <c r="C27" s="54"/>
      <c r="D27" s="54"/>
      <c r="E27" s="54"/>
      <c r="F27" s="54"/>
      <c r="G27" s="54"/>
      <c r="J27" s="44"/>
      <c r="L27" s="44"/>
      <c r="N27" s="44"/>
      <c r="P27" s="44"/>
      <c r="R27" s="44"/>
      <c r="T27" s="44"/>
      <c r="V27" s="44"/>
      <c r="X27" s="44"/>
    </row>
    <row r="28" spans="1:25" s="36" customFormat="1" ht="21.95" customHeight="1" x14ac:dyDescent="0.25">
      <c r="A28" s="77" t="s">
        <v>2144</v>
      </c>
      <c r="B28" s="65">
        <v>0</v>
      </c>
      <c r="C28" s="54"/>
      <c r="D28" s="54"/>
      <c r="E28" s="54"/>
      <c r="F28" s="54"/>
      <c r="G28" s="54"/>
      <c r="J28" s="44"/>
      <c r="L28" s="44"/>
      <c r="N28" s="44"/>
      <c r="P28" s="44"/>
      <c r="R28" s="44"/>
      <c r="T28" s="44"/>
      <c r="V28" s="44"/>
      <c r="W28" s="217" t="str">
        <f ca="1">$B$65</f>
        <v/>
      </c>
      <c r="X28" s="52" t="str">
        <f ca="1">IF(C65=1,1,"")</f>
        <v/>
      </c>
    </row>
    <row r="29" spans="1:25" s="36" customFormat="1" ht="21.95" customHeight="1" x14ac:dyDescent="0.25">
      <c r="A29" s="77" t="s">
        <v>2145</v>
      </c>
      <c r="B29" s="65" t="b">
        <f>(B28&gt;0)</f>
        <v>0</v>
      </c>
      <c r="C29" s="54"/>
      <c r="D29" s="54"/>
      <c r="E29" s="54"/>
      <c r="F29" s="54"/>
      <c r="G29" s="54"/>
      <c r="I29" s="63" t="s">
        <v>2362</v>
      </c>
      <c r="J29" s="44"/>
      <c r="K29"/>
      <c r="L29" s="62"/>
      <c r="M29" s="62"/>
      <c r="N29" s="62"/>
      <c r="O29"/>
      <c r="P29" s="44"/>
      <c r="W29" s="40"/>
      <c r="X29" s="52">
        <f ca="1">G33</f>
        <v>1</v>
      </c>
    </row>
    <row r="30" spans="1:25" s="36" customFormat="1" ht="21.95" customHeight="1" x14ac:dyDescent="0.25">
      <c r="A30" s="91" t="s">
        <v>120</v>
      </c>
      <c r="B30" s="93" t="s">
        <v>2355</v>
      </c>
      <c r="C30" s="92"/>
      <c r="D30" s="92"/>
      <c r="E30" s="92"/>
      <c r="F30" s="92"/>
      <c r="G30" s="92"/>
      <c r="J30" s="44"/>
      <c r="L30" s="44"/>
      <c r="N30" s="44"/>
      <c r="P30" s="44"/>
      <c r="R30" s="44"/>
      <c r="T30" s="44"/>
      <c r="V30" s="44"/>
      <c r="X30" s="44"/>
    </row>
    <row r="31" spans="1:25" s="36" customFormat="1" ht="21.95" customHeight="1" thickBot="1" x14ac:dyDescent="0.3">
      <c r="A31" s="244" t="s">
        <v>2344</v>
      </c>
      <c r="B31" s="245" t="str">
        <f>""</f>
        <v/>
      </c>
      <c r="C31" s="245" t="str">
        <f>VLOOKUP(A31,DB_TBL_DATA_FIELDS[[FIELD_ID]:[PCT_CALC_FIELD_STATUS_CODE]],22,FALSE)</f>
        <v/>
      </c>
      <c r="D31" s="245" t="str">
        <f>IF(VLOOKUP(A31,DB_TBL_DATA_FIELDS[[FIELD_ID]:[ERROR_MESSAGE]],23,FALSE)&lt;&gt;0,VLOOKUP(A31,DB_TBL_DATA_FIELDS[[FIELD_ID]:[ERROR_MESSAGE]],23,FALSE),"")</f>
        <v/>
      </c>
      <c r="E31" s="245">
        <f>VLOOKUP(A31,DB_TBL_DATA_FIELDS[[#All],[FIELD_ID]:[RANGE_VALIDATION_MAX]],18,FALSE)</f>
        <v>0</v>
      </c>
      <c r="F31" s="245">
        <f>VLOOKUP(A31,DB_TBL_DATA_FIELDS[[#All],[FIELD_ID]:[RANGE_VALIDATION_MAX]],19,FALSE)</f>
        <v>0</v>
      </c>
      <c r="G31" s="245" t="str">
        <f t="shared" ref="G31:G52" si="0">IF(C31&lt;0,"",C31)</f>
        <v/>
      </c>
      <c r="I31" s="64" t="s">
        <v>2363</v>
      </c>
      <c r="J31" s="64"/>
      <c r="K31" s="64"/>
      <c r="L31" s="64"/>
      <c r="M31" s="64"/>
      <c r="N31" s="64"/>
      <c r="O31" s="64"/>
      <c r="P31" s="64"/>
      <c r="Q31" s="64"/>
      <c r="R31" s="64"/>
      <c r="S31" s="64"/>
      <c r="T31" s="64"/>
      <c r="U31" s="64"/>
      <c r="V31" s="64"/>
      <c r="W31" s="64"/>
      <c r="X31" s="64"/>
    </row>
    <row r="32" spans="1:25" s="36" customFormat="1" ht="21.95" customHeight="1" thickTop="1" x14ac:dyDescent="0.25">
      <c r="A32" s="244" t="s">
        <v>2346</v>
      </c>
      <c r="B32" s="245" t="str">
        <f>""</f>
        <v/>
      </c>
      <c r="C32" s="245" t="str">
        <f>VLOOKUP(A32,DB_TBL_DATA_FIELDS[[FIELD_ID]:[PCT_CALC_FIELD_STATUS_CODE]],22,FALSE)</f>
        <v/>
      </c>
      <c r="D32" s="245" t="str">
        <f>IF(VLOOKUP(A32,DB_TBL_DATA_FIELDS[[FIELD_ID]:[ERROR_MESSAGE]],23,FALSE)&lt;&gt;0,VLOOKUP(A32,DB_TBL_DATA_FIELDS[[FIELD_ID]:[ERROR_MESSAGE]],23,FALSE),"")</f>
        <v/>
      </c>
      <c r="E32" s="245" t="str">
        <f>VLOOKUP(A32,DB_TBL_DATA_FIELDS[[#All],[FIELD_ID]:[RANGE_VALIDATION_MAX]],18,FALSE)</f>
        <v/>
      </c>
      <c r="F32" s="245">
        <f>VLOOKUP(A32,DB_TBL_DATA_FIELDS[[#All],[FIELD_ID]:[RANGE_VALIDATION_MAX]],19,FALSE)</f>
        <v>99999</v>
      </c>
      <c r="G32" s="245" t="str">
        <f t="shared" si="0"/>
        <v/>
      </c>
      <c r="J32" s="44"/>
      <c r="L32" s="44"/>
      <c r="N32" s="44"/>
      <c r="P32" s="44"/>
      <c r="R32" s="44"/>
      <c r="T32" s="44"/>
      <c r="V32" s="44"/>
      <c r="X32" s="44"/>
    </row>
    <row r="33" spans="1:25" s="36" customFormat="1" ht="21.95" customHeight="1" x14ac:dyDescent="0.25">
      <c r="A33" s="61" t="s">
        <v>2236</v>
      </c>
      <c r="B33" s="95" t="str">
        <f>IF(W29="","",IF(UPPER(W29)="YES",TRUE,FALSE))</f>
        <v/>
      </c>
      <c r="C33" s="54">
        <f ca="1">VLOOKUP(A33,DB_TBL_DATA_FIELDS[[FIELD_ID]:[PCT_CALC_FIELD_STATUS_CODE]],22,FALSE)</f>
        <v>1</v>
      </c>
      <c r="D33" s="54" t="str">
        <f>IF(VLOOKUP(A33,DB_TBL_DATA_FIELDS[[FIELD_ID]:[ERROR_MESSAGE]],23,FALSE)&lt;&gt;0,VLOOKUP(A33,DB_TBL_DATA_FIELDS[[FIELD_ID]:[ERROR_MESSAGE]],23,FALSE),"")</f>
        <v/>
      </c>
      <c r="E33" s="54">
        <f>VLOOKUP(A33,DB_TBL_DATA_FIELDS[[#All],[FIELD_ID]:[RANGE_VALIDATION_MAX]],18,FALSE)</f>
        <v>0</v>
      </c>
      <c r="F33" s="54">
        <f>VLOOKUP(A33,DB_TBL_DATA_FIELDS[[#All],[FIELD_ID]:[RANGE_VALIDATION_MAX]],19,FALSE)</f>
        <v>0</v>
      </c>
      <c r="G33" s="54">
        <f t="shared" ca="1" si="0"/>
        <v>1</v>
      </c>
      <c r="I33" s="341" t="s">
        <v>2366</v>
      </c>
      <c r="J33" s="342"/>
      <c r="K33" s="343" t="s">
        <v>2367</v>
      </c>
      <c r="L33" s="343"/>
      <c r="M33" s="343" t="s">
        <v>2360</v>
      </c>
      <c r="N33" s="343"/>
      <c r="O33" s="343"/>
      <c r="P33" s="343"/>
      <c r="Q33" s="344" t="s">
        <v>2361</v>
      </c>
      <c r="R33" s="345"/>
      <c r="S33" s="345"/>
      <c r="T33" s="345"/>
      <c r="U33" s="345"/>
      <c r="V33" s="346"/>
      <c r="W33" s="341" t="s">
        <v>2372</v>
      </c>
      <c r="X33" s="342"/>
      <c r="Y33"/>
    </row>
    <row r="34" spans="1:25" s="36" customFormat="1" ht="21.95" customHeight="1" x14ac:dyDescent="0.25">
      <c r="A34" s="61" t="s">
        <v>2237</v>
      </c>
      <c r="B34" s="95" t="str">
        <f>IF(K34&lt;&gt;"",K34,"")</f>
        <v/>
      </c>
      <c r="C34" s="54">
        <f ca="1">VLOOKUP(A34,DB_TBL_DATA_FIELDS[[FIELD_ID]:[PCT_CALC_FIELD_STATUS_CODE]],22,FALSE)</f>
        <v>-1</v>
      </c>
      <c r="D34" s="54" t="str">
        <f>IF(VLOOKUP(A34,DB_TBL_DATA_FIELDS[[FIELD_ID]:[ERROR_MESSAGE]],23,FALSE)&lt;&gt;0,VLOOKUP(A34,DB_TBL_DATA_FIELDS[[FIELD_ID]:[ERROR_MESSAGE]],23,FALSE),"")</f>
        <v/>
      </c>
      <c r="E34" s="54">
        <f>VLOOKUP(A34,DB_TBL_DATA_FIELDS[[#All],[FIELD_ID]:[RANGE_VALIDATION_MAX]],18,FALSE)</f>
        <v>0</v>
      </c>
      <c r="F34" s="54">
        <f>VLOOKUP(A34,DB_TBL_DATA_FIELDS[[#All],[FIELD_ID]:[RANGE_VALIDATION_MAX]],19,FALSE)</f>
        <v>10</v>
      </c>
      <c r="G34" s="54" t="str">
        <f t="shared" ca="1" si="0"/>
        <v/>
      </c>
      <c r="I34" s="379" t="s">
        <v>2364</v>
      </c>
      <c r="J34" s="380"/>
      <c r="K34" s="113"/>
      <c r="L34" s="66" t="str">
        <f ca="1">G34</f>
        <v/>
      </c>
      <c r="M34" s="316"/>
      <c r="N34" s="317"/>
      <c r="O34" s="317"/>
      <c r="P34" s="66">
        <f ca="1">G35</f>
        <v>1</v>
      </c>
      <c r="Q34" s="347"/>
      <c r="R34" s="348"/>
      <c r="S34" s="348"/>
      <c r="T34" s="348"/>
      <c r="U34" s="348"/>
      <c r="V34" s="66">
        <f ca="1">G36</f>
        <v>1</v>
      </c>
      <c r="W34" s="112"/>
      <c r="X34" s="66">
        <f ca="1">G37</f>
        <v>1</v>
      </c>
      <c r="Y34"/>
    </row>
    <row r="35" spans="1:25" s="36" customFormat="1" ht="21.95" customHeight="1" x14ac:dyDescent="0.25">
      <c r="A35" s="61" t="s">
        <v>2238</v>
      </c>
      <c r="B35" s="95" t="str">
        <f>IF(M34&lt;&gt;"",M34,"")</f>
        <v/>
      </c>
      <c r="C35" s="54">
        <f ca="1">VLOOKUP(A35,DB_TBL_DATA_FIELDS[[FIELD_ID]:[PCT_CALC_FIELD_STATUS_CODE]],22,FALSE)</f>
        <v>1</v>
      </c>
      <c r="D35" s="54" t="str">
        <f>IF(VLOOKUP(A35,DB_TBL_DATA_FIELDS[[FIELD_ID]:[ERROR_MESSAGE]],23,FALSE)&lt;&gt;0,VLOOKUP(A35,DB_TBL_DATA_FIELDS[[FIELD_ID]:[ERROR_MESSAGE]],23,FALSE),"")</f>
        <v/>
      </c>
      <c r="E35" s="54">
        <f>VLOOKUP(A35,DB_TBL_DATA_FIELDS[[#All],[FIELD_ID]:[RANGE_VALIDATION_MAX]],18,FALSE)</f>
        <v>0</v>
      </c>
      <c r="F35" s="54">
        <f>VLOOKUP(A35,DB_TBL_DATA_FIELDS[[#All],[FIELD_ID]:[RANGE_VALIDATION_MAX]],19,FALSE)</f>
        <v>30</v>
      </c>
      <c r="G35" s="54">
        <f t="shared" ca="1" si="0"/>
        <v>1</v>
      </c>
      <c r="I35" s="379" t="s">
        <v>2359</v>
      </c>
      <c r="J35" s="380"/>
      <c r="K35" s="113"/>
      <c r="L35" s="66" t="str">
        <f ca="1">G38</f>
        <v/>
      </c>
      <c r="M35" s="316"/>
      <c r="N35" s="317"/>
      <c r="O35" s="317"/>
      <c r="P35" s="66" t="str">
        <f ca="1">G39</f>
        <v/>
      </c>
      <c r="Q35" s="347"/>
      <c r="R35" s="348"/>
      <c r="S35" s="348"/>
      <c r="T35" s="348"/>
      <c r="U35" s="348"/>
      <c r="V35" s="66" t="str">
        <f ca="1">G40</f>
        <v/>
      </c>
      <c r="W35" s="118"/>
      <c r="X35" s="66" t="str">
        <f ca="1">G41</f>
        <v/>
      </c>
      <c r="Y35"/>
    </row>
    <row r="36" spans="1:25" s="36" customFormat="1" ht="21.95" customHeight="1" x14ac:dyDescent="0.25">
      <c r="A36" s="61" t="s">
        <v>2239</v>
      </c>
      <c r="B36" s="95" t="str">
        <f>IF(Q34&lt;&gt;"",Q34,"")</f>
        <v/>
      </c>
      <c r="C36" s="54">
        <f ca="1">VLOOKUP(A36,DB_TBL_DATA_FIELDS[[FIELD_ID]:[PCT_CALC_FIELD_STATUS_CODE]],22,FALSE)</f>
        <v>1</v>
      </c>
      <c r="D36" s="54" t="str">
        <f>IF(VLOOKUP(A36,DB_TBL_DATA_FIELDS[[FIELD_ID]:[ERROR_MESSAGE]],23,FALSE)&lt;&gt;0,VLOOKUP(A36,DB_TBL_DATA_FIELDS[[FIELD_ID]:[ERROR_MESSAGE]],23,FALSE),"")</f>
        <v/>
      </c>
      <c r="E36" s="54">
        <f>VLOOKUP(A36,DB_TBL_DATA_FIELDS[[#All],[FIELD_ID]:[RANGE_VALIDATION_MAX]],18,FALSE)</f>
        <v>0</v>
      </c>
      <c r="F36" s="54">
        <f>VLOOKUP(A36,DB_TBL_DATA_FIELDS[[#All],[FIELD_ID]:[RANGE_VALIDATION_MAX]],19,FALSE)</f>
        <v>30</v>
      </c>
      <c r="G36" s="54">
        <f t="shared" ca="1" si="0"/>
        <v>1</v>
      </c>
      <c r="I36" s="379" t="s">
        <v>2365</v>
      </c>
      <c r="J36" s="380"/>
      <c r="K36" s="113"/>
      <c r="L36" s="66" t="str">
        <f ca="1">G42</f>
        <v/>
      </c>
      <c r="M36" s="316"/>
      <c r="N36" s="317"/>
      <c r="O36" s="317"/>
      <c r="P36" s="66" t="str">
        <f ca="1">G43</f>
        <v/>
      </c>
      <c r="Q36" s="377"/>
      <c r="R36" s="378"/>
      <c r="S36" s="378"/>
      <c r="T36" s="378"/>
      <c r="U36" s="378"/>
      <c r="V36" s="66" t="str">
        <f ca="1">G44</f>
        <v/>
      </c>
      <c r="W36" s="118"/>
      <c r="X36" s="66" t="str">
        <f ca="1">G45</f>
        <v/>
      </c>
      <c r="Y36"/>
    </row>
    <row r="37" spans="1:25" s="36" customFormat="1" ht="21.95" customHeight="1" x14ac:dyDescent="0.25">
      <c r="A37" s="61" t="s">
        <v>2240</v>
      </c>
      <c r="B37" s="95" t="str">
        <f>IF(W34&lt;&gt;"",W34,"")</f>
        <v/>
      </c>
      <c r="C37" s="54">
        <f ca="1">VLOOKUP(A37,DB_TBL_DATA_FIELDS[[FIELD_ID]:[PCT_CALC_FIELD_STATUS_CODE]],22,FALSE)</f>
        <v>1</v>
      </c>
      <c r="D37" s="54" t="str">
        <f>IF(VLOOKUP(A37,DB_TBL_DATA_FIELDS[[FIELD_ID]:[ERROR_MESSAGE]],23,FALSE)&lt;&gt;0,VLOOKUP(A37,DB_TBL_DATA_FIELDS[[FIELD_ID]:[ERROR_MESSAGE]],23,FALSE),"")</f>
        <v/>
      </c>
      <c r="E37" s="54">
        <f>VLOOKUP(A37,DB_TBL_DATA_FIELDS[[#All],[FIELD_ID]:[RANGE_VALIDATION_MAX]],18,FALSE)</f>
        <v>0</v>
      </c>
      <c r="F37" s="54">
        <f>VLOOKUP(A37,DB_TBL_DATA_FIELDS[[#All],[FIELD_ID]:[RANGE_VALIDATION_MAX]],19,FALSE)</f>
        <v>25</v>
      </c>
      <c r="G37" s="54">
        <f t="shared" ca="1" si="0"/>
        <v>1</v>
      </c>
      <c r="J37" s="44"/>
      <c r="L37" s="44"/>
      <c r="N37" s="44"/>
      <c r="P37" s="44"/>
      <c r="R37" s="44"/>
      <c r="T37" s="44"/>
      <c r="V37" s="44"/>
      <c r="X37" s="44"/>
    </row>
    <row r="38" spans="1:25" ht="21.95" customHeight="1" thickBot="1" x14ac:dyDescent="0.3">
      <c r="A38" s="61" t="s">
        <v>2242</v>
      </c>
      <c r="B38" s="95" t="str">
        <f>IF(K35&lt;&gt;"",K35,"")</f>
        <v/>
      </c>
      <c r="C38" s="54">
        <f ca="1">VLOOKUP(A38,DB_TBL_DATA_FIELDS[[FIELD_ID]:[PCT_CALC_FIELD_STATUS_CODE]],22,FALSE)</f>
        <v>-1</v>
      </c>
      <c r="D38" s="54" t="str">
        <f>IF(VLOOKUP(A38,DB_TBL_DATA_FIELDS[[FIELD_ID]:[ERROR_MESSAGE]],23,FALSE)&lt;&gt;0,VLOOKUP(A38,DB_TBL_DATA_FIELDS[[FIELD_ID]:[ERROR_MESSAGE]],23,FALSE),"")</f>
        <v/>
      </c>
      <c r="E38" s="54">
        <f>VLOOKUP(A38,DB_TBL_DATA_FIELDS[[#All],[FIELD_ID]:[RANGE_VALIDATION_MAX]],18,FALSE)</f>
        <v>0</v>
      </c>
      <c r="F38" s="54">
        <f>VLOOKUP(A38,DB_TBL_DATA_FIELDS[[#All],[FIELD_ID]:[RANGE_VALIDATION_MAX]],19,FALSE)</f>
        <v>10</v>
      </c>
      <c r="G38" s="54" t="str">
        <f t="shared" ca="1" si="0"/>
        <v/>
      </c>
      <c r="H38" s="36"/>
      <c r="I38" s="64" t="s">
        <v>2379</v>
      </c>
      <c r="J38" s="64"/>
      <c r="K38" s="64"/>
      <c r="L38" s="64"/>
      <c r="M38" s="64"/>
      <c r="N38" s="64"/>
      <c r="O38" s="64"/>
      <c r="P38" s="64"/>
      <c r="Q38" s="64"/>
      <c r="R38" s="64"/>
      <c r="S38" s="64"/>
      <c r="T38" s="64"/>
      <c r="U38" s="64"/>
      <c r="V38" s="64"/>
      <c r="W38" s="64"/>
      <c r="X38" s="64"/>
      <c r="Y38" s="36"/>
    </row>
    <row r="39" spans="1:25" ht="21.95" customHeight="1" thickTop="1" x14ac:dyDescent="0.25">
      <c r="A39" s="61" t="s">
        <v>2243</v>
      </c>
      <c r="B39" s="95" t="str">
        <f>IF(M35&lt;&gt;"",M35,"")</f>
        <v/>
      </c>
      <c r="C39" s="54">
        <f ca="1">VLOOKUP(A39,DB_TBL_DATA_FIELDS[[FIELD_ID]:[PCT_CALC_FIELD_STATUS_CODE]],22,FALSE)</f>
        <v>-1</v>
      </c>
      <c r="D39" s="54" t="str">
        <f>IF(VLOOKUP(A39,DB_TBL_DATA_FIELDS[[FIELD_ID]:[ERROR_MESSAGE]],23,FALSE)&lt;&gt;0,VLOOKUP(A39,DB_TBL_DATA_FIELDS[[FIELD_ID]:[ERROR_MESSAGE]],23,FALSE),"")</f>
        <v/>
      </c>
      <c r="E39" s="54">
        <f>VLOOKUP(A39,DB_TBL_DATA_FIELDS[[#All],[FIELD_ID]:[RANGE_VALIDATION_MAX]],18,FALSE)</f>
        <v>0</v>
      </c>
      <c r="F39" s="54">
        <f>VLOOKUP(A39,DB_TBL_DATA_FIELDS[[#All],[FIELD_ID]:[RANGE_VALIDATION_MAX]],19,FALSE)</f>
        <v>30</v>
      </c>
      <c r="G39" s="54" t="str">
        <f t="shared" ca="1" si="0"/>
        <v/>
      </c>
      <c r="H39" s="36"/>
      <c r="I39" s="36"/>
      <c r="K39" s="36"/>
      <c r="M39" s="36"/>
      <c r="O39" s="36"/>
      <c r="Q39" s="36"/>
      <c r="S39" s="36"/>
      <c r="U39" s="36"/>
      <c r="W39" s="36"/>
      <c r="Y39" s="36"/>
    </row>
    <row r="40" spans="1:25" ht="21.95" customHeight="1" x14ac:dyDescent="0.25">
      <c r="A40" s="61" t="s">
        <v>2244</v>
      </c>
      <c r="B40" s="95" t="str">
        <f>IF(Q35&lt;&gt;"",Q35,"")</f>
        <v/>
      </c>
      <c r="C40" s="54">
        <f ca="1">VLOOKUP(A40,DB_TBL_DATA_FIELDS[[FIELD_ID]:[PCT_CALC_FIELD_STATUS_CODE]],22,FALSE)</f>
        <v>-1</v>
      </c>
      <c r="D40" s="54" t="str">
        <f>IF(VLOOKUP(A40,DB_TBL_DATA_FIELDS[[FIELD_ID]:[ERROR_MESSAGE]],23,FALSE)&lt;&gt;0,VLOOKUP(A40,DB_TBL_DATA_FIELDS[[FIELD_ID]:[ERROR_MESSAGE]],23,FALSE),"")</f>
        <v/>
      </c>
      <c r="E40" s="54">
        <f>VLOOKUP(A40,DB_TBL_DATA_FIELDS[[#All],[FIELD_ID]:[RANGE_VALIDATION_MAX]],18,FALSE)</f>
        <v>0</v>
      </c>
      <c r="F40" s="54">
        <f>VLOOKUP(A40,DB_TBL_DATA_FIELDS[[#All],[FIELD_ID]:[RANGE_VALIDATION_MAX]],19,FALSE)</f>
        <v>30</v>
      </c>
      <c r="G40" s="54" t="str">
        <f t="shared" ca="1" si="0"/>
        <v/>
      </c>
      <c r="H40" s="36"/>
      <c r="I40" s="36" t="s">
        <v>2380</v>
      </c>
      <c r="K40" s="36"/>
      <c r="M40" s="36"/>
      <c r="Q40" s="36" t="s">
        <v>50</v>
      </c>
      <c r="S40" s="36"/>
      <c r="U40" s="36" t="s">
        <v>51</v>
      </c>
      <c r="W40" s="36" t="s">
        <v>52</v>
      </c>
      <c r="Y40" s="36"/>
    </row>
    <row r="41" spans="1:25" ht="21.95" customHeight="1" x14ac:dyDescent="0.25">
      <c r="A41" s="61" t="s">
        <v>2247</v>
      </c>
      <c r="B41" s="95" t="str">
        <f>IF(W35&lt;&gt;"",W35,"")</f>
        <v/>
      </c>
      <c r="C41" s="54">
        <f ca="1">VLOOKUP(A41,DB_TBL_DATA_FIELDS[[FIELD_ID]:[PCT_CALC_FIELD_STATUS_CODE]],22,FALSE)</f>
        <v>-1</v>
      </c>
      <c r="D41" s="54" t="str">
        <f>IF(VLOOKUP(A41,DB_TBL_DATA_FIELDS[[FIELD_ID]:[ERROR_MESSAGE]],23,FALSE)&lt;&gt;0,VLOOKUP(A41,DB_TBL_DATA_FIELDS[[FIELD_ID]:[ERROR_MESSAGE]],23,FALSE),"")</f>
        <v/>
      </c>
      <c r="E41" s="54">
        <f>VLOOKUP(A41,DB_TBL_DATA_FIELDS[[#All],[FIELD_ID]:[RANGE_VALIDATION_MAX]],18,FALSE)</f>
        <v>0</v>
      </c>
      <c r="F41" s="54">
        <f>VLOOKUP(A41,DB_TBL_DATA_FIELDS[[#All],[FIELD_ID]:[RANGE_VALIDATION_MAX]],19,FALSE)</f>
        <v>25</v>
      </c>
      <c r="G41" s="54" t="str">
        <f t="shared" ca="1" si="0"/>
        <v/>
      </c>
      <c r="H41" s="36"/>
      <c r="I41" s="354"/>
      <c r="J41" s="354"/>
      <c r="K41" s="354"/>
      <c r="L41" s="354"/>
      <c r="M41" s="354"/>
      <c r="N41" s="354"/>
      <c r="O41" s="354"/>
      <c r="P41" s="52">
        <f ca="1">G46</f>
        <v>1</v>
      </c>
      <c r="Q41" s="316"/>
      <c r="R41" s="317"/>
      <c r="S41" s="318"/>
      <c r="T41" s="52">
        <f ca="1">G47</f>
        <v>1</v>
      </c>
      <c r="U41" s="40"/>
      <c r="V41" s="52">
        <f ca="1">G48</f>
        <v>1</v>
      </c>
      <c r="W41" s="120"/>
      <c r="X41" s="52">
        <f ca="1">G49</f>
        <v>1</v>
      </c>
      <c r="Y41" s="36"/>
    </row>
    <row r="42" spans="1:25" ht="21.95" customHeight="1" x14ac:dyDescent="0.25">
      <c r="A42" s="61" t="s">
        <v>2245</v>
      </c>
      <c r="B42" s="95" t="str">
        <f>IF(K36&lt;&gt;"",K36,"")</f>
        <v/>
      </c>
      <c r="C42" s="54">
        <f ca="1">VLOOKUP(A42,DB_TBL_DATA_FIELDS[[FIELD_ID]:[PCT_CALC_FIELD_STATUS_CODE]],22,FALSE)</f>
        <v>-1</v>
      </c>
      <c r="D42" s="54" t="str">
        <f>IF(VLOOKUP(A42,DB_TBL_DATA_FIELDS[[FIELD_ID]:[ERROR_MESSAGE]],23,FALSE)&lt;&gt;0,VLOOKUP(A42,DB_TBL_DATA_FIELDS[[FIELD_ID]:[ERROR_MESSAGE]],23,FALSE),"")</f>
        <v/>
      </c>
      <c r="E42" s="54">
        <f>VLOOKUP(A42,DB_TBL_DATA_FIELDS[[#All],[FIELD_ID]:[RANGE_VALIDATION_MAX]],18,FALSE)</f>
        <v>0</v>
      </c>
      <c r="F42" s="54">
        <f>VLOOKUP(A42,DB_TBL_DATA_FIELDS[[#All],[FIELD_ID]:[RANGE_VALIDATION_MAX]],19,FALSE)</f>
        <v>10</v>
      </c>
      <c r="G42" s="54" t="str">
        <f t="shared" ca="1" si="0"/>
        <v/>
      </c>
      <c r="H42" s="36"/>
      <c r="I42" s="36" t="s">
        <v>2876</v>
      </c>
      <c r="K42" s="36"/>
      <c r="M42" s="36"/>
      <c r="O42" s="36"/>
      <c r="Q42" s="36" t="s">
        <v>9079</v>
      </c>
      <c r="S42" s="36"/>
      <c r="U42" s="36" t="s">
        <v>2185</v>
      </c>
      <c r="W42" s="36"/>
      <c r="Y42" s="36"/>
    </row>
    <row r="43" spans="1:25" ht="21.95" customHeight="1" x14ac:dyDescent="0.25">
      <c r="A43" s="61" t="s">
        <v>2246</v>
      </c>
      <c r="B43" s="95" t="str">
        <f>IF(M36&lt;&gt;"",M36,"")</f>
        <v/>
      </c>
      <c r="C43" s="54">
        <f ca="1">VLOOKUP(A43,DB_TBL_DATA_FIELDS[[FIELD_ID]:[PCT_CALC_FIELD_STATUS_CODE]],22,FALSE)</f>
        <v>-1</v>
      </c>
      <c r="D43" s="54" t="str">
        <f>IF(VLOOKUP(A43,DB_TBL_DATA_FIELDS[[FIELD_ID]:[ERROR_MESSAGE]],23,FALSE)&lt;&gt;0,VLOOKUP(A43,DB_TBL_DATA_FIELDS[[FIELD_ID]:[ERROR_MESSAGE]],23,FALSE),"")</f>
        <v/>
      </c>
      <c r="E43" s="54">
        <f>VLOOKUP(A43,DB_TBL_DATA_FIELDS[[#All],[FIELD_ID]:[RANGE_VALIDATION_MAX]],18,FALSE)</f>
        <v>0</v>
      </c>
      <c r="F43" s="54">
        <f>VLOOKUP(A43,DB_TBL_DATA_FIELDS[[#All],[FIELD_ID]:[RANGE_VALIDATION_MAX]],19,FALSE)</f>
        <v>30</v>
      </c>
      <c r="G43" s="54" t="str">
        <f t="shared" ca="1" si="0"/>
        <v/>
      </c>
      <c r="H43" s="36"/>
      <c r="I43" s="324"/>
      <c r="J43" s="324"/>
      <c r="K43" s="324"/>
      <c r="L43" s="324"/>
      <c r="M43" s="324"/>
      <c r="N43" s="324"/>
      <c r="O43" s="324"/>
      <c r="P43" s="52">
        <f ca="1">G50</f>
        <v>1</v>
      </c>
      <c r="Q43" s="351"/>
      <c r="R43" s="352"/>
      <c r="S43" s="353"/>
      <c r="T43" s="52" t="str">
        <f ca="1">G51</f>
        <v/>
      </c>
      <c r="U43" s="41"/>
      <c r="V43" s="119" t="s">
        <v>106</v>
      </c>
      <c r="W43" s="42"/>
      <c r="X43" s="52">
        <f ca="1">G52</f>
        <v>1</v>
      </c>
      <c r="Y43" s="36"/>
    </row>
    <row r="44" spans="1:25" ht="21.95" customHeight="1" x14ac:dyDescent="0.25">
      <c r="A44" s="61" t="s">
        <v>2251</v>
      </c>
      <c r="B44" s="95" t="str">
        <f>IF(Q36&lt;&gt;"",Q36,"")</f>
        <v/>
      </c>
      <c r="C44" s="54">
        <f ca="1">VLOOKUP(A44,DB_TBL_DATA_FIELDS[[FIELD_ID]:[PCT_CALC_FIELD_STATUS_CODE]],22,FALSE)</f>
        <v>-1</v>
      </c>
      <c r="D44" s="54" t="str">
        <f>IF(VLOOKUP(A44,DB_TBL_DATA_FIELDS[[FIELD_ID]:[ERROR_MESSAGE]],23,FALSE)&lt;&gt;0,VLOOKUP(A44,DB_TBL_DATA_FIELDS[[FIELD_ID]:[ERROR_MESSAGE]],23,FALSE),"")</f>
        <v/>
      </c>
      <c r="E44" s="54">
        <f>VLOOKUP(A44,DB_TBL_DATA_FIELDS[[#All],[FIELD_ID]:[RANGE_VALIDATION_MAX]],18,FALSE)</f>
        <v>0</v>
      </c>
      <c r="F44" s="54">
        <f>VLOOKUP(A44,DB_TBL_DATA_FIELDS[[#All],[FIELD_ID]:[RANGE_VALIDATION_MAX]],19,FALSE)</f>
        <v>30</v>
      </c>
      <c r="G44" s="54" t="str">
        <f t="shared" ca="1" si="0"/>
        <v/>
      </c>
      <c r="H44" s="36"/>
      <c r="I44" s="36"/>
      <c r="K44" s="36"/>
      <c r="M44" s="36"/>
      <c r="W44" s="36"/>
      <c r="Y44" s="36"/>
    </row>
    <row r="45" spans="1:25" ht="21.95" customHeight="1" thickBot="1" x14ac:dyDescent="0.3">
      <c r="A45" s="61" t="s">
        <v>2249</v>
      </c>
      <c r="B45" s="95" t="str">
        <f>IF(W36&lt;&gt;"",W36,"")</f>
        <v/>
      </c>
      <c r="C45" s="54">
        <f ca="1">VLOOKUP(A45,DB_TBL_DATA_FIELDS[[FIELD_ID]:[PCT_CALC_FIELD_STATUS_CODE]],22,FALSE)</f>
        <v>-1</v>
      </c>
      <c r="D45" s="54" t="str">
        <f>IF(VLOOKUP(A45,DB_TBL_DATA_FIELDS[[FIELD_ID]:[ERROR_MESSAGE]],23,FALSE)&lt;&gt;0,VLOOKUP(A45,DB_TBL_DATA_FIELDS[[FIELD_ID]:[ERROR_MESSAGE]],23,FALSE),"")</f>
        <v/>
      </c>
      <c r="E45" s="54">
        <f>VLOOKUP(A45,DB_TBL_DATA_FIELDS[[#All],[FIELD_ID]:[RANGE_VALIDATION_MAX]],18,FALSE)</f>
        <v>0</v>
      </c>
      <c r="F45" s="54">
        <f>VLOOKUP(A45,DB_TBL_DATA_FIELDS[[#All],[FIELD_ID]:[RANGE_VALIDATION_MAX]],19,FALSE)</f>
        <v>25</v>
      </c>
      <c r="G45" s="54" t="str">
        <f t="shared" ca="1" si="0"/>
        <v/>
      </c>
      <c r="H45" s="36"/>
      <c r="I45" s="64" t="s">
        <v>9049</v>
      </c>
      <c r="J45" s="64"/>
      <c r="K45" s="64"/>
      <c r="L45" s="64"/>
      <c r="M45" s="64"/>
      <c r="N45" s="64"/>
      <c r="O45" s="64"/>
      <c r="P45" s="64"/>
      <c r="Q45" s="64"/>
      <c r="R45" s="64"/>
      <c r="S45" s="64"/>
      <c r="T45" s="64"/>
      <c r="U45" s="64"/>
      <c r="V45" s="64"/>
      <c r="W45" s="157" t="str">
        <f ca="1">$B$66</f>
        <v/>
      </c>
      <c r="X45" s="132" t="str">
        <f ca="1">IF(C66=1,1,"")</f>
        <v/>
      </c>
      <c r="Y45" s="36"/>
    </row>
    <row r="46" spans="1:25" ht="21.95" customHeight="1" thickTop="1" x14ac:dyDescent="0.25">
      <c r="A46" s="61" t="s">
        <v>2252</v>
      </c>
      <c r="B46" s="95" t="str">
        <f>IF(I41&lt;&gt;"",I41,"")</f>
        <v/>
      </c>
      <c r="C46" s="54">
        <f ca="1">VLOOKUP(A46,DB_TBL_DATA_FIELDS[[FIELD_ID]:[PCT_CALC_FIELD_STATUS_CODE]],22,FALSE)</f>
        <v>1</v>
      </c>
      <c r="D46" s="54" t="str">
        <f>IF(VLOOKUP(A46,DB_TBL_DATA_FIELDS[[FIELD_ID]:[ERROR_MESSAGE]],23,FALSE)&lt;&gt;0,VLOOKUP(A46,DB_TBL_DATA_FIELDS[[FIELD_ID]:[ERROR_MESSAGE]],23,FALSE),"")</f>
        <v/>
      </c>
      <c r="E46" s="54">
        <f>VLOOKUP(A46,DB_TBL_DATA_FIELDS[[#All],[FIELD_ID]:[RANGE_VALIDATION_MAX]],18,FALSE)</f>
        <v>0</v>
      </c>
      <c r="F46" s="54">
        <f>VLOOKUP(A46,DB_TBL_DATA_FIELDS[[#All],[FIELD_ID]:[RANGE_VALIDATION_MAX]],19,FALSE)</f>
        <v>75</v>
      </c>
      <c r="G46" s="54">
        <f t="shared" ca="1" si="0"/>
        <v>1</v>
      </c>
      <c r="H46" s="36"/>
      <c r="I46" s="36"/>
      <c r="K46" s="36"/>
      <c r="M46" s="36"/>
      <c r="W46" s="36"/>
      <c r="Y46" s="36"/>
    </row>
    <row r="47" spans="1:25" ht="21.95" customHeight="1" x14ac:dyDescent="0.25">
      <c r="A47" s="61" t="s">
        <v>2253</v>
      </c>
      <c r="B47" s="95" t="str">
        <f>IF(Q41&lt;&gt;"",Q41,"")</f>
        <v/>
      </c>
      <c r="C47" s="54">
        <f ca="1">VLOOKUP(A47,DB_TBL_DATA_FIELDS[[FIELD_ID]:[PCT_CALC_FIELD_STATUS_CODE]],22,FALSE)</f>
        <v>1</v>
      </c>
      <c r="D47" s="54" t="str">
        <f>IF(VLOOKUP(A47,DB_TBL_DATA_FIELDS[[FIELD_ID]:[ERROR_MESSAGE]],23,FALSE)&lt;&gt;0,VLOOKUP(A47,DB_TBL_DATA_FIELDS[[FIELD_ID]:[ERROR_MESSAGE]],23,FALSE),"")</f>
        <v/>
      </c>
      <c r="E47" s="54">
        <f>VLOOKUP(A47,DB_TBL_DATA_FIELDS[[#All],[FIELD_ID]:[RANGE_VALIDATION_MAX]],18,FALSE)</f>
        <v>0</v>
      </c>
      <c r="F47" s="54">
        <f>VLOOKUP(A47,DB_TBL_DATA_FIELDS[[#All],[FIELD_ID]:[RANGE_VALIDATION_MAX]],19,FALSE)</f>
        <v>30</v>
      </c>
      <c r="G47" s="54">
        <f t="shared" ca="1" si="0"/>
        <v>1</v>
      </c>
      <c r="H47" s="36"/>
      <c r="I47" s="63" t="s">
        <v>9050</v>
      </c>
      <c r="L47" s="62"/>
      <c r="M47" s="62"/>
      <c r="N47" s="62"/>
      <c r="Q47" s="36"/>
      <c r="R47" s="36"/>
      <c r="S47" s="36"/>
      <c r="T47" s="36"/>
      <c r="U47" s="36"/>
      <c r="V47" s="36"/>
      <c r="W47" s="40"/>
      <c r="X47" s="52">
        <f ca="1">G54</f>
        <v>1</v>
      </c>
      <c r="Y47" s="36"/>
    </row>
    <row r="48" spans="1:25" ht="21.95" customHeight="1" x14ac:dyDescent="0.25">
      <c r="A48" s="61" t="s">
        <v>2254</v>
      </c>
      <c r="B48" s="95" t="str">
        <f>IF(U41&lt;&gt;"",U41,"")</f>
        <v/>
      </c>
      <c r="C48" s="54">
        <f ca="1">VLOOKUP(A48,DB_TBL_DATA_FIELDS[[FIELD_ID]:[PCT_CALC_FIELD_STATUS_CODE]],22,FALSE)</f>
        <v>1</v>
      </c>
      <c r="D48" s="54" t="str">
        <f>IF(VLOOKUP(A48,DB_TBL_DATA_FIELDS[[FIELD_ID]:[ERROR_MESSAGE]],23,FALSE)&lt;&gt;0,VLOOKUP(A48,DB_TBL_DATA_FIELDS[[FIELD_ID]:[ERROR_MESSAGE]],23,FALSE),"")</f>
        <v/>
      </c>
      <c r="E48" s="54">
        <f>VLOOKUP(A48,DB_TBL_DATA_FIELDS[[#All],[FIELD_ID]:[RANGE_VALIDATION_MAX]],18,FALSE)</f>
        <v>0</v>
      </c>
      <c r="F48" s="54">
        <f>VLOOKUP(A48,DB_TBL_DATA_FIELDS[[#All],[FIELD_ID]:[RANGE_VALIDATION_MAX]],19,FALSE)</f>
        <v>2</v>
      </c>
      <c r="G48" s="54">
        <f t="shared" ca="1" si="0"/>
        <v>1</v>
      </c>
      <c r="H48" s="36"/>
      <c r="I48" s="36"/>
      <c r="K48" s="36"/>
      <c r="M48" s="36"/>
      <c r="W48" s="36"/>
      <c r="Y48" s="36"/>
    </row>
    <row r="49" spans="1:25" ht="21.95" customHeight="1" thickBot="1" x14ac:dyDescent="0.3">
      <c r="A49" s="61" t="s">
        <v>2255</v>
      </c>
      <c r="B49" s="95" t="str">
        <f>IF(W41&lt;&gt;"",TEXT(W41,"00000"),"")</f>
        <v/>
      </c>
      <c r="C49" s="54">
        <f ca="1">VLOOKUP(A49,DB_TBL_DATA_FIELDS[[FIELD_ID]:[PCT_CALC_FIELD_STATUS_CODE]],22,FALSE)</f>
        <v>1</v>
      </c>
      <c r="D49" s="54" t="str">
        <f>IF(VLOOKUP(A49,DB_TBL_DATA_FIELDS[[FIELD_ID]:[ERROR_MESSAGE]],23,FALSE)&lt;&gt;0,VLOOKUP(A49,DB_TBL_DATA_FIELDS[[FIELD_ID]:[ERROR_MESSAGE]],23,FALSE),"")</f>
        <v/>
      </c>
      <c r="E49" s="54">
        <f>VLOOKUP(A49,DB_TBL_DATA_FIELDS[[#All],[FIELD_ID]:[RANGE_VALIDATION_MAX]],18,FALSE)</f>
        <v>5</v>
      </c>
      <c r="F49" s="54">
        <f>VLOOKUP(A49,DB_TBL_DATA_FIELDS[[#All],[FIELD_ID]:[RANGE_VALIDATION_MAX]],19,FALSE)</f>
        <v>10</v>
      </c>
      <c r="G49" s="54">
        <f t="shared" ca="1" si="0"/>
        <v>1</v>
      </c>
      <c r="I49" s="55" t="str">
        <f>B69</f>
        <v>Grant Summary</v>
      </c>
      <c r="J49" s="55"/>
      <c r="K49" s="55"/>
      <c r="L49" s="55"/>
      <c r="M49" s="55"/>
      <c r="N49" s="55"/>
      <c r="O49" s="55"/>
      <c r="P49" s="55"/>
      <c r="Q49" s="55"/>
      <c r="R49" s="55"/>
      <c r="S49" s="55"/>
      <c r="T49" s="55"/>
      <c r="U49" s="55"/>
      <c r="V49" s="55"/>
      <c r="W49" s="55"/>
      <c r="X49" s="56" t="str">
        <f ca="1">"Status: "&amp;$B$88</f>
        <v>Status: Not Started</v>
      </c>
      <c r="Y49" s="36"/>
    </row>
    <row r="50" spans="1:25" ht="21.95" customHeight="1" x14ac:dyDescent="0.25">
      <c r="A50" s="61" t="s">
        <v>2256</v>
      </c>
      <c r="B50" s="95" t="str">
        <f>IF(I43&lt;&gt;"",I43,"")</f>
        <v/>
      </c>
      <c r="C50" s="54">
        <f ca="1">VLOOKUP(A50,DB_TBL_DATA_FIELDS[[FIELD_ID]:[PCT_CALC_FIELD_STATUS_CODE]],22,FALSE)</f>
        <v>1</v>
      </c>
      <c r="D50" s="54" t="str">
        <f>IF(VLOOKUP(A50,DB_TBL_DATA_FIELDS[[FIELD_ID]:[ERROR_MESSAGE]],23,FALSE)&lt;&gt;0,VLOOKUP(A50,DB_TBL_DATA_FIELDS[[FIELD_ID]:[ERROR_MESSAGE]],23,FALSE),"")</f>
        <v/>
      </c>
      <c r="E50" s="54">
        <f>VLOOKUP(A50,DB_TBL_DATA_FIELDS[[#All],[FIELD_ID]:[RANGE_VALIDATION_MAX]],18,FALSE)</f>
        <v>0</v>
      </c>
      <c r="F50" s="54">
        <f>VLOOKUP(A50,DB_TBL_DATA_FIELDS[[#All],[FIELD_ID]:[RANGE_VALIDATION_MAX]],19,FALSE)</f>
        <v>50</v>
      </c>
      <c r="G50" s="54">
        <f t="shared" ca="1" si="0"/>
        <v>1</v>
      </c>
      <c r="I50" s="122"/>
      <c r="J50" s="122"/>
      <c r="K50" s="122"/>
      <c r="L50" s="122"/>
      <c r="M50" s="122"/>
      <c r="N50" s="122"/>
      <c r="O50" s="122"/>
      <c r="P50" s="122"/>
      <c r="Q50" s="122"/>
      <c r="R50" s="122"/>
      <c r="S50" s="122"/>
      <c r="T50" s="122"/>
      <c r="U50" s="122"/>
      <c r="V50" s="122"/>
      <c r="W50" s="122"/>
      <c r="X50" s="123"/>
      <c r="Y50" s="36"/>
    </row>
    <row r="51" spans="1:25" ht="21.95" customHeight="1" x14ac:dyDescent="0.25">
      <c r="A51" s="61" t="s">
        <v>2257</v>
      </c>
      <c r="B51" s="95" t="str">
        <f>IF(Q43&lt;&gt;"",TEXT(Q43,"00000"),"")</f>
        <v/>
      </c>
      <c r="C51" s="54">
        <f ca="1">VLOOKUP(A51,DB_TBL_DATA_FIELDS[[FIELD_ID]:[PCT_CALC_FIELD_STATUS_CODE]],22,FALSE)</f>
        <v>-1</v>
      </c>
      <c r="D51" s="54" t="str">
        <f>IF(VLOOKUP(A51,DB_TBL_DATA_FIELDS[[FIELD_ID]:[ERROR_MESSAGE]],23,FALSE)&lt;&gt;0,VLOOKUP(A51,DB_TBL_DATA_FIELDS[[FIELD_ID]:[ERROR_MESSAGE]],23,FALSE),"")</f>
        <v/>
      </c>
      <c r="E51" s="54">
        <f>VLOOKUP(A51,DB_TBL_DATA_FIELDS[[#All],[FIELD_ID]:[RANGE_VALIDATION_MAX]],18,FALSE)</f>
        <v>1</v>
      </c>
      <c r="F51" s="54">
        <f>VLOOKUP(A51,DB_TBL_DATA_FIELDS[[#All],[FIELD_ID]:[RANGE_VALIDATION_MAX]],19,FALSE)</f>
        <v>99999</v>
      </c>
      <c r="G51" s="54" t="str">
        <f t="shared" ca="1" si="0"/>
        <v/>
      </c>
      <c r="I51" s="122"/>
      <c r="J51" s="122"/>
      <c r="K51" s="122"/>
      <c r="L51" s="122"/>
      <c r="M51" s="122"/>
      <c r="N51" s="122"/>
      <c r="O51" s="122"/>
      <c r="P51" s="122"/>
      <c r="Q51" s="122"/>
      <c r="R51" s="122"/>
      <c r="S51" s="122"/>
      <c r="T51" s="122"/>
      <c r="U51" s="122"/>
      <c r="V51" s="122"/>
      <c r="W51" s="122"/>
      <c r="X51" s="123"/>
      <c r="Y51" s="36"/>
    </row>
    <row r="52" spans="1:25" ht="21.95" customHeight="1" x14ac:dyDescent="0.25">
      <c r="A52" s="61" t="s">
        <v>2258</v>
      </c>
      <c r="B52" s="95" t="str">
        <f>IF(AND(U43=0,W43=0),"",IF(U43&lt;&gt;0,TEXT(U43,"0000"),"")&amp;IF(W43&lt;&gt;"","."&amp;TEXT(W43,"00"),""))</f>
        <v/>
      </c>
      <c r="C52" s="54">
        <f ca="1">VLOOKUP(A52,DB_TBL_DATA_FIELDS[[FIELD_ID]:[PCT_CALC_FIELD_STATUS_CODE]],22,FALSE)</f>
        <v>1</v>
      </c>
      <c r="D52" s="54" t="str">
        <f>IF(VLOOKUP(A52,DB_TBL_DATA_FIELDS[[FIELD_ID]:[ERROR_MESSAGE]],23,FALSE)&lt;&gt;0,VLOOKUP(A52,DB_TBL_DATA_FIELDS[[FIELD_ID]:[ERROR_MESSAGE]],23,FALSE),"")</f>
        <v/>
      </c>
      <c r="E52" s="54">
        <f>VLOOKUP(A52,DB_TBL_DATA_FIELDS[[#All],[FIELD_ID]:[RANGE_VALIDATION_MAX]],18,FALSE)</f>
        <v>7</v>
      </c>
      <c r="F52" s="54">
        <f>VLOOKUP(A52,DB_TBL_DATA_FIELDS[[#All],[FIELD_ID]:[RANGE_VALIDATION_MAX]],19,FALSE)</f>
        <v>7</v>
      </c>
      <c r="G52" s="54">
        <f t="shared" ca="1" si="0"/>
        <v>1</v>
      </c>
      <c r="I52" s="36" t="str">
        <f>"Requested Grant Amount (must not exceed "&amp;TEXT(CONFIG_GRANT_AMT_MAX,"$#,###")&amp;")"</f>
        <v>Requested Grant Amount (must not exceed )</v>
      </c>
      <c r="L52" s="121"/>
      <c r="U52" s="325"/>
      <c r="V52" s="325"/>
      <c r="W52" s="325"/>
      <c r="X52" s="52">
        <f ca="1">G70</f>
        <v>1</v>
      </c>
    </row>
    <row r="53" spans="1:25" ht="21.95" customHeight="1" x14ac:dyDescent="0.25">
      <c r="A53" s="244" t="s">
        <v>9045</v>
      </c>
      <c r="B53" s="245" t="str">
        <f>""</f>
        <v/>
      </c>
      <c r="C53" s="245" t="str">
        <f>VLOOKUP(A53,DB_TBL_DATA_FIELDS[[FIELD_ID]:[PCT_CALC_FIELD_STATUS_CODE]],22,FALSE)</f>
        <v/>
      </c>
      <c r="D53" s="245" t="str">
        <f>IF(VLOOKUP(A53,DB_TBL_DATA_FIELDS[[FIELD_ID]:[ERROR_MESSAGE]],23,FALSE)&lt;&gt;0,VLOOKUP(A53,DB_TBL_DATA_FIELDS[[FIELD_ID]:[ERROR_MESSAGE]],23,FALSE),"")</f>
        <v/>
      </c>
      <c r="E53" s="245">
        <f>VLOOKUP(A53,DB_TBL_DATA_FIELDS[[#All],[FIELD_ID]:[RANGE_VALIDATION_MAX]],18,FALSE)</f>
        <v>0</v>
      </c>
      <c r="F53" s="245">
        <f>VLOOKUP(A53,DB_TBL_DATA_FIELDS[[#All],[FIELD_ID]:[RANGE_VALIDATION_MAX]],19,FALSE)</f>
        <v>0</v>
      </c>
      <c r="G53" s="245" t="str">
        <f t="shared" ref="G53:G55" si="1">IF(C53&lt;0,"",C53)</f>
        <v/>
      </c>
      <c r="I53" s="124"/>
      <c r="J53" s="124"/>
      <c r="K53" s="124"/>
      <c r="L53" s="124"/>
      <c r="M53" s="124"/>
      <c r="N53" s="124"/>
      <c r="O53" s="124"/>
      <c r="P53" s="124"/>
      <c r="Q53" s="350" t="str">
        <f ca="1">D72</f>
        <v/>
      </c>
      <c r="R53" s="350"/>
      <c r="S53" s="350"/>
      <c r="T53" s="350"/>
      <c r="U53" s="350"/>
      <c r="V53" s="350"/>
      <c r="W53" s="350"/>
      <c r="X53" s="124"/>
      <c r="Y53" s="36"/>
    </row>
    <row r="54" spans="1:25" ht="21.95" customHeight="1" x14ac:dyDescent="0.25">
      <c r="A54" s="61" t="s">
        <v>9046</v>
      </c>
      <c r="B54" s="95" t="str">
        <f>IF(W47="","",IF(UPPER(W47)="YES",TRUE,FALSE))</f>
        <v/>
      </c>
      <c r="C54" s="54">
        <f ca="1">VLOOKUP(A54,DB_TBL_DATA_FIELDS[[FIELD_ID]:[PCT_CALC_FIELD_STATUS_CODE]],22,FALSE)</f>
        <v>1</v>
      </c>
      <c r="D54" s="54" t="str">
        <f>IF(VLOOKUP(A54,DB_TBL_DATA_FIELDS[[FIELD_ID]:[ERROR_MESSAGE]],23,FALSE)&lt;&gt;0,VLOOKUP(A54,DB_TBL_DATA_FIELDS[[FIELD_ID]:[ERROR_MESSAGE]],23,FALSE),"")</f>
        <v/>
      </c>
      <c r="E54" s="54">
        <f>VLOOKUP(A54,DB_TBL_DATA_FIELDS[[#All],[FIELD_ID]:[RANGE_VALIDATION_MAX]],18,FALSE)</f>
        <v>0</v>
      </c>
      <c r="F54" s="54">
        <f>VLOOKUP(A54,DB_TBL_DATA_FIELDS[[#All],[FIELD_ID]:[RANGE_VALIDATION_MAX]],19,FALSE)</f>
        <v>0</v>
      </c>
      <c r="G54" s="54">
        <f t="shared" ca="1" si="1"/>
        <v>1</v>
      </c>
      <c r="I54" s="36" t="s">
        <v>9002</v>
      </c>
      <c r="J54"/>
      <c r="L54"/>
      <c r="N54"/>
      <c r="P54"/>
      <c r="W54" s="40"/>
      <c r="X54" s="52">
        <f ca="1">G73</f>
        <v>1</v>
      </c>
      <c r="Y54" s="36"/>
    </row>
    <row r="55" spans="1:25" ht="21.95" customHeight="1" x14ac:dyDescent="0.25">
      <c r="A55" s="244" t="s">
        <v>9062</v>
      </c>
      <c r="B55" s="245" t="str">
        <f>""</f>
        <v/>
      </c>
      <c r="C55" s="245" t="str">
        <f ca="1">VLOOKUP(A55,DB_TBL_DATA_FIELDS[[FIELD_ID]:[PCT_CALC_FIELD_STATUS_CODE]],22,FALSE)</f>
        <v/>
      </c>
      <c r="D55" s="245" t="str">
        <f>IF(VLOOKUP(A55,DB_TBL_DATA_FIELDS[[FIELD_ID]:[ERROR_MESSAGE]],23,FALSE)&lt;&gt;0,VLOOKUP(A55,DB_TBL_DATA_FIELDS[[FIELD_ID]:[ERROR_MESSAGE]],23,FALSE),"")</f>
        <v/>
      </c>
      <c r="E55" s="245">
        <f>VLOOKUP(A55,DB_TBL_DATA_FIELDS[[#All],[FIELD_ID]:[RANGE_VALIDATION_MAX]],18,FALSE)</f>
        <v>0</v>
      </c>
      <c r="F55" s="245">
        <f>VLOOKUP(A55,DB_TBL_DATA_FIELDS[[#All],[FIELD_ID]:[RANGE_VALIDATION_MAX]],19,FALSE)</f>
        <v>0</v>
      </c>
      <c r="G55" s="245" t="str">
        <f t="shared" ca="1" si="1"/>
        <v/>
      </c>
      <c r="I55" s="358" t="s">
        <v>9071</v>
      </c>
      <c r="J55" s="358"/>
      <c r="K55" s="358"/>
      <c r="L55" s="358"/>
      <c r="M55" s="358"/>
      <c r="N55" s="358"/>
      <c r="O55" s="358"/>
      <c r="P55" s="358"/>
      <c r="Q55" s="358"/>
      <c r="R55" s="358"/>
      <c r="S55" s="358"/>
      <c r="T55" s="358"/>
      <c r="U55" s="358"/>
      <c r="V55" s="358"/>
      <c r="W55" s="358"/>
      <c r="Y55" s="36"/>
    </row>
    <row r="56" spans="1:25" ht="21.95" customHeight="1" x14ac:dyDescent="0.25">
      <c r="A56" s="61" t="s">
        <v>9051</v>
      </c>
      <c r="B56" s="65" t="b">
        <f ca="1">VLOOKUP(A56,DB_TBL_DATA_FIELDS[[#All],[FIELD_ID]:[FIELD_VALUE_RAW]],5,FALSE)</f>
        <v>0</v>
      </c>
      <c r="C56" s="54" t="str">
        <f ca="1">VLOOKUP(A56,DB_TBL_DATA_FIELDS[[FIELD_ID]:[PCT_CALC_FIELD_STATUS_CODE]],22,FALSE)</f>
        <v/>
      </c>
      <c r="D56" s="54" t="str">
        <f>IF(VLOOKUP(A56,DB_TBL_DATA_FIELDS[[FIELD_ID]:[ERROR_MESSAGE]],23,FALSE)&lt;&gt;0,VLOOKUP(A56,DB_TBL_DATA_FIELDS[[FIELD_ID]:[ERROR_MESSAGE]],23,FALSE),"")</f>
        <v/>
      </c>
      <c r="E56" s="54">
        <f>VLOOKUP(A56,DB_TBL_DATA_FIELDS[[#All],[FIELD_ID]:[RANGE_VALIDATION_MAX]],18,FALSE)</f>
        <v>0</v>
      </c>
      <c r="F56" s="54">
        <f>VLOOKUP(A56,DB_TBL_DATA_FIELDS[[#All],[FIELD_ID]:[RANGE_VALIDATION_MAX]],19,FALSE)</f>
        <v>0</v>
      </c>
      <c r="G56" s="54" t="str">
        <f t="shared" ref="G56" ca="1" si="2">IF(C56&lt;0,"",C56)</f>
        <v/>
      </c>
      <c r="I56" s="358"/>
      <c r="J56" s="358"/>
      <c r="K56" s="358"/>
      <c r="L56" s="358"/>
      <c r="M56" s="358"/>
      <c r="N56" s="358"/>
      <c r="O56" s="358"/>
      <c r="P56" s="358"/>
      <c r="Q56" s="358"/>
      <c r="R56" s="358"/>
      <c r="S56" s="358"/>
      <c r="T56" s="358"/>
      <c r="U56" s="358"/>
      <c r="V56" s="358"/>
      <c r="W56" s="358"/>
      <c r="Y56" s="36"/>
    </row>
    <row r="57" spans="1:25" ht="21.95" customHeight="1" x14ac:dyDescent="0.25">
      <c r="A57" s="61" t="s">
        <v>121</v>
      </c>
      <c r="B57" s="65" t="str">
        <f>"C"&amp;MATCH(LEFT(A57,LEN(A57)-LEN("_RANGE")),A:A,0)+1&amp;":C"&amp;(ROW()-1)</f>
        <v>C31:C56</v>
      </c>
      <c r="C57" s="54"/>
      <c r="D57" s="54"/>
      <c r="E57" s="54"/>
      <c r="F57" s="54"/>
      <c r="G57" s="54"/>
      <c r="I57" s="358"/>
      <c r="J57" s="358"/>
      <c r="K57" s="358"/>
      <c r="L57" s="358"/>
      <c r="M57" s="358"/>
      <c r="N57" s="358"/>
      <c r="O57" s="358"/>
      <c r="P57" s="358"/>
      <c r="Q57" s="358"/>
      <c r="R57" s="358"/>
      <c r="S57" s="358"/>
      <c r="T57" s="358"/>
      <c r="U57" s="358"/>
      <c r="V57" s="358"/>
      <c r="W57" s="358"/>
      <c r="Y57" s="36"/>
    </row>
    <row r="58" spans="1:25" ht="21.95" customHeight="1" x14ac:dyDescent="0.25">
      <c r="A58" s="61" t="s">
        <v>122</v>
      </c>
      <c r="B58" s="65">
        <f ca="1">COUNTIF(INDIRECT($B$57),2)</f>
        <v>0</v>
      </c>
      <c r="C58" s="54"/>
      <c r="D58" s="54"/>
      <c r="E58" s="54"/>
      <c r="F58" s="54"/>
      <c r="G58" s="54"/>
      <c r="J58"/>
      <c r="L58"/>
      <c r="N58"/>
      <c r="P58"/>
      <c r="W58" s="217" t="str">
        <f ca="1">$B$91</f>
        <v/>
      </c>
      <c r="X58" s="52" t="str">
        <f ca="1">IF(C91=1,1,"")</f>
        <v/>
      </c>
      <c r="Y58" s="36"/>
    </row>
    <row r="59" spans="1:25" ht="21.95" customHeight="1" x14ac:dyDescent="0.25">
      <c r="A59" s="61" t="s">
        <v>123</v>
      </c>
      <c r="B59" s="65">
        <f ca="1">COUNTIF(INDIRECT($B$57),0)+COUNTIF(INDIRECT($B$57),1)+COUNTIF(INDIRECT($B$57),2)</f>
        <v>11</v>
      </c>
      <c r="C59" s="54"/>
      <c r="D59" s="54"/>
      <c r="E59" s="54"/>
      <c r="F59" s="54"/>
      <c r="G59" s="54"/>
      <c r="I59" s="343" t="s">
        <v>9003</v>
      </c>
      <c r="J59" s="343"/>
      <c r="K59" s="343"/>
      <c r="L59" s="343"/>
      <c r="M59" s="343"/>
      <c r="N59" s="343"/>
      <c r="O59" s="343"/>
      <c r="P59" s="343"/>
      <c r="Q59" s="361" t="s">
        <v>9004</v>
      </c>
      <c r="R59" s="362"/>
      <c r="S59" s="362"/>
      <c r="T59" s="363"/>
      <c r="U59" s="364" t="s">
        <v>2568</v>
      </c>
      <c r="V59" s="364"/>
      <c r="W59" s="364"/>
      <c r="X59" s="364"/>
      <c r="Y59" s="36"/>
    </row>
    <row r="60" spans="1:25" ht="21.95" customHeight="1" x14ac:dyDescent="0.25">
      <c r="A60" s="61" t="s">
        <v>124</v>
      </c>
      <c r="B60" s="65">
        <f ca="1">COUNTIF(INDIRECT($B$57),0)</f>
        <v>0</v>
      </c>
      <c r="C60" s="54"/>
      <c r="D60" s="54"/>
      <c r="E60" s="54"/>
      <c r="F60" s="54"/>
      <c r="G60" s="54"/>
      <c r="I60" s="365" t="s">
        <v>2875</v>
      </c>
      <c r="J60" s="365"/>
      <c r="K60" s="365"/>
      <c r="L60" s="365"/>
      <c r="M60" s="365"/>
      <c r="N60" s="365"/>
      <c r="O60" s="365"/>
      <c r="P60" s="366"/>
      <c r="Q60" s="319"/>
      <c r="R60" s="320"/>
      <c r="S60" s="320"/>
      <c r="T60" s="287" t="str">
        <f ca="1">G74</f>
        <v/>
      </c>
      <c r="U60" s="332"/>
      <c r="V60" s="333"/>
      <c r="W60" s="333"/>
      <c r="X60" s="287" t="str">
        <f ca="1">G75</f>
        <v/>
      </c>
      <c r="Y60" s="36"/>
    </row>
    <row r="61" spans="1:25" ht="21.95" customHeight="1" x14ac:dyDescent="0.25">
      <c r="A61" s="61" t="s">
        <v>125</v>
      </c>
      <c r="B61" s="97">
        <f ca="1">IFERROR(B58/B59,1.01)</f>
        <v>0</v>
      </c>
      <c r="C61" s="54"/>
      <c r="D61" s="54"/>
      <c r="E61" s="54"/>
      <c r="F61" s="54"/>
      <c r="G61" s="54"/>
      <c r="I61" s="365" t="s">
        <v>8965</v>
      </c>
      <c r="J61" s="365"/>
      <c r="K61" s="365"/>
      <c r="L61" s="365"/>
      <c r="M61" s="365"/>
      <c r="N61" s="365"/>
      <c r="O61" s="365"/>
      <c r="P61" s="366"/>
      <c r="Q61" s="319"/>
      <c r="R61" s="320"/>
      <c r="S61" s="320"/>
      <c r="T61" s="287" t="str">
        <f ca="1">G76</f>
        <v/>
      </c>
      <c r="U61" s="332"/>
      <c r="V61" s="333"/>
      <c r="W61" s="333"/>
      <c r="X61" s="287" t="str">
        <f ca="1">G77</f>
        <v/>
      </c>
      <c r="Y61" s="36"/>
    </row>
    <row r="62" spans="1:25" ht="21.95" customHeight="1" x14ac:dyDescent="0.25">
      <c r="A62" s="61" t="s">
        <v>126</v>
      </c>
      <c r="B62" s="65" t="str">
        <f ca="1">IF(B60&gt;0,"Data Error(s)",IF(B61=0,"Not Started",IF(B61&lt;1,ROUNDUP(B61*100,0)&amp;"% Done",IF(B61&gt;1,"Optional","Complete"))))</f>
        <v>Not Started</v>
      </c>
      <c r="C62" s="54"/>
      <c r="D62" s="54"/>
      <c r="E62" s="54"/>
      <c r="F62" s="54"/>
      <c r="G62" s="54"/>
      <c r="I62" s="365" t="s">
        <v>9005</v>
      </c>
      <c r="J62" s="365"/>
      <c r="K62" s="365"/>
      <c r="L62" s="365"/>
      <c r="M62" s="365"/>
      <c r="N62" s="365"/>
      <c r="O62" s="365"/>
      <c r="P62" s="365"/>
      <c r="Q62" s="319"/>
      <c r="R62" s="320"/>
      <c r="S62" s="320"/>
      <c r="T62" s="287" t="str">
        <f ca="1">G78</f>
        <v/>
      </c>
      <c r="U62" s="332"/>
      <c r="V62" s="333"/>
      <c r="W62" s="333"/>
      <c r="X62" s="287" t="str">
        <f ca="1">G79</f>
        <v/>
      </c>
      <c r="Y62" s="36"/>
    </row>
    <row r="63" spans="1:25" ht="21.95" customHeight="1" x14ac:dyDescent="0.25">
      <c r="A63" s="61" t="s">
        <v>127</v>
      </c>
      <c r="B63" s="65" t="str">
        <f ca="1">IF(B60&gt;0,0,IF(B61&lt;1,"",2))</f>
        <v/>
      </c>
      <c r="C63" s="54"/>
      <c r="D63" s="54"/>
      <c r="E63" s="54"/>
      <c r="F63" s="54"/>
      <c r="G63" s="54"/>
      <c r="I63" s="334" t="s">
        <v>9007</v>
      </c>
      <c r="J63" s="335"/>
      <c r="K63" s="335"/>
      <c r="L63" s="335"/>
      <c r="M63" s="335"/>
      <c r="N63" s="335"/>
      <c r="O63" s="335"/>
      <c r="P63" s="335"/>
      <c r="Q63" s="336"/>
      <c r="R63" s="336"/>
      <c r="S63" s="336"/>
      <c r="T63" s="337"/>
      <c r="U63" s="359">
        <f ca="1">B80</f>
        <v>0</v>
      </c>
      <c r="V63" s="360"/>
      <c r="W63" s="360"/>
      <c r="X63" s="288"/>
      <c r="Y63" s="36"/>
    </row>
    <row r="64" spans="1:25" ht="21.95" customHeight="1" x14ac:dyDescent="0.25">
      <c r="A64" s="61" t="s">
        <v>128</v>
      </c>
      <c r="B64" s="96" t="s">
        <v>2355</v>
      </c>
      <c r="C64" s="54"/>
      <c r="D64" s="54"/>
      <c r="E64" s="54"/>
      <c r="F64" s="54"/>
      <c r="G64" s="54"/>
      <c r="I64" s="334" t="s">
        <v>9006</v>
      </c>
      <c r="J64" s="335"/>
      <c r="K64" s="335"/>
      <c r="L64" s="335"/>
      <c r="M64" s="335"/>
      <c r="N64" s="335"/>
      <c r="O64" s="335"/>
      <c r="P64" s="335"/>
      <c r="Q64" s="335"/>
      <c r="R64" s="335"/>
      <c r="S64" s="335"/>
      <c r="T64" s="374"/>
      <c r="U64" s="375">
        <f ca="1">B81</f>
        <v>0</v>
      </c>
      <c r="V64" s="376"/>
      <c r="W64" s="376"/>
      <c r="X64" s="289" t="str">
        <f ca="1">G81</f>
        <v/>
      </c>
      <c r="Y64" s="36"/>
    </row>
    <row r="65" spans="1:25" ht="21.95" customHeight="1" x14ac:dyDescent="0.25">
      <c r="A65" s="77" t="s">
        <v>2810</v>
      </c>
      <c r="B65" s="65" t="str">
        <f ca="1">IF(DATA_FIRST_TIME_HOMEBUYER_FLAG=FALSE,'$DB.CONFIG'!M3,"")</f>
        <v/>
      </c>
      <c r="C65" s="54">
        <f ca="1">IF(B65="",0,1)</f>
        <v>0</v>
      </c>
      <c r="D65" s="54"/>
      <c r="E65" s="54"/>
      <c r="F65" s="54"/>
      <c r="G65" s="54"/>
      <c r="I65" s="331" t="str">
        <f ca="1">IF(D74&lt;&gt;"",D74,IF(D76&lt;&gt;"",D76,D81))</f>
        <v/>
      </c>
      <c r="J65" s="331"/>
      <c r="K65" s="331"/>
      <c r="L65" s="331"/>
      <c r="M65" s="331"/>
      <c r="N65" s="331"/>
      <c r="O65" s="331"/>
      <c r="P65" s="331"/>
      <c r="Q65" s="331"/>
      <c r="R65" s="331"/>
      <c r="S65" s="331"/>
      <c r="T65" s="331"/>
      <c r="U65" s="331"/>
      <c r="V65" s="331"/>
      <c r="W65" s="331"/>
      <c r="X65" s="331"/>
      <c r="Y65" s="36"/>
    </row>
    <row r="66" spans="1:25" ht="21.95" customHeight="1" x14ac:dyDescent="0.25">
      <c r="A66" s="77" t="s">
        <v>9053</v>
      </c>
      <c r="B66" s="65" t="str">
        <f ca="1">IF(C56=0,'$DB.CONFIG'!M3,"")</f>
        <v/>
      </c>
      <c r="C66" s="54">
        <f ca="1">IF(B66="",0,1)</f>
        <v>0</v>
      </c>
      <c r="D66" s="54"/>
      <c r="E66" s="54"/>
      <c r="F66" s="54"/>
      <c r="G66" s="54"/>
      <c r="J66"/>
      <c r="L66"/>
      <c r="N66"/>
      <c r="P66"/>
      <c r="Y66" s="36"/>
    </row>
    <row r="67" spans="1:25" ht="21.95" customHeight="1" x14ac:dyDescent="0.25">
      <c r="A67" s="77" t="s">
        <v>2152</v>
      </c>
      <c r="B67" s="65">
        <f ca="1">COUNTIF(C65:C66,1)</f>
        <v>0</v>
      </c>
      <c r="C67" s="54"/>
      <c r="D67" s="54"/>
      <c r="E67" s="54"/>
      <c r="F67" s="54"/>
      <c r="G67" s="54"/>
      <c r="I67" s="367" t="s">
        <v>2381</v>
      </c>
      <c r="J67" s="367"/>
      <c r="K67" s="367"/>
      <c r="L67" s="367"/>
      <c r="M67" s="367"/>
      <c r="N67" s="367"/>
      <c r="O67" s="367"/>
      <c r="P67" s="367"/>
      <c r="Q67" s="367"/>
      <c r="R67" s="367"/>
      <c r="S67" s="367"/>
      <c r="T67" s="125"/>
      <c r="U67" s="125"/>
      <c r="V67" s="36"/>
      <c r="W67" s="40"/>
      <c r="X67" s="52" t="str">
        <f ca="1">G82</f>
        <v/>
      </c>
      <c r="Y67" s="36"/>
    </row>
    <row r="68" spans="1:25" ht="21.95" customHeight="1" x14ac:dyDescent="0.25">
      <c r="A68" s="77" t="s">
        <v>2153</v>
      </c>
      <c r="B68" s="65" t="b">
        <f ca="1">(B67&gt;0)</f>
        <v>0</v>
      </c>
      <c r="C68" s="54"/>
      <c r="D68" s="54"/>
      <c r="E68" s="54"/>
      <c r="F68" s="54"/>
      <c r="G68" s="54"/>
      <c r="I68" s="367"/>
      <c r="J68" s="367"/>
      <c r="K68" s="367"/>
      <c r="L68" s="367"/>
      <c r="M68" s="367"/>
      <c r="N68" s="367"/>
      <c r="O68" s="367"/>
      <c r="P68" s="367"/>
      <c r="Q68" s="367"/>
      <c r="R68" s="367"/>
      <c r="S68" s="367"/>
      <c r="T68" s="125"/>
      <c r="U68" s="125"/>
      <c r="V68"/>
      <c r="X68"/>
      <c r="Y68" s="36"/>
    </row>
    <row r="69" spans="1:25" ht="21.95" customHeight="1" x14ac:dyDescent="0.25">
      <c r="A69" s="91" t="s">
        <v>141</v>
      </c>
      <c r="B69" s="93" t="s">
        <v>2356</v>
      </c>
      <c r="C69" s="92"/>
      <c r="D69" s="92"/>
      <c r="E69" s="92"/>
      <c r="F69" s="92"/>
      <c r="G69" s="92"/>
      <c r="J69"/>
      <c r="L69"/>
      <c r="N69"/>
      <c r="P69"/>
      <c r="R69"/>
      <c r="T69"/>
      <c r="V69"/>
      <c r="X69"/>
      <c r="Y69" s="36"/>
    </row>
    <row r="70" spans="1:25" ht="21.95" customHeight="1" thickBot="1" x14ac:dyDescent="0.3">
      <c r="A70" s="61" t="s">
        <v>2283</v>
      </c>
      <c r="B70" s="95" t="str">
        <f>IF(U52&lt;&gt;"",U52,"")</f>
        <v/>
      </c>
      <c r="C70" s="54">
        <f ca="1">VLOOKUP(A70,DB_TBL_DATA_FIELDS[[FIELD_ID]:[PCT_CALC_FIELD_STATUS_CODE]],22,FALSE)</f>
        <v>1</v>
      </c>
      <c r="D70" s="54" t="str">
        <f>IF(VLOOKUP(A70,DB_TBL_DATA_FIELDS[[FIELD_ID]:[ERROR_MESSAGE]],23,FALSE)&lt;&gt;0,VLOOKUP(A70,DB_TBL_DATA_FIELDS[[FIELD_ID]:[ERROR_MESSAGE]],23,FALSE),"")</f>
        <v/>
      </c>
      <c r="E70" s="54">
        <f>VLOOKUP(A70,DB_TBL_DATA_FIELDS[[#All],[FIELD_ID]:[RANGE_VALIDATION_MAX]],18,FALSE)</f>
        <v>1</v>
      </c>
      <c r="F70" s="54" t="str">
        <f>VLOOKUP(A70,DB_TBL_DATA_FIELDS[[#All],[FIELD_ID]:[RANGE_VALIDATION_MAX]],19,FALSE)</f>
        <v/>
      </c>
      <c r="G70" s="54">
        <f t="shared" ref="G70:G82" ca="1" si="3">IF(C70&lt;0,"",C70)</f>
        <v>1</v>
      </c>
      <c r="I70" s="55" t="str">
        <f>B94</f>
        <v>Purchase Property</v>
      </c>
      <c r="J70" s="55"/>
      <c r="K70" s="55"/>
      <c r="L70" s="55"/>
      <c r="M70" s="55"/>
      <c r="N70" s="55"/>
      <c r="O70" s="55"/>
      <c r="P70" s="55"/>
      <c r="Q70" s="55"/>
      <c r="R70" s="55"/>
      <c r="S70" s="55"/>
      <c r="T70" s="55"/>
      <c r="U70" s="55"/>
      <c r="V70" s="55"/>
      <c r="W70" s="55"/>
      <c r="X70" s="56" t="str">
        <f ca="1">"Status: "&amp;$B$112</f>
        <v>Status: Not Started</v>
      </c>
    </row>
    <row r="71" spans="1:25" ht="21.95" customHeight="1" x14ac:dyDescent="0.25">
      <c r="A71" s="244" t="s">
        <v>2284</v>
      </c>
      <c r="B71" s="245" t="str">
        <f>""</f>
        <v/>
      </c>
      <c r="C71" s="245" t="str">
        <f>VLOOKUP(A71,DB_TBL_DATA_FIELDS[[FIELD_ID]:[PCT_CALC_FIELD_STATUS_CODE]],22,FALSE)</f>
        <v/>
      </c>
      <c r="D71" s="245" t="str">
        <f>IF(VLOOKUP(A71,DB_TBL_DATA_FIELDS[[FIELD_ID]:[ERROR_MESSAGE]],23,FALSE)&lt;&gt;0,VLOOKUP(A71,DB_TBL_DATA_FIELDS[[FIELD_ID]:[ERROR_MESSAGE]],23,FALSE),"")</f>
        <v/>
      </c>
      <c r="E71" s="245">
        <f>VLOOKUP(A71,DB_TBL_DATA_FIELDS[[#All],[FIELD_ID]:[RANGE_VALIDATION_MAX]],18,FALSE)</f>
        <v>0</v>
      </c>
      <c r="F71" s="245" t="str">
        <f>VLOOKUP(A71,DB_TBL_DATA_FIELDS[[#All],[FIELD_ID]:[RANGE_VALIDATION_MAX]],19,FALSE)</f>
        <v/>
      </c>
      <c r="G71" s="245" t="str">
        <f t="shared" si="3"/>
        <v/>
      </c>
    </row>
    <row r="72" spans="1:25" ht="21.95" customHeight="1" x14ac:dyDescent="0.25">
      <c r="A72" s="61" t="s">
        <v>2285</v>
      </c>
      <c r="B72" s="65">
        <f ca="1">VLOOKUP(A72,DB_TBL_DATA_FIELDS[[#All],[FIELD_ID]:[FIELD_VALUE_RAW]],5,FALSE)</f>
        <v>0</v>
      </c>
      <c r="C72" s="54" t="str">
        <f ca="1">VLOOKUP(A72,DB_TBL_DATA_FIELDS[[FIELD_ID]:[PCT_CALC_FIELD_STATUS_CODE]],22,FALSE)</f>
        <v/>
      </c>
      <c r="D72" s="54" t="str">
        <f ca="1">IF(VLOOKUP(A72,DB_TBL_DATA_FIELDS[[FIELD_ID]:[ERROR_MESSAGE]],23,FALSE)&lt;&gt;0,VLOOKUP(A72,DB_TBL_DATA_FIELDS[[FIELD_ID]:[ERROR_MESSAGE]],23,FALSE),"")</f>
        <v/>
      </c>
      <c r="E72" s="54">
        <f>VLOOKUP(A72,DB_TBL_DATA_FIELDS[[#All],[FIELD_ID]:[RANGE_VALIDATION_MAX]],18,FALSE)</f>
        <v>0</v>
      </c>
      <c r="F72" s="54" t="str">
        <f>VLOOKUP(A72,DB_TBL_DATA_FIELDS[[#All],[FIELD_ID]:[RANGE_VALIDATION_MAX]],19,FALSE)</f>
        <v/>
      </c>
      <c r="G72" s="54" t="str">
        <f t="shared" ca="1" si="3"/>
        <v/>
      </c>
      <c r="W72" s="217" t="str">
        <f ca="1">$B$115</f>
        <v/>
      </c>
      <c r="X72" s="52" t="str">
        <f ca="1">IF(C115=1,1,"")</f>
        <v/>
      </c>
    </row>
    <row r="73" spans="1:25" ht="21.95" customHeight="1" x14ac:dyDescent="0.25">
      <c r="A73" s="61" t="s">
        <v>9009</v>
      </c>
      <c r="B73" s="95" t="str">
        <f>IF(W54="","",IF(UPPER(W54)="YES",TRUE,FALSE))</f>
        <v/>
      </c>
      <c r="C73" s="54">
        <f ca="1">VLOOKUP(A73,DB_TBL_DATA_FIELDS[[FIELD_ID]:[PCT_CALC_FIELD_STATUS_CODE]],22,FALSE)</f>
        <v>1</v>
      </c>
      <c r="D73" s="54" t="str">
        <f>IF(VLOOKUP(A73,DB_TBL_DATA_FIELDS[[FIELD_ID]:[ERROR_MESSAGE]],23,FALSE)&lt;&gt;0,VLOOKUP(A73,DB_TBL_DATA_FIELDS[[FIELD_ID]:[ERROR_MESSAGE]],23,FALSE),"")</f>
        <v/>
      </c>
      <c r="E73" s="54">
        <f>VLOOKUP(A73,DB_TBL_DATA_FIELDS[[#All],[FIELD_ID]:[RANGE_VALIDATION_MAX]],18,FALSE)</f>
        <v>0</v>
      </c>
      <c r="F73" s="54">
        <f>VLOOKUP(A73,DB_TBL_DATA_FIELDS[[#All],[FIELD_ID]:[RANGE_VALIDATION_MAX]],19,FALSE)</f>
        <v>0</v>
      </c>
      <c r="G73" s="54">
        <f t="shared" ca="1" si="3"/>
        <v>1</v>
      </c>
      <c r="I73" s="36" t="s">
        <v>2382</v>
      </c>
      <c r="K73" s="36"/>
      <c r="M73" s="36"/>
      <c r="Q73" s="36" t="s">
        <v>50</v>
      </c>
      <c r="S73" s="36"/>
      <c r="U73" s="36" t="s">
        <v>51</v>
      </c>
      <c r="W73" s="36" t="s">
        <v>52</v>
      </c>
    </row>
    <row r="74" spans="1:25" ht="21.95" customHeight="1" x14ac:dyDescent="0.25">
      <c r="A74" s="61" t="s">
        <v>9008</v>
      </c>
      <c r="B74" s="95" t="str">
        <f>IF(Q60="","",IF(UPPER(Q60)="YES",TRUE,FALSE))</f>
        <v/>
      </c>
      <c r="C74" s="54">
        <f ca="1">VLOOKUP(A74,DB_TBL_DATA_FIELDS[[FIELD_ID]:[PCT_CALC_FIELD_STATUS_CODE]],22,FALSE)</f>
        <v>-1</v>
      </c>
      <c r="D74" s="54" t="str">
        <f ca="1">IF(VLOOKUP(A74,DB_TBL_DATA_FIELDS[[FIELD_ID]:[ERROR_MESSAGE]],23,FALSE)&lt;&gt;0,VLOOKUP(A74,DB_TBL_DATA_FIELDS[[FIELD_ID]:[ERROR_MESSAGE]],23,FALSE),"")</f>
        <v/>
      </c>
      <c r="E74" s="54">
        <f>VLOOKUP(A74,DB_TBL_DATA_FIELDS[[#All],[FIELD_ID]:[RANGE_VALIDATION_MAX]],18,FALSE)</f>
        <v>0</v>
      </c>
      <c r="F74" s="54">
        <f>VLOOKUP(A74,DB_TBL_DATA_FIELDS[[#All],[FIELD_ID]:[RANGE_VALIDATION_MAX]],19,FALSE)</f>
        <v>0</v>
      </c>
      <c r="G74" s="54" t="str">
        <f t="shared" ca="1" si="3"/>
        <v/>
      </c>
      <c r="I74" s="354"/>
      <c r="J74" s="354"/>
      <c r="K74" s="354"/>
      <c r="L74" s="354"/>
      <c r="M74" s="354"/>
      <c r="N74" s="354"/>
      <c r="O74" s="354"/>
      <c r="P74" s="52" t="str">
        <f ca="1">G95</f>
        <v/>
      </c>
      <c r="Q74" s="316"/>
      <c r="R74" s="317"/>
      <c r="S74" s="318"/>
      <c r="T74" s="52" t="str">
        <f ca="1">G96</f>
        <v/>
      </c>
      <c r="U74" s="40"/>
      <c r="V74" s="52" t="str">
        <f ca="1">G97</f>
        <v/>
      </c>
      <c r="W74" s="120"/>
      <c r="X74" s="52" t="str">
        <f ca="1">G98</f>
        <v/>
      </c>
    </row>
    <row r="75" spans="1:25" ht="21.95" customHeight="1" x14ac:dyDescent="0.25">
      <c r="A75" s="61" t="s">
        <v>9011</v>
      </c>
      <c r="B75" s="95" t="str">
        <f>IF(U60&lt;&gt;"",U60,"")</f>
        <v/>
      </c>
      <c r="C75" s="54">
        <f ca="1">VLOOKUP(A75,DB_TBL_DATA_FIELDS[[FIELD_ID]:[PCT_CALC_FIELD_STATUS_CODE]],22,FALSE)</f>
        <v>-1</v>
      </c>
      <c r="D75" s="54" t="str">
        <f>IF(VLOOKUP(A75,DB_TBL_DATA_FIELDS[[FIELD_ID]:[ERROR_MESSAGE]],23,FALSE)&lt;&gt;0,VLOOKUP(A75,DB_TBL_DATA_FIELDS[[FIELD_ID]:[ERROR_MESSAGE]],23,FALSE),"")</f>
        <v/>
      </c>
      <c r="E75" s="54">
        <f>VLOOKUP(A75,DB_TBL_DATA_FIELDS[[#All],[FIELD_ID]:[RANGE_VALIDATION_MAX]],18,FALSE)</f>
        <v>1</v>
      </c>
      <c r="F75" s="54">
        <f>VLOOKUP(A75,DB_TBL_DATA_FIELDS[[#All],[FIELD_ID]:[RANGE_VALIDATION_MAX]],19,FALSE)</f>
        <v>999999999</v>
      </c>
      <c r="G75" s="54" t="str">
        <f t="shared" ca="1" si="3"/>
        <v/>
      </c>
      <c r="I75" s="36" t="s">
        <v>2876</v>
      </c>
      <c r="K75" s="36"/>
      <c r="M75" s="36" t="s">
        <v>2897</v>
      </c>
      <c r="O75" s="36"/>
      <c r="Q75" s="36" t="s">
        <v>9079</v>
      </c>
      <c r="S75" s="36"/>
      <c r="U75" s="36" t="s">
        <v>2185</v>
      </c>
      <c r="W75" s="36"/>
    </row>
    <row r="76" spans="1:25" ht="21.95" customHeight="1" x14ac:dyDescent="0.25">
      <c r="A76" s="61" t="s">
        <v>9010</v>
      </c>
      <c r="B76" s="95" t="str">
        <f>IF(Q61="","",IF(UPPER(Q61)="YES",TRUE,FALSE))</f>
        <v/>
      </c>
      <c r="C76" s="54">
        <f ca="1">VLOOKUP(A76,DB_TBL_DATA_FIELDS[[FIELD_ID]:[PCT_CALC_FIELD_STATUS_CODE]],22,FALSE)</f>
        <v>-1</v>
      </c>
      <c r="D76" s="54" t="str">
        <f ca="1">IF(VLOOKUP(A76,DB_TBL_DATA_FIELDS[[FIELD_ID]:[ERROR_MESSAGE]],23,FALSE)&lt;&gt;0,VLOOKUP(A76,DB_TBL_DATA_FIELDS[[FIELD_ID]:[ERROR_MESSAGE]],23,FALSE),"")</f>
        <v/>
      </c>
      <c r="E76" s="54">
        <f>VLOOKUP(A76,DB_TBL_DATA_FIELDS[[#All],[FIELD_ID]:[RANGE_VALIDATION_MAX]],18,FALSE)</f>
        <v>0</v>
      </c>
      <c r="F76" s="54">
        <f>VLOOKUP(A76,DB_TBL_DATA_FIELDS[[#All],[FIELD_ID]:[RANGE_VALIDATION_MAX]],19,FALSE)</f>
        <v>0</v>
      </c>
      <c r="G76" s="54" t="str">
        <f t="shared" ref="G76:G77" ca="1" si="4">IF(C76&lt;0,"",C76)</f>
        <v/>
      </c>
      <c r="I76" s="316"/>
      <c r="J76" s="317"/>
      <c r="K76" s="318"/>
      <c r="L76" s="52">
        <f ca="1">G99</f>
        <v>1</v>
      </c>
      <c r="M76" s="355"/>
      <c r="N76" s="356"/>
      <c r="O76" s="357"/>
      <c r="P76" s="52">
        <f ca="1">G100</f>
        <v>1</v>
      </c>
      <c r="Q76" s="351"/>
      <c r="R76" s="352"/>
      <c r="S76" s="353"/>
      <c r="T76" s="52" t="str">
        <f ca="1">G101</f>
        <v/>
      </c>
      <c r="U76" s="41"/>
      <c r="V76" s="119" t="s">
        <v>106</v>
      </c>
      <c r="W76" s="42"/>
      <c r="X76" s="52">
        <f ca="1">G102</f>
        <v>1</v>
      </c>
    </row>
    <row r="77" spans="1:25" ht="21.95" customHeight="1" x14ac:dyDescent="0.25">
      <c r="A77" s="61" t="s">
        <v>9012</v>
      </c>
      <c r="B77" s="95" t="str">
        <f>IF(U61&lt;&gt;"",U61,"")</f>
        <v/>
      </c>
      <c r="C77" s="54">
        <f ca="1">VLOOKUP(A77,DB_TBL_DATA_FIELDS[[FIELD_ID]:[PCT_CALC_FIELD_STATUS_CODE]],22,FALSE)</f>
        <v>-1</v>
      </c>
      <c r="D77" s="54" t="str">
        <f>IF(VLOOKUP(A77,DB_TBL_DATA_FIELDS[[FIELD_ID]:[ERROR_MESSAGE]],23,FALSE)&lt;&gt;0,VLOOKUP(A77,DB_TBL_DATA_FIELDS[[FIELD_ID]:[ERROR_MESSAGE]],23,FALSE),"")</f>
        <v/>
      </c>
      <c r="E77" s="54">
        <f>VLOOKUP(A77,DB_TBL_DATA_FIELDS[[#All],[FIELD_ID]:[RANGE_VALIDATION_MAX]],18,FALSE)</f>
        <v>1</v>
      </c>
      <c r="F77" s="54">
        <f>VLOOKUP(A77,DB_TBL_DATA_FIELDS[[#All],[FIELD_ID]:[RANGE_VALIDATION_MAX]],19,FALSE)</f>
        <v>999999999</v>
      </c>
      <c r="G77" s="54" t="str">
        <f t="shared" ca="1" si="4"/>
        <v/>
      </c>
      <c r="I77" s="36"/>
      <c r="J77" s="36"/>
      <c r="K77" s="36"/>
      <c r="L77" s="36"/>
      <c r="M77" s="36"/>
      <c r="N77" s="36"/>
      <c r="O77" s="36"/>
      <c r="P77" s="36"/>
      <c r="Q77" s="293"/>
      <c r="R77" s="36"/>
      <c r="S77" s="36"/>
      <c r="T77" s="36"/>
      <c r="U77" s="36"/>
      <c r="V77" s="36"/>
      <c r="W77" s="36"/>
      <c r="X77" s="36"/>
    </row>
    <row r="78" spans="1:25" ht="21.95" customHeight="1" x14ac:dyDescent="0.25">
      <c r="A78" s="61" t="s">
        <v>9015</v>
      </c>
      <c r="B78" s="95" t="str">
        <f>IF(Q62="","",IF(UPPER(Q62)="YES",TRUE,FALSE))</f>
        <v/>
      </c>
      <c r="C78" s="54">
        <f ca="1">VLOOKUP(A78,DB_TBL_DATA_FIELDS[[FIELD_ID]:[PCT_CALC_FIELD_STATUS_CODE]],22,FALSE)</f>
        <v>-1</v>
      </c>
      <c r="D78" s="54" t="str">
        <f>IF(VLOOKUP(A78,DB_TBL_DATA_FIELDS[[FIELD_ID]:[ERROR_MESSAGE]],23,FALSE)&lt;&gt;0,VLOOKUP(A78,DB_TBL_DATA_FIELDS[[FIELD_ID]:[ERROR_MESSAGE]],23,FALSE),"")</f>
        <v/>
      </c>
      <c r="E78" s="54">
        <f>VLOOKUP(A78,DB_TBL_DATA_FIELDS[[#All],[FIELD_ID]:[RANGE_VALIDATION_MAX]],18,FALSE)</f>
        <v>0</v>
      </c>
      <c r="F78" s="54">
        <f>VLOOKUP(A78,DB_TBL_DATA_FIELDS[[#All],[FIELD_ID]:[RANGE_VALIDATION_MAX]],19,FALSE)</f>
        <v>0</v>
      </c>
      <c r="G78" s="54" t="str">
        <f t="shared" ca="1" si="3"/>
        <v/>
      </c>
      <c r="I78" s="36" t="s">
        <v>188</v>
      </c>
      <c r="J78" s="36"/>
      <c r="K78" s="36"/>
      <c r="L78" s="36"/>
      <c r="M78" s="36" t="s">
        <v>2384</v>
      </c>
      <c r="N78" s="36"/>
      <c r="O78" s="36"/>
      <c r="P78" s="36"/>
      <c r="Q78" s="36" t="s">
        <v>2385</v>
      </c>
      <c r="R78" s="36"/>
      <c r="S78" s="36"/>
      <c r="T78" s="36"/>
      <c r="U78" s="36" t="s">
        <v>2383</v>
      </c>
      <c r="V78" s="36"/>
      <c r="W78" s="36"/>
      <c r="X78" s="36"/>
    </row>
    <row r="79" spans="1:25" ht="21.95" customHeight="1" x14ac:dyDescent="0.25">
      <c r="A79" s="61" t="s">
        <v>9016</v>
      </c>
      <c r="B79" s="95" t="str">
        <f>IF(U62&lt;&gt;"",U62,"")</f>
        <v/>
      </c>
      <c r="C79" s="54">
        <f ca="1">VLOOKUP(A79,DB_TBL_DATA_FIELDS[[FIELD_ID]:[PCT_CALC_FIELD_STATUS_CODE]],22,FALSE)</f>
        <v>-1</v>
      </c>
      <c r="D79" s="54" t="str">
        <f>IF(VLOOKUP(A79,DB_TBL_DATA_FIELDS[[FIELD_ID]:[ERROR_MESSAGE]],23,FALSE)&lt;&gt;0,VLOOKUP(A79,DB_TBL_DATA_FIELDS[[FIELD_ID]:[ERROR_MESSAGE]],23,FALSE),"")</f>
        <v/>
      </c>
      <c r="E79" s="54">
        <f>VLOOKUP(A79,DB_TBL_DATA_FIELDS[[#All],[FIELD_ID]:[RANGE_VALIDATION_MAX]],18,FALSE)</f>
        <v>1</v>
      </c>
      <c r="F79" s="54">
        <f>VLOOKUP(A79,DB_TBL_DATA_FIELDS[[#All],[FIELD_ID]:[RANGE_VALIDATION_MAX]],19,FALSE)</f>
        <v>999999999</v>
      </c>
      <c r="G79" s="54" t="str">
        <f t="shared" ca="1" si="3"/>
        <v/>
      </c>
      <c r="I79" s="325"/>
      <c r="J79" s="325"/>
      <c r="K79" s="325"/>
      <c r="L79" s="52">
        <f ca="1">G104</f>
        <v>1</v>
      </c>
      <c r="M79" s="349"/>
      <c r="N79" s="349"/>
      <c r="O79" s="349"/>
      <c r="P79" s="52">
        <f ca="1">G105</f>
        <v>1</v>
      </c>
      <c r="Q79" s="319"/>
      <c r="R79" s="320"/>
      <c r="S79" s="321"/>
      <c r="T79" s="52">
        <f ca="1">G103</f>
        <v>1</v>
      </c>
      <c r="U79" s="319"/>
      <c r="V79" s="320"/>
      <c r="W79" s="321"/>
      <c r="X79" s="52">
        <f ca="1">G106</f>
        <v>1</v>
      </c>
    </row>
    <row r="80" spans="1:25" ht="21.95" customHeight="1" x14ac:dyDescent="0.25">
      <c r="A80" s="61" t="s">
        <v>9017</v>
      </c>
      <c r="B80" s="65">
        <f ca="1">VLOOKUP(A80,DB_TBL_DATA_FIELDS[[#All],[FIELD_ID]:[FIELD_VALUE_RAW]],5,FALSE)</f>
        <v>0</v>
      </c>
      <c r="C80" s="54" t="str">
        <f ca="1">VLOOKUP(A80,DB_TBL_DATA_FIELDS[[FIELD_ID]:[PCT_CALC_FIELD_STATUS_CODE]],22,FALSE)</f>
        <v/>
      </c>
      <c r="D80" s="54" t="str">
        <f>IF(VLOOKUP(A80,DB_TBL_DATA_FIELDS[[FIELD_ID]:[ERROR_MESSAGE]],23,FALSE)&lt;&gt;0,VLOOKUP(A80,DB_TBL_DATA_FIELDS[[FIELD_ID]:[ERROR_MESSAGE]],23,FALSE),"")</f>
        <v/>
      </c>
      <c r="E80" s="54">
        <f>VLOOKUP(A80,DB_TBL_DATA_FIELDS[[#All],[FIELD_ID]:[RANGE_VALIDATION_MAX]],18,FALSE)</f>
        <v>0</v>
      </c>
      <c r="F80" s="54">
        <f>VLOOKUP(A80,DB_TBL_DATA_FIELDS[[#All],[FIELD_ID]:[RANGE_VALIDATION_MAX]],19,FALSE)</f>
        <v>999999999</v>
      </c>
      <c r="G80" s="54" t="str">
        <f t="shared" ca="1" si="3"/>
        <v/>
      </c>
      <c r="I80" s="36"/>
      <c r="J80" s="36"/>
      <c r="K80" s="36"/>
      <c r="L80" s="36"/>
      <c r="M80" s="36"/>
      <c r="N80" s="36"/>
      <c r="O80" s="36"/>
      <c r="P80" s="36"/>
      <c r="Q80" s="36"/>
      <c r="R80" s="36"/>
      <c r="S80" s="36"/>
      <c r="T80" s="36"/>
      <c r="U80" s="36"/>
      <c r="V80" s="36"/>
      <c r="W80" s="36"/>
      <c r="X80" s="36"/>
    </row>
    <row r="81" spans="1:24" ht="21.95" customHeight="1" thickBot="1" x14ac:dyDescent="0.3">
      <c r="A81" s="61" t="s">
        <v>9034</v>
      </c>
      <c r="B81" s="65">
        <f ca="1">VLOOKUP(A81,DB_TBL_DATA_FIELDS[[#All],[FIELD_ID]:[FIELD_VALUE_RAW]],5,FALSE)</f>
        <v>0</v>
      </c>
      <c r="C81" s="54" t="str">
        <f ca="1">VLOOKUP(A81,DB_TBL_DATA_FIELDS[[FIELD_ID]:[PCT_CALC_FIELD_STATUS_CODE]],22,FALSE)</f>
        <v/>
      </c>
      <c r="D81" s="54" t="str">
        <f ca="1">IF(VLOOKUP(A81,DB_TBL_DATA_FIELDS[[FIELD_ID]:[ERROR_MESSAGE]],23,FALSE)&lt;&gt;0,VLOOKUP(A81,DB_TBL_DATA_FIELDS[[FIELD_ID]:[ERROR_MESSAGE]],23,FALSE),"")</f>
        <v/>
      </c>
      <c r="E81" s="54">
        <f>VLOOKUP(A81,DB_TBL_DATA_FIELDS[[#All],[FIELD_ID]:[RANGE_VALIDATION_MAX]],18,FALSE)</f>
        <v>0</v>
      </c>
      <c r="F81" s="54">
        <f>VLOOKUP(A81,DB_TBL_DATA_FIELDS[[#All],[FIELD_ID]:[RANGE_VALIDATION_MAX]],19,FALSE)</f>
        <v>0</v>
      </c>
      <c r="G81" s="54" t="str">
        <f t="shared" ca="1" si="3"/>
        <v/>
      </c>
      <c r="I81" s="55" t="str">
        <f>B118</f>
        <v>Household Qualification</v>
      </c>
      <c r="J81" s="55"/>
      <c r="K81" s="55"/>
      <c r="L81" s="55"/>
      <c r="M81" s="55"/>
      <c r="N81" s="55"/>
      <c r="O81" s="55"/>
      <c r="P81" s="55"/>
      <c r="Q81" s="55"/>
      <c r="R81" s="55"/>
      <c r="S81" s="55"/>
      <c r="T81" s="55"/>
      <c r="U81" s="55"/>
      <c r="V81" s="55"/>
      <c r="W81" s="55"/>
      <c r="X81" s="56" t="str">
        <f ca="1">"Status: "&amp;$B$137</f>
        <v>Status: Not Started</v>
      </c>
    </row>
    <row r="82" spans="1:24" ht="21.95" customHeight="1" x14ac:dyDescent="0.25">
      <c r="A82" s="61" t="s">
        <v>2348</v>
      </c>
      <c r="B82" s="95" t="str">
        <f>IF(W67="","",IF(UPPER(W67)="YES",TRUE,FALSE))</f>
        <v/>
      </c>
      <c r="C82" s="54">
        <f ca="1">VLOOKUP(A82,DB_TBL_DATA_FIELDS[[FIELD_ID]:[PCT_CALC_FIELD_STATUS_CODE]],22,FALSE)</f>
        <v>-1</v>
      </c>
      <c r="D82" s="54" t="str">
        <f>IF(VLOOKUP(A82,DB_TBL_DATA_FIELDS[[FIELD_ID]:[ERROR_MESSAGE]],23,FALSE)&lt;&gt;0,VLOOKUP(A82,DB_TBL_DATA_FIELDS[[FIELD_ID]:[ERROR_MESSAGE]],23,FALSE),"")</f>
        <v/>
      </c>
      <c r="E82" s="54">
        <f>VLOOKUP(A82,DB_TBL_DATA_FIELDS[[#All],[FIELD_ID]:[RANGE_VALIDATION_MAX]],18,FALSE)</f>
        <v>0</v>
      </c>
      <c r="F82" s="54">
        <f>VLOOKUP(A82,DB_TBL_DATA_FIELDS[[#All],[FIELD_ID]:[RANGE_VALIDATION_MAX]],19,FALSE)</f>
        <v>0</v>
      </c>
      <c r="G82" s="54" t="str">
        <f t="shared" ca="1" si="3"/>
        <v/>
      </c>
    </row>
    <row r="83" spans="1:24" ht="21.95" customHeight="1" thickBot="1" x14ac:dyDescent="0.3">
      <c r="A83" s="61" t="s">
        <v>142</v>
      </c>
      <c r="B83" s="65" t="str">
        <f>"C"&amp;MATCH(LEFT(A83,LEN(A83)-LEN("_RANGE")),A:A,0)+1&amp;":C"&amp;(ROW()-1)</f>
        <v>C70:C82</v>
      </c>
      <c r="C83" s="54"/>
      <c r="D83" s="54"/>
      <c r="E83" s="54"/>
      <c r="F83" s="54"/>
      <c r="G83" s="54"/>
      <c r="I83" s="64" t="s">
        <v>2582</v>
      </c>
      <c r="J83" s="129"/>
      <c r="K83" s="130"/>
      <c r="L83" s="129"/>
      <c r="M83" s="130"/>
      <c r="N83" s="129"/>
      <c r="O83" s="130"/>
      <c r="P83" s="129"/>
      <c r="Q83" s="130"/>
      <c r="R83" s="129"/>
      <c r="S83" s="130"/>
      <c r="T83" s="129"/>
      <c r="U83" s="130"/>
      <c r="V83" s="129"/>
      <c r="W83" s="130"/>
      <c r="X83" s="129"/>
    </row>
    <row r="84" spans="1:24" ht="21.95" customHeight="1" thickTop="1" x14ac:dyDescent="0.25">
      <c r="A84" s="61" t="s">
        <v>143</v>
      </c>
      <c r="B84" s="65">
        <f ca="1">COUNTIF(INDIRECT($B83),2)</f>
        <v>0</v>
      </c>
      <c r="C84" s="54"/>
      <c r="D84" s="54"/>
      <c r="E84" s="54"/>
      <c r="F84" s="54"/>
      <c r="G84" s="54"/>
    </row>
    <row r="85" spans="1:24" ht="21.95" customHeight="1" x14ac:dyDescent="0.25">
      <c r="A85" s="61" t="s">
        <v>144</v>
      </c>
      <c r="B85" s="65">
        <f ca="1">COUNTIF(INDIRECT($B83),0)+COUNTIF(INDIRECT($B83),1)+COUNTIF(INDIRECT($B83),2)</f>
        <v>2</v>
      </c>
      <c r="C85" s="54"/>
      <c r="D85" s="54"/>
      <c r="E85" s="54"/>
      <c r="F85" s="54"/>
      <c r="G85" s="54"/>
      <c r="I85" s="36" t="s">
        <v>2727</v>
      </c>
      <c r="L85" s="121"/>
      <c r="S85" s="155"/>
      <c r="U85" s="36" t="s">
        <v>2583</v>
      </c>
    </row>
    <row r="86" spans="1:24" ht="21.95" customHeight="1" x14ac:dyDescent="0.25">
      <c r="A86" s="61" t="s">
        <v>145</v>
      </c>
      <c r="B86" s="65">
        <f ca="1">COUNTIF(INDIRECT($B83),0)</f>
        <v>0</v>
      </c>
      <c r="C86" s="54"/>
      <c r="D86" s="54"/>
      <c r="E86" s="54"/>
      <c r="F86" s="54"/>
      <c r="G86" s="54"/>
      <c r="I86" s="316"/>
      <c r="J86" s="317"/>
      <c r="K86" s="317"/>
      <c r="L86" s="317"/>
      <c r="M86" s="317"/>
      <c r="N86" s="317"/>
      <c r="O86" s="317"/>
      <c r="P86" s="317"/>
      <c r="Q86" s="317"/>
      <c r="R86" s="317"/>
      <c r="S86" s="318"/>
      <c r="T86" s="52">
        <f ca="1">G128</f>
        <v>1</v>
      </c>
      <c r="U86" s="338"/>
      <c r="V86" s="339"/>
      <c r="W86" s="340"/>
      <c r="X86" s="52">
        <f ca="1">G131</f>
        <v>1</v>
      </c>
    </row>
    <row r="87" spans="1:24" ht="21.95" customHeight="1" x14ac:dyDescent="0.25">
      <c r="A87" s="61" t="s">
        <v>146</v>
      </c>
      <c r="B87" s="97">
        <f ca="1">IFERROR(B84/B85,1.01)</f>
        <v>0</v>
      </c>
      <c r="C87" s="54"/>
      <c r="D87" s="54"/>
      <c r="E87" s="54"/>
      <c r="F87" s="54"/>
      <c r="G87" s="54"/>
      <c r="I87" s="36" t="s">
        <v>2726</v>
      </c>
      <c r="R87" s="162"/>
      <c r="S87" s="162"/>
      <c r="T87" s="162"/>
      <c r="U87" s="322" t="str">
        <f ca="1">D131</f>
        <v/>
      </c>
      <c r="V87" s="322"/>
      <c r="W87" s="322"/>
      <c r="X87"/>
    </row>
    <row r="88" spans="1:24" ht="21.95" customHeight="1" x14ac:dyDescent="0.25">
      <c r="A88" s="61" t="s">
        <v>147</v>
      </c>
      <c r="B88" s="65" t="str">
        <f ca="1">IF(B86&gt;0,"Data Error(s)",IF(B87=0,"Not Started",IF(B87&lt;1,ROUNDUP(B87*100,0)&amp;"% Done",IF(B87&gt;1,"Optional","Complete"))))</f>
        <v>Not Started</v>
      </c>
      <c r="C88" s="54"/>
      <c r="D88" s="54"/>
      <c r="E88" s="54"/>
      <c r="F88" s="54"/>
      <c r="G88" s="54"/>
      <c r="I88" s="316"/>
      <c r="J88" s="317"/>
      <c r="K88" s="317"/>
      <c r="L88" s="317"/>
      <c r="M88" s="317"/>
      <c r="N88" s="317"/>
      <c r="O88" s="317"/>
      <c r="P88" s="317"/>
      <c r="Q88" s="317"/>
      <c r="R88" s="317"/>
      <c r="S88" s="318"/>
      <c r="T88" s="52" t="str">
        <f ca="1">G129</f>
        <v/>
      </c>
      <c r="U88" s="323"/>
      <c r="V88" s="323"/>
      <c r="W88" s="323"/>
    </row>
    <row r="89" spans="1:24" ht="21.95" customHeight="1" x14ac:dyDescent="0.25">
      <c r="A89" s="61" t="s">
        <v>148</v>
      </c>
      <c r="B89" s="65" t="str">
        <f ca="1">IF(B86&gt;0,0,IF(B87&lt;1,"",2))</f>
        <v/>
      </c>
      <c r="C89" s="54"/>
      <c r="D89" s="54"/>
      <c r="E89" s="54"/>
      <c r="F89" s="54"/>
      <c r="G89" s="54"/>
    </row>
    <row r="90" spans="1:24" ht="21.95" customHeight="1" thickBot="1" x14ac:dyDescent="0.3">
      <c r="A90" s="61" t="s">
        <v>149</v>
      </c>
      <c r="B90" s="96" t="s">
        <v>2356</v>
      </c>
      <c r="C90" s="54"/>
      <c r="D90" s="54"/>
      <c r="E90" s="54"/>
      <c r="F90" s="54"/>
      <c r="G90" s="54"/>
      <c r="I90" s="64" t="s">
        <v>2387</v>
      </c>
      <c r="J90" s="129"/>
      <c r="K90" s="130"/>
      <c r="L90" s="131"/>
      <c r="M90" s="130"/>
      <c r="N90" s="129"/>
      <c r="O90" s="130"/>
      <c r="P90" s="129"/>
      <c r="Q90" s="130"/>
      <c r="R90" s="129"/>
      <c r="S90" s="130"/>
      <c r="T90" s="130"/>
      <c r="U90" s="130"/>
      <c r="V90" s="130"/>
      <c r="W90" s="157" t="str">
        <f ca="1">$B$140</f>
        <v/>
      </c>
      <c r="X90" s="132" t="str">
        <f ca="1">IF(C140=1,1,"")</f>
        <v/>
      </c>
    </row>
    <row r="91" spans="1:24" ht="21.95" customHeight="1" thickTop="1" x14ac:dyDescent="0.25">
      <c r="A91" s="77" t="s">
        <v>9344</v>
      </c>
      <c r="B91" s="223" t="str">
        <f ca="1">IF(AND(DATA_HSEHLD_OTHER_GRANT_FHLBNY_FLAG=TRUE,DATA_HSEHLD_OTHER_GRANT_AHP_FLAG=TRUE),'$DB.CONFIG'!$M$3,"")</f>
        <v/>
      </c>
      <c r="C91" s="54">
        <f ca="1">IF(B91="",0,1)</f>
        <v>0</v>
      </c>
      <c r="D91" s="54"/>
      <c r="E91" s="54"/>
      <c r="F91" s="54"/>
      <c r="G91" s="54"/>
      <c r="I91" s="329" t="s">
        <v>2880</v>
      </c>
      <c r="J91" s="329"/>
      <c r="K91" s="329"/>
      <c r="L91" s="329"/>
      <c r="M91" s="329"/>
      <c r="N91" s="329"/>
      <c r="O91" s="329"/>
      <c r="P91" s="329"/>
      <c r="Q91" s="329"/>
      <c r="R91" s="329"/>
      <c r="S91" s="329"/>
      <c r="T91" s="329"/>
      <c r="U91" s="329"/>
      <c r="V91" s="329"/>
      <c r="W91" s="329"/>
      <c r="X91" s="329"/>
    </row>
    <row r="92" spans="1:24" ht="21.95" customHeight="1" x14ac:dyDescent="0.25">
      <c r="A92" s="77" t="s">
        <v>2150</v>
      </c>
      <c r="B92" s="65">
        <f ca="1">COUNTIF(C91,1)</f>
        <v>0</v>
      </c>
      <c r="C92" s="54"/>
      <c r="D92" s="54"/>
      <c r="E92" s="54"/>
      <c r="F92" s="54"/>
      <c r="G92" s="54"/>
      <c r="I92" s="329"/>
      <c r="J92" s="329"/>
      <c r="K92" s="329"/>
      <c r="L92" s="329"/>
      <c r="M92" s="329"/>
      <c r="N92" s="329"/>
      <c r="O92" s="329"/>
      <c r="P92" s="329"/>
      <c r="Q92" s="329"/>
      <c r="R92" s="329"/>
      <c r="S92" s="329"/>
      <c r="T92" s="329"/>
      <c r="U92" s="329"/>
      <c r="V92" s="329"/>
      <c r="W92" s="329"/>
      <c r="X92" s="329"/>
    </row>
    <row r="93" spans="1:24" ht="21.95" customHeight="1" x14ac:dyDescent="0.25">
      <c r="A93" s="77" t="s">
        <v>2151</v>
      </c>
      <c r="B93" s="65" t="b">
        <f ca="1">(B92&gt;0)</f>
        <v>0</v>
      </c>
      <c r="C93" s="54"/>
      <c r="D93" s="54"/>
      <c r="E93" s="54"/>
      <c r="F93" s="54"/>
      <c r="G93" s="54"/>
      <c r="J93"/>
      <c r="L93"/>
      <c r="N93"/>
      <c r="P93"/>
      <c r="R93"/>
      <c r="T93"/>
      <c r="V93"/>
      <c r="X93"/>
    </row>
    <row r="94" spans="1:24" ht="21.95" customHeight="1" x14ac:dyDescent="0.25">
      <c r="A94" s="91" t="s">
        <v>152</v>
      </c>
      <c r="B94" s="93" t="s">
        <v>2357</v>
      </c>
      <c r="C94" s="92"/>
      <c r="D94" s="92"/>
      <c r="E94" s="92"/>
      <c r="F94" s="92"/>
      <c r="G94" s="92"/>
      <c r="J94"/>
      <c r="L94"/>
      <c r="N94"/>
      <c r="P94"/>
      <c r="R94"/>
      <c r="T94"/>
      <c r="V94"/>
      <c r="X94"/>
    </row>
    <row r="95" spans="1:24" ht="21.95" customHeight="1" x14ac:dyDescent="0.25">
      <c r="A95" s="61" t="s">
        <v>2293</v>
      </c>
      <c r="B95" s="95" t="str">
        <f>IF(I74&lt;&gt;"",I74,"")</f>
        <v/>
      </c>
      <c r="C95" s="54">
        <f ca="1">VLOOKUP(A95,DB_TBL_DATA_FIELDS[[FIELD_ID]:[PCT_CALC_FIELD_STATUS_CODE]],22,FALSE)</f>
        <v>-1</v>
      </c>
      <c r="D95" s="54" t="str">
        <f>IF(VLOOKUP(A95,DB_TBL_DATA_FIELDS[[FIELD_ID]:[ERROR_MESSAGE]],23,FALSE)&lt;&gt;0,VLOOKUP(A95,DB_TBL_DATA_FIELDS[[FIELD_ID]:[ERROR_MESSAGE]],23,FALSE),"")</f>
        <v/>
      </c>
      <c r="E95" s="54">
        <f>VLOOKUP(A95,DB_TBL_DATA_FIELDS[[#All],[FIELD_ID]:[RANGE_VALIDATION_MAX]],18,FALSE)</f>
        <v>0</v>
      </c>
      <c r="F95" s="54">
        <f>VLOOKUP(A95,DB_TBL_DATA_FIELDS[[#All],[FIELD_ID]:[RANGE_VALIDATION_MAX]],19,FALSE)</f>
        <v>75</v>
      </c>
      <c r="G95" s="54" t="str">
        <f t="shared" ref="G95:G106" ca="1" si="5">IF(C95&lt;0,"",C95)</f>
        <v/>
      </c>
      <c r="I95" s="330" t="s">
        <v>2386</v>
      </c>
      <c r="J95" s="330"/>
      <c r="K95" s="330"/>
      <c r="L95" s="330"/>
      <c r="M95" s="330"/>
      <c r="N95" s="330"/>
      <c r="O95" s="330"/>
      <c r="P95" s="330"/>
      <c r="Q95" s="330"/>
      <c r="R95" s="330"/>
      <c r="S95" s="330"/>
      <c r="T95" s="330"/>
      <c r="U95" s="330"/>
      <c r="V95" s="330"/>
      <c r="W95" s="330"/>
      <c r="X95" s="330"/>
    </row>
    <row r="96" spans="1:24" ht="21.95" customHeight="1" x14ac:dyDescent="0.25">
      <c r="A96" s="61" t="s">
        <v>2294</v>
      </c>
      <c r="B96" s="95" t="str">
        <f>IF(Q74&lt;&gt;"",Q74,"")</f>
        <v/>
      </c>
      <c r="C96" s="54">
        <f ca="1">VLOOKUP(A96,DB_TBL_DATA_FIELDS[[FIELD_ID]:[PCT_CALC_FIELD_STATUS_CODE]],22,FALSE)</f>
        <v>-1</v>
      </c>
      <c r="D96" s="54" t="str">
        <f>IF(VLOOKUP(A96,DB_TBL_DATA_FIELDS[[FIELD_ID]:[ERROR_MESSAGE]],23,FALSE)&lt;&gt;0,VLOOKUP(A96,DB_TBL_DATA_FIELDS[[FIELD_ID]:[ERROR_MESSAGE]],23,FALSE),"")</f>
        <v/>
      </c>
      <c r="E96" s="54">
        <f>VLOOKUP(A96,DB_TBL_DATA_FIELDS[[#All],[FIELD_ID]:[RANGE_VALIDATION_MAX]],18,FALSE)</f>
        <v>0</v>
      </c>
      <c r="F96" s="54">
        <f>VLOOKUP(A96,DB_TBL_DATA_FIELDS[[#All],[FIELD_ID]:[RANGE_VALIDATION_MAX]],19,FALSE)</f>
        <v>30</v>
      </c>
      <c r="G96" s="54" t="str">
        <f t="shared" ca="1" si="5"/>
        <v/>
      </c>
      <c r="H96" s="215"/>
      <c r="J96"/>
      <c r="L96"/>
      <c r="M96" s="126"/>
      <c r="N96" s="127"/>
      <c r="O96" s="127"/>
      <c r="P96" s="127"/>
      <c r="Q96" s="127"/>
      <c r="R96" s="127"/>
      <c r="S96" s="128"/>
      <c r="T96" s="52" t="str">
        <f ca="1">G120</f>
        <v/>
      </c>
      <c r="V96"/>
      <c r="X96"/>
    </row>
    <row r="97" spans="1:25" ht="21.95" customHeight="1" x14ac:dyDescent="0.25">
      <c r="A97" s="61" t="s">
        <v>2295</v>
      </c>
      <c r="B97" s="95" t="str">
        <f>IF(U74&lt;&gt;"",U74,"")</f>
        <v/>
      </c>
      <c r="C97" s="54">
        <f ca="1">VLOOKUP(A97,DB_TBL_DATA_FIELDS[[FIELD_ID]:[PCT_CALC_FIELD_STATUS_CODE]],22,FALSE)</f>
        <v>-1</v>
      </c>
      <c r="D97" s="54" t="str">
        <f>IF(VLOOKUP(A97,DB_TBL_DATA_FIELDS[[FIELD_ID]:[ERROR_MESSAGE]],23,FALSE)&lt;&gt;0,VLOOKUP(A97,DB_TBL_DATA_FIELDS[[FIELD_ID]:[ERROR_MESSAGE]],23,FALSE),"")</f>
        <v/>
      </c>
      <c r="E97" s="54">
        <f>VLOOKUP(A97,DB_TBL_DATA_FIELDS[[#All],[FIELD_ID]:[RANGE_VALIDATION_MAX]],18,FALSE)</f>
        <v>0</v>
      </c>
      <c r="F97" s="54">
        <f>VLOOKUP(A97,DB_TBL_DATA_FIELDS[[#All],[FIELD_ID]:[RANGE_VALIDATION_MAX]],19,FALSE)</f>
        <v>2</v>
      </c>
      <c r="G97" s="54" t="str">
        <f t="shared" ca="1" si="5"/>
        <v/>
      </c>
      <c r="J97" s="162"/>
      <c r="K97" s="162"/>
      <c r="L97" s="162"/>
      <c r="M97" s="331" t="str">
        <f ca="1">D120</f>
        <v/>
      </c>
      <c r="N97" s="331"/>
      <c r="O97" s="331"/>
      <c r="P97" s="331"/>
      <c r="Q97" s="331"/>
      <c r="R97" s="331"/>
      <c r="S97" s="331"/>
      <c r="T97" s="162"/>
      <c r="U97" s="162"/>
      <c r="V97" s="162"/>
      <c r="W97" s="162"/>
      <c r="X97" s="162"/>
    </row>
    <row r="98" spans="1:25" ht="21.95" customHeight="1" x14ac:dyDescent="0.25">
      <c r="A98" s="61" t="s">
        <v>2296</v>
      </c>
      <c r="B98" s="95" t="str">
        <f>IF(W74&lt;&gt;"",TEXT(W74,"00000"),"")</f>
        <v/>
      </c>
      <c r="C98" s="54">
        <f ca="1">VLOOKUP(A98,DB_TBL_DATA_FIELDS[[FIELD_ID]:[PCT_CALC_FIELD_STATUS_CODE]],22,FALSE)</f>
        <v>-1</v>
      </c>
      <c r="D98" s="54" t="str">
        <f>IF(VLOOKUP(A98,DB_TBL_DATA_FIELDS[[FIELD_ID]:[ERROR_MESSAGE]],23,FALSE)&lt;&gt;0,VLOOKUP(A98,DB_TBL_DATA_FIELDS[[FIELD_ID]:[ERROR_MESSAGE]],23,FALSE),"")</f>
        <v/>
      </c>
      <c r="E98" s="54">
        <f>VLOOKUP(A98,DB_TBL_DATA_FIELDS[[#All],[FIELD_ID]:[RANGE_VALIDATION_MAX]],18,FALSE)</f>
        <v>5</v>
      </c>
      <c r="F98" s="54">
        <f>VLOOKUP(A98,DB_TBL_DATA_FIELDS[[#All],[FIELD_ID]:[RANGE_VALIDATION_MAX]],19,FALSE)</f>
        <v>10</v>
      </c>
      <c r="G98" s="54" t="str">
        <f t="shared" ca="1" si="5"/>
        <v/>
      </c>
      <c r="I98" s="36" t="str">
        <f ca="1">IF(DATA_INC_GUIDLN_CODE="","",DATA_INC_GUIDLN_CODE&amp;" ")&amp;"Income Area"</f>
        <v>Income Area</v>
      </c>
      <c r="X98"/>
    </row>
    <row r="99" spans="1:25" ht="21.95" customHeight="1" x14ac:dyDescent="0.25">
      <c r="A99" s="61" t="s">
        <v>2297</v>
      </c>
      <c r="B99" s="95" t="str">
        <f>IF(I76&lt;&gt;"",I76,"")</f>
        <v/>
      </c>
      <c r="C99" s="54">
        <f ca="1">VLOOKUP(A99,DB_TBL_DATA_FIELDS[[FIELD_ID]:[PCT_CALC_FIELD_STATUS_CODE]],22,FALSE)</f>
        <v>1</v>
      </c>
      <c r="D99" s="54" t="str">
        <f>IF(VLOOKUP(A99,DB_TBL_DATA_FIELDS[[FIELD_ID]:[ERROR_MESSAGE]],23,FALSE)&lt;&gt;0,VLOOKUP(A99,DB_TBL_DATA_FIELDS[[FIELD_ID]:[ERROR_MESSAGE]],23,FALSE),"")</f>
        <v/>
      </c>
      <c r="E99" s="54">
        <f>VLOOKUP(A99,DB_TBL_DATA_FIELDS[[#All],[FIELD_ID]:[RANGE_VALIDATION_MAX]],18,FALSE)</f>
        <v>0</v>
      </c>
      <c r="F99" s="54">
        <f>VLOOKUP(A99,DB_TBL_DATA_FIELDS[[#All],[FIELD_ID]:[RANGE_VALIDATION_MAX]],19,FALSE)</f>
        <v>50</v>
      </c>
      <c r="G99" s="54">
        <f t="shared" ca="1" si="5"/>
        <v>1</v>
      </c>
      <c r="I99" s="324"/>
      <c r="J99" s="324"/>
      <c r="K99" s="324"/>
      <c r="L99" s="324"/>
      <c r="M99" s="324"/>
      <c r="N99" s="324"/>
      <c r="O99" s="324"/>
      <c r="P99" s="324"/>
      <c r="Q99" s="324"/>
      <c r="R99" s="324"/>
      <c r="S99" s="324"/>
      <c r="T99" s="324"/>
      <c r="U99" s="324"/>
      <c r="V99" s="324"/>
      <c r="W99" s="324"/>
      <c r="X99" s="52">
        <f ca="1">G122</f>
        <v>1</v>
      </c>
    </row>
    <row r="100" spans="1:25" ht="21.95" customHeight="1" x14ac:dyDescent="0.25">
      <c r="A100" s="61" t="s">
        <v>2894</v>
      </c>
      <c r="B100" s="95" t="str">
        <f>IF(M76&lt;&gt;"",TEXT(M76,"000"),"")</f>
        <v/>
      </c>
      <c r="C100" s="54">
        <f ca="1">VLOOKUP(A100,DB_TBL_DATA_FIELDS[[FIELD_ID]:[PCT_CALC_FIELD_STATUS_CODE]],22,FALSE)</f>
        <v>1</v>
      </c>
      <c r="D100" s="54" t="str">
        <f ca="1">IF(VLOOKUP(A100,DB_TBL_DATA_FIELDS[[FIELD_ID]:[ERROR_MESSAGE]],23,FALSE)&lt;&gt;0,VLOOKUP(A100,DB_TBL_DATA_FIELDS[[FIELD_ID]:[ERROR_MESSAGE]],23,FALSE),"")</f>
        <v/>
      </c>
      <c r="E100" s="54">
        <f>VLOOKUP(A100,DB_TBL_DATA_FIELDS[[#All],[FIELD_ID]:[RANGE_VALIDATION_MAX]],18,FALSE)</f>
        <v>1</v>
      </c>
      <c r="F100" s="54">
        <f>VLOOKUP(A100,DB_TBL_DATA_FIELDS[[#All],[FIELD_ID]:[RANGE_VALIDATION_MAX]],19,FALSE)</f>
        <v>3</v>
      </c>
      <c r="G100" s="54">
        <f t="shared" ca="1" si="5"/>
        <v>1</v>
      </c>
      <c r="I100" s="36" t="s">
        <v>2327</v>
      </c>
      <c r="K100" s="109" t="s">
        <v>2387</v>
      </c>
      <c r="N100" s="109"/>
      <c r="O100" s="36" t="s">
        <v>8993</v>
      </c>
      <c r="P100" s="36"/>
      <c r="S100" s="36" t="s">
        <v>2389</v>
      </c>
      <c r="W100" s="36" t="s">
        <v>2388</v>
      </c>
      <c r="X100"/>
    </row>
    <row r="101" spans="1:25" ht="21.95" customHeight="1" x14ac:dyDescent="0.25">
      <c r="A101" s="61" t="s">
        <v>2298</v>
      </c>
      <c r="B101" s="95" t="str">
        <f>IF(Q76&lt;&gt;"",TEXT(Q76,"00000"),"")</f>
        <v/>
      </c>
      <c r="C101" s="54">
        <f ca="1">VLOOKUP(A101,DB_TBL_DATA_FIELDS[[FIELD_ID]:[PCT_CALC_FIELD_STATUS_CODE]],22,FALSE)</f>
        <v>-1</v>
      </c>
      <c r="D101" s="54" t="str">
        <f>IF(VLOOKUP(A101,DB_TBL_DATA_FIELDS[[FIELD_ID]:[ERROR_MESSAGE]],23,FALSE)&lt;&gt;0,VLOOKUP(A101,DB_TBL_DATA_FIELDS[[FIELD_ID]:[ERROR_MESSAGE]],23,FALSE),"")</f>
        <v/>
      </c>
      <c r="E101" s="54">
        <f>VLOOKUP(A101,DB_TBL_DATA_FIELDS[[#All],[FIELD_ID]:[RANGE_VALIDATION_MAX]],18,FALSE)</f>
        <v>1</v>
      </c>
      <c r="F101" s="54">
        <f>VLOOKUP(A101,DB_TBL_DATA_FIELDS[[#All],[FIELD_ID]:[RANGE_VALIDATION_MAX]],19,FALSE)</f>
        <v>99999</v>
      </c>
      <c r="G101" s="54" t="str">
        <f t="shared" ca="1" si="5"/>
        <v/>
      </c>
      <c r="I101" s="286" t="str">
        <f>IF(ICW_HOUSEHOLD_SIZE&lt;&gt;"",IF(VALUE(ICW_HOUSEHOLD_SIZE)&gt;0,ICW_HOUSEHOLD_SIZE,""),"")</f>
        <v/>
      </c>
      <c r="J101" s="52" t="str">
        <f ca="1">G123</f>
        <v/>
      </c>
      <c r="K101" s="410" t="str">
        <f>IF(VALUE(ICW_TOTAL_INCOME)&gt;0,ICW_TOTAL_INCOME,"")</f>
        <v/>
      </c>
      <c r="L101" s="410"/>
      <c r="M101" s="410"/>
      <c r="N101" s="52" t="str">
        <f ca="1">G126</f>
        <v/>
      </c>
      <c r="O101" s="410" t="str">
        <f ca="1">B124</f>
        <v/>
      </c>
      <c r="P101" s="410"/>
      <c r="Q101" s="410"/>
      <c r="R101" s="52">
        <f ca="1">G124</f>
        <v>1</v>
      </c>
      <c r="S101" s="410" t="str">
        <f ca="1">B125</f>
        <v/>
      </c>
      <c r="T101" s="410"/>
      <c r="U101" s="410"/>
      <c r="V101" s="52">
        <f ca="1">G125</f>
        <v>1</v>
      </c>
      <c r="W101" s="273" t="str">
        <f ca="1">B127</f>
        <v/>
      </c>
      <c r="X101" s="52">
        <f ca="1">G127</f>
        <v>1</v>
      </c>
    </row>
    <row r="102" spans="1:25" ht="21.95" customHeight="1" x14ac:dyDescent="0.25">
      <c r="A102" s="61" t="s">
        <v>2299</v>
      </c>
      <c r="B102" s="95" t="str">
        <f>IF(AND(U76=0,W76=0),"",IF(U76&lt;&gt;0,TEXT(U76,"0000"),"")&amp;IF(W76&lt;&gt;"","."&amp;TEXT(W76,"00"),""))</f>
        <v/>
      </c>
      <c r="C102" s="54">
        <f ca="1">VLOOKUP(A102,DB_TBL_DATA_FIELDS[[FIELD_ID]:[PCT_CALC_FIELD_STATUS_CODE]],22,FALSE)</f>
        <v>1</v>
      </c>
      <c r="D102" s="54" t="str">
        <f>IF(VLOOKUP(A102,DB_TBL_DATA_FIELDS[[FIELD_ID]:[ERROR_MESSAGE]],23,FALSE)&lt;&gt;0,VLOOKUP(A102,DB_TBL_DATA_FIELDS[[FIELD_ID]:[ERROR_MESSAGE]],23,FALSE),"")</f>
        <v/>
      </c>
      <c r="E102" s="54">
        <f>VLOOKUP(A102,DB_TBL_DATA_FIELDS[[#All],[FIELD_ID]:[RANGE_VALIDATION_MAX]],18,FALSE)</f>
        <v>7</v>
      </c>
      <c r="F102" s="54">
        <f>VLOOKUP(A102,DB_TBL_DATA_FIELDS[[#All],[FIELD_ID]:[RANGE_VALIDATION_MAX]],19,FALSE)</f>
        <v>7</v>
      </c>
      <c r="G102" s="54">
        <f t="shared" ca="1" si="5"/>
        <v>1</v>
      </c>
      <c r="H102" s="253"/>
      <c r="I102" s="253"/>
      <c r="J102" s="253"/>
      <c r="K102" s="253"/>
      <c r="L102" s="253"/>
      <c r="M102" s="253"/>
      <c r="N102" s="253"/>
      <c r="O102" s="253"/>
      <c r="P102" s="253"/>
      <c r="Q102" s="253"/>
      <c r="R102" s="253"/>
      <c r="S102" s="253"/>
      <c r="T102" s="253"/>
      <c r="U102" s="253"/>
      <c r="V102" s="253"/>
      <c r="W102" s="253"/>
      <c r="X102" s="253"/>
      <c r="Y102" s="253"/>
    </row>
    <row r="103" spans="1:25" ht="21.95" customHeight="1" thickBot="1" x14ac:dyDescent="0.3">
      <c r="A103" s="61" t="s">
        <v>2291</v>
      </c>
      <c r="B103" s="95" t="str">
        <f>IF(Q79="","",IF(UPPER(Q79)="YES",TRUE,FALSE))</f>
        <v/>
      </c>
      <c r="C103" s="54">
        <f ca="1">VLOOKUP(A103,DB_TBL_DATA_FIELDS[[FIELD_ID]:[PCT_CALC_FIELD_STATUS_CODE]],22,FALSE)</f>
        <v>1</v>
      </c>
      <c r="D103" s="54" t="str">
        <f>IF(VLOOKUP(A103,DB_TBL_DATA_FIELDS[[FIELD_ID]:[ERROR_MESSAGE]],23,FALSE)&lt;&gt;0,VLOOKUP(A103,DB_TBL_DATA_FIELDS[[FIELD_ID]:[ERROR_MESSAGE]],23,FALSE),"")</f>
        <v/>
      </c>
      <c r="E103" s="54">
        <f>VLOOKUP(A103,DB_TBL_DATA_FIELDS[[#All],[FIELD_ID]:[RANGE_VALIDATION_MAX]],18,FALSE)</f>
        <v>0</v>
      </c>
      <c r="F103" s="54">
        <f>VLOOKUP(A103,DB_TBL_DATA_FIELDS[[#All],[FIELD_ID]:[RANGE_VALIDATION_MAX]],19,FALSE)</f>
        <v>0</v>
      </c>
      <c r="G103" s="54">
        <f t="shared" ca="1" si="5"/>
        <v>1</v>
      </c>
      <c r="H103" s="253"/>
      <c r="I103" s="64" t="s">
        <v>2905</v>
      </c>
      <c r="J103" s="129"/>
      <c r="K103" s="130"/>
      <c r="L103" s="131"/>
      <c r="M103" s="130"/>
      <c r="N103" s="129"/>
      <c r="O103" s="130"/>
      <c r="P103" s="129"/>
      <c r="Q103" s="130"/>
      <c r="R103" s="129"/>
      <c r="S103" s="130"/>
      <c r="T103" s="130"/>
      <c r="U103" s="130"/>
      <c r="V103" s="130"/>
      <c r="W103" s="157"/>
      <c r="X103" s="132" t="str">
        <f>IF(C151=1,1,"")</f>
        <v/>
      </c>
      <c r="Y103" s="253"/>
    </row>
    <row r="104" spans="1:25" ht="21.95" customHeight="1" thickTop="1" x14ac:dyDescent="0.25">
      <c r="A104" s="61" t="s">
        <v>2307</v>
      </c>
      <c r="B104" s="95" t="str">
        <f>IF(I79&lt;&gt;"",I79,"")</f>
        <v/>
      </c>
      <c r="C104" s="54">
        <f ca="1">VLOOKUP(A104,DB_TBL_DATA_FIELDS[[FIELD_ID]:[PCT_CALC_FIELD_STATUS_CODE]],22,FALSE)</f>
        <v>1</v>
      </c>
      <c r="D104" s="54" t="str">
        <f>IF(VLOOKUP(A104,DB_TBL_DATA_FIELDS[[FIELD_ID]:[ERROR_MESSAGE]],23,FALSE)&lt;&gt;0,VLOOKUP(A104,DB_TBL_DATA_FIELDS[[FIELD_ID]:[ERROR_MESSAGE]],23,FALSE),"")</f>
        <v/>
      </c>
      <c r="E104" s="54">
        <f>VLOOKUP(A104,DB_TBL_DATA_FIELDS[[#All],[FIELD_ID]:[RANGE_VALIDATION_MAX]],18,FALSE)</f>
        <v>0</v>
      </c>
      <c r="F104" s="54">
        <f>VLOOKUP(A104,DB_TBL_DATA_FIELDS[[#All],[FIELD_ID]:[RANGE_VALIDATION_MAX]],19,FALSE)</f>
        <v>999999999</v>
      </c>
      <c r="G104" s="54">
        <f t="shared" ca="1" si="5"/>
        <v>1</v>
      </c>
      <c r="H104" s="253"/>
      <c r="I104" s="253"/>
      <c r="J104" s="253"/>
      <c r="K104" s="253"/>
      <c r="L104" s="253"/>
      <c r="M104" s="253"/>
      <c r="N104" s="253"/>
      <c r="O104" s="253"/>
      <c r="P104" s="253"/>
      <c r="Q104" s="253"/>
      <c r="R104" s="253"/>
      <c r="S104" s="253"/>
      <c r="T104" s="253"/>
      <c r="U104" s="253"/>
      <c r="V104" s="253"/>
      <c r="W104" s="253"/>
      <c r="X104" s="253"/>
      <c r="Y104" s="253"/>
    </row>
    <row r="105" spans="1:25" ht="21.95" customHeight="1" x14ac:dyDescent="0.25">
      <c r="A105" s="61" t="s">
        <v>2311</v>
      </c>
      <c r="B105" s="95" t="str">
        <f>IF(M79&lt;&gt;"",M79,"")</f>
        <v/>
      </c>
      <c r="C105" s="54">
        <f ca="1">VLOOKUP(A105,DB_TBL_DATA_FIELDS[[FIELD_ID]:[PCT_CALC_FIELD_STATUS_CODE]],22,FALSE)</f>
        <v>1</v>
      </c>
      <c r="D105" s="54" t="str">
        <f>IF(VLOOKUP(A105,DB_TBL_DATA_FIELDS[[FIELD_ID]:[ERROR_MESSAGE]],23,FALSE)&lt;&gt;0,VLOOKUP(A105,DB_TBL_DATA_FIELDS[[FIELD_ID]:[ERROR_MESSAGE]],23,FALSE),"")</f>
        <v/>
      </c>
      <c r="E105" s="54">
        <f>VLOOKUP(A105,DB_TBL_DATA_FIELDS[[#All],[FIELD_ID]:[RANGE_VALIDATION_MAX]],18,FALSE)</f>
        <v>0</v>
      </c>
      <c r="F105" s="54">
        <f>VLOOKUP(A105,DB_TBL_DATA_FIELDS[[#All],[FIELD_ID]:[RANGE_VALIDATION_MAX]],19,FALSE)</f>
        <v>50</v>
      </c>
      <c r="G105" s="54">
        <f t="shared" ca="1" si="5"/>
        <v>1</v>
      </c>
      <c r="H105" s="253"/>
      <c r="I105" s="253"/>
      <c r="J105" s="253"/>
      <c r="K105" s="253"/>
      <c r="L105" s="253"/>
      <c r="N105" s="253"/>
      <c r="O105" s="253"/>
      <c r="P105" s="253"/>
      <c r="Q105" s="253"/>
      <c r="R105" s="253"/>
      <c r="S105" s="253"/>
      <c r="T105" s="253"/>
      <c r="U105" s="253"/>
      <c r="V105" s="253"/>
      <c r="W105" s="253"/>
      <c r="X105" s="253"/>
      <c r="Y105" s="253"/>
    </row>
    <row r="106" spans="1:25" ht="21.95" customHeight="1" x14ac:dyDescent="0.25">
      <c r="A106" s="61" t="s">
        <v>2309</v>
      </c>
      <c r="B106" s="95" t="str">
        <f>IF(U79="","",IF(UPPER(U79)="YES",TRUE,FALSE))</f>
        <v/>
      </c>
      <c r="C106" s="54">
        <f ca="1">VLOOKUP(A106,DB_TBL_DATA_FIELDS[[FIELD_ID]:[PCT_CALC_FIELD_STATUS_CODE]],22,FALSE)</f>
        <v>1</v>
      </c>
      <c r="D106" s="54" t="str">
        <f>IF(VLOOKUP(A106,DB_TBL_DATA_FIELDS[[FIELD_ID]:[ERROR_MESSAGE]],23,FALSE)&lt;&gt;0,VLOOKUP(A106,DB_TBL_DATA_FIELDS[[FIELD_ID]:[ERROR_MESSAGE]],23,FALSE),"")</f>
        <v/>
      </c>
      <c r="E106" s="54">
        <f>VLOOKUP(A106,DB_TBL_DATA_FIELDS[[#All],[FIELD_ID]:[RANGE_VALIDATION_MAX]],18,FALSE)</f>
        <v>0</v>
      </c>
      <c r="F106" s="54">
        <f>VLOOKUP(A106,DB_TBL_DATA_FIELDS[[#All],[FIELD_ID]:[RANGE_VALIDATION_MAX]],19,FALSE)</f>
        <v>0</v>
      </c>
      <c r="G106" s="54">
        <f t="shared" ca="1" si="5"/>
        <v>1</v>
      </c>
      <c r="H106" s="253"/>
      <c r="I106" s="253"/>
      <c r="J106" s="253"/>
      <c r="K106" s="253"/>
      <c r="L106" s="253"/>
      <c r="M106" s="253"/>
      <c r="N106" s="253"/>
      <c r="O106" s="253"/>
      <c r="P106" s="253"/>
      <c r="Q106" s="253"/>
      <c r="R106" s="253"/>
      <c r="S106" s="253"/>
      <c r="T106" s="253"/>
      <c r="U106" s="253"/>
      <c r="V106" s="253"/>
      <c r="W106" s="253"/>
      <c r="X106" s="253"/>
      <c r="Y106" s="253"/>
    </row>
    <row r="107" spans="1:25" ht="21.95" customHeight="1" thickBot="1" x14ac:dyDescent="0.3">
      <c r="A107" s="61" t="s">
        <v>153</v>
      </c>
      <c r="B107" s="65" t="str">
        <f>"C"&amp;MATCH(LEFT(A107,LEN(A107)-LEN("_RANGE")),A:A,0)+1&amp;":C"&amp;(ROW()-1)</f>
        <v>C95:C106</v>
      </c>
      <c r="C107" s="54"/>
      <c r="D107" s="54"/>
      <c r="E107" s="54"/>
      <c r="F107" s="54"/>
      <c r="G107" s="54"/>
      <c r="I107" s="55" t="str">
        <f>B143</f>
        <v>Member Certification</v>
      </c>
      <c r="J107" s="55"/>
      <c r="K107" s="55"/>
      <c r="L107" s="55"/>
      <c r="M107" s="55"/>
      <c r="N107" s="55"/>
      <c r="O107" s="55"/>
      <c r="P107" s="55"/>
      <c r="Q107" s="55"/>
      <c r="R107" s="55"/>
      <c r="S107" s="55"/>
      <c r="T107" s="55"/>
      <c r="U107" s="55"/>
      <c r="V107" s="55"/>
      <c r="W107" s="55"/>
      <c r="X107" s="56" t="str">
        <f ca="1">"Status: "&amp;$B$154</f>
        <v>Status: Not Started</v>
      </c>
    </row>
    <row r="108" spans="1:25" ht="21.95" customHeight="1" x14ac:dyDescent="0.25">
      <c r="A108" s="61" t="s">
        <v>154</v>
      </c>
      <c r="B108" s="65">
        <f ca="1">COUNTIF(INDIRECT($B107),2)</f>
        <v>0</v>
      </c>
      <c r="C108" s="54"/>
      <c r="D108" s="54"/>
      <c r="E108" s="54"/>
      <c r="F108" s="54"/>
      <c r="G108" s="54"/>
      <c r="J108"/>
      <c r="V108"/>
      <c r="X108"/>
    </row>
    <row r="109" spans="1:25" ht="21.95" customHeight="1" x14ac:dyDescent="0.25">
      <c r="A109" s="61" t="s">
        <v>155</v>
      </c>
      <c r="B109" s="65">
        <f ca="1">COUNTIF(INDIRECT($B107),0)+COUNTIF(INDIRECT($B107),1)+COUNTIF(INDIRECT($B107),2)</f>
        <v>7</v>
      </c>
      <c r="C109" s="54"/>
      <c r="D109" s="54"/>
      <c r="E109" s="54"/>
      <c r="F109" s="54"/>
      <c r="G109" s="54"/>
      <c r="I109" s="367" t="s">
        <v>9059</v>
      </c>
      <c r="J109" s="367"/>
      <c r="K109" s="367"/>
      <c r="L109" s="367"/>
      <c r="M109" s="367"/>
      <c r="N109" s="367"/>
      <c r="O109" s="367"/>
      <c r="P109" s="367"/>
      <c r="Q109" s="367"/>
      <c r="R109" s="367"/>
      <c r="S109" s="367"/>
      <c r="T109" s="367"/>
      <c r="U109" s="367"/>
      <c r="V109" s="367"/>
      <c r="W109" s="367"/>
      <c r="X109" s="367"/>
    </row>
    <row r="110" spans="1:25" ht="21.95" customHeight="1" x14ac:dyDescent="0.25">
      <c r="A110" s="61" t="s">
        <v>156</v>
      </c>
      <c r="B110" s="65">
        <f ca="1">COUNTIF(INDIRECT($B107),0)</f>
        <v>0</v>
      </c>
      <c r="C110" s="54"/>
      <c r="D110" s="54"/>
      <c r="E110" s="54"/>
      <c r="F110" s="54"/>
      <c r="G110" s="54"/>
      <c r="I110" s="367"/>
      <c r="J110" s="367"/>
      <c r="K110" s="367"/>
      <c r="L110" s="367"/>
      <c r="M110" s="367"/>
      <c r="N110" s="367"/>
      <c r="O110" s="367"/>
      <c r="P110" s="367"/>
      <c r="Q110" s="367"/>
      <c r="R110" s="367"/>
      <c r="S110" s="367"/>
      <c r="T110" s="367"/>
      <c r="U110" s="367"/>
      <c r="V110" s="367"/>
      <c r="W110" s="367"/>
      <c r="X110" s="367"/>
    </row>
    <row r="111" spans="1:25" ht="21.95" customHeight="1" x14ac:dyDescent="0.25">
      <c r="A111" s="61" t="s">
        <v>157</v>
      </c>
      <c r="B111" s="97">
        <f ca="1">IFERROR(B108/B109,1.01)</f>
        <v>0</v>
      </c>
      <c r="C111" s="54"/>
      <c r="D111" s="54"/>
      <c r="E111" s="54"/>
      <c r="F111" s="54"/>
      <c r="G111" s="54"/>
      <c r="I111" s="367"/>
      <c r="J111" s="367"/>
      <c r="K111" s="367"/>
      <c r="L111" s="367"/>
      <c r="M111" s="367"/>
      <c r="N111" s="367"/>
      <c r="O111" s="367"/>
      <c r="P111" s="367"/>
      <c r="Q111" s="367"/>
      <c r="R111" s="367"/>
      <c r="S111" s="367"/>
      <c r="T111" s="367"/>
      <c r="U111" s="367"/>
      <c r="V111" s="367"/>
      <c r="W111" s="367"/>
      <c r="X111" s="367"/>
    </row>
    <row r="112" spans="1:25" ht="21.95" customHeight="1" x14ac:dyDescent="0.25">
      <c r="A112" s="61" t="s">
        <v>158</v>
      </c>
      <c r="B112" s="65" t="str">
        <f ca="1">IF(B110&gt;0,"Data Error(s)",IF(B111=0,"Not Started",IF(B111&lt;1,ROUNDUP(B111*100,0)&amp;"% Done",IF(B111&gt;1,"Optional","Complete"))))</f>
        <v>Not Started</v>
      </c>
      <c r="C112" s="54"/>
      <c r="D112" s="54"/>
      <c r="E112" s="54"/>
      <c r="F112" s="54"/>
      <c r="G112" s="54"/>
      <c r="I112" s="367"/>
      <c r="J112" s="367"/>
      <c r="K112" s="367"/>
      <c r="L112" s="367"/>
      <c r="M112" s="367"/>
      <c r="N112" s="367"/>
      <c r="O112" s="367"/>
      <c r="P112" s="367"/>
      <c r="Q112" s="367"/>
      <c r="R112" s="367"/>
      <c r="S112" s="367"/>
      <c r="T112" s="367"/>
      <c r="U112" s="367"/>
      <c r="V112" s="367"/>
      <c r="W112" s="367"/>
      <c r="X112" s="367"/>
    </row>
    <row r="113" spans="1:24" ht="21.95" customHeight="1" x14ac:dyDescent="0.25">
      <c r="A113" s="61" t="s">
        <v>159</v>
      </c>
      <c r="B113" s="65" t="str">
        <f ca="1">IF(B110&gt;0,0,IF(B111&lt;1,"",2))</f>
        <v/>
      </c>
      <c r="C113" s="54"/>
      <c r="D113" s="54"/>
      <c r="E113" s="54"/>
      <c r="F113" s="54"/>
      <c r="G113" s="54"/>
      <c r="I113" s="367"/>
      <c r="J113" s="367"/>
      <c r="K113" s="367"/>
      <c r="L113" s="367"/>
      <c r="M113" s="367"/>
      <c r="N113" s="367"/>
      <c r="O113" s="367"/>
      <c r="P113" s="367"/>
      <c r="Q113" s="367"/>
      <c r="R113" s="367"/>
      <c r="S113" s="367"/>
      <c r="T113" s="367"/>
      <c r="U113" s="367"/>
      <c r="V113" s="367"/>
      <c r="W113" s="367"/>
      <c r="X113" s="367"/>
    </row>
    <row r="114" spans="1:24" ht="21.95" customHeight="1" x14ac:dyDescent="0.25">
      <c r="A114" s="61" t="s">
        <v>160</v>
      </c>
      <c r="B114" s="96" t="s">
        <v>2357</v>
      </c>
      <c r="C114" s="54"/>
      <c r="D114" s="54"/>
      <c r="E114" s="54"/>
      <c r="F114" s="54"/>
      <c r="G114" s="54"/>
      <c r="I114" s="367"/>
      <c r="J114" s="367"/>
      <c r="K114" s="367"/>
      <c r="L114" s="367"/>
      <c r="M114" s="367"/>
      <c r="N114" s="367"/>
      <c r="O114" s="367"/>
      <c r="P114" s="367"/>
      <c r="Q114" s="367"/>
      <c r="R114" s="367"/>
      <c r="S114" s="367"/>
      <c r="T114" s="367"/>
      <c r="U114" s="367"/>
      <c r="V114" s="367"/>
      <c r="W114" s="367"/>
      <c r="X114" s="367"/>
    </row>
    <row r="115" spans="1:24" ht="21.95" customHeight="1" x14ac:dyDescent="0.25">
      <c r="A115" s="77" t="s">
        <v>2813</v>
      </c>
      <c r="B115" s="223" t="str">
        <f ca="1">IF(DATA_PRIMARY_RESIDENCE_FLAG=FALSE,'$DB.CONFIG'!M3,"")</f>
        <v/>
      </c>
      <c r="C115" s="54">
        <f ca="1">IF(B115="",0,1)</f>
        <v>0</v>
      </c>
      <c r="D115" s="54"/>
      <c r="E115" s="54"/>
      <c r="F115" s="54"/>
      <c r="G115" s="54"/>
      <c r="I115" s="367"/>
      <c r="J115" s="367"/>
      <c r="K115" s="367"/>
      <c r="L115" s="367"/>
      <c r="M115" s="367"/>
      <c r="N115" s="367"/>
      <c r="O115" s="367"/>
      <c r="P115" s="367"/>
      <c r="Q115" s="367"/>
      <c r="R115" s="367"/>
      <c r="S115" s="367"/>
      <c r="T115" s="367"/>
      <c r="U115" s="367"/>
      <c r="V115" s="367"/>
      <c r="W115" s="367"/>
      <c r="X115" s="367"/>
    </row>
    <row r="116" spans="1:24" ht="21.95" customHeight="1" x14ac:dyDescent="0.25">
      <c r="A116" s="77" t="s">
        <v>2148</v>
      </c>
      <c r="B116" s="65">
        <f ca="1">COUNTIF(C115,1)</f>
        <v>0</v>
      </c>
      <c r="C116" s="54"/>
      <c r="D116" s="54"/>
      <c r="E116" s="54"/>
      <c r="F116" s="54"/>
      <c r="G116" s="54"/>
      <c r="I116" s="367"/>
      <c r="J116" s="367"/>
      <c r="K116" s="367"/>
      <c r="L116" s="367"/>
      <c r="M116" s="367"/>
      <c r="N116" s="367"/>
      <c r="O116" s="367"/>
      <c r="P116" s="367"/>
      <c r="Q116" s="367"/>
      <c r="R116" s="367"/>
      <c r="S116" s="367"/>
      <c r="T116" s="367"/>
      <c r="U116" s="367"/>
      <c r="V116" s="367"/>
      <c r="W116" s="367"/>
      <c r="X116" s="367"/>
    </row>
    <row r="117" spans="1:24" ht="21.95" customHeight="1" x14ac:dyDescent="0.25">
      <c r="A117" s="77" t="s">
        <v>2149</v>
      </c>
      <c r="B117" s="65" t="b">
        <f ca="1">(B116&gt;0)</f>
        <v>0</v>
      </c>
      <c r="C117" s="54"/>
      <c r="D117" s="54"/>
      <c r="E117" s="54"/>
      <c r="F117" s="54"/>
      <c r="G117" s="54"/>
      <c r="I117" s="367"/>
      <c r="J117" s="367"/>
      <c r="K117" s="367"/>
      <c r="L117" s="367"/>
      <c r="M117" s="367"/>
      <c r="N117" s="367"/>
      <c r="O117" s="367"/>
      <c r="P117" s="367"/>
      <c r="Q117" s="367"/>
      <c r="R117" s="367"/>
      <c r="S117" s="367"/>
      <c r="T117" s="367"/>
      <c r="U117" s="367"/>
      <c r="V117" s="367"/>
      <c r="W117" s="367"/>
      <c r="X117" s="367"/>
    </row>
    <row r="118" spans="1:24" ht="21.95" customHeight="1" x14ac:dyDescent="0.25">
      <c r="A118" s="91" t="s">
        <v>162</v>
      </c>
      <c r="B118" s="93" t="s">
        <v>2358</v>
      </c>
      <c r="C118" s="92"/>
      <c r="D118" s="92"/>
      <c r="E118" s="92"/>
      <c r="F118" s="92"/>
      <c r="G118" s="92"/>
      <c r="I118" s="367"/>
      <c r="J118" s="367"/>
      <c r="K118" s="367"/>
      <c r="L118" s="367"/>
      <c r="M118" s="367"/>
      <c r="N118" s="367"/>
      <c r="O118" s="367"/>
      <c r="P118" s="367"/>
      <c r="Q118" s="367"/>
      <c r="R118" s="367"/>
      <c r="S118" s="367"/>
      <c r="T118" s="367"/>
      <c r="U118" s="367"/>
      <c r="V118" s="367"/>
      <c r="W118" s="367"/>
      <c r="X118" s="367"/>
    </row>
    <row r="119" spans="1:24" ht="21.95" customHeight="1" x14ac:dyDescent="0.25">
      <c r="A119" s="61" t="s">
        <v>2314</v>
      </c>
      <c r="B119" s="134" t="b">
        <v>0</v>
      </c>
      <c r="C119" s="54" t="str">
        <f ca="1">VLOOKUP(A119,DB_TBL_DATA_FIELDS[[FIELD_ID]:[PCT_CALC_FIELD_STATUS_CODE]],22,FALSE)</f>
        <v/>
      </c>
      <c r="D119" s="54" t="str">
        <f>IF(VLOOKUP(A119,DB_TBL_DATA_FIELDS[[FIELD_ID]:[ERROR_MESSAGE]],23,FALSE)&lt;&gt;0,VLOOKUP(A119,DB_TBL_DATA_FIELDS[[FIELD_ID]:[ERROR_MESSAGE]],23,FALSE),"")</f>
        <v/>
      </c>
      <c r="E119" s="54">
        <f>VLOOKUP(A119,DB_TBL_DATA_FIELDS[[#All],[FIELD_ID]:[RANGE_VALIDATION_MAX]],18,FALSE)</f>
        <v>0</v>
      </c>
      <c r="F119" s="54">
        <f>VLOOKUP(A119,DB_TBL_DATA_FIELDS[[#All],[FIELD_ID]:[RANGE_VALIDATION_MAX]],19,FALSE)</f>
        <v>0</v>
      </c>
      <c r="G119" s="54" t="str">
        <f t="shared" ref="G119:G131" ca="1" si="6">IF(C119&lt;0,"",C119)</f>
        <v/>
      </c>
      <c r="I119" s="367"/>
      <c r="J119" s="367"/>
      <c r="K119" s="367"/>
      <c r="L119" s="367"/>
      <c r="M119" s="367"/>
      <c r="N119" s="367"/>
      <c r="O119" s="367"/>
      <c r="P119" s="367"/>
      <c r="Q119" s="367"/>
      <c r="R119" s="367"/>
      <c r="S119" s="367"/>
      <c r="T119" s="367"/>
      <c r="U119" s="367"/>
      <c r="V119" s="367"/>
      <c r="W119" s="367"/>
      <c r="X119" s="367"/>
    </row>
    <row r="120" spans="1:24" ht="21.95" customHeight="1" x14ac:dyDescent="0.25">
      <c r="A120" s="61" t="s">
        <v>2316</v>
      </c>
      <c r="B120" s="65" t="str">
        <f ca="1">VLOOKUP(A120,DB_TBL_DATA_FIELDS[[#All],[FIELD_ID]:[FIELD_VALUE_RAW]],5,FALSE)</f>
        <v/>
      </c>
      <c r="C120" s="54">
        <f ca="1">VLOOKUP(A120,DB_TBL_DATA_FIELDS[[FIELD_ID]:[PCT_CALC_FIELD_STATUS_CODE]],22,FALSE)</f>
        <v>-1</v>
      </c>
      <c r="D120" s="54" t="str">
        <f ca="1">IF(VLOOKUP(A120,DB_TBL_DATA_FIELDS[[FIELD_ID]:[ERROR_MESSAGE]],23,FALSE)&lt;&gt;0,VLOOKUP(A120,DB_TBL_DATA_FIELDS[[FIELD_ID]:[ERROR_MESSAGE]],23,FALSE),"")</f>
        <v/>
      </c>
      <c r="E120" s="54">
        <f>VLOOKUP(A120,DB_TBL_DATA_FIELDS[[#All],[FIELD_ID]:[RANGE_VALIDATION_MAX]],18,FALSE)</f>
        <v>0</v>
      </c>
      <c r="F120" s="54">
        <f>VLOOKUP(A120,DB_TBL_DATA_FIELDS[[#All],[FIELD_ID]:[RANGE_VALIDATION_MAX]],19,FALSE)</f>
        <v>0</v>
      </c>
      <c r="G120" s="54" t="str">
        <f t="shared" ca="1" si="6"/>
        <v/>
      </c>
      <c r="I120" s="367"/>
      <c r="J120" s="367"/>
      <c r="K120" s="367"/>
      <c r="L120" s="367"/>
      <c r="M120" s="367"/>
      <c r="N120" s="367"/>
      <c r="O120" s="367"/>
      <c r="P120" s="367"/>
      <c r="Q120" s="367"/>
      <c r="R120" s="367"/>
      <c r="S120" s="367"/>
      <c r="T120" s="367"/>
      <c r="U120" s="367"/>
      <c r="V120" s="367"/>
      <c r="W120" s="367"/>
      <c r="X120" s="367"/>
    </row>
    <row r="121" spans="1:24" ht="21.95" customHeight="1" x14ac:dyDescent="0.25">
      <c r="A121" s="61" t="s">
        <v>2318</v>
      </c>
      <c r="B121" s="65" t="str">
        <f ca="1">VLOOKUP(A121,DB_TBL_DATA_FIELDS[[#All],[FIELD_ID]:[FIELD_VALUE_RAW]],5,FALSE)</f>
        <v/>
      </c>
      <c r="C121" s="54" t="str">
        <f ca="1">VLOOKUP(A121,DB_TBL_DATA_FIELDS[[FIELD_ID]:[PCT_CALC_FIELD_STATUS_CODE]],22,FALSE)</f>
        <v/>
      </c>
      <c r="D121" s="54" t="str">
        <f>IF(VLOOKUP(A121,DB_TBL_DATA_FIELDS[[FIELD_ID]:[ERROR_MESSAGE]],23,FALSE)&lt;&gt;0,VLOOKUP(A121,DB_TBL_DATA_FIELDS[[FIELD_ID]:[ERROR_MESSAGE]],23,FALSE),"")</f>
        <v/>
      </c>
      <c r="E121" s="54">
        <f>VLOOKUP(A121,DB_TBL_DATA_FIELDS[[#All],[FIELD_ID]:[RANGE_VALIDATION_MAX]],18,FALSE)</f>
        <v>0</v>
      </c>
      <c r="F121" s="54">
        <f>VLOOKUP(A121,DB_TBL_DATA_FIELDS[[#All],[FIELD_ID]:[RANGE_VALIDATION_MAX]],19,FALSE)</f>
        <v>4</v>
      </c>
      <c r="G121" s="54" t="str">
        <f t="shared" ca="1" si="6"/>
        <v/>
      </c>
      <c r="I121" s="367"/>
      <c r="J121" s="367"/>
      <c r="K121" s="367"/>
      <c r="L121" s="367"/>
      <c r="M121" s="367"/>
      <c r="N121" s="367"/>
      <c r="O121" s="367"/>
      <c r="P121" s="367"/>
      <c r="Q121" s="367"/>
      <c r="R121" s="367"/>
      <c r="S121" s="367"/>
      <c r="T121" s="367"/>
      <c r="U121" s="367"/>
      <c r="V121" s="367"/>
      <c r="W121" s="367"/>
      <c r="X121" s="367"/>
    </row>
    <row r="122" spans="1:24" ht="21.95" customHeight="1" x14ac:dyDescent="0.25">
      <c r="A122" s="61" t="s">
        <v>2485</v>
      </c>
      <c r="B122" s="95" t="str">
        <f>IF(I99&lt;&gt;"",I99,"")</f>
        <v/>
      </c>
      <c r="C122" s="54">
        <f ca="1">VLOOKUP(A122,DB_TBL_DATA_FIELDS[[FIELD_ID]:[PCT_CALC_FIELD_STATUS_CODE]],22,FALSE)</f>
        <v>1</v>
      </c>
      <c r="D122" s="54" t="str">
        <f ca="1">IF(VLOOKUP(A122,DB_TBL_DATA_FIELDS[[FIELD_ID]:[ERROR_MESSAGE]],23,FALSE)&lt;&gt;0,VLOOKUP(A122,DB_TBL_DATA_FIELDS[[FIELD_ID]:[ERROR_MESSAGE]],23,FALSE),"")</f>
        <v/>
      </c>
      <c r="E122" s="54">
        <f>VLOOKUP(A122,DB_TBL_DATA_FIELDS[[#All],[FIELD_ID]:[RANGE_VALIDATION_MAX]],18,FALSE)</f>
        <v>0</v>
      </c>
      <c r="F122" s="54">
        <f>VLOOKUP(A122,DB_TBL_DATA_FIELDS[[#All],[FIELD_ID]:[RANGE_VALIDATION_MAX]],19,FALSE)</f>
        <v>0</v>
      </c>
      <c r="G122" s="54">
        <f t="shared" ca="1" si="6"/>
        <v>1</v>
      </c>
      <c r="I122" s="367"/>
      <c r="J122" s="367"/>
      <c r="K122" s="367"/>
      <c r="L122" s="367"/>
      <c r="M122" s="367"/>
      <c r="N122" s="367"/>
      <c r="O122" s="367"/>
      <c r="P122" s="367"/>
      <c r="Q122" s="367"/>
      <c r="R122" s="367"/>
      <c r="S122" s="367"/>
      <c r="T122" s="367"/>
      <c r="U122" s="367"/>
      <c r="V122" s="367"/>
      <c r="W122" s="367"/>
      <c r="X122" s="367"/>
    </row>
    <row r="123" spans="1:24" ht="21.95" customHeight="1" x14ac:dyDescent="0.25">
      <c r="A123" s="61" t="s">
        <v>2319</v>
      </c>
      <c r="B123" s="95" t="str">
        <f>IF(I101&lt;&gt;"",I101,"")</f>
        <v/>
      </c>
      <c r="C123" s="54">
        <f ca="1">VLOOKUP(A123,DB_TBL_DATA_FIELDS[[FIELD_ID]:[PCT_CALC_FIELD_STATUS_CODE]],22,FALSE)</f>
        <v>-1</v>
      </c>
      <c r="D123" s="54" t="str">
        <f>IF(VLOOKUP(A123,DB_TBL_DATA_FIELDS[[FIELD_ID]:[ERROR_MESSAGE]],23,FALSE)&lt;&gt;0,VLOOKUP(A123,DB_TBL_DATA_FIELDS[[FIELD_ID]:[ERROR_MESSAGE]],23,FALSE),"")</f>
        <v/>
      </c>
      <c r="E123" s="54">
        <f>VLOOKUP(A123,DB_TBL_DATA_FIELDS[[#All],[FIELD_ID]:[RANGE_VALIDATION_MAX]],18,FALSE)</f>
        <v>1</v>
      </c>
      <c r="F123" s="54">
        <f>VLOOKUP(A123,DB_TBL_DATA_FIELDS[[#All],[FIELD_ID]:[RANGE_VALIDATION_MAX]],19,FALSE)</f>
        <v>20</v>
      </c>
      <c r="G123" s="54" t="str">
        <f t="shared" ca="1" si="6"/>
        <v/>
      </c>
      <c r="I123" s="367"/>
      <c r="J123" s="367"/>
      <c r="K123" s="367"/>
      <c r="L123" s="367"/>
      <c r="M123" s="367"/>
      <c r="N123" s="367"/>
      <c r="O123" s="367"/>
      <c r="P123" s="367"/>
      <c r="Q123" s="367"/>
      <c r="R123" s="367"/>
      <c r="S123" s="367"/>
      <c r="T123" s="367"/>
      <c r="U123" s="367"/>
      <c r="V123" s="367"/>
      <c r="W123" s="367"/>
      <c r="X123" s="367"/>
    </row>
    <row r="124" spans="1:24" ht="21.95" customHeight="1" x14ac:dyDescent="0.25">
      <c r="A124" s="61" t="s">
        <v>8989</v>
      </c>
      <c r="B124" s="65" t="str">
        <f ca="1">VLOOKUP(A124,DB_TBL_DATA_FIELDS[[#All],[FIELD_ID]:[FIELD_VALUE_RAW]],5,FALSE)</f>
        <v/>
      </c>
      <c r="C124" s="54">
        <f ca="1">VLOOKUP(A124,DB_TBL_DATA_FIELDS[[FIELD_ID]:[PCT_CALC_FIELD_STATUS_CODE]],22,FALSE)</f>
        <v>1</v>
      </c>
      <c r="D124" s="54" t="str">
        <f ca="1">IF(VLOOKUP(A124,DB_TBL_DATA_FIELDS[[FIELD_ID]:[ERROR_MESSAGE]],23,FALSE)&lt;&gt;0,VLOOKUP(A124,DB_TBL_DATA_FIELDS[[FIELD_ID]:[ERROR_MESSAGE]],23,FALSE),"")</f>
        <v/>
      </c>
      <c r="E124" s="54">
        <f>VLOOKUP(A124,DB_TBL_DATA_FIELDS[[#All],[FIELD_ID]:[RANGE_VALIDATION_MAX]],18,FALSE)</f>
        <v>0</v>
      </c>
      <c r="F124" s="54">
        <f>VLOOKUP(A124,DB_TBL_DATA_FIELDS[[#All],[FIELD_ID]:[RANGE_VALIDATION_MAX]],19,FALSE)</f>
        <v>999999999</v>
      </c>
      <c r="G124" s="54">
        <f t="shared" ca="1" si="6"/>
        <v>1</v>
      </c>
      <c r="I124" s="367"/>
      <c r="J124" s="367"/>
      <c r="K124" s="367"/>
      <c r="L124" s="367"/>
      <c r="M124" s="367"/>
      <c r="N124" s="367"/>
      <c r="O124" s="367"/>
      <c r="P124" s="367"/>
      <c r="Q124" s="367"/>
      <c r="R124" s="367"/>
      <c r="S124" s="367"/>
      <c r="T124" s="367"/>
      <c r="U124" s="367"/>
      <c r="V124" s="367"/>
      <c r="W124" s="367"/>
      <c r="X124" s="367"/>
    </row>
    <row r="125" spans="1:24" ht="21.95" customHeight="1" x14ac:dyDescent="0.25">
      <c r="A125" s="61" t="s">
        <v>2321</v>
      </c>
      <c r="B125" s="65" t="str">
        <f ca="1">VLOOKUP(A125,DB_TBL_DATA_FIELDS[[#All],[FIELD_ID]:[FIELD_VALUE_RAW]],5,FALSE)</f>
        <v/>
      </c>
      <c r="C125" s="54">
        <f ca="1">VLOOKUP(A125,DB_TBL_DATA_FIELDS[[FIELD_ID]:[PCT_CALC_FIELD_STATUS_CODE]],22,FALSE)</f>
        <v>1</v>
      </c>
      <c r="D125" s="54" t="str">
        <f>IF(VLOOKUP(A125,DB_TBL_DATA_FIELDS[[FIELD_ID]:[ERROR_MESSAGE]],23,FALSE)&lt;&gt;0,VLOOKUP(A125,DB_TBL_DATA_FIELDS[[FIELD_ID]:[ERROR_MESSAGE]],23,FALSE),"")</f>
        <v/>
      </c>
      <c r="E125" s="54">
        <f>VLOOKUP(A125,DB_TBL_DATA_FIELDS[[#All],[FIELD_ID]:[RANGE_VALIDATION_MAX]],18,FALSE)</f>
        <v>0</v>
      </c>
      <c r="F125" s="54">
        <f>VLOOKUP(A125,DB_TBL_DATA_FIELDS[[#All],[FIELD_ID]:[RANGE_VALIDATION_MAX]],19,FALSE)</f>
        <v>999999999</v>
      </c>
      <c r="G125" s="54">
        <f t="shared" ca="1" si="6"/>
        <v>1</v>
      </c>
      <c r="I125" s="367"/>
      <c r="J125" s="367"/>
      <c r="K125" s="367"/>
      <c r="L125" s="367"/>
      <c r="M125" s="367"/>
      <c r="N125" s="367"/>
      <c r="O125" s="367"/>
      <c r="P125" s="367"/>
      <c r="Q125" s="367"/>
      <c r="R125" s="367"/>
      <c r="S125" s="367"/>
      <c r="T125" s="367"/>
      <c r="U125" s="367"/>
      <c r="V125" s="367"/>
      <c r="W125" s="367"/>
      <c r="X125" s="367"/>
    </row>
    <row r="126" spans="1:24" ht="21.95" customHeight="1" x14ac:dyDescent="0.25">
      <c r="A126" s="61" t="s">
        <v>2320</v>
      </c>
      <c r="B126" s="95" t="str">
        <f>IF(K101&lt;&gt;"",K101,"")</f>
        <v/>
      </c>
      <c r="C126" s="54">
        <f ca="1">VLOOKUP(A126,DB_TBL_DATA_FIELDS[[FIELD_ID]:[PCT_CALC_FIELD_STATUS_CODE]],22,FALSE)</f>
        <v>-1</v>
      </c>
      <c r="D126" s="54" t="str">
        <f>IF(VLOOKUP(A126,DB_TBL_DATA_FIELDS[[FIELD_ID]:[ERROR_MESSAGE]],23,FALSE)&lt;&gt;0,VLOOKUP(A126,DB_TBL_DATA_FIELDS[[FIELD_ID]:[ERROR_MESSAGE]],23,FALSE),"")</f>
        <v/>
      </c>
      <c r="E126" s="54">
        <f>VLOOKUP(A126,DB_TBL_DATA_FIELDS[[#All],[FIELD_ID]:[RANGE_VALIDATION_MAX]],18,FALSE)</f>
        <v>0</v>
      </c>
      <c r="F126" s="54">
        <f>VLOOKUP(A126,DB_TBL_DATA_FIELDS[[#All],[FIELD_ID]:[RANGE_VALIDATION_MAX]],19,FALSE)</f>
        <v>999999999</v>
      </c>
      <c r="G126" s="54" t="str">
        <f t="shared" ca="1" si="6"/>
        <v/>
      </c>
      <c r="I126" s="367"/>
      <c r="J126" s="367"/>
      <c r="K126" s="367"/>
      <c r="L126" s="367"/>
      <c r="M126" s="367"/>
      <c r="N126" s="367"/>
      <c r="O126" s="367"/>
      <c r="P126" s="367"/>
      <c r="Q126" s="367"/>
      <c r="R126" s="367"/>
      <c r="S126" s="367"/>
      <c r="T126" s="367"/>
      <c r="U126" s="367"/>
      <c r="V126" s="367"/>
      <c r="W126" s="367"/>
      <c r="X126" s="367"/>
    </row>
    <row r="127" spans="1:24" ht="21.95" customHeight="1" x14ac:dyDescent="0.25">
      <c r="A127" s="61" t="s">
        <v>2323</v>
      </c>
      <c r="B127" s="65" t="str">
        <f ca="1">VLOOKUP(A127,DB_TBL_DATA_FIELDS[[#All],[FIELD_ID]:[FIELD_VALUE_RAW]],5,FALSE)</f>
        <v/>
      </c>
      <c r="C127" s="54">
        <f ca="1">VLOOKUP(A127,DB_TBL_DATA_FIELDS[[FIELD_ID]:[PCT_CALC_FIELD_STATUS_CODE]],22,FALSE)</f>
        <v>1</v>
      </c>
      <c r="D127" s="54" t="str">
        <f>IF(VLOOKUP(A127,DB_TBL_DATA_FIELDS[[FIELD_ID]:[ERROR_MESSAGE]],23,FALSE)&lt;&gt;0,VLOOKUP(A127,DB_TBL_DATA_FIELDS[[FIELD_ID]:[ERROR_MESSAGE]],23,FALSE),"")</f>
        <v/>
      </c>
      <c r="E127" s="54">
        <f>VLOOKUP(A127,DB_TBL_DATA_FIELDS[[#All],[FIELD_ID]:[RANGE_VALIDATION_MAX]],18,FALSE)</f>
        <v>0</v>
      </c>
      <c r="F127" s="54">
        <f>VLOOKUP(A127,DB_TBL_DATA_FIELDS[[#All],[FIELD_ID]:[RANGE_VALIDATION_MAX]],19,FALSE)</f>
        <v>999999999</v>
      </c>
      <c r="G127" s="54">
        <f t="shared" ca="1" si="6"/>
        <v>1</v>
      </c>
      <c r="I127" s="367"/>
      <c r="J127" s="367"/>
      <c r="K127" s="367"/>
      <c r="L127" s="367"/>
      <c r="M127" s="367"/>
      <c r="N127" s="367"/>
      <c r="O127" s="367"/>
      <c r="P127" s="367"/>
      <c r="Q127" s="367"/>
      <c r="R127" s="367"/>
      <c r="S127" s="367"/>
      <c r="T127" s="367"/>
      <c r="U127" s="367"/>
      <c r="V127" s="367"/>
      <c r="W127" s="367"/>
      <c r="X127" s="367"/>
    </row>
    <row r="128" spans="1:24" ht="21.95" customHeight="1" x14ac:dyDescent="0.25">
      <c r="A128" s="61" t="s">
        <v>2720</v>
      </c>
      <c r="B128" s="95" t="str">
        <f>IF(I86&lt;&gt;"",I86,"")</f>
        <v/>
      </c>
      <c r="C128" s="54">
        <f ca="1">VLOOKUP(A128,DB_TBL_DATA_FIELDS[[FIELD_ID]:[PCT_CALC_FIELD_STATUS_CODE]],22,FALSE)</f>
        <v>1</v>
      </c>
      <c r="D128" s="54" t="str">
        <f>IF(VLOOKUP(A128,DB_TBL_DATA_FIELDS[[FIELD_ID]:[ERROR_MESSAGE]],23,FALSE)&lt;&gt;0,VLOOKUP(A128,DB_TBL_DATA_FIELDS[[FIELD_ID]:[ERROR_MESSAGE]],23,FALSE),"")</f>
        <v/>
      </c>
      <c r="E128" s="54">
        <f>VLOOKUP(A128,DB_TBL_DATA_FIELDS[[#All],[FIELD_ID]:[RANGE_VALIDATION_MAX]],18,FALSE)</f>
        <v>0</v>
      </c>
      <c r="F128" s="54">
        <f>VLOOKUP(A128,DB_TBL_DATA_FIELDS[[#All],[FIELD_ID]:[RANGE_VALIDATION_MAX]],19,FALSE)</f>
        <v>50</v>
      </c>
      <c r="G128" s="54">
        <f t="shared" ca="1" si="6"/>
        <v>1</v>
      </c>
      <c r="I128" s="367"/>
      <c r="J128" s="367"/>
      <c r="K128" s="367"/>
      <c r="L128" s="367"/>
      <c r="M128" s="367"/>
      <c r="N128" s="367"/>
      <c r="O128" s="367"/>
      <c r="P128" s="367"/>
      <c r="Q128" s="367"/>
      <c r="R128" s="367"/>
      <c r="S128" s="367"/>
      <c r="T128" s="367"/>
      <c r="U128" s="367"/>
      <c r="V128" s="367"/>
      <c r="W128" s="367"/>
      <c r="X128" s="367"/>
    </row>
    <row r="129" spans="1:24" ht="21.95" customHeight="1" x14ac:dyDescent="0.25">
      <c r="A129" s="61" t="s">
        <v>2721</v>
      </c>
      <c r="B129" s="95" t="str">
        <f>IF(I88&lt;&gt;"",I88,"")</f>
        <v/>
      </c>
      <c r="C129" s="54">
        <f ca="1">VLOOKUP(A129,DB_TBL_DATA_FIELDS[[FIELD_ID]:[PCT_CALC_FIELD_STATUS_CODE]],22,FALSE)</f>
        <v>-1</v>
      </c>
      <c r="D129" s="54" t="str">
        <f>IF(VLOOKUP(A129,DB_TBL_DATA_FIELDS[[FIELD_ID]:[ERROR_MESSAGE]],23,FALSE)&lt;&gt;0,VLOOKUP(A129,DB_TBL_DATA_FIELDS[[FIELD_ID]:[ERROR_MESSAGE]],23,FALSE),"")</f>
        <v/>
      </c>
      <c r="E129" s="54">
        <f>VLOOKUP(A129,DB_TBL_DATA_FIELDS[[#All],[FIELD_ID]:[RANGE_VALIDATION_MAX]],18,FALSE)</f>
        <v>0</v>
      </c>
      <c r="F129" s="54">
        <f>VLOOKUP(A129,DB_TBL_DATA_FIELDS[[#All],[FIELD_ID]:[RANGE_VALIDATION_MAX]],19,FALSE)</f>
        <v>50</v>
      </c>
      <c r="G129" s="54" t="str">
        <f t="shared" ca="1" si="6"/>
        <v/>
      </c>
      <c r="I129" s="367"/>
      <c r="J129" s="367"/>
      <c r="K129" s="367"/>
      <c r="L129" s="367"/>
      <c r="M129" s="367"/>
      <c r="N129" s="367"/>
      <c r="O129" s="367"/>
      <c r="P129" s="367"/>
      <c r="Q129" s="367"/>
      <c r="R129" s="367"/>
      <c r="S129" s="367"/>
      <c r="T129" s="367"/>
      <c r="U129" s="367"/>
      <c r="V129" s="367"/>
      <c r="W129" s="367"/>
      <c r="X129" s="367"/>
    </row>
    <row r="130" spans="1:24" ht="21.95" customHeight="1" x14ac:dyDescent="0.25">
      <c r="A130" s="61" t="s">
        <v>2290</v>
      </c>
      <c r="B130" s="65" t="str">
        <f ca="1">VLOOKUP(A130,DB_TBL_DATA_FIELDS[[#All],[FIELD_ID]:[FIELD_VALUE_RAW]],5,FALSE)</f>
        <v/>
      </c>
      <c r="C130" s="54" t="str">
        <f ca="1">VLOOKUP(A130,DB_TBL_DATA_FIELDS[[FIELD_ID]:[PCT_CALC_FIELD_STATUS_CODE]],22,FALSE)</f>
        <v/>
      </c>
      <c r="D130" s="54" t="str">
        <f>IF(VLOOKUP(A130,DB_TBL_DATA_FIELDS[[FIELD_ID]:[ERROR_MESSAGE]],23,FALSE)&lt;&gt;0,VLOOKUP(A130,DB_TBL_DATA_FIELDS[[FIELD_ID]:[ERROR_MESSAGE]],23,FALSE),"")</f>
        <v/>
      </c>
      <c r="E130" s="54">
        <f>VLOOKUP(A130,DB_TBL_DATA_FIELDS[[#All],[FIELD_ID]:[RANGE_VALIDATION_MAX]],18,FALSE)</f>
        <v>0</v>
      </c>
      <c r="F130" s="54">
        <f>VLOOKUP(A130,DB_TBL_DATA_FIELDS[[#All],[FIELD_ID]:[RANGE_VALIDATION_MAX]],19,FALSE)</f>
        <v>50</v>
      </c>
      <c r="G130" s="54" t="str">
        <f t="shared" ca="1" si="6"/>
        <v/>
      </c>
      <c r="I130" s="367"/>
      <c r="J130" s="367"/>
      <c r="K130" s="367"/>
      <c r="L130" s="367"/>
      <c r="M130" s="367"/>
      <c r="N130" s="367"/>
      <c r="O130" s="367"/>
      <c r="P130" s="367"/>
      <c r="Q130" s="367"/>
      <c r="R130" s="367"/>
      <c r="S130" s="367"/>
      <c r="T130" s="367"/>
      <c r="U130" s="367"/>
      <c r="V130" s="367"/>
      <c r="W130" s="367"/>
      <c r="X130" s="367"/>
    </row>
    <row r="131" spans="1:24" ht="21.95" customHeight="1" x14ac:dyDescent="0.25">
      <c r="A131" s="61" t="s">
        <v>2342</v>
      </c>
      <c r="B131" s="95" t="str">
        <f>IF(U86&lt;&gt;"",U86,"")</f>
        <v/>
      </c>
      <c r="C131" s="54">
        <f ca="1">VLOOKUP(A131,DB_TBL_DATA_FIELDS[[FIELD_ID]:[PCT_CALC_FIELD_STATUS_CODE]],22,FALSE)</f>
        <v>1</v>
      </c>
      <c r="D131" s="54" t="str">
        <f ca="1">IF(VLOOKUP(A131,DB_TBL_DATA_FIELDS[[FIELD_ID]:[ERROR_MESSAGE]],23,FALSE)&lt;&gt;0,VLOOKUP(A131,DB_TBL_DATA_FIELDS[[FIELD_ID]:[ERROR_MESSAGE]],23,FALSE),"")</f>
        <v/>
      </c>
      <c r="E131" s="54">
        <f>VLOOKUP(A131,DB_TBL_DATA_FIELDS[[#All],[FIELD_ID]:[RANGE_VALIDATION_MAX]],18,FALSE)</f>
        <v>0</v>
      </c>
      <c r="F131" s="54">
        <f>VLOOKUP(A131,DB_TBL_DATA_FIELDS[[#All],[FIELD_ID]:[RANGE_VALIDATION_MAX]],19,FALSE)</f>
        <v>0</v>
      </c>
      <c r="G131" s="54">
        <f t="shared" ca="1" si="6"/>
        <v>1</v>
      </c>
      <c r="I131" s="367"/>
      <c r="J131" s="367"/>
      <c r="K131" s="367"/>
      <c r="L131" s="367"/>
      <c r="M131" s="367"/>
      <c r="N131" s="367"/>
      <c r="O131" s="367"/>
      <c r="P131" s="367"/>
      <c r="Q131" s="367"/>
      <c r="R131" s="367"/>
      <c r="S131" s="367"/>
      <c r="T131" s="367"/>
      <c r="U131" s="367"/>
      <c r="V131" s="367"/>
      <c r="W131" s="367"/>
      <c r="X131" s="367"/>
    </row>
    <row r="132" spans="1:24" ht="21.95" customHeight="1" x14ac:dyDescent="0.25">
      <c r="A132" s="61" t="s">
        <v>164</v>
      </c>
      <c r="B132" s="65" t="str">
        <f>"C"&amp;MATCH(LEFT(A132,LEN(A132)-LEN("_RANGE")),A:A,0)+1&amp;":C"&amp;(ROW()-1)</f>
        <v>C119:C131</v>
      </c>
      <c r="C132" s="54"/>
      <c r="D132" s="54"/>
      <c r="E132" s="54"/>
      <c r="F132" s="54"/>
      <c r="G132" s="54"/>
      <c r="I132" s="367"/>
      <c r="J132" s="367"/>
      <c r="K132" s="367"/>
      <c r="L132" s="367"/>
      <c r="M132" s="367"/>
      <c r="N132" s="367"/>
      <c r="O132" s="367"/>
      <c r="P132" s="367"/>
      <c r="Q132" s="367"/>
      <c r="R132" s="367"/>
      <c r="S132" s="367"/>
      <c r="T132" s="367"/>
      <c r="U132" s="367"/>
      <c r="V132" s="367"/>
      <c r="W132" s="367"/>
      <c r="X132" s="367"/>
    </row>
    <row r="133" spans="1:24" ht="21.95" customHeight="1" x14ac:dyDescent="0.25">
      <c r="A133" s="61" t="s">
        <v>165</v>
      </c>
      <c r="B133" s="65">
        <f ca="1">COUNTIF(INDIRECT($B132),2)</f>
        <v>0</v>
      </c>
      <c r="C133" s="54"/>
      <c r="D133" s="54"/>
      <c r="E133" s="54"/>
      <c r="F133" s="54"/>
      <c r="G133" s="54"/>
      <c r="I133" s="367"/>
      <c r="J133" s="367"/>
      <c r="K133" s="367"/>
      <c r="L133" s="367"/>
      <c r="M133" s="367"/>
      <c r="N133" s="367"/>
      <c r="O133" s="367"/>
      <c r="P133" s="367"/>
      <c r="Q133" s="367"/>
      <c r="R133" s="367"/>
      <c r="S133" s="367"/>
      <c r="T133" s="367"/>
      <c r="U133" s="367"/>
      <c r="V133" s="367"/>
      <c r="W133" s="367"/>
      <c r="X133" s="367"/>
    </row>
    <row r="134" spans="1:24" ht="21.95" customHeight="1" x14ac:dyDescent="0.25">
      <c r="A134" s="61" t="s">
        <v>166</v>
      </c>
      <c r="B134" s="65">
        <f ca="1">COUNTIF(INDIRECT($B132),0)+COUNTIF(INDIRECT($B132),1)+COUNTIF(INDIRECT($B132),2)</f>
        <v>6</v>
      </c>
      <c r="C134" s="54"/>
      <c r="D134" s="54"/>
      <c r="E134" s="54"/>
      <c r="F134" s="54"/>
      <c r="G134" s="54"/>
      <c r="J134"/>
      <c r="L134"/>
      <c r="N134"/>
      <c r="P134"/>
      <c r="R134"/>
      <c r="T134"/>
      <c r="V134"/>
      <c r="X134"/>
    </row>
    <row r="135" spans="1:24" ht="21.95" customHeight="1" x14ac:dyDescent="0.25">
      <c r="A135" s="61" t="s">
        <v>167</v>
      </c>
      <c r="B135" s="65">
        <f ca="1">COUNTIF(INDIRECT($B132),0)</f>
        <v>0</v>
      </c>
      <c r="C135" s="54"/>
      <c r="D135" s="54"/>
      <c r="E135" s="54"/>
      <c r="F135" s="54"/>
      <c r="G135" s="54"/>
      <c r="I135" s="36" t="s">
        <v>2873</v>
      </c>
      <c r="K135" s="36"/>
      <c r="M135" s="36"/>
      <c r="N135" s="36"/>
      <c r="O135" s="36" t="s">
        <v>2874</v>
      </c>
      <c r="Q135" s="36"/>
      <c r="S135" s="36"/>
      <c r="T135" s="36"/>
      <c r="U135" s="36" t="s">
        <v>31</v>
      </c>
      <c r="V135" s="36"/>
      <c r="W135" s="36"/>
      <c r="X135" s="36"/>
    </row>
    <row r="136" spans="1:24" ht="21.95" customHeight="1" x14ac:dyDescent="0.25">
      <c r="A136" s="61" t="s">
        <v>168</v>
      </c>
      <c r="B136" s="97">
        <f ca="1">IFERROR(B133/B134,1.01)</f>
        <v>0</v>
      </c>
      <c r="C136" s="54"/>
      <c r="D136" s="54"/>
      <c r="E136" s="54"/>
      <c r="F136" s="54"/>
      <c r="G136" s="54"/>
      <c r="I136" s="316"/>
      <c r="J136" s="317"/>
      <c r="K136" s="317"/>
      <c r="L136" s="317"/>
      <c r="M136" s="318"/>
      <c r="N136" s="52">
        <f ca="1">G144</f>
        <v>1</v>
      </c>
      <c r="O136" s="316"/>
      <c r="P136" s="317"/>
      <c r="Q136" s="317"/>
      <c r="R136" s="317"/>
      <c r="S136" s="318"/>
      <c r="T136" s="52">
        <f ca="1">G145</f>
        <v>1</v>
      </c>
      <c r="U136" s="338"/>
      <c r="V136" s="339"/>
      <c r="W136" s="340"/>
      <c r="X136" s="52">
        <f ca="1">G146</f>
        <v>1</v>
      </c>
    </row>
    <row r="137" spans="1:24" ht="21.95" customHeight="1" x14ac:dyDescent="0.25">
      <c r="A137" s="61" t="s">
        <v>169</v>
      </c>
      <c r="B137" s="65" t="str">
        <f ca="1">IF(B135&gt;0,"Data Error(s)",IF(B136=0,"Not Started",IF(B136&lt;1,ROUNDUP(B136*100,0)&amp;"% Done",IF(B136&gt;1,"Optional","Complete"))))</f>
        <v>Not Started</v>
      </c>
      <c r="C137" s="54"/>
      <c r="D137" s="54"/>
      <c r="E137" s="54"/>
      <c r="F137" s="54"/>
      <c r="G137" s="54"/>
      <c r="I137" s="36" t="s">
        <v>132</v>
      </c>
      <c r="K137" s="36"/>
      <c r="M137" s="36"/>
      <c r="N137" s="36"/>
      <c r="O137" s="36"/>
      <c r="P137" s="36"/>
      <c r="S137" s="36" t="s">
        <v>2158</v>
      </c>
      <c r="W137" s="36"/>
    </row>
    <row r="138" spans="1:24" ht="21.95" customHeight="1" x14ac:dyDescent="0.25">
      <c r="A138" s="61" t="s">
        <v>170</v>
      </c>
      <c r="B138" s="65" t="str">
        <f ca="1">IF(B135&gt;0,0,IF(B136&lt;1,"",2))</f>
        <v/>
      </c>
      <c r="C138" s="54"/>
      <c r="D138" s="54"/>
      <c r="E138" s="54"/>
      <c r="F138" s="54"/>
      <c r="G138" s="54"/>
      <c r="I138" s="409"/>
      <c r="J138" s="317"/>
      <c r="K138" s="317"/>
      <c r="L138" s="317"/>
      <c r="M138" s="317"/>
      <c r="N138" s="317"/>
      <c r="O138" s="317"/>
      <c r="P138" s="317"/>
      <c r="Q138" s="318"/>
      <c r="R138" s="52">
        <f ca="1">G147</f>
        <v>1</v>
      </c>
      <c r="S138" s="313"/>
      <c r="T138" s="314"/>
      <c r="U138" s="314"/>
      <c r="V138" s="314"/>
      <c r="W138" s="315"/>
      <c r="X138" s="52">
        <f ca="1">G148</f>
        <v>1</v>
      </c>
    </row>
    <row r="139" spans="1:24" ht="21.95" customHeight="1" x14ac:dyDescent="0.25">
      <c r="A139" s="61" t="s">
        <v>171</v>
      </c>
      <c r="B139" s="96" t="s">
        <v>2358</v>
      </c>
      <c r="C139" s="54"/>
      <c r="D139" s="54"/>
      <c r="E139" s="54"/>
      <c r="F139" s="54"/>
      <c r="G139" s="54"/>
      <c r="I139" s="331" t="str">
        <f ca="1">D147</f>
        <v/>
      </c>
      <c r="J139" s="331"/>
      <c r="K139" s="331"/>
      <c r="L139" s="331"/>
      <c r="M139" s="331"/>
      <c r="N139" s="331"/>
      <c r="O139" s="331"/>
      <c r="P139" s="331"/>
      <c r="Q139" s="331"/>
      <c r="R139"/>
      <c r="T139"/>
      <c r="V139"/>
      <c r="X139"/>
    </row>
    <row r="140" spans="1:24" ht="21.95" customHeight="1" x14ac:dyDescent="0.25">
      <c r="A140" s="77" t="s">
        <v>2562</v>
      </c>
      <c r="B140" s="65" t="str">
        <f ca="1">IF(C126=0,'$DB.CONFIG'!$M$3,"")</f>
        <v/>
      </c>
      <c r="C140" s="54">
        <f ca="1">IF(B140="",0,1)</f>
        <v>0</v>
      </c>
      <c r="D140" s="54"/>
      <c r="E140" s="54"/>
      <c r="F140" s="54"/>
      <c r="G140" s="54"/>
      <c r="J140"/>
      <c r="L140"/>
      <c r="N140"/>
      <c r="P140"/>
    </row>
    <row r="141" spans="1:24" ht="21.95" customHeight="1" x14ac:dyDescent="0.25">
      <c r="A141" s="77" t="s">
        <v>2146</v>
      </c>
      <c r="B141" s="65">
        <f ca="1">COUNTIF(C140,1)</f>
        <v>0</v>
      </c>
      <c r="C141" s="54"/>
      <c r="D141" s="54"/>
      <c r="E141" s="54"/>
      <c r="F141" s="54"/>
      <c r="G141" s="54"/>
      <c r="J141"/>
      <c r="L141"/>
      <c r="N141"/>
      <c r="P141"/>
    </row>
    <row r="142" spans="1:24" ht="21.95" hidden="1" customHeight="1" x14ac:dyDescent="0.25">
      <c r="A142" s="77" t="s">
        <v>2147</v>
      </c>
      <c r="B142" s="65" t="b">
        <f ca="1">(B141&gt;0)</f>
        <v>0</v>
      </c>
      <c r="C142" s="54"/>
      <c r="D142" s="54"/>
      <c r="E142" s="54"/>
      <c r="F142" s="54"/>
      <c r="G142" s="54"/>
      <c r="J142"/>
      <c r="L142"/>
      <c r="N142"/>
      <c r="P142"/>
    </row>
    <row r="143" spans="1:24" ht="21.95" hidden="1" customHeight="1" x14ac:dyDescent="0.25">
      <c r="A143" s="91" t="s">
        <v>2861</v>
      </c>
      <c r="B143" s="93" t="s">
        <v>2862</v>
      </c>
      <c r="C143" s="92"/>
      <c r="D143" s="92"/>
      <c r="E143" s="92"/>
      <c r="F143" s="92"/>
      <c r="G143" s="92"/>
      <c r="J143"/>
      <c r="L143"/>
      <c r="N143"/>
      <c r="P143"/>
      <c r="R143"/>
      <c r="T143"/>
      <c r="V143"/>
      <c r="X143"/>
    </row>
    <row r="144" spans="1:24" ht="21.95" hidden="1" customHeight="1" x14ac:dyDescent="0.25">
      <c r="A144" s="61" t="s">
        <v>2855</v>
      </c>
      <c r="B144" s="95" t="str">
        <f>IF(I136&lt;&gt;"",I136,"")</f>
        <v/>
      </c>
      <c r="C144" s="54">
        <f ca="1">VLOOKUP(A144,DB_TBL_DATA_FIELDS[[FIELD_ID]:[PCT_CALC_FIELD_STATUS_CODE]],22,FALSE)</f>
        <v>1</v>
      </c>
      <c r="D144" s="54" t="str">
        <f ca="1">IF(VLOOKUP(A144,DB_TBL_DATA_FIELDS[[FIELD_ID]:[ERROR_MESSAGE]],23,FALSE)&lt;&gt;0,VLOOKUP(A144,DB_TBL_DATA_FIELDS[[FIELD_ID]:[ERROR_MESSAGE]],23,FALSE),"")</f>
        <v/>
      </c>
      <c r="E144" s="54">
        <f>VLOOKUP(A144,DB_TBL_DATA_FIELDS[[#All],[FIELD_ID]:[RANGE_VALIDATION_MAX]],18,FALSE)</f>
        <v>0</v>
      </c>
      <c r="F144" s="54">
        <f>VLOOKUP(A144,DB_TBL_DATA_FIELDS[[#All],[FIELD_ID]:[RANGE_VALIDATION_MAX]],19,FALSE)</f>
        <v>100</v>
      </c>
      <c r="G144" s="54">
        <f t="shared" ref="G144:G148" ca="1" si="7">IF(C144&lt;0,"",C144)</f>
        <v>1</v>
      </c>
      <c r="J144"/>
      <c r="L144"/>
      <c r="N144"/>
      <c r="P144"/>
      <c r="R144"/>
      <c r="T144"/>
      <c r="V144"/>
      <c r="X144"/>
    </row>
    <row r="145" spans="1:24" ht="21.95" hidden="1" customHeight="1" x14ac:dyDescent="0.25">
      <c r="A145" s="61" t="s">
        <v>2857</v>
      </c>
      <c r="B145" s="95" t="str">
        <f>IF(O136&lt;&gt;"",O136,"")</f>
        <v/>
      </c>
      <c r="C145" s="54">
        <f ca="1">VLOOKUP(A145,DB_TBL_DATA_FIELDS[[FIELD_ID]:[PCT_CALC_FIELD_STATUS_CODE]],22,FALSE)</f>
        <v>1</v>
      </c>
      <c r="D145" s="54" t="str">
        <f ca="1">IF(VLOOKUP(A145,DB_TBL_DATA_FIELDS[[FIELD_ID]:[ERROR_MESSAGE]],23,FALSE)&lt;&gt;0,VLOOKUP(A145,DB_TBL_DATA_FIELDS[[FIELD_ID]:[ERROR_MESSAGE]],23,FALSE),"")</f>
        <v/>
      </c>
      <c r="E145" s="54">
        <f>VLOOKUP(A145,DB_TBL_DATA_FIELDS[[#All],[FIELD_ID]:[RANGE_VALIDATION_MAX]],18,FALSE)</f>
        <v>0</v>
      </c>
      <c r="F145" s="54">
        <f>VLOOKUP(A145,DB_TBL_DATA_FIELDS[[#All],[FIELD_ID]:[RANGE_VALIDATION_MAX]],19,FALSE)</f>
        <v>100</v>
      </c>
      <c r="G145" s="54">
        <f t="shared" ca="1" si="7"/>
        <v>1</v>
      </c>
      <c r="J145"/>
      <c r="L145"/>
      <c r="N145"/>
      <c r="P145"/>
      <c r="R145"/>
      <c r="T145"/>
      <c r="V145"/>
      <c r="X145"/>
    </row>
    <row r="146" spans="1:24" ht="21.95" hidden="1" customHeight="1" x14ac:dyDescent="0.25">
      <c r="A146" s="61" t="s">
        <v>2858</v>
      </c>
      <c r="B146" s="95" t="str">
        <f>IF(U136&lt;&gt;"",U136,"")</f>
        <v/>
      </c>
      <c r="C146" s="54">
        <f ca="1">VLOOKUP(A146,DB_TBL_DATA_FIELDS[[FIELD_ID]:[PCT_CALC_FIELD_STATUS_CODE]],22,FALSE)</f>
        <v>1</v>
      </c>
      <c r="D146" s="54" t="str">
        <f ca="1">IF(VLOOKUP(A146,DB_TBL_DATA_FIELDS[[FIELD_ID]:[ERROR_MESSAGE]],23,FALSE)&lt;&gt;0,VLOOKUP(A146,DB_TBL_DATA_FIELDS[[FIELD_ID]:[ERROR_MESSAGE]],23,FALSE),"")</f>
        <v/>
      </c>
      <c r="E146" s="54">
        <f>VLOOKUP(A146,DB_TBL_DATA_FIELDS[[#All],[FIELD_ID]:[RANGE_VALIDATION_MAX]],18,FALSE)</f>
        <v>0</v>
      </c>
      <c r="F146" s="54">
        <f>VLOOKUP(A146,DB_TBL_DATA_FIELDS[[#All],[FIELD_ID]:[RANGE_VALIDATION_MAX]],19,FALSE)</f>
        <v>0</v>
      </c>
      <c r="G146" s="54">
        <f t="shared" ca="1" si="7"/>
        <v>1</v>
      </c>
      <c r="J146"/>
      <c r="L146"/>
      <c r="N146"/>
      <c r="P146"/>
      <c r="R146"/>
      <c r="T146"/>
      <c r="V146"/>
      <c r="X146"/>
    </row>
    <row r="147" spans="1:24" ht="21.95" hidden="1" customHeight="1" x14ac:dyDescent="0.25">
      <c r="A147" s="61" t="s">
        <v>2230</v>
      </c>
      <c r="B147" s="95" t="str">
        <f>IF(I138&lt;&gt;"",I138,"")</f>
        <v/>
      </c>
      <c r="C147" s="54">
        <f ca="1">VLOOKUP(A147,DB_TBL_DATA_FIELDS[[FIELD_ID]:[PCT_CALC_FIELD_STATUS_CODE]],22,FALSE)</f>
        <v>1</v>
      </c>
      <c r="D147" s="54" t="str">
        <f ca="1">IF(VLOOKUP(A147,DB_TBL_DATA_FIELDS[[FIELD_ID]:[ERROR_MESSAGE]],23,FALSE)&lt;&gt;0,VLOOKUP(A147,DB_TBL_DATA_FIELDS[[FIELD_ID]:[ERROR_MESSAGE]],23,FALSE),"")</f>
        <v/>
      </c>
      <c r="E147" s="54">
        <f>VLOOKUP(A147,DB_TBL_DATA_FIELDS[[#All],[FIELD_ID]:[RANGE_VALIDATION_MAX]],18,FALSE)</f>
        <v>0</v>
      </c>
      <c r="F147" s="54">
        <f>VLOOKUP(A147,DB_TBL_DATA_FIELDS[[#All],[FIELD_ID]:[RANGE_VALIDATION_MAX]],19,FALSE)</f>
        <v>60</v>
      </c>
      <c r="G147" s="54">
        <f t="shared" ca="1" si="7"/>
        <v>1</v>
      </c>
      <c r="J147"/>
      <c r="L147"/>
      <c r="N147"/>
      <c r="P147"/>
      <c r="R147"/>
      <c r="T147"/>
      <c r="V147"/>
      <c r="X147"/>
    </row>
    <row r="148" spans="1:24" ht="21.95" hidden="1" customHeight="1" x14ac:dyDescent="0.25">
      <c r="A148" s="61" t="s">
        <v>2231</v>
      </c>
      <c r="B148" s="95" t="str">
        <f>IF(S138&lt;&gt;"",S138,"")</f>
        <v/>
      </c>
      <c r="C148" s="54">
        <f ca="1">VLOOKUP(A148,DB_TBL_DATA_FIELDS[[FIELD_ID]:[PCT_CALC_FIELD_STATUS_CODE]],22,FALSE)</f>
        <v>1</v>
      </c>
      <c r="D148" s="54" t="str">
        <f>IF(VLOOKUP(A148,DB_TBL_DATA_FIELDS[[FIELD_ID]:[ERROR_MESSAGE]],23,FALSE)&lt;&gt;0,VLOOKUP(A148,DB_TBL_DATA_FIELDS[[FIELD_ID]:[ERROR_MESSAGE]],23,FALSE),"")</f>
        <v/>
      </c>
      <c r="E148" s="54">
        <f>VLOOKUP(A148,DB_TBL_DATA_FIELDS[[#All],[FIELD_ID]:[RANGE_VALIDATION_MAX]],18,FALSE)</f>
        <v>0</v>
      </c>
      <c r="F148" s="54">
        <f>VLOOKUP(A148,DB_TBL_DATA_FIELDS[[#All],[FIELD_ID]:[RANGE_VALIDATION_MAX]],19,FALSE)</f>
        <v>50</v>
      </c>
      <c r="G148" s="54">
        <f t="shared" ca="1" si="7"/>
        <v>1</v>
      </c>
      <c r="J148"/>
      <c r="L148"/>
      <c r="N148"/>
      <c r="P148"/>
      <c r="R148"/>
      <c r="T148"/>
      <c r="V148"/>
      <c r="X148"/>
    </row>
    <row r="149" spans="1:24" ht="21.95" hidden="1" customHeight="1" x14ac:dyDescent="0.25">
      <c r="A149" s="61" t="s">
        <v>2863</v>
      </c>
      <c r="B149" s="65" t="str">
        <f>"C"&amp;MATCH(LEFT(A149,LEN(A149)-LEN("_RANGE")),A:A,0)+1&amp;":C"&amp;(ROW()-1)</f>
        <v>C144:C148</v>
      </c>
      <c r="C149" s="54"/>
      <c r="D149" s="54"/>
      <c r="E149" s="54"/>
      <c r="F149" s="54"/>
      <c r="G149" s="54"/>
      <c r="J149"/>
      <c r="L149"/>
      <c r="N149"/>
      <c r="P149"/>
      <c r="R149"/>
      <c r="T149"/>
      <c r="V149"/>
      <c r="X149"/>
    </row>
    <row r="150" spans="1:24" ht="21.95" hidden="1" customHeight="1" x14ac:dyDescent="0.25">
      <c r="A150" s="61" t="s">
        <v>2864</v>
      </c>
      <c r="B150" s="65">
        <f ca="1">COUNTIF(INDIRECT($B149),2)</f>
        <v>0</v>
      </c>
      <c r="C150" s="54"/>
      <c r="D150" s="54"/>
      <c r="E150" s="54"/>
      <c r="F150" s="54"/>
      <c r="G150" s="54"/>
      <c r="J150"/>
      <c r="L150"/>
      <c r="N150"/>
      <c r="P150"/>
      <c r="R150"/>
      <c r="T150"/>
      <c r="V150"/>
      <c r="X150"/>
    </row>
    <row r="151" spans="1:24" ht="21.95" hidden="1" customHeight="1" x14ac:dyDescent="0.25">
      <c r="A151" s="61" t="s">
        <v>2865</v>
      </c>
      <c r="B151" s="65">
        <f ca="1">COUNTIF(INDIRECT($B149),0)+COUNTIF(INDIRECT($B149),1)+COUNTIF(INDIRECT($B149),2)</f>
        <v>5</v>
      </c>
      <c r="C151" s="54"/>
      <c r="D151" s="54"/>
      <c r="E151" s="54"/>
      <c r="F151" s="54"/>
      <c r="G151" s="54"/>
      <c r="J151"/>
      <c r="L151"/>
      <c r="N151"/>
      <c r="P151"/>
      <c r="R151"/>
      <c r="T151"/>
      <c r="V151"/>
      <c r="X151"/>
    </row>
    <row r="152" spans="1:24" ht="21.95" hidden="1" customHeight="1" x14ac:dyDescent="0.25">
      <c r="A152" s="61" t="s">
        <v>2866</v>
      </c>
      <c r="B152" s="65">
        <f ca="1">COUNTIF(INDIRECT($B149),0)</f>
        <v>0</v>
      </c>
      <c r="C152" s="54"/>
      <c r="D152" s="54"/>
      <c r="E152" s="54"/>
      <c r="F152" s="54"/>
      <c r="G152" s="54"/>
      <c r="J152"/>
      <c r="L152"/>
      <c r="N152"/>
      <c r="P152"/>
      <c r="R152"/>
      <c r="T152"/>
      <c r="V152"/>
      <c r="X152"/>
    </row>
    <row r="153" spans="1:24" ht="21.95" hidden="1" customHeight="1" x14ac:dyDescent="0.25">
      <c r="A153" s="61" t="s">
        <v>2867</v>
      </c>
      <c r="B153" s="97">
        <f ca="1">IFERROR(B150/B151,1.01)</f>
        <v>0</v>
      </c>
      <c r="C153" s="54"/>
      <c r="D153" s="54"/>
      <c r="E153" s="54"/>
      <c r="F153" s="54"/>
      <c r="G153" s="54"/>
      <c r="J153"/>
      <c r="L153"/>
      <c r="N153"/>
      <c r="P153"/>
      <c r="R153"/>
      <c r="T153"/>
      <c r="V153"/>
      <c r="X153"/>
    </row>
    <row r="154" spans="1:24" ht="21.95" hidden="1" customHeight="1" x14ac:dyDescent="0.25">
      <c r="A154" s="61" t="s">
        <v>2868</v>
      </c>
      <c r="B154" s="65" t="str">
        <f ca="1">IF(B152&gt;0,"Data Error(s)",IF(B153=0,"Not Started",IF(B153&lt;1,ROUNDUP(B153*100,0)&amp;"% Done",IF(B153&gt;1,"Optional","Complete"))))</f>
        <v>Not Started</v>
      </c>
      <c r="C154" s="54"/>
      <c r="D154" s="54"/>
      <c r="E154" s="54"/>
      <c r="F154" s="54"/>
      <c r="G154" s="54"/>
      <c r="J154"/>
      <c r="L154"/>
      <c r="N154"/>
      <c r="P154"/>
      <c r="R154"/>
      <c r="T154"/>
      <c r="V154"/>
      <c r="X154"/>
    </row>
    <row r="155" spans="1:24" ht="21.95" hidden="1" customHeight="1" x14ac:dyDescent="0.25">
      <c r="A155" s="61" t="s">
        <v>2869</v>
      </c>
      <c r="B155" s="65" t="str">
        <f ca="1">IF(B152&gt;0,0,IF(B153&lt;1,"",2))</f>
        <v/>
      </c>
      <c r="C155" s="54"/>
      <c r="D155" s="54"/>
      <c r="E155" s="54"/>
      <c r="F155" s="54"/>
      <c r="G155" s="54"/>
      <c r="J155"/>
      <c r="L155"/>
      <c r="N155"/>
      <c r="P155"/>
      <c r="R155"/>
      <c r="T155"/>
      <c r="V155"/>
      <c r="X155"/>
    </row>
    <row r="156" spans="1:24" ht="21.95" hidden="1" customHeight="1" x14ac:dyDescent="0.25">
      <c r="A156" s="61" t="s">
        <v>2870</v>
      </c>
      <c r="B156" s="96" t="s">
        <v>2862</v>
      </c>
      <c r="C156" s="54"/>
      <c r="D156" s="54"/>
      <c r="E156" s="54"/>
      <c r="F156" s="54"/>
      <c r="G156" s="54"/>
      <c r="J156"/>
      <c r="L156"/>
      <c r="N156"/>
      <c r="P156"/>
      <c r="R156"/>
      <c r="T156"/>
      <c r="V156"/>
      <c r="X156"/>
    </row>
    <row r="157" spans="1:24" ht="21.95" hidden="1" customHeight="1" x14ac:dyDescent="0.25">
      <c r="A157" s="77" t="s">
        <v>2871</v>
      </c>
      <c r="B157" s="65">
        <v>0</v>
      </c>
      <c r="C157" s="54"/>
      <c r="D157" s="54"/>
      <c r="E157" s="54"/>
      <c r="F157" s="54"/>
      <c r="G157" s="54"/>
      <c r="J157"/>
      <c r="L157"/>
      <c r="N157"/>
      <c r="P157"/>
      <c r="R157"/>
      <c r="T157"/>
      <c r="V157"/>
      <c r="X157"/>
    </row>
    <row r="158" spans="1:24" ht="21.95" hidden="1" customHeight="1" x14ac:dyDescent="0.25">
      <c r="A158" s="77" t="s">
        <v>2872</v>
      </c>
      <c r="B158" s="65" t="b">
        <f>(B157&gt;0)</f>
        <v>0</v>
      </c>
      <c r="C158" s="54"/>
      <c r="D158" s="54"/>
      <c r="E158" s="54"/>
      <c r="F158" s="54"/>
      <c r="G158" s="54"/>
      <c r="J158"/>
      <c r="L158"/>
      <c r="N158"/>
      <c r="P158"/>
      <c r="R158"/>
      <c r="T158"/>
      <c r="V158"/>
      <c r="X158"/>
    </row>
    <row r="159" spans="1:24" ht="21.95" hidden="1" customHeight="1" x14ac:dyDescent="0.25">
      <c r="J159"/>
      <c r="L159"/>
      <c r="N159"/>
      <c r="P159"/>
      <c r="R159"/>
      <c r="T159"/>
      <c r="V159"/>
      <c r="X159"/>
    </row>
    <row r="160" spans="1:24" ht="21.95" hidden="1" customHeight="1" x14ac:dyDescent="0.25">
      <c r="J160"/>
      <c r="L160"/>
      <c r="N160"/>
      <c r="P160"/>
      <c r="R160"/>
      <c r="T160"/>
      <c r="V160"/>
      <c r="X160"/>
    </row>
    <row r="161" spans="10:24" ht="15" hidden="1" x14ac:dyDescent="0.25">
      <c r="J161"/>
      <c r="L161"/>
      <c r="N161"/>
      <c r="P161"/>
      <c r="R161"/>
      <c r="T161"/>
      <c r="V161"/>
      <c r="X161"/>
    </row>
    <row r="162" spans="10:24" ht="15" hidden="1" x14ac:dyDescent="0.25">
      <c r="J162"/>
      <c r="L162"/>
      <c r="N162"/>
      <c r="P162"/>
      <c r="R162"/>
      <c r="T162"/>
      <c r="V162"/>
      <c r="X162"/>
    </row>
    <row r="163" spans="10:24" ht="15" hidden="1" x14ac:dyDescent="0.25">
      <c r="J163"/>
      <c r="L163"/>
      <c r="N163"/>
      <c r="P163"/>
      <c r="R163"/>
      <c r="T163"/>
      <c r="V163"/>
      <c r="X163"/>
    </row>
    <row r="164" spans="10:24" ht="15" hidden="1" x14ac:dyDescent="0.25">
      <c r="J164"/>
      <c r="L164"/>
      <c r="N164"/>
      <c r="P164"/>
      <c r="R164"/>
      <c r="T164"/>
      <c r="V164"/>
      <c r="X164"/>
    </row>
    <row r="165" spans="10:24" ht="15" hidden="1" x14ac:dyDescent="0.25">
      <c r="J165"/>
      <c r="L165"/>
      <c r="N165"/>
      <c r="P165"/>
      <c r="R165"/>
      <c r="T165"/>
      <c r="V165"/>
      <c r="X165"/>
    </row>
    <row r="166" spans="10:24" ht="15" hidden="1" x14ac:dyDescent="0.25">
      <c r="J166"/>
      <c r="L166"/>
      <c r="N166"/>
      <c r="P166"/>
      <c r="R166"/>
      <c r="T166"/>
      <c r="V166"/>
      <c r="X166"/>
    </row>
    <row r="167" spans="10:24" ht="15" hidden="1" x14ac:dyDescent="0.25">
      <c r="J167"/>
      <c r="L167"/>
      <c r="N167"/>
      <c r="P167"/>
      <c r="R167"/>
      <c r="T167"/>
      <c r="V167"/>
      <c r="X167"/>
    </row>
    <row r="168" spans="10:24" ht="15" hidden="1" x14ac:dyDescent="0.25">
      <c r="J168"/>
      <c r="L168"/>
      <c r="N168"/>
      <c r="P168"/>
      <c r="R168"/>
      <c r="T168"/>
      <c r="V168"/>
      <c r="X168"/>
    </row>
    <row r="169" spans="10:24" ht="15" hidden="1" x14ac:dyDescent="0.25">
      <c r="J169"/>
      <c r="L169"/>
      <c r="N169"/>
      <c r="P169"/>
      <c r="R169"/>
      <c r="T169"/>
      <c r="V169"/>
      <c r="X169"/>
    </row>
    <row r="170" spans="10:24" ht="15" hidden="1" x14ac:dyDescent="0.25">
      <c r="J170"/>
      <c r="L170"/>
      <c r="N170"/>
      <c r="P170"/>
      <c r="R170"/>
      <c r="T170"/>
      <c r="V170"/>
      <c r="X170"/>
    </row>
    <row r="171" spans="10:24" ht="15" hidden="1" x14ac:dyDescent="0.25">
      <c r="J171"/>
      <c r="L171"/>
      <c r="N171"/>
      <c r="P171"/>
      <c r="R171"/>
      <c r="T171"/>
      <c r="V171"/>
      <c r="X171"/>
    </row>
    <row r="172" spans="10:24" ht="15" hidden="1" x14ac:dyDescent="0.25">
      <c r="J172"/>
      <c r="L172"/>
      <c r="N172"/>
      <c r="P172"/>
      <c r="R172"/>
      <c r="T172"/>
      <c r="V172"/>
      <c r="X172"/>
    </row>
  </sheetData>
  <sheetProtection algorithmName="SHA-512" hashValue="ga4+ERdFZw1JFzoaLYvmctAkzAaAzycYZa/J8d+hCWGvh1coJo4yC5ak7BjxipOJRzGEzItScmdTKXHAZ2xMaQ==" saltValue="qvIe6IaMT7xxt8z1v8QsdQ==" spinCount="100000" sheet="1" objects="1" scenarios="1" selectLockedCells="1"/>
  <dataConsolidate/>
  <mergeCells count="76">
    <mergeCell ref="I139:Q139"/>
    <mergeCell ref="I109:X133"/>
    <mergeCell ref="I136:M136"/>
    <mergeCell ref="O136:S136"/>
    <mergeCell ref="U136:W136"/>
    <mergeCell ref="I138:Q138"/>
    <mergeCell ref="S138:W138"/>
    <mergeCell ref="I95:X95"/>
    <mergeCell ref="M97:S97"/>
    <mergeCell ref="I99:W99"/>
    <mergeCell ref="K101:M101"/>
    <mergeCell ref="O101:Q101"/>
    <mergeCell ref="S101:U101"/>
    <mergeCell ref="I91:X92"/>
    <mergeCell ref="I74:O74"/>
    <mergeCell ref="Q74:S74"/>
    <mergeCell ref="I76:K76"/>
    <mergeCell ref="M76:O76"/>
    <mergeCell ref="Q76:S76"/>
    <mergeCell ref="I79:K79"/>
    <mergeCell ref="M79:O79"/>
    <mergeCell ref="Q79:S79"/>
    <mergeCell ref="U79:W79"/>
    <mergeCell ref="I86:S86"/>
    <mergeCell ref="U86:W86"/>
    <mergeCell ref="U87:W88"/>
    <mergeCell ref="I88:S88"/>
    <mergeCell ref="I67:S68"/>
    <mergeCell ref="I60:P60"/>
    <mergeCell ref="Q60:S60"/>
    <mergeCell ref="U60:W60"/>
    <mergeCell ref="I62:P62"/>
    <mergeCell ref="Q62:S62"/>
    <mergeCell ref="U62:W62"/>
    <mergeCell ref="I63:T63"/>
    <mergeCell ref="U63:W63"/>
    <mergeCell ref="I64:T64"/>
    <mergeCell ref="U64:W64"/>
    <mergeCell ref="I65:X65"/>
    <mergeCell ref="U52:W52"/>
    <mergeCell ref="Q53:W53"/>
    <mergeCell ref="I59:P59"/>
    <mergeCell ref="Q59:T59"/>
    <mergeCell ref="U59:X59"/>
    <mergeCell ref="I36:J36"/>
    <mergeCell ref="M36:O36"/>
    <mergeCell ref="Q36:U36"/>
    <mergeCell ref="I41:O41"/>
    <mergeCell ref="Q41:S41"/>
    <mergeCell ref="I34:J34"/>
    <mergeCell ref="M34:O34"/>
    <mergeCell ref="Q34:U34"/>
    <mergeCell ref="I35:J35"/>
    <mergeCell ref="M35:O35"/>
    <mergeCell ref="Q35:U35"/>
    <mergeCell ref="I6:Y6"/>
    <mergeCell ref="I9:X9"/>
    <mergeCell ref="U13:X13"/>
    <mergeCell ref="I17:M17"/>
    <mergeCell ref="Q17:U17"/>
    <mergeCell ref="I18:M18"/>
    <mergeCell ref="Q18:U18"/>
    <mergeCell ref="I61:P61"/>
    <mergeCell ref="Q61:S61"/>
    <mergeCell ref="U61:W61"/>
    <mergeCell ref="I55:W57"/>
    <mergeCell ref="I19:M19"/>
    <mergeCell ref="Q19:U19"/>
    <mergeCell ref="I24:W24"/>
    <mergeCell ref="I33:J33"/>
    <mergeCell ref="K33:L33"/>
    <mergeCell ref="M33:P33"/>
    <mergeCell ref="Q33:V33"/>
    <mergeCell ref="W33:X33"/>
    <mergeCell ref="I43:O43"/>
    <mergeCell ref="Q43:S43"/>
  </mergeCells>
  <conditionalFormatting sqref="H6">
    <cfRule type="expression" dxfId="66" priority="84">
      <formula>($B$10=TRUE)</formula>
    </cfRule>
  </conditionalFormatting>
  <conditionalFormatting sqref="I65">
    <cfRule type="notContainsBlanks" dxfId="65" priority="18">
      <formula>LEN(TRIM(I65))&gt;0</formula>
    </cfRule>
  </conditionalFormatting>
  <conditionalFormatting sqref="I139">
    <cfRule type="notContainsBlanks" dxfId="64" priority="78">
      <formula>LEN(TRIM(I139))&gt;0</formula>
    </cfRule>
  </conditionalFormatting>
  <conditionalFormatting sqref="I88:S88">
    <cfRule type="expression" dxfId="63" priority="42">
      <formula>DATA_NONPROF_AGCY_NAME_OTHER_REQUIRED&lt;&gt;TRUE</formula>
    </cfRule>
  </conditionalFormatting>
  <conditionalFormatting sqref="I45:V45">
    <cfRule type="expression" dxfId="62" priority="13">
      <formula>(#REF!=1)</formula>
    </cfRule>
  </conditionalFormatting>
  <conditionalFormatting sqref="I28:X28">
    <cfRule type="expression" dxfId="61" priority="39">
      <formula>$X$28=1</formula>
    </cfRule>
  </conditionalFormatting>
  <conditionalFormatting sqref="I31:X31">
    <cfRule type="expression" dxfId="60" priority="74">
      <formula>(#REF!=1)</formula>
    </cfRule>
  </conditionalFormatting>
  <conditionalFormatting sqref="I38:X38">
    <cfRule type="expression" dxfId="59" priority="66">
      <formula>(#REF!=1)</formula>
    </cfRule>
  </conditionalFormatting>
  <conditionalFormatting sqref="I45:X45">
    <cfRule type="expression" dxfId="58" priority="3">
      <formula>$X$45=1</formula>
    </cfRule>
  </conditionalFormatting>
  <conditionalFormatting sqref="I58:X58">
    <cfRule type="expression" dxfId="57" priority="1">
      <formula>$X$58=1</formula>
    </cfRule>
  </conditionalFormatting>
  <conditionalFormatting sqref="I72:X72">
    <cfRule type="expression" dxfId="56" priority="36">
      <formula>$X$72=1</formula>
    </cfRule>
  </conditionalFormatting>
  <conditionalFormatting sqref="I90:X90 K101 O101 S101 W101">
    <cfRule type="expression" dxfId="55" priority="49">
      <formula>$X$90=1</formula>
    </cfRule>
  </conditionalFormatting>
  <conditionalFormatting sqref="I6:Y6">
    <cfRule type="expression" dxfId="54" priority="85">
      <formula>($B$10=TRUE)</formula>
    </cfRule>
  </conditionalFormatting>
  <conditionalFormatting sqref="L34">
    <cfRule type="iconSet" priority="72">
      <iconSet iconSet="3Symbols" showValue="0">
        <cfvo type="percent" val="0"/>
        <cfvo type="num" val="0" gte="0"/>
        <cfvo type="num" val="2"/>
      </iconSet>
    </cfRule>
  </conditionalFormatting>
  <conditionalFormatting sqref="L35:L36">
    <cfRule type="iconSet" priority="69">
      <iconSet iconSet="3Symbols" showValue="0">
        <cfvo type="percent" val="0"/>
        <cfvo type="num" val="0" gte="0"/>
        <cfvo type="num" val="2"/>
      </iconSet>
    </cfRule>
  </conditionalFormatting>
  <conditionalFormatting sqref="L76">
    <cfRule type="iconSet" priority="57">
      <iconSet iconSet="3Symbols" showValue="0">
        <cfvo type="percent" val="0"/>
        <cfvo type="num" val="0" gte="0"/>
        <cfvo type="num" val="2"/>
      </iconSet>
    </cfRule>
  </conditionalFormatting>
  <conditionalFormatting sqref="L79">
    <cfRule type="iconSet" priority="52">
      <iconSet iconSet="3Symbols" showValue="0">
        <cfvo type="percent" val="0"/>
        <cfvo type="num" val="0" gte="0"/>
        <cfvo type="num" val="2"/>
      </iconSet>
    </cfRule>
  </conditionalFormatting>
  <conditionalFormatting sqref="L102 J101 L104:L105">
    <cfRule type="iconSet" priority="102">
      <iconSet iconSet="3Symbols" showValue="0">
        <cfvo type="percent" val="0"/>
        <cfvo type="num" val="0" gte="0"/>
        <cfvo type="num" val="2"/>
      </iconSet>
    </cfRule>
  </conditionalFormatting>
  <conditionalFormatting sqref="M97">
    <cfRule type="notContainsBlanks" dxfId="53" priority="41">
      <formula>LEN(TRIM(M97))&gt;0</formula>
    </cfRule>
  </conditionalFormatting>
  <conditionalFormatting sqref="N17:N19 V17:V18">
    <cfRule type="iconSet" priority="92">
      <iconSet iconSet="3Flags">
        <cfvo type="percent" val="0"/>
        <cfvo type="num" val="0" gte="0"/>
        <cfvo type="num" val="1000" gte="0"/>
      </iconSet>
    </cfRule>
  </conditionalFormatting>
  <conditionalFormatting sqref="N136">
    <cfRule type="iconSet" priority="80">
      <iconSet iconSet="3Symbols" showValue="0">
        <cfvo type="percent" val="0"/>
        <cfvo type="num" val="0" gte="0"/>
        <cfvo type="num" val="2"/>
      </iconSet>
    </cfRule>
  </conditionalFormatting>
  <conditionalFormatting sqref="O17:P19">
    <cfRule type="expression" dxfId="52" priority="87">
      <formula>($P17=2)</formula>
    </cfRule>
    <cfRule type="expression" dxfId="51" priority="86">
      <formula>($P17=0)</formula>
    </cfRule>
  </conditionalFormatting>
  <conditionalFormatting sqref="P17:P19">
    <cfRule type="iconSet" priority="91">
      <iconSet iconSet="3Symbols2" showValue="0">
        <cfvo type="percent" val="0"/>
        <cfvo type="num" val="0" gte="0"/>
        <cfvo type="num" val="1" gte="0"/>
      </iconSet>
    </cfRule>
  </conditionalFormatting>
  <conditionalFormatting sqref="P34">
    <cfRule type="iconSet" priority="73">
      <iconSet iconSet="3Symbols" showValue="0">
        <cfvo type="percent" val="0"/>
        <cfvo type="num" val="0" gte="0"/>
        <cfvo type="num" val="2"/>
      </iconSet>
    </cfRule>
  </conditionalFormatting>
  <conditionalFormatting sqref="P35:P36">
    <cfRule type="iconSet" priority="70">
      <iconSet iconSet="3Symbols" showValue="0">
        <cfvo type="percent" val="0"/>
        <cfvo type="num" val="0" gte="0"/>
        <cfvo type="num" val="2"/>
      </iconSet>
    </cfRule>
  </conditionalFormatting>
  <conditionalFormatting sqref="P41 X41 T41 V41">
    <cfRule type="iconSet" priority="95">
      <iconSet iconSet="3Symbols" showValue="0">
        <cfvo type="percent" val="0"/>
        <cfvo type="num" val="0" gte="0"/>
        <cfvo type="num" val="2"/>
      </iconSet>
    </cfRule>
  </conditionalFormatting>
  <conditionalFormatting sqref="P43">
    <cfRule type="iconSet" priority="65">
      <iconSet iconSet="3Symbols" showValue="0">
        <cfvo type="percent" val="0"/>
        <cfvo type="num" val="0" gte="0"/>
        <cfvo type="num" val="2"/>
      </iconSet>
    </cfRule>
  </conditionalFormatting>
  <conditionalFormatting sqref="P74 X74 T74 V74">
    <cfRule type="iconSet" priority="58">
      <iconSet iconSet="3Symbols" showValue="0">
        <cfvo type="percent" val="0"/>
        <cfvo type="num" val="0" gte="0"/>
        <cfvo type="num" val="2"/>
      </iconSet>
    </cfRule>
  </conditionalFormatting>
  <conditionalFormatting sqref="P76">
    <cfRule type="iconSet" priority="26">
      <iconSet iconSet="3Symbols" showValue="0">
        <cfvo type="percent" val="0"/>
        <cfvo type="num" val="0" gte="0"/>
        <cfvo type="num" val="2"/>
      </iconSet>
    </cfRule>
  </conditionalFormatting>
  <conditionalFormatting sqref="P79">
    <cfRule type="iconSet" priority="51">
      <iconSet iconSet="3Symbols" showValue="0">
        <cfvo type="percent" val="0"/>
        <cfvo type="num" val="0" gte="0"/>
        <cfvo type="num" val="2"/>
      </iconSet>
    </cfRule>
  </conditionalFormatting>
  <conditionalFormatting sqref="P102 N101 P104:P105">
    <cfRule type="iconSet" priority="99">
      <iconSet iconSet="3Symbols" showValue="0">
        <cfvo type="percent" val="0"/>
        <cfvo type="num" val="0" gte="0"/>
        <cfvo type="num" val="2"/>
      </iconSet>
    </cfRule>
  </conditionalFormatting>
  <conditionalFormatting sqref="Q53">
    <cfRule type="notContainsBlanks" dxfId="50" priority="47">
      <formula>LEN(TRIM(Q53))&gt;0</formula>
    </cfRule>
  </conditionalFormatting>
  <conditionalFormatting sqref="Q79:S79">
    <cfRule type="expression" dxfId="49" priority="35">
      <formula>$X$72=1</formula>
    </cfRule>
  </conditionalFormatting>
  <conditionalFormatting sqref="Q60:X62 U63:X63">
    <cfRule type="expression" dxfId="48" priority="16">
      <formula>UPPER($W$54)&lt;&gt;"YES"</formula>
    </cfRule>
  </conditionalFormatting>
  <conditionalFormatting sqref="R13 N13 J13">
    <cfRule type="iconSet" priority="88">
      <iconSet iconSet="3Symbols" showValue="0">
        <cfvo type="percent" val="0"/>
        <cfvo type="num" val="0" gte="0"/>
        <cfvo type="num" val="2"/>
      </iconSet>
    </cfRule>
  </conditionalFormatting>
  <conditionalFormatting sqref="R101">
    <cfRule type="iconSet" priority="23">
      <iconSet iconSet="3Symbols" showValue="0">
        <cfvo type="percent" val="0"/>
        <cfvo type="num" val="0" gte="0"/>
        <cfvo type="num" val="2"/>
      </iconSet>
    </cfRule>
  </conditionalFormatting>
  <conditionalFormatting sqref="R138 X24 X138 N136">
    <cfRule type="iconSet" priority="89">
      <iconSet iconSet="3Symbols" showValue="0">
        <cfvo type="percent" val="0"/>
        <cfvo type="num" val="0" gte="0"/>
        <cfvo type="num" val="2"/>
      </iconSet>
    </cfRule>
  </conditionalFormatting>
  <conditionalFormatting sqref="R138">
    <cfRule type="iconSet" priority="93">
      <iconSet iconSet="3Symbols" showValue="0">
        <cfvo type="percent" val="0"/>
        <cfvo type="num" val="0" gte="0"/>
        <cfvo type="num" val="2"/>
      </iconSet>
    </cfRule>
  </conditionalFormatting>
  <conditionalFormatting sqref="S3">
    <cfRule type="dataBar" priority="90">
      <dataBar>
        <cfvo type="num" val="0"/>
        <cfvo type="num" val="1"/>
        <color theme="6" tint="-0.249977111117893"/>
      </dataBar>
      <extLst>
        <ext xmlns:x14="http://schemas.microsoft.com/office/spreadsheetml/2009/9/main" uri="{B025F937-C7B1-47D3-B67F-A62EFF666E3E}">
          <x14:id>{4122D7CA-2B29-4697-8C1D-5BDCA665FE43}</x14:id>
        </ext>
      </extLst>
    </cfRule>
  </conditionalFormatting>
  <conditionalFormatting sqref="T3">
    <cfRule type="iconSet" priority="76">
      <iconSet iconSet="3Symbols2" showValue="0">
        <cfvo type="percent" val="0"/>
        <cfvo type="num" val="0" gte="0"/>
        <cfvo type="num" val="1" gte="0"/>
      </iconSet>
    </cfRule>
  </conditionalFormatting>
  <conditionalFormatting sqref="T43">
    <cfRule type="iconSet" priority="64">
      <iconSet iconSet="3Symbols" showValue="0">
        <cfvo type="percent" val="0"/>
        <cfvo type="num" val="0" gte="0"/>
        <cfvo type="num" val="2"/>
      </iconSet>
    </cfRule>
  </conditionalFormatting>
  <conditionalFormatting sqref="T60:T62">
    <cfRule type="iconSet" priority="21">
      <iconSet iconSet="3Symbols" showValue="0">
        <cfvo type="percent" val="0"/>
        <cfvo type="num" val="0" gte="0"/>
        <cfvo type="num" val="2"/>
      </iconSet>
    </cfRule>
  </conditionalFormatting>
  <conditionalFormatting sqref="T76">
    <cfRule type="iconSet" priority="56">
      <iconSet iconSet="3Symbols" showValue="0">
        <cfvo type="percent" val="0"/>
        <cfvo type="num" val="0" gte="0"/>
        <cfvo type="num" val="2"/>
      </iconSet>
    </cfRule>
  </conditionalFormatting>
  <conditionalFormatting sqref="T79">
    <cfRule type="iconSet" priority="54">
      <iconSet iconSet="3Symbols" showValue="0">
        <cfvo type="percent" val="0"/>
        <cfvo type="num" val="0" gte="0"/>
        <cfvo type="num" val="2"/>
      </iconSet>
    </cfRule>
  </conditionalFormatting>
  <conditionalFormatting sqref="T86">
    <cfRule type="iconSet" priority="46">
      <iconSet iconSet="3Symbols" showValue="0">
        <cfvo type="percent" val="0"/>
        <cfvo type="num" val="0" gte="0"/>
        <cfvo type="num" val="2"/>
      </iconSet>
    </cfRule>
    <cfRule type="iconSet" priority="45">
      <iconSet iconSet="3Symbols" showValue="0">
        <cfvo type="percent" val="0"/>
        <cfvo type="num" val="0" gte="0"/>
        <cfvo type="num" val="2"/>
      </iconSet>
    </cfRule>
  </conditionalFormatting>
  <conditionalFormatting sqref="T88">
    <cfRule type="iconSet" priority="44">
      <iconSet iconSet="3Symbols" showValue="0">
        <cfvo type="percent" val="0"/>
        <cfvo type="num" val="0" gte="0"/>
        <cfvo type="num" val="2"/>
      </iconSet>
    </cfRule>
    <cfRule type="iconSet" priority="43">
      <iconSet iconSet="3Symbols" showValue="0">
        <cfvo type="percent" val="0"/>
        <cfvo type="num" val="0" gte="0"/>
        <cfvo type="num" val="2"/>
      </iconSet>
    </cfRule>
  </conditionalFormatting>
  <conditionalFormatting sqref="T96">
    <cfRule type="iconSet" priority="96">
      <iconSet iconSet="3Symbols" showValue="0">
        <cfvo type="percent" val="0"/>
        <cfvo type="num" val="0" gte="0"/>
        <cfvo type="num" val="2"/>
      </iconSet>
    </cfRule>
  </conditionalFormatting>
  <conditionalFormatting sqref="T102 V101 T104:T105">
    <cfRule type="iconSet" priority="100">
      <iconSet iconSet="3Symbols" showValue="0">
        <cfvo type="percent" val="0"/>
        <cfvo type="num" val="0" gte="0"/>
        <cfvo type="num" val="2"/>
      </iconSet>
    </cfRule>
  </conditionalFormatting>
  <conditionalFormatting sqref="T136">
    <cfRule type="iconSet" priority="34">
      <iconSet iconSet="3Symbols" showValue="0">
        <cfvo type="percent" val="0"/>
        <cfvo type="num" val="0" gte="0"/>
        <cfvo type="num" val="2"/>
      </iconSet>
    </cfRule>
    <cfRule type="iconSet" priority="33">
      <iconSet iconSet="3Symbols" showValue="0">
        <cfvo type="percent" val="0"/>
        <cfvo type="num" val="0" gte="0"/>
        <cfvo type="num" val="2"/>
      </iconSet>
    </cfRule>
  </conditionalFormatting>
  <conditionalFormatting sqref="U87">
    <cfRule type="notContainsBlanks" dxfId="47" priority="48">
      <formula>LEN(TRIM(U87))&gt;0</formula>
    </cfRule>
  </conditionalFormatting>
  <conditionalFormatting sqref="U52:W52 I79:K79 M79:O79">
    <cfRule type="expression" dxfId="46" priority="97">
      <formula>AND(#REF!="",#REF!&lt;&gt;"")</formula>
    </cfRule>
  </conditionalFormatting>
  <conditionalFormatting sqref="U60:W62">
    <cfRule type="expression" dxfId="45" priority="17">
      <formula>AND(#REF!="",#REF!&lt;&gt;"")</formula>
    </cfRule>
  </conditionalFormatting>
  <conditionalFormatting sqref="U60:X62">
    <cfRule type="expression" dxfId="44" priority="15">
      <formula>UPPER($Q60)&lt;&gt;"YES"</formula>
    </cfRule>
  </conditionalFormatting>
  <conditionalFormatting sqref="V19">
    <cfRule type="iconSet" priority="30">
      <iconSet iconSet="3Flags">
        <cfvo type="percent" val="0"/>
        <cfvo type="num" val="0" gte="0"/>
        <cfvo type="num" val="1000" gte="0"/>
      </iconSet>
    </cfRule>
  </conditionalFormatting>
  <conditionalFormatting sqref="V34">
    <cfRule type="iconSet" priority="75">
      <iconSet iconSet="3Symbols" showValue="0">
        <cfvo type="percent" val="0"/>
        <cfvo type="num" val="0" gte="0"/>
        <cfvo type="num" val="2"/>
      </iconSet>
    </cfRule>
  </conditionalFormatting>
  <conditionalFormatting sqref="V35:V36">
    <cfRule type="iconSet" priority="71">
      <iconSet iconSet="3Symbols" showValue="0">
        <cfvo type="percent" val="0"/>
        <cfvo type="num" val="0" gte="0"/>
        <cfvo type="num" val="2"/>
      </iconSet>
    </cfRule>
  </conditionalFormatting>
  <conditionalFormatting sqref="W29">
    <cfRule type="expression" dxfId="43" priority="38">
      <formula>$C$65=1</formula>
    </cfRule>
  </conditionalFormatting>
  <conditionalFormatting sqref="W47">
    <cfRule type="expression" dxfId="42" priority="8">
      <formula>$C$65=1</formula>
    </cfRule>
  </conditionalFormatting>
  <conditionalFormatting sqref="W17:X19">
    <cfRule type="expression" dxfId="41" priority="28">
      <formula>($X17=2)</formula>
    </cfRule>
    <cfRule type="expression" dxfId="40" priority="27">
      <formula>($X17=0)</formula>
    </cfRule>
  </conditionalFormatting>
  <conditionalFormatting sqref="W45:X45">
    <cfRule type="expression" dxfId="39" priority="4">
      <formula>$X$28=1</formula>
    </cfRule>
  </conditionalFormatting>
  <conditionalFormatting sqref="X17">
    <cfRule type="iconSet" priority="82">
      <iconSet iconSet="3Symbols2" showValue="0">
        <cfvo type="percent" val="0"/>
        <cfvo type="num" val="0" gte="0"/>
        <cfvo type="num" val="1" gte="0"/>
      </iconSet>
    </cfRule>
  </conditionalFormatting>
  <conditionalFormatting sqref="X18">
    <cfRule type="iconSet" priority="81">
      <iconSet iconSet="3Symbols2" showValue="0">
        <cfvo type="percent" val="0"/>
        <cfvo type="num" val="0" gte="0"/>
        <cfvo type="num" val="1" gte="0"/>
      </iconSet>
    </cfRule>
  </conditionalFormatting>
  <conditionalFormatting sqref="X19">
    <cfRule type="iconSet" priority="29">
      <iconSet iconSet="3Symbols2" showValue="0">
        <cfvo type="percent" val="0"/>
        <cfvo type="num" val="0" gte="0"/>
        <cfvo type="num" val="1" gte="0"/>
      </iconSet>
    </cfRule>
  </conditionalFormatting>
  <conditionalFormatting sqref="X25">
    <cfRule type="iconSet" priority="94">
      <iconSet iconSet="3Symbols" showValue="0">
        <cfvo type="percent" val="0"/>
        <cfvo type="num" val="0" gte="0"/>
        <cfvo type="num" val="2"/>
      </iconSet>
    </cfRule>
  </conditionalFormatting>
  <conditionalFormatting sqref="X28">
    <cfRule type="iconSet" priority="40">
      <iconSet iconSet="3Flags" showValue="0">
        <cfvo type="percent" val="0"/>
        <cfvo type="num" val="1"/>
        <cfvo type="num" val="2" gte="0"/>
      </iconSet>
    </cfRule>
  </conditionalFormatting>
  <conditionalFormatting sqref="X29">
    <cfRule type="iconSet" priority="77">
      <iconSet iconSet="3Symbols" showValue="0">
        <cfvo type="percent" val="0"/>
        <cfvo type="num" val="0" gte="0"/>
        <cfvo type="num" val="2"/>
      </iconSet>
    </cfRule>
  </conditionalFormatting>
  <conditionalFormatting sqref="X34:X36">
    <cfRule type="iconSet" priority="68">
      <iconSet iconSet="3Symbols" showValue="0">
        <cfvo type="percent" val="0"/>
        <cfvo type="num" val="0" gte="0"/>
        <cfvo type="num" val="2"/>
      </iconSet>
    </cfRule>
  </conditionalFormatting>
  <conditionalFormatting sqref="X43">
    <cfRule type="iconSet" priority="63">
      <iconSet iconSet="3Symbols" showValue="0">
        <cfvo type="percent" val="0"/>
        <cfvo type="num" val="0" gte="0"/>
        <cfvo type="num" val="2"/>
      </iconSet>
    </cfRule>
  </conditionalFormatting>
  <conditionalFormatting sqref="X45">
    <cfRule type="iconSet" priority="5">
      <iconSet iconSet="3Flags" showValue="0">
        <cfvo type="percent" val="0"/>
        <cfvo type="num" val="1"/>
        <cfvo type="num" val="2" gte="0"/>
      </iconSet>
    </cfRule>
  </conditionalFormatting>
  <conditionalFormatting sqref="X47">
    <cfRule type="iconSet" priority="9">
      <iconSet iconSet="3Symbols" showValue="0">
        <cfvo type="percent" val="0"/>
        <cfvo type="num" val="0" gte="0"/>
        <cfvo type="num" val="2"/>
      </iconSet>
    </cfRule>
  </conditionalFormatting>
  <conditionalFormatting sqref="X52">
    <cfRule type="iconSet" priority="62">
      <iconSet iconSet="3Symbols" showValue="0">
        <cfvo type="percent" val="0"/>
        <cfvo type="num" val="0" gte="0"/>
        <cfvo type="num" val="2"/>
      </iconSet>
    </cfRule>
  </conditionalFormatting>
  <conditionalFormatting sqref="X54">
    <cfRule type="iconSet" priority="22">
      <iconSet iconSet="3Symbols" showValue="0">
        <cfvo type="percent" val="0"/>
        <cfvo type="num" val="0" gte="0"/>
        <cfvo type="num" val="2"/>
      </iconSet>
    </cfRule>
  </conditionalFormatting>
  <conditionalFormatting sqref="X58">
    <cfRule type="iconSet" priority="2">
      <iconSet iconSet="3Flags" showValue="0">
        <cfvo type="percent" val="0"/>
        <cfvo type="num" val="1"/>
        <cfvo type="num" val="2" gte="0"/>
      </iconSet>
    </cfRule>
  </conditionalFormatting>
  <conditionalFormatting sqref="X60:X62">
    <cfRule type="iconSet" priority="20">
      <iconSet iconSet="3Symbols" showValue="0">
        <cfvo type="percent" val="0"/>
        <cfvo type="num" val="0" gte="0"/>
        <cfvo type="num" val="2"/>
      </iconSet>
    </cfRule>
  </conditionalFormatting>
  <conditionalFormatting sqref="X64">
    <cfRule type="iconSet" priority="14">
      <iconSet iconSet="3Symbols" showValue="0">
        <cfvo type="percent" val="0"/>
        <cfvo type="num" val="0" gte="0"/>
        <cfvo type="num" val="2"/>
      </iconSet>
    </cfRule>
  </conditionalFormatting>
  <conditionalFormatting sqref="X67">
    <cfRule type="iconSet" priority="59">
      <iconSet iconSet="3Symbols" showValue="0">
        <cfvo type="percent" val="0"/>
        <cfvo type="num" val="0" gte="0"/>
        <cfvo type="num" val="2"/>
      </iconSet>
    </cfRule>
  </conditionalFormatting>
  <conditionalFormatting sqref="X72">
    <cfRule type="iconSet" priority="37">
      <iconSet iconSet="3Flags" showValue="0">
        <cfvo type="percent" val="0"/>
        <cfvo type="num" val="1"/>
        <cfvo type="num" val="2" gte="0"/>
      </iconSet>
    </cfRule>
  </conditionalFormatting>
  <conditionalFormatting sqref="X76">
    <cfRule type="iconSet" priority="55">
      <iconSet iconSet="3Symbols" showValue="0">
        <cfvo type="percent" val="0"/>
        <cfvo type="num" val="0" gte="0"/>
        <cfvo type="num" val="2"/>
      </iconSet>
    </cfRule>
  </conditionalFormatting>
  <conditionalFormatting sqref="X79">
    <cfRule type="iconSet" priority="53">
      <iconSet iconSet="3Symbols" showValue="0">
        <cfvo type="percent" val="0"/>
        <cfvo type="num" val="0" gte="0"/>
        <cfvo type="num" val="2"/>
      </iconSet>
    </cfRule>
  </conditionalFormatting>
  <conditionalFormatting sqref="X86">
    <cfRule type="iconSet" priority="50">
      <iconSet iconSet="3Symbols" showValue="0">
        <cfvo type="percent" val="0"/>
        <cfvo type="num" val="0" gte="0"/>
        <cfvo type="num" val="2"/>
      </iconSet>
    </cfRule>
    <cfRule type="iconSet" priority="98">
      <iconSet iconSet="3Symbols" showValue="0">
        <cfvo type="percent" val="0"/>
        <cfvo type="num" val="0" gte="0"/>
        <cfvo type="num" val="2"/>
      </iconSet>
    </cfRule>
  </conditionalFormatting>
  <conditionalFormatting sqref="X90 H6">
    <cfRule type="iconSet" priority="83">
      <iconSet iconSet="3Flags" showValue="0">
        <cfvo type="percent" val="0"/>
        <cfvo type="num" val="1"/>
        <cfvo type="num" val="2" gte="0"/>
      </iconSet>
    </cfRule>
  </conditionalFormatting>
  <conditionalFormatting sqref="X99">
    <cfRule type="iconSet" priority="24">
      <iconSet iconSet="3Symbols" showValue="0">
        <cfvo type="percent" val="0"/>
        <cfvo type="num" val="0" gte="0"/>
        <cfvo type="num" val="2"/>
      </iconSet>
    </cfRule>
  </conditionalFormatting>
  <conditionalFormatting sqref="X101:X102 X104:X105">
    <cfRule type="iconSet" priority="101">
      <iconSet iconSet="3Symbols" showValue="0">
        <cfvo type="percent" val="0"/>
        <cfvo type="num" val="0" gte="0"/>
        <cfvo type="num" val="2"/>
      </iconSet>
    </cfRule>
  </conditionalFormatting>
  <conditionalFormatting sqref="X103">
    <cfRule type="iconSet" priority="25">
      <iconSet iconSet="3Flags" showValue="0">
        <cfvo type="percent" val="0"/>
        <cfvo type="num" val="1"/>
        <cfvo type="num" val="2" gte="0"/>
      </iconSet>
    </cfRule>
  </conditionalFormatting>
  <conditionalFormatting sqref="X136">
    <cfRule type="iconSet" priority="31">
      <iconSet iconSet="3Symbols" showValue="0">
        <cfvo type="percent" val="0"/>
        <cfvo type="num" val="0" gte="0"/>
        <cfvo type="num" val="2"/>
      </iconSet>
    </cfRule>
    <cfRule type="iconSet" priority="32">
      <iconSet iconSet="3Symbols" showValue="0">
        <cfvo type="percent" val="0"/>
        <cfvo type="num" val="0" gte="0"/>
        <cfvo type="num" val="2"/>
      </iconSet>
    </cfRule>
  </conditionalFormatting>
  <conditionalFormatting sqref="X138">
    <cfRule type="iconSet" priority="79">
      <iconSet iconSet="3Symbols" showValue="0">
        <cfvo type="percent" val="0"/>
        <cfvo type="num" val="0" gte="0"/>
        <cfvo type="num" val="2"/>
      </iconSet>
    </cfRule>
  </conditionalFormatting>
  <dataValidations count="41">
    <dataValidation type="textLength" allowBlank="1" showInputMessage="1" showErrorMessage="1" error="Maximum Number of Characters Exceeded" sqref="I24" xr:uid="{9C49DA21-49E5-4CA4-9054-C19A92B6D2DF}">
      <formula1>E19</formula1>
      <formula2>F19</formula2>
    </dataValidation>
    <dataValidation type="list" allowBlank="1" showInputMessage="1" showErrorMessage="1" error="Select 'Yes' or 'No'" sqref="W29 Q79 W67 U79 W54 Q60:S62 W47" xr:uid="{F45D7183-947C-4B57-99BA-6B63E270330E}">
      <formula1>RANGE_LOOKUP_YESNO</formula1>
    </dataValidation>
    <dataValidation type="whole" allowBlank="1" showInputMessage="1" showErrorMessage="1" error="Invalid Zip Code Entered" sqref="W74 W41" xr:uid="{90A80392-65DC-4CB7-931C-8ED029551252}">
      <formula1>1</formula1>
      <formula2>99999</formula2>
    </dataValidation>
    <dataValidation type="custom" showInputMessage="1" showErrorMessage="1" errorTitle="No Data Entry" error="Field is Read-Only" sqref="H15" xr:uid="{0DBED41A-0A21-4F52-99F4-5348CF54660C}">
      <formula1>"&lt;0&gt;0"</formula1>
    </dataValidation>
    <dataValidation type="list" allowBlank="1" showInputMessage="1" showErrorMessage="1" sqref="K34:K36" xr:uid="{B233F6E9-762B-4E76-BF0C-FC1D8CE737C7}">
      <formula1>RANGE_LOOKUP_PREFIX</formula1>
    </dataValidation>
    <dataValidation type="list" allowBlank="1" showInputMessage="1" showErrorMessage="1" error="_x000a_" sqref="W34:W36" xr:uid="{471580E2-A162-497D-AF94-DF0221392020}">
      <formula1>RANGE_LOOKUP_MARITALSTATUS</formula1>
    </dataValidation>
    <dataValidation type="list" allowBlank="1" showInputMessage="1" showErrorMessage="1" error="An invalid State has been specified" sqref="U41" xr:uid="{D86B2C4C-CB22-44CF-A304-605A30D299AD}">
      <formula1>RANGE_LOOKUP_STATE_ALLSTATES</formula1>
    </dataValidation>
    <dataValidation type="list" allowBlank="1" showInputMessage="1" showErrorMessage="1" sqref="I43:O43" xr:uid="{F011D821-2B78-4A11-988E-6E6464CDF2CF}">
      <formula1>IF($U$41&lt;&gt;"",INDIRECT("COUNTY_RANGE_"&amp;$U$41),INDIRECT("RANGE_LOOKUP_COUNTY_PLACEHOLDER"))</formula1>
    </dataValidation>
    <dataValidation type="whole" allowBlank="1" showInputMessage="1" showErrorMessage="1" error="Please enter a valid MSA Code (eg: 55555)_x000a_" sqref="Q76:S76 Q43:S43" xr:uid="{B319A0F4-CBA1-4236-BC92-B354E57AF2CA}">
      <formula1>1</formula1>
      <formula2>99999</formula2>
    </dataValidation>
    <dataValidation type="whole" allowBlank="1" showInputMessage="1" showErrorMessage="1" error="Invalid Census Entered" sqref="U76 U43" xr:uid="{B0307CFC-DE92-4B50-BA14-1B3462AA87E8}">
      <formula1>1</formula1>
      <formula2>9999</formula2>
    </dataValidation>
    <dataValidation type="whole" allowBlank="1" showInputMessage="1" showErrorMessage="1" error="Invalid Census Tract Entered" sqref="W76 W43" xr:uid="{64C492B0-FDF7-443C-8556-0B41765561EF}">
      <formula1>0</formula1>
      <formula2>99</formula2>
    </dataValidation>
    <dataValidation type="list" allowBlank="1" showInputMessage="1" showErrorMessage="1" sqref="I76" xr:uid="{829A5DD5-05E5-44CF-A107-4FFA844B4DE2}">
      <formula1>IF($U$74&lt;&gt;"",INDIRECT("COUNTY_RANGE_"&amp;$U$74),INDIRECT("RANGE_LOOKUP_COUNTY_PLACEHOLDER"))</formula1>
    </dataValidation>
    <dataValidation type="list" allowBlank="1" showInputMessage="1" showErrorMessage="1" sqref="M79:O79" xr:uid="{8F0A008B-2A84-4332-8BF3-3086A1241FD8}">
      <formula1>RANGE_LOOKUP_PROPTY_BLDG_TYPE_UI</formula1>
    </dataValidation>
    <dataValidation type="date" operator="greaterThanOrEqual" allowBlank="1" showInputMessage="1" showErrorMessage="1" sqref="U86:W86" xr:uid="{3543FE0A-AE9E-48F9-841E-4B7A347C4789}">
      <formula1>36526</formula1>
    </dataValidation>
    <dataValidation type="list" allowBlank="1" showInputMessage="1" showErrorMessage="1" error="Invalid Homeownership Counseling Agency Specified" sqref="I86" xr:uid="{C1ED2D8B-9F3D-46EA-BA55-730226E360BD}">
      <formula1>RANGE_LOOKUP_COUNSELING_AGENCIES</formula1>
    </dataValidation>
    <dataValidation type="textLength" allowBlank="1" showInputMessage="1" showErrorMessage="1" error="Maximum Number of Characters Exceeded" sqref="I88:S88" xr:uid="{6C95C84E-4ECD-4DBB-A34E-9F2A8DF53DAF}">
      <formula1>$E129</formula1>
      <formula2>$F129</formula2>
    </dataValidation>
    <dataValidation type="date" operator="greaterThanOrEqual" allowBlank="1" showErrorMessage="1" sqref="U136:W136" xr:uid="{E942FC45-D10B-4290-B799-B250F5DBDBB9}">
      <formula1>43466</formula1>
    </dataValidation>
    <dataValidation type="whole" allowBlank="1" showInputMessage="1" showErrorMessage="1" error="Invalid County Code Entered" sqref="M76:O76" xr:uid="{D137BC07-4D5F-405B-B705-A86174829A22}">
      <formula1>1</formula1>
      <formula2>999</formula2>
    </dataValidation>
    <dataValidation type="textLength" allowBlank="1" showInputMessage="1" showErrorMessage="1" error="Maximum Number of Characters Exceeded_x000a_" sqref="Q34:U34" xr:uid="{F4584219-A003-4220-9D33-97A56991C716}">
      <formula1>E36</formula1>
      <formula2>F36</formula2>
    </dataValidation>
    <dataValidation type="textLength" allowBlank="1" showInputMessage="1" showErrorMessage="1" error="Maximum Number of Characters Exceeded" sqref="M34:O34" xr:uid="{80876DD5-9885-43AD-A7E6-A61FCAA5942C}">
      <formula1>E35</formula1>
      <formula2>F35</formula2>
    </dataValidation>
    <dataValidation type="textLength" allowBlank="1" showInputMessage="1" showErrorMessage="1" error="Maximum Number of Characters Exceeded" sqref="M35:O35" xr:uid="{7C86C33D-115D-48F7-8222-6EF08398EEBD}">
      <formula1>E39</formula1>
      <formula2>F39</formula2>
    </dataValidation>
    <dataValidation type="textLength" allowBlank="1" showInputMessage="1" showErrorMessage="1" error="Maximum Number of Characters Exceeded_x000a_" sqref="Q35:U35" xr:uid="{7B7D4C2C-3761-43DC-9D6C-052A626AA814}">
      <formula1>E40</formula1>
      <formula2>F40</formula2>
    </dataValidation>
    <dataValidation type="textLength" allowBlank="1" showInputMessage="1" showErrorMessage="1" error="Maximum Number of Characters Exceeded" sqref="M36:O36" xr:uid="{DA6E95CB-EC1F-475E-99D1-FC44374489CC}">
      <formula1>E43</formula1>
      <formula2>F43</formula2>
    </dataValidation>
    <dataValidation type="list" allowBlank="1" showInputMessage="1" showErrorMessage="1" error="Invalid Income Area Specified" sqref="I99:W99" xr:uid="{539F045F-54ED-487D-857B-0FD22B11F261}">
      <formula1>IF(AND(DATA_INC_LOOKUP_OFFSET_ROW&lt;&gt;"",DATA_INC_LOOKUP_AREA_ARR_LEN&lt;&gt;""),OFFSET(INDIRECT(DATA_INC_LOOKUP_AREA_HEADER_PTR),DATA_INC_LOOKUP_OFFSET_ROW,0,DATA_INC_LOOKUP_AREA_ARR_LEN),INCOME_AREA_NOT_READY)</formula1>
    </dataValidation>
    <dataValidation type="list" allowBlank="1" showInputMessage="1" showErrorMessage="1" error="An invalid State has been specified" sqref="U74" xr:uid="{BD14703F-D0D1-44C4-BE76-D6D180C9D19A}">
      <formula1>RANGE_LOOKUP_STATE</formula1>
    </dataValidation>
    <dataValidation type="decimal" allowBlank="1" showInputMessage="1" showErrorMessage="1" sqref="S101" xr:uid="{932333B3-81CC-487B-AAC1-B94C47C3F312}">
      <formula1>I150</formula1>
      <formula2>J150</formula2>
    </dataValidation>
    <dataValidation type="textLength" allowBlank="1" showInputMessage="1" showErrorMessage="1" error="Maximum Number of Characters Exceeded" sqref="I41:O41" xr:uid="{E257FFD1-982B-4A63-81D9-4D339343694C}">
      <formula1>E46</formula1>
      <formula2>F46</formula2>
    </dataValidation>
    <dataValidation type="textLength" allowBlank="1" showInputMessage="1" showErrorMessage="1" error="Maximum Number of Characters Exceeded_x000a_" sqref="Q36:U36" xr:uid="{A6D13F63-5A31-4872-9B17-4878A4B778DF}">
      <formula1>E44</formula1>
      <formula2>F44</formula2>
    </dataValidation>
    <dataValidation type="decimal" allowBlank="1" showInputMessage="1" showErrorMessage="1" sqref="O101" xr:uid="{FD627E44-B546-4A0A-9750-2C4B8E0FC5A1}">
      <formula1>E154</formula1>
      <formula2>F154</formula2>
    </dataValidation>
    <dataValidation type="textLength" allowBlank="1" showInputMessage="1" showErrorMessage="1" error="Maximum Number of Characters Exceeded" sqref="Q41:S41" xr:uid="{FB454200-28DB-48CB-8E3E-4DE2B90DE3B1}">
      <formula1>E47</formula1>
      <formula2>F47</formula2>
    </dataValidation>
    <dataValidation type="textLength" allowBlank="1" showInputMessage="1" showErrorMessage="1" error="Maximum Number of Characters Exceeded" sqref="I136" xr:uid="{37715259-6D8A-4448-85D4-03024C14A18C}">
      <formula1>E144</formula1>
      <formula2>F144</formula2>
    </dataValidation>
    <dataValidation type="decimal" allowBlank="1" showInputMessage="1" showErrorMessage="1" error="Invalid Grant Amount Requested" sqref="U52:W52" xr:uid="{E7418442-194A-46B2-B3F3-97792E817BD7}">
      <formula1>E70</formula1>
      <formula2>F70</formula2>
    </dataValidation>
    <dataValidation type="decimal" allowBlank="1" showInputMessage="1" showErrorMessage="1" error="Invalid Amount Entered" sqref="U60:W60" xr:uid="{866722B8-29F4-423C-B4BA-CC0D9A316ECA}">
      <formula1>E75</formula1>
      <formula2>F75</formula2>
    </dataValidation>
    <dataValidation type="decimal" allowBlank="1" showInputMessage="1" showErrorMessage="1" error="Invalid Amount Entered" sqref="U61:W61" xr:uid="{C5D37B82-5916-45B1-88B5-1679F8391E5E}">
      <formula1>E77</formula1>
      <formula2>F77</formula2>
    </dataValidation>
    <dataValidation type="decimal" allowBlank="1" showInputMessage="1" showErrorMessage="1" error="Invalid Amount Entered" sqref="U62:W62" xr:uid="{B06C0B00-A2F2-4B3A-8671-B133D919C6C8}">
      <formula1>E79</formula1>
      <formula2>F79</formula2>
    </dataValidation>
    <dataValidation type="textLength" allowBlank="1" showInputMessage="1" showErrorMessage="1" error="Maximum Number of Characters Exceeded" sqref="I138:Q138" xr:uid="{4401789D-515F-43A8-AD0D-D6DD7032F4C1}">
      <formula1>E147</formula1>
      <formula2>F147</formula2>
    </dataValidation>
    <dataValidation type="textLength" allowBlank="1" showInputMessage="1" showErrorMessage="1" error="Maximum Number of Characters Exceeded" sqref="I74:O74" xr:uid="{F63AEB78-5529-4973-921E-3AD7FEC41FAC}">
      <formula1>E95</formula1>
      <formula2>F95</formula2>
    </dataValidation>
    <dataValidation type="textLength" allowBlank="1" showInputMessage="1" showErrorMessage="1" error="Maximum Number of Characters Exceeded" sqref="Q74:S74" xr:uid="{82BE316A-F64B-4FD7-AF46-A2350DB4B9FD}">
      <formula1>E96</formula1>
      <formula2>F96</formula2>
    </dataValidation>
    <dataValidation type="decimal" allowBlank="1" showInputMessage="1" showErrorMessage="1" sqref="I79:K79" xr:uid="{7EFE80AE-0CBA-48C1-8000-85F58AD06BE7}">
      <formula1>E104</formula1>
      <formula2>F104</formula2>
    </dataValidation>
    <dataValidation type="textLength" allowBlank="1" showInputMessage="1" showErrorMessage="1" error="Maximum Number of Characters Exceeded" sqref="O136:S136" xr:uid="{96455E1E-9843-42E1-B992-C6C3655C7058}">
      <formula1>E145</formula1>
      <formula2>F145</formula2>
    </dataValidation>
    <dataValidation type="textLength" allowBlank="1" showInputMessage="1" showErrorMessage="1" error="Invalid Phone Number Entered" sqref="S138:W138" xr:uid="{0E833F69-509E-43E7-870F-D12DD1BE7770}">
      <formula1>E148</formula1>
      <formula2>F148</formula2>
    </dataValidation>
  </dataValidations>
  <pageMargins left="0.25" right="0.25" top="0.5" bottom="0.5" header="0.3" footer="0.3"/>
  <pageSetup scale="90" fitToHeight="0" orientation="portrait" r:id="rId1"/>
  <headerFooter>
    <oddFooter>&amp;R&amp;8&amp;P of &amp;N</oddFooter>
  </headerFooter>
  <rowBreaks count="3" manualBreakCount="3">
    <brk id="37" min="7" max="24" man="1"/>
    <brk id="80" min="7" max="24" man="1"/>
    <brk id="106" min="7" max="24" man="1"/>
  </rowBreaks>
  <drawing r:id="rId2"/>
  <legacyDrawing r:id="rId3"/>
  <mc:AlternateContent xmlns:mc="http://schemas.openxmlformats.org/markup-compatibility/2006">
    <mc:Choice Requires="x14">
      <controls>
        <mc:AlternateContent xmlns:mc="http://schemas.openxmlformats.org/markup-compatibility/2006">
          <mc:Choice Requires="x14">
            <control shapeId="49153" r:id="rId4" name="ICW_COMPLETE_FLAG">
              <controlPr defaultSize="0" autoFill="0" autoLine="0" autoPict="0">
                <anchor moveWithCells="1">
                  <from>
                    <xdr:col>12</xdr:col>
                    <xdr:colOff>190500</xdr:colOff>
                    <xdr:row>95</xdr:row>
                    <xdr:rowOff>19050</xdr:rowOff>
                  </from>
                  <to>
                    <xdr:col>18</xdr:col>
                    <xdr:colOff>552450</xdr:colOff>
                    <xdr:row>95</xdr:row>
                    <xdr:rowOff>266700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4122D7CA-2B29-4697-8C1D-5BDCA665FE43}">
            <x14:dataBar direction="leftToRight" axisPosition="none">
              <x14:cfvo type="num">
                <xm:f>0</xm:f>
              </x14:cfvo>
              <x14:cfvo type="num">
                <xm:f>1</xm:f>
              </x14:cfvo>
              <x14:negativeFillColor theme="5"/>
            </x14:dataBar>
          </x14:cfRule>
          <xm:sqref>S3</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4259E-9EC2-4266-9047-DE3DF0C6C2A2}">
  <sheetPr>
    <pageSetUpPr autoPageBreaks="0" fitToPage="1"/>
  </sheetPr>
  <dimension ref="A1:Y130"/>
  <sheetViews>
    <sheetView showGridLines="0" showRowColHeaders="0" topLeftCell="H1" zoomScaleNormal="100" zoomScaleSheetLayoutView="100" workbookViewId="0">
      <pane ySplit="4" topLeftCell="A5" activePane="bottomLeft" state="frozen"/>
      <selection activeCell="H5" sqref="H5"/>
      <selection pane="bottomLeft" activeCell="H5" sqref="H5"/>
    </sheetView>
  </sheetViews>
  <sheetFormatPr defaultColWidth="0" defaultRowHeight="15" customHeight="1" zeroHeight="1" x14ac:dyDescent="0.25"/>
  <cols>
    <col min="1" max="1" width="27.5703125" style="67" hidden="1" customWidth="1"/>
    <col min="2" max="7" width="15.7109375" style="67" hidden="1" customWidth="1"/>
    <col min="8" max="8" width="2.42578125" customWidth="1"/>
    <col min="9" max="9" width="10.7109375" customWidth="1"/>
    <col min="10" max="10" width="2.7109375" style="44" customWidth="1"/>
    <col min="11" max="11" width="10.7109375" customWidth="1"/>
    <col min="12" max="12" width="2.7109375" style="44" customWidth="1"/>
    <col min="13" max="13" width="10.7109375" customWidth="1"/>
    <col min="14" max="14" width="2.7109375" style="44" customWidth="1"/>
    <col min="15" max="15" width="10.7109375" customWidth="1"/>
    <col min="16" max="16" width="2.7109375" style="44" customWidth="1"/>
    <col min="17" max="17" width="10.7109375" customWidth="1"/>
    <col min="18" max="18" width="2.7109375" style="44" customWidth="1"/>
    <col min="19" max="19" width="10.7109375" customWidth="1"/>
    <col min="20" max="20" width="2.7109375" style="44" customWidth="1"/>
    <col min="21" max="21" width="10.7109375" customWidth="1"/>
    <col min="22" max="22" width="2.7109375" style="44" customWidth="1"/>
    <col min="23" max="23" width="10.7109375" customWidth="1"/>
    <col min="24" max="24" width="2.7109375" style="44" customWidth="1"/>
    <col min="25" max="25" width="2.42578125" customWidth="1"/>
    <col min="26" max="16384" width="9.140625" hidden="1"/>
  </cols>
  <sheetData>
    <row r="1" spans="1:25" ht="40.5" customHeight="1" thickBot="1" x14ac:dyDescent="0.3">
      <c r="A1" s="43" t="s">
        <v>179</v>
      </c>
      <c r="B1" s="43" t="s">
        <v>178</v>
      </c>
      <c r="C1" s="43" t="s">
        <v>175</v>
      </c>
      <c r="D1" s="43" t="s">
        <v>176</v>
      </c>
      <c r="E1" s="43" t="s">
        <v>173</v>
      </c>
      <c r="F1" s="43" t="s">
        <v>174</v>
      </c>
      <c r="G1" s="84" t="s">
        <v>177</v>
      </c>
      <c r="H1" s="82"/>
      <c r="I1" s="82"/>
      <c r="J1" s="83"/>
      <c r="K1" s="82"/>
      <c r="L1" s="83"/>
      <c r="M1" s="82"/>
      <c r="N1" s="83"/>
      <c r="O1" s="82"/>
      <c r="P1" s="83"/>
      <c r="Q1" s="82"/>
      <c r="R1" s="83"/>
      <c r="S1" s="82"/>
      <c r="T1" s="83"/>
      <c r="U1" s="82"/>
      <c r="V1" s="83"/>
      <c r="W1" s="82"/>
      <c r="X1" s="83"/>
      <c r="Y1" s="82"/>
    </row>
    <row r="2" spans="1:25" ht="3" customHeight="1" x14ac:dyDescent="0.25">
      <c r="A2" s="45"/>
      <c r="B2" s="45"/>
      <c r="C2" s="45"/>
      <c r="D2" s="45"/>
      <c r="E2" s="45"/>
      <c r="F2" s="45"/>
      <c r="G2" s="45"/>
      <c r="H2" s="46"/>
      <c r="I2" s="75"/>
      <c r="J2" s="75"/>
      <c r="K2" s="75"/>
      <c r="L2" s="75"/>
      <c r="M2" s="75"/>
      <c r="N2" s="75"/>
      <c r="O2" s="75"/>
      <c r="P2" s="76"/>
      <c r="Q2" s="76"/>
      <c r="R2" s="47"/>
      <c r="S2" s="48"/>
      <c r="T2" s="47"/>
      <c r="U2" s="47"/>
      <c r="V2" s="47"/>
      <c r="W2" s="47"/>
      <c r="X2" s="47"/>
      <c r="Y2" s="47"/>
    </row>
    <row r="3" spans="1:25" ht="15" customHeight="1" x14ac:dyDescent="0.25">
      <c r="A3" s="45"/>
      <c r="B3" s="45"/>
      <c r="C3" s="45"/>
      <c r="D3" s="45"/>
      <c r="E3" s="45"/>
      <c r="F3" s="45"/>
      <c r="G3" s="45"/>
      <c r="H3" s="49"/>
      <c r="I3" s="75" t="str">
        <f ca="1">(LEFT($B$8,40)&amp;IF(LEN($B$8)&gt;40,"…",""))</f>
        <v>Household Not Yet Specified</v>
      </c>
      <c r="J3" s="75"/>
      <c r="K3" s="75"/>
      <c r="L3" s="75"/>
      <c r="M3" s="75"/>
      <c r="N3" s="75"/>
      <c r="O3" s="75"/>
      <c r="P3" s="76"/>
      <c r="Q3" s="76"/>
      <c r="R3" s="76" t="s">
        <v>2140</v>
      </c>
      <c r="S3" s="133" t="str">
        <f>IF('$DB.DATA'!G11="DSB",VLOOKUP("APP_PROGRESS_PCT_COMPLETE",DB_TBL_DATA_FIELDS[[FIELD_ID]:[FIELD_VALUE_CLEAN]],10,FALSE),"N/A")</f>
        <v>N/A</v>
      </c>
      <c r="T3" s="117" t="str">
        <f ca="1">IF(DATA_APP_PROGRESS_ERROR_COUNT&gt;0,0,IF(DATA_EFORM_COMPLETE_FLAG,2,""))</f>
        <v/>
      </c>
      <c r="U3" s="49"/>
      <c r="V3" s="50"/>
      <c r="W3" s="49"/>
      <c r="X3" s="50"/>
      <c r="Y3" s="49"/>
    </row>
    <row r="4" spans="1:25" ht="3" customHeight="1" x14ac:dyDescent="0.25">
      <c r="A4" s="45"/>
      <c r="B4" s="45"/>
      <c r="C4" s="45"/>
      <c r="D4" s="45"/>
      <c r="E4" s="45"/>
      <c r="F4" s="45"/>
      <c r="G4" s="45"/>
      <c r="H4" s="34"/>
      <c r="I4" s="85"/>
      <c r="J4" s="85"/>
      <c r="K4" s="85"/>
      <c r="L4" s="85"/>
      <c r="M4" s="85"/>
      <c r="N4" s="85"/>
      <c r="O4" s="85"/>
      <c r="P4" s="86"/>
      <c r="Q4" s="86"/>
      <c r="R4" s="87"/>
      <c r="S4" s="34"/>
      <c r="T4" s="87"/>
      <c r="U4" s="34"/>
      <c r="V4" s="87"/>
      <c r="W4" s="34"/>
      <c r="X4" s="87"/>
      <c r="Y4" s="34"/>
    </row>
    <row r="5" spans="1:25" ht="3.95" customHeight="1" x14ac:dyDescent="0.25">
      <c r="A5" s="45"/>
      <c r="B5" s="45"/>
      <c r="C5" s="45"/>
      <c r="D5" s="45"/>
      <c r="E5" s="45"/>
      <c r="F5" s="45"/>
      <c r="G5" s="45"/>
      <c r="H5" s="39"/>
      <c r="I5" s="79"/>
      <c r="J5" s="79"/>
      <c r="K5" s="79"/>
      <c r="L5" s="79"/>
      <c r="M5" s="79"/>
      <c r="N5" s="79"/>
      <c r="O5" s="79"/>
      <c r="P5" s="80"/>
      <c r="Q5" s="80"/>
    </row>
    <row r="6" spans="1:25" ht="18" customHeight="1" x14ac:dyDescent="0.25">
      <c r="A6" s="51" t="s">
        <v>32</v>
      </c>
      <c r="B6" s="94" t="str">
        <f>LOOKUP_PROGRAM_NAME_HDPWB&amp;" - "&amp;CONFIG_ENROLL_PERD_DESC</f>
        <v>Homebuyer Dream Program Wealth Builder - 2026 Round</v>
      </c>
      <c r="C6" s="51"/>
      <c r="D6" s="51"/>
      <c r="E6" s="51"/>
      <c r="F6" s="51"/>
      <c r="G6" s="51"/>
      <c r="H6" s="59" t="str">
        <f ca="1">B11</f>
        <v/>
      </c>
      <c r="I6" s="381" t="str">
        <f ca="1">B12</f>
        <v/>
      </c>
      <c r="J6" s="381"/>
      <c r="K6" s="381"/>
      <c r="L6" s="381"/>
      <c r="M6" s="381"/>
      <c r="N6" s="381"/>
      <c r="O6" s="381"/>
      <c r="P6" s="381"/>
      <c r="Q6" s="381"/>
      <c r="R6" s="381"/>
      <c r="S6" s="381"/>
      <c r="T6" s="381"/>
      <c r="U6" s="381"/>
      <c r="V6" s="381"/>
      <c r="W6" s="381"/>
      <c r="X6" s="381"/>
      <c r="Y6" s="381"/>
    </row>
    <row r="7" spans="1:25" ht="3.95" customHeight="1" x14ac:dyDescent="0.25">
      <c r="A7" s="51" t="s">
        <v>2208</v>
      </c>
      <c r="B7" s="94" t="str">
        <f>VLOOKUP(A7,DB_TBL_CONFIG_APP[#All],4,FALSE)</f>
        <v>Funding Request</v>
      </c>
      <c r="C7" s="51"/>
      <c r="D7" s="51"/>
      <c r="E7" s="51"/>
      <c r="F7" s="51"/>
      <c r="G7" s="51"/>
      <c r="H7" s="59"/>
      <c r="I7" s="59"/>
      <c r="J7" s="59"/>
      <c r="K7" s="59"/>
      <c r="L7" s="59"/>
      <c r="M7" s="59"/>
      <c r="N7" s="59"/>
      <c r="O7" s="59"/>
      <c r="P7" s="59"/>
      <c r="Q7" s="59"/>
      <c r="R7" s="59"/>
      <c r="S7" s="59"/>
      <c r="T7" s="59"/>
      <c r="U7" s="59"/>
      <c r="V7" s="59"/>
      <c r="W7" s="59"/>
      <c r="X7" s="59"/>
      <c r="Y7" s="59"/>
    </row>
    <row r="8" spans="1:25" s="36" customFormat="1" ht="21.95" customHeight="1" thickBot="1" x14ac:dyDescent="0.25">
      <c r="A8" s="51" t="s">
        <v>2351</v>
      </c>
      <c r="B8" s="94" t="str">
        <f ca="1">IF(DATA_HSEHLD_BANNER="","Household Not Yet Specified",DATA_HSEHLD_BANNER)</f>
        <v>Household Not Yet Specified</v>
      </c>
      <c r="C8" s="54"/>
      <c r="D8" s="54"/>
      <c r="E8" s="51"/>
      <c r="F8" s="51"/>
      <c r="G8" s="51"/>
      <c r="H8" s="59"/>
      <c r="I8" s="114" t="s">
        <v>2354</v>
      </c>
      <c r="J8" s="115"/>
      <c r="K8" s="115"/>
      <c r="L8" s="115"/>
      <c r="M8" s="115"/>
      <c r="N8" s="115"/>
      <c r="O8" s="115"/>
      <c r="P8" s="115"/>
      <c r="Q8" s="115"/>
      <c r="R8" s="115"/>
      <c r="S8" s="115"/>
      <c r="T8" s="115"/>
      <c r="U8" s="115"/>
      <c r="V8" s="115"/>
      <c r="W8" s="115"/>
      <c r="X8" s="115"/>
      <c r="Y8" s="59"/>
    </row>
    <row r="9" spans="1:25" s="36" customFormat="1" ht="111" customHeight="1" x14ac:dyDescent="0.25">
      <c r="A9" s="54" t="s">
        <v>2154</v>
      </c>
      <c r="B9" s="65">
        <f ca="1">SUM(B29,B43,B58,B90,B113)</f>
        <v>0</v>
      </c>
      <c r="C9" s="54"/>
      <c r="D9" s="54"/>
      <c r="E9" s="54"/>
      <c r="F9" s="54"/>
      <c r="G9" s="54"/>
      <c r="H9" s="59"/>
      <c r="I9" s="387" t="s">
        <v>9342</v>
      </c>
      <c r="J9" s="387"/>
      <c r="K9" s="387"/>
      <c r="L9" s="387"/>
      <c r="M9" s="387"/>
      <c r="N9" s="387"/>
      <c r="O9" s="387"/>
      <c r="P9" s="387"/>
      <c r="Q9" s="387"/>
      <c r="R9" s="387"/>
      <c r="S9" s="387"/>
      <c r="T9" s="387"/>
      <c r="U9" s="387"/>
      <c r="V9" s="387"/>
      <c r="W9" s="387"/>
      <c r="X9" s="387"/>
      <c r="Y9" s="59"/>
    </row>
    <row r="10" spans="1:25" s="36" customFormat="1" ht="9.9499999999999993" customHeight="1" x14ac:dyDescent="0.25">
      <c r="A10" s="54" t="s">
        <v>2155</v>
      </c>
      <c r="B10" s="65" t="b">
        <f ca="1">B9&gt;0</f>
        <v>0</v>
      </c>
      <c r="C10" s="54"/>
      <c r="D10" s="54"/>
      <c r="E10" s="54"/>
      <c r="F10" s="54"/>
      <c r="G10" s="54"/>
      <c r="H10" s="59"/>
      <c r="I10" s="59"/>
      <c r="J10" s="59"/>
      <c r="K10" s="59"/>
      <c r="L10" s="59"/>
      <c r="M10" s="59"/>
      <c r="N10" s="59"/>
      <c r="O10" s="59"/>
      <c r="P10" s="59"/>
      <c r="Q10" s="59"/>
      <c r="R10" s="59"/>
      <c r="S10" s="59"/>
      <c r="T10" s="59"/>
      <c r="U10" s="59"/>
      <c r="V10" s="59"/>
      <c r="W10" s="59"/>
      <c r="X10" s="59"/>
      <c r="Y10" s="59"/>
    </row>
    <row r="11" spans="1:25" s="36" customFormat="1" ht="21.95" customHeight="1" thickBot="1" x14ac:dyDescent="0.3">
      <c r="A11" s="54" t="s">
        <v>2156</v>
      </c>
      <c r="B11" s="65" t="str">
        <f ca="1">IF(B10,1,"")</f>
        <v/>
      </c>
      <c r="C11" s="54"/>
      <c r="D11" s="54"/>
      <c r="E11" s="54"/>
      <c r="F11" s="54"/>
      <c r="G11" s="54"/>
      <c r="H11" s="59"/>
      <c r="I11" s="114" t="s">
        <v>2879</v>
      </c>
      <c r="J11" s="115"/>
      <c r="K11" s="115"/>
      <c r="L11" s="115"/>
      <c r="M11" s="115"/>
      <c r="N11" s="115"/>
      <c r="O11" s="115"/>
      <c r="P11" s="115"/>
      <c r="Q11" s="115"/>
      <c r="R11" s="115"/>
      <c r="S11" s="115"/>
      <c r="T11" s="115"/>
      <c r="U11" s="115"/>
      <c r="V11" s="115"/>
      <c r="W11" s="115"/>
      <c r="X11" s="115"/>
      <c r="Y11" s="59"/>
    </row>
    <row r="12" spans="1:25" s="36" customFormat="1" ht="6.75" customHeight="1" x14ac:dyDescent="0.2">
      <c r="A12" s="54" t="s">
        <v>2157</v>
      </c>
      <c r="B12" s="94" t="str">
        <f ca="1">IF(B10,B9&amp;" "&amp;'$DB.CONFIG'!$M$4,"")</f>
        <v/>
      </c>
      <c r="C12" s="54"/>
      <c r="D12" s="54"/>
      <c r="E12" s="54"/>
      <c r="F12" s="54"/>
      <c r="G12" s="54"/>
      <c r="H12" s="59"/>
      <c r="I12" s="60"/>
      <c r="J12" s="59"/>
      <c r="K12" s="59"/>
      <c r="L12" s="59"/>
      <c r="M12" s="59"/>
      <c r="N12" s="59"/>
      <c r="O12" s="59"/>
      <c r="P12" s="59"/>
      <c r="Q12" s="59"/>
      <c r="R12" s="59"/>
      <c r="S12" s="59"/>
      <c r="T12" s="59"/>
      <c r="U12" s="59"/>
      <c r="V12" s="59"/>
      <c r="W12" s="59"/>
      <c r="X12" s="59"/>
      <c r="Y12" s="59"/>
    </row>
    <row r="13" spans="1:25" s="36" customFormat="1" ht="21.95" customHeight="1" x14ac:dyDescent="0.25">
      <c r="A13" s="54"/>
      <c r="B13" s="54"/>
      <c r="C13" s="54"/>
      <c r="D13" s="54"/>
      <c r="E13" s="54"/>
      <c r="F13" s="54"/>
      <c r="G13" s="54"/>
      <c r="H13"/>
      <c r="I13" s="53" t="s">
        <v>25</v>
      </c>
      <c r="J13" s="78">
        <f>1</f>
        <v>1</v>
      </c>
      <c r="K13" s="74"/>
      <c r="L13" s="74"/>
      <c r="M13" s="53" t="s">
        <v>2186</v>
      </c>
      <c r="N13" s="78">
        <f>2</f>
        <v>2</v>
      </c>
      <c r="Q13" s="53" t="s">
        <v>2187</v>
      </c>
      <c r="R13" s="78">
        <f>0</f>
        <v>0</v>
      </c>
      <c r="U13" s="384" t="s">
        <v>2188</v>
      </c>
      <c r="V13" s="385"/>
      <c r="W13" s="385"/>
      <c r="X13" s="386"/>
      <c r="Y13"/>
    </row>
    <row r="14" spans="1:25" s="36" customFormat="1" ht="21.95" customHeight="1" x14ac:dyDescent="0.25">
      <c r="A14" s="54"/>
      <c r="B14" s="54"/>
      <c r="C14" s="54"/>
      <c r="D14" s="54"/>
      <c r="E14" s="54"/>
      <c r="F14" s="54"/>
      <c r="G14" s="54"/>
      <c r="H14"/>
      <c r="I14"/>
      <c r="J14" s="44"/>
      <c r="K14"/>
      <c r="L14" s="44"/>
      <c r="M14"/>
      <c r="N14" s="44"/>
      <c r="O14"/>
      <c r="P14" s="44"/>
      <c r="Q14"/>
      <c r="R14" s="44"/>
      <c r="S14"/>
      <c r="T14" s="44"/>
      <c r="U14"/>
      <c r="V14" s="44"/>
      <c r="W14"/>
      <c r="X14" s="44"/>
      <c r="Y14"/>
    </row>
    <row r="15" spans="1:25" s="36" customFormat="1" ht="21.95" customHeight="1" thickBot="1" x14ac:dyDescent="0.3">
      <c r="A15" s="54"/>
      <c r="B15" s="54"/>
      <c r="C15" s="54"/>
      <c r="D15" s="54"/>
      <c r="E15" s="54"/>
      <c r="F15" s="54"/>
      <c r="G15" s="54"/>
      <c r="I15" s="55" t="s">
        <v>186</v>
      </c>
      <c r="J15" s="55"/>
      <c r="K15" s="55"/>
      <c r="L15" s="55"/>
      <c r="M15" s="55"/>
      <c r="N15" s="55"/>
      <c r="O15" s="55"/>
      <c r="P15" s="55"/>
      <c r="Q15" s="55"/>
      <c r="R15" s="55"/>
      <c r="S15" s="55"/>
      <c r="T15" s="55"/>
      <c r="U15" s="55"/>
      <c r="V15" s="55"/>
      <c r="W15" s="55"/>
      <c r="X15" s="56"/>
    </row>
    <row r="16" spans="1:25" s="36" customFormat="1" ht="21.95" customHeight="1" x14ac:dyDescent="0.25">
      <c r="A16" s="54"/>
      <c r="B16" s="54"/>
      <c r="C16" s="54"/>
      <c r="D16" s="54"/>
      <c r="E16" s="54"/>
      <c r="F16" s="54"/>
      <c r="G16" s="54"/>
      <c r="H16" s="57"/>
      <c r="I16" s="37"/>
      <c r="J16" s="37"/>
      <c r="K16" s="37"/>
      <c r="L16" s="37"/>
      <c r="M16" s="37"/>
      <c r="N16" s="37"/>
      <c r="O16" s="58"/>
      <c r="P16" s="58"/>
      <c r="Q16" s="37"/>
      <c r="R16" s="37"/>
      <c r="S16" s="37"/>
      <c r="T16" s="37"/>
      <c r="U16" s="37"/>
      <c r="V16" s="37"/>
      <c r="W16" s="37"/>
      <c r="X16" s="37"/>
    </row>
    <row r="17" spans="1:25" s="36" customFormat="1" ht="21.95" customHeight="1" x14ac:dyDescent="0.25">
      <c r="A17" s="54"/>
      <c r="B17" s="54"/>
      <c r="C17" s="54"/>
      <c r="D17" s="54"/>
      <c r="E17" s="54"/>
      <c r="F17" s="54"/>
      <c r="G17" s="54"/>
      <c r="I17" s="382" t="str">
        <f>"1     "&amp;VLOOKUP("SECTION_1_TOC_LABEL",A:B,2,FALSE)</f>
        <v>1     FHLBNY Member</v>
      </c>
      <c r="J17" s="382"/>
      <c r="K17" s="382"/>
      <c r="L17" s="382"/>
      <c r="M17" s="382"/>
      <c r="N17" s="59" t="str">
        <f>IF($B$30,1,"")</f>
        <v/>
      </c>
      <c r="O17" s="73" t="str">
        <f ca="1">$B$26</f>
        <v>Not Started</v>
      </c>
      <c r="P17" s="59" t="str">
        <f ca="1">B27</f>
        <v/>
      </c>
      <c r="Q17" s="383" t="str">
        <f>"4     "&amp;VLOOKUP("SECTION_4_TOC_LABEL",A:B,2,FALSE)</f>
        <v>4     Mortgage Information</v>
      </c>
      <c r="R17" s="383"/>
      <c r="S17" s="383"/>
      <c r="T17" s="383"/>
      <c r="U17" s="383"/>
      <c r="V17" s="59" t="str">
        <f ca="1">IF($B$91,1,"")</f>
        <v/>
      </c>
      <c r="W17" s="73" t="str">
        <f ca="1">$B$83</f>
        <v>Not Started</v>
      </c>
      <c r="X17" s="59" t="str">
        <f ca="1">$B84</f>
        <v/>
      </c>
    </row>
    <row r="18" spans="1:25" s="36" customFormat="1" ht="21.95" customHeight="1" x14ac:dyDescent="0.25">
      <c r="A18" s="91" t="s">
        <v>118</v>
      </c>
      <c r="B18" s="93" t="s">
        <v>2832</v>
      </c>
      <c r="C18" s="92"/>
      <c r="D18" s="92"/>
      <c r="E18" s="92"/>
      <c r="F18" s="92"/>
      <c r="G18" s="92"/>
      <c r="I18" s="382" t="str">
        <f>"2     "&amp;VLOOKUP("SECTION_2_TOC_LABEL",A:B,2,FALSE)</f>
        <v>2     Household Information</v>
      </c>
      <c r="J18" s="382"/>
      <c r="K18" s="382"/>
      <c r="L18" s="382"/>
      <c r="M18" s="382"/>
      <c r="N18" s="59" t="str">
        <f>IF($B$44,1,"")</f>
        <v/>
      </c>
      <c r="O18" s="73" t="str">
        <f ca="1">$B$40</f>
        <v>Not Started</v>
      </c>
      <c r="P18" s="59" t="str">
        <f ca="1">B41</f>
        <v/>
      </c>
      <c r="Q18" s="383" t="str">
        <f>"5    "&amp;VLOOKUP("SECTION_5_TOC_LABEL",A:B,2,FALSE)</f>
        <v>5    Other Grants</v>
      </c>
      <c r="R18" s="383"/>
      <c r="S18" s="383"/>
      <c r="T18" s="383"/>
      <c r="U18" s="383"/>
      <c r="V18" s="59" t="str">
        <f>IF($B$114,1,"")</f>
        <v/>
      </c>
      <c r="W18" s="73" t="str">
        <f ca="1">$B$110</f>
        <v>Not Started</v>
      </c>
      <c r="X18" s="59" t="str">
        <f ca="1">$B111</f>
        <v/>
      </c>
    </row>
    <row r="19" spans="1:25" s="36" customFormat="1" ht="21.95" customHeight="1" x14ac:dyDescent="0.25">
      <c r="A19" s="61" t="s">
        <v>2221</v>
      </c>
      <c r="B19" s="95" t="str">
        <f>IF(I24="","",I24)</f>
        <v/>
      </c>
      <c r="C19" s="54">
        <f ca="1">VLOOKUP(A19,DB_TBL_DATA_FIELDS[[FIELD_ID]:[PCT_CALC_FIELD_STATUS_CODE]],22,FALSE)</f>
        <v>1</v>
      </c>
      <c r="D19" s="54" t="str">
        <f>IF(VLOOKUP(A19,DB_TBL_DATA_FIELDS[[FIELD_ID]:[ERROR_MESSAGE]],23,FALSE)&lt;&gt;0,VLOOKUP(A19,DB_TBL_DATA_FIELDS[[FIELD_ID]:[ERROR_MESSAGE]],23,FALSE),"")</f>
        <v/>
      </c>
      <c r="E19" s="54">
        <f>VLOOKUP(A19,DB_TBL_DATA_FIELDS[[#All],[FIELD_ID]:[RANGE_VALIDATION_MAX]],18,FALSE)</f>
        <v>0</v>
      </c>
      <c r="F19" s="54">
        <f>VLOOKUP(A19,DB_TBL_DATA_FIELDS[[#All],[FIELD_ID]:[RANGE_VALIDATION_MAX]],19,FALSE)</f>
        <v>100</v>
      </c>
      <c r="G19" s="54">
        <f ca="1">IF(C19&lt;0,"",C19)</f>
        <v>1</v>
      </c>
      <c r="I19" s="382" t="str">
        <f>"3     "&amp;VLOOKUP("SECTION_3_TOC_LABEL",A:B,2,FALSE)</f>
        <v>3     Grant Summary</v>
      </c>
      <c r="J19" s="382"/>
      <c r="K19" s="382"/>
      <c r="L19" s="382"/>
      <c r="M19" s="382"/>
      <c r="N19" s="59" t="str">
        <f>IF($B$59,1,"")</f>
        <v/>
      </c>
      <c r="O19" s="73" t="str">
        <f ca="1">$B$55</f>
        <v>Not Started</v>
      </c>
      <c r="P19" s="59" t="str">
        <f ca="1">B56</f>
        <v/>
      </c>
      <c r="Q19" s="383" t="str">
        <f>"6    "&amp;VLOOKUP("SECTION_6_TOC_LABEL",A:B,2,FALSE)</f>
        <v>6    Member Certification</v>
      </c>
      <c r="R19" s="383"/>
      <c r="S19" s="383"/>
      <c r="T19" s="383"/>
      <c r="U19" s="383"/>
      <c r="V19" s="59" t="str">
        <f>IF($B$130,1,"")</f>
        <v/>
      </c>
      <c r="W19" s="73" t="str">
        <f ca="1">$B$126</f>
        <v>Not Started</v>
      </c>
      <c r="X19" s="59" t="str">
        <f ca="1">$B127</f>
        <v/>
      </c>
    </row>
    <row r="20" spans="1:25" s="36" customFormat="1" ht="21.95" customHeight="1" x14ac:dyDescent="0.25">
      <c r="A20" s="61" t="s">
        <v>2282</v>
      </c>
      <c r="B20" s="116" t="str">
        <f>IF(U24="","",U24)</f>
        <v/>
      </c>
      <c r="C20" s="54" t="str">
        <f>VLOOKUP(A20,DB_TBL_DATA_FIELDS[[FIELD_ID]:[PCT_CALC_FIELD_STATUS_CODE]],22,FALSE)</f>
        <v/>
      </c>
      <c r="D20" s="54" t="str">
        <f>IF(VLOOKUP(A20,DB_TBL_DATA_FIELDS[[FIELD_ID]:[ERROR_MESSAGE]],23,FALSE)&lt;&gt;0,VLOOKUP(A20,DB_TBL_DATA_FIELDS[[FIELD_ID]:[ERROR_MESSAGE]],23,FALSE),"")</f>
        <v/>
      </c>
      <c r="E20" s="54">
        <f>VLOOKUP(A20,DB_TBL_DATA_FIELDS[[#All],[FIELD_ID]:[RANGE_VALIDATION_MAX]],18,FALSE)</f>
        <v>0</v>
      </c>
      <c r="F20" s="54">
        <f>VLOOKUP(A20,DB_TBL_DATA_FIELDS[[#All],[FIELD_ID]:[RANGE_VALIDATION_MAX]],19,FALSE)</f>
        <v>0</v>
      </c>
      <c r="G20" s="54" t="str">
        <f t="shared" ref="G20" si="0">IF(C20&lt;0,"",C20)</f>
        <v/>
      </c>
      <c r="J20" s="44"/>
      <c r="L20" s="44"/>
      <c r="N20" s="44"/>
      <c r="P20" s="44"/>
      <c r="R20" s="44"/>
      <c r="T20" s="44"/>
      <c r="V20" s="44"/>
      <c r="X20" s="44"/>
    </row>
    <row r="21" spans="1:25" s="36" customFormat="1" ht="21.95" customHeight="1" thickBot="1" x14ac:dyDescent="0.3">
      <c r="A21" s="61" t="s">
        <v>117</v>
      </c>
      <c r="B21" s="65" t="str">
        <f>"C"&amp;MATCH(LEFT(A21,LEN(A21)-LEN("_RANGE")),A:A,0)+1&amp;":C"&amp;(ROW()-1)</f>
        <v>C19:C20</v>
      </c>
      <c r="C21" s="54"/>
      <c r="D21" s="54"/>
      <c r="E21" s="54"/>
      <c r="F21" s="54"/>
      <c r="G21" s="54"/>
      <c r="H21" s="37"/>
      <c r="I21" s="55" t="str">
        <f>B18</f>
        <v>Federal Home Loan Bank of New York Member</v>
      </c>
      <c r="J21" s="55"/>
      <c r="K21" s="55"/>
      <c r="L21" s="55"/>
      <c r="M21" s="55"/>
      <c r="N21" s="55"/>
      <c r="O21" s="55"/>
      <c r="P21" s="55"/>
      <c r="Q21" s="55"/>
      <c r="R21" s="55"/>
      <c r="S21" s="55"/>
      <c r="T21" s="55"/>
      <c r="U21" s="55"/>
      <c r="V21" s="55"/>
      <c r="W21" s="55"/>
      <c r="X21" s="56" t="str">
        <f ca="1">"Status: "&amp;$B$26</f>
        <v>Status: Not Started</v>
      </c>
      <c r="Y21" s="37"/>
    </row>
    <row r="22" spans="1:25" s="36" customFormat="1" ht="21.95" customHeight="1" x14ac:dyDescent="0.25">
      <c r="A22" s="61" t="s">
        <v>111</v>
      </c>
      <c r="B22" s="65">
        <f ca="1">COUNTIF(INDIRECT($B21),2)</f>
        <v>0</v>
      </c>
      <c r="C22" s="54"/>
      <c r="D22" s="54"/>
      <c r="E22" s="54"/>
      <c r="F22" s="54"/>
      <c r="G22" s="54"/>
      <c r="H22" s="37"/>
      <c r="I22" s="37"/>
      <c r="J22" s="37"/>
      <c r="K22" s="37"/>
      <c r="L22" s="37"/>
      <c r="M22" s="37"/>
      <c r="N22" s="37"/>
      <c r="O22" s="37"/>
      <c r="P22" s="37"/>
      <c r="Q22" s="37"/>
      <c r="R22" s="37"/>
      <c r="S22" s="37"/>
      <c r="T22" s="37"/>
      <c r="U22" s="37"/>
      <c r="V22" s="37"/>
      <c r="W22" s="37"/>
      <c r="X22" s="37"/>
      <c r="Y22" s="37"/>
    </row>
    <row r="23" spans="1:25" s="36" customFormat="1" ht="21.95" customHeight="1" x14ac:dyDescent="0.25">
      <c r="A23" s="61" t="s">
        <v>112</v>
      </c>
      <c r="B23" s="65">
        <f ca="1">COUNTIF(INDIRECT($B21),0)+COUNTIF(INDIRECT($B21),1)+COUNTIF(INDIRECT($B21),2)</f>
        <v>1</v>
      </c>
      <c r="C23" s="54"/>
      <c r="D23" s="54"/>
      <c r="E23" s="54"/>
      <c r="F23" s="54"/>
      <c r="G23" s="54"/>
      <c r="I23" s="36" t="s">
        <v>129</v>
      </c>
      <c r="J23" s="44"/>
      <c r="L23" s="44"/>
      <c r="N23" s="44"/>
      <c r="P23" s="44"/>
      <c r="R23" s="44"/>
      <c r="T23" s="44"/>
      <c r="U23" s="44"/>
      <c r="V23" s="44"/>
      <c r="W23" s="44"/>
      <c r="X23" s="44"/>
    </row>
    <row r="24" spans="1:25" s="36" customFormat="1" ht="21.95" customHeight="1" x14ac:dyDescent="0.25">
      <c r="A24" s="61" t="s">
        <v>113</v>
      </c>
      <c r="B24" s="65">
        <f ca="1">COUNTIF(INDIRECT($B21),0)</f>
        <v>0</v>
      </c>
      <c r="C24" s="54"/>
      <c r="D24" s="54"/>
      <c r="E24" s="54"/>
      <c r="F24" s="54"/>
      <c r="G24" s="54"/>
      <c r="I24" s="316"/>
      <c r="J24" s="317"/>
      <c r="K24" s="317"/>
      <c r="L24" s="317"/>
      <c r="M24" s="317"/>
      <c r="N24" s="317"/>
      <c r="O24" s="317"/>
      <c r="P24" s="317"/>
      <c r="Q24" s="317"/>
      <c r="R24" s="317"/>
      <c r="S24" s="317"/>
      <c r="T24" s="317"/>
      <c r="U24" s="317"/>
      <c r="V24" s="317"/>
      <c r="W24" s="318"/>
      <c r="X24" s="52">
        <f ca="1">$G19</f>
        <v>1</v>
      </c>
    </row>
    <row r="25" spans="1:25" s="36" customFormat="1" ht="21.95" customHeight="1" x14ac:dyDescent="0.25">
      <c r="A25" s="61" t="s">
        <v>114</v>
      </c>
      <c r="B25" s="97">
        <f ca="1">IFERROR(B22/B23,1.01)</f>
        <v>0</v>
      </c>
      <c r="C25" s="54"/>
      <c r="D25" s="54"/>
      <c r="E25" s="54"/>
      <c r="F25" s="54"/>
      <c r="G25" s="54"/>
      <c r="N25" s="52"/>
      <c r="X25" s="52"/>
    </row>
    <row r="26" spans="1:25" s="36" customFormat="1" ht="21.95" customHeight="1" thickBot="1" x14ac:dyDescent="0.3">
      <c r="A26" s="61" t="s">
        <v>115</v>
      </c>
      <c r="B26" s="65" t="str">
        <f ca="1">IF(B24&gt;0,"Data Error(s)",IF(B25=0,"Not Started",IF(B25&lt;1,ROUNDUP(B25*100,0)&amp;"% Done",IF(B25&gt;1,"Optional","Complete"))))</f>
        <v>Not Started</v>
      </c>
      <c r="C26" s="54"/>
      <c r="D26" s="54"/>
      <c r="E26" s="54"/>
      <c r="F26" s="54"/>
      <c r="G26" s="54"/>
      <c r="I26" s="55" t="str">
        <f>B31</f>
        <v>Household Information</v>
      </c>
      <c r="J26" s="55"/>
      <c r="K26" s="55"/>
      <c r="L26" s="55"/>
      <c r="M26" s="55"/>
      <c r="N26" s="55"/>
      <c r="O26" s="55"/>
      <c r="P26" s="55"/>
      <c r="Q26" s="55"/>
      <c r="R26" s="55"/>
      <c r="S26" s="55"/>
      <c r="T26" s="55"/>
      <c r="U26" s="55"/>
      <c r="V26" s="55"/>
      <c r="W26" s="55"/>
      <c r="X26" s="56" t="str">
        <f ca="1">"Status: "&amp;$B$40</f>
        <v>Status: Not Started</v>
      </c>
    </row>
    <row r="27" spans="1:25" s="36" customFormat="1" ht="21.95" customHeight="1" x14ac:dyDescent="0.25">
      <c r="A27" s="61" t="s">
        <v>116</v>
      </c>
      <c r="B27" s="65" t="str">
        <f ca="1">IF(B24&gt;0,0,IF(B25&lt;1,"",2))</f>
        <v/>
      </c>
      <c r="C27" s="54"/>
      <c r="D27" s="54"/>
      <c r="E27" s="54"/>
      <c r="F27" s="54"/>
      <c r="G27" s="54"/>
      <c r="J27" s="44"/>
      <c r="L27" s="44"/>
      <c r="N27" s="44"/>
      <c r="P27" s="44"/>
      <c r="R27" s="44"/>
      <c r="T27" s="44"/>
      <c r="V27" s="44"/>
      <c r="X27" s="44"/>
    </row>
    <row r="28" spans="1:25" s="36" customFormat="1" ht="21.95" customHeight="1" x14ac:dyDescent="0.25">
      <c r="A28" s="61" t="s">
        <v>119</v>
      </c>
      <c r="B28" s="96" t="s">
        <v>2833</v>
      </c>
      <c r="C28" s="54"/>
      <c r="D28" s="54"/>
      <c r="E28" s="54"/>
      <c r="F28" s="54"/>
      <c r="G28" s="54"/>
      <c r="I28" s="36" t="s">
        <v>2494</v>
      </c>
      <c r="J28" s="44"/>
      <c r="L28" s="44"/>
      <c r="M28" s="36" t="s">
        <v>2495</v>
      </c>
      <c r="N28" s="44"/>
      <c r="P28" s="44"/>
      <c r="S28" s="36" t="s">
        <v>2496</v>
      </c>
      <c r="T28" s="44"/>
      <c r="V28" s="44"/>
      <c r="X28" s="44"/>
    </row>
    <row r="29" spans="1:25" s="36" customFormat="1" ht="21.95" customHeight="1" x14ac:dyDescent="0.25">
      <c r="A29" s="77" t="s">
        <v>2144</v>
      </c>
      <c r="B29" s="65">
        <v>0</v>
      </c>
      <c r="C29" s="54"/>
      <c r="D29" s="54"/>
      <c r="E29" s="54"/>
      <c r="F29" s="54"/>
      <c r="G29" s="54"/>
      <c r="I29" s="316"/>
      <c r="J29" s="317"/>
      <c r="K29" s="318"/>
      <c r="L29" s="52">
        <f ca="1">G32</f>
        <v>1</v>
      </c>
      <c r="M29" s="316"/>
      <c r="N29" s="317"/>
      <c r="O29" s="317"/>
      <c r="P29" s="317"/>
      <c r="Q29" s="318"/>
      <c r="R29" s="52">
        <f ca="1">G33</f>
        <v>1</v>
      </c>
      <c r="S29" s="316"/>
      <c r="T29" s="317"/>
      <c r="U29" s="317"/>
      <c r="V29" s="317"/>
      <c r="W29" s="318"/>
      <c r="X29" s="52">
        <f ca="1">G34</f>
        <v>1</v>
      </c>
    </row>
    <row r="30" spans="1:25" s="36" customFormat="1" ht="21.95" customHeight="1" x14ac:dyDescent="0.25">
      <c r="A30" s="77" t="s">
        <v>2145</v>
      </c>
      <c r="B30" s="65" t="b">
        <f>(B29&gt;0)</f>
        <v>0</v>
      </c>
      <c r="C30" s="54"/>
      <c r="D30" s="54"/>
      <c r="E30" s="54"/>
      <c r="F30" s="54"/>
      <c r="G30" s="54"/>
      <c r="J30" s="44"/>
      <c r="L30" s="44"/>
      <c r="N30" s="44"/>
      <c r="P30" s="44"/>
      <c r="R30" s="44"/>
      <c r="T30" s="44"/>
      <c r="V30" s="44"/>
      <c r="X30" s="44"/>
    </row>
    <row r="31" spans="1:25" s="36" customFormat="1" ht="21.95" customHeight="1" thickBot="1" x14ac:dyDescent="0.3">
      <c r="A31" s="91" t="s">
        <v>120</v>
      </c>
      <c r="B31" s="93" t="s">
        <v>2355</v>
      </c>
      <c r="C31" s="92"/>
      <c r="D31" s="92"/>
      <c r="E31" s="92"/>
      <c r="F31" s="92"/>
      <c r="G31" s="92"/>
      <c r="H31"/>
      <c r="I31" s="55" t="str">
        <f>B45</f>
        <v>Grant Summary</v>
      </c>
      <c r="J31" s="55"/>
      <c r="K31" s="55"/>
      <c r="L31" s="55"/>
      <c r="M31" s="55"/>
      <c r="N31" s="55"/>
      <c r="O31" s="55"/>
      <c r="P31" s="55"/>
      <c r="Q31" s="55"/>
      <c r="R31" s="55"/>
      <c r="S31" s="55"/>
      <c r="T31" s="55"/>
      <c r="U31" s="55"/>
      <c r="V31" s="55"/>
      <c r="W31" s="55"/>
      <c r="X31" s="56" t="str">
        <f ca="1">"Status: "&amp;$B$55</f>
        <v>Status: Not Started</v>
      </c>
    </row>
    <row r="32" spans="1:25" s="36" customFormat="1" ht="21.95" customHeight="1" x14ac:dyDescent="0.25">
      <c r="A32" s="61" t="s">
        <v>2489</v>
      </c>
      <c r="B32" s="95" t="str">
        <f>IF(I29&lt;&gt;"",I29,"")</f>
        <v/>
      </c>
      <c r="C32" s="54">
        <f ca="1">VLOOKUP(A32,DB_TBL_DATA_FIELDS[[FIELD_ID]:[PCT_CALC_FIELD_STATUS_CODE]],22,FALSE)</f>
        <v>1</v>
      </c>
      <c r="D32" s="54" t="str">
        <f>IF(VLOOKUP(A32,DB_TBL_DATA_FIELDS[[FIELD_ID]:[ERROR_MESSAGE]],23,FALSE)&lt;&gt;0,VLOOKUP(A32,DB_TBL_DATA_FIELDS[[FIELD_ID]:[ERROR_MESSAGE]],23,FALSE),"")</f>
        <v/>
      </c>
      <c r="E32" s="54" t="str">
        <f>VLOOKUP(A32,DB_TBL_DATA_FIELDS[[#All],[FIELD_ID]:[RANGE_VALIDATION_MAX]],18,FALSE)</f>
        <v/>
      </c>
      <c r="F32" s="54">
        <f>VLOOKUP(A32,DB_TBL_DATA_FIELDS[[#All],[FIELD_ID]:[RANGE_VALIDATION_MAX]],19,FALSE)</f>
        <v>999999</v>
      </c>
      <c r="G32" s="54">
        <f t="shared" ref="G32:G34" ca="1" si="1">IF(C32&lt;0,"",C32)</f>
        <v>1</v>
      </c>
      <c r="H32"/>
      <c r="I32" s="122"/>
      <c r="J32" s="122"/>
      <c r="K32" s="122"/>
      <c r="L32" s="122"/>
      <c r="M32" s="122"/>
      <c r="N32" s="122"/>
      <c r="O32" s="122"/>
      <c r="P32" s="122"/>
      <c r="Q32" s="122"/>
      <c r="R32" s="122"/>
      <c r="S32" s="122"/>
      <c r="T32" s="122"/>
      <c r="U32" s="122"/>
      <c r="V32" s="122"/>
      <c r="W32" s="122"/>
      <c r="X32" s="123"/>
    </row>
    <row r="33" spans="1:25" s="36" customFormat="1" ht="21.95" customHeight="1" x14ac:dyDescent="0.25">
      <c r="A33" s="61" t="s">
        <v>2238</v>
      </c>
      <c r="B33" s="95" t="str">
        <f>IF(M29&lt;&gt;"",M29,"")</f>
        <v/>
      </c>
      <c r="C33" s="54">
        <f ca="1">VLOOKUP(A33,DB_TBL_DATA_FIELDS[[FIELD_ID]:[PCT_CALC_FIELD_STATUS_CODE]],22,FALSE)</f>
        <v>1</v>
      </c>
      <c r="D33" s="54" t="str">
        <f>IF(VLOOKUP(A33,DB_TBL_DATA_FIELDS[[FIELD_ID]:[ERROR_MESSAGE]],23,FALSE)&lt;&gt;0,VLOOKUP(A33,DB_TBL_DATA_FIELDS[[FIELD_ID]:[ERROR_MESSAGE]],23,FALSE),"")</f>
        <v/>
      </c>
      <c r="E33" s="54">
        <f>VLOOKUP(A33,DB_TBL_DATA_FIELDS[[#All],[FIELD_ID]:[RANGE_VALIDATION_MAX]],18,FALSE)</f>
        <v>0</v>
      </c>
      <c r="F33" s="54">
        <f>VLOOKUP(A33,DB_TBL_DATA_FIELDS[[#All],[FIELD_ID]:[RANGE_VALIDATION_MAX]],19,FALSE)</f>
        <v>30</v>
      </c>
      <c r="G33" s="54">
        <f t="shared" ca="1" si="1"/>
        <v>1</v>
      </c>
      <c r="H33"/>
      <c r="I33" s="122"/>
      <c r="J33" s="122"/>
      <c r="K33" s="122"/>
      <c r="L33" s="122"/>
      <c r="M33" s="122"/>
      <c r="N33" s="122"/>
      <c r="O33" s="122"/>
      <c r="P33" s="122"/>
      <c r="Q33" s="122"/>
      <c r="R33" s="122"/>
      <c r="S33" s="122"/>
      <c r="T33" s="122"/>
      <c r="U33" s="122"/>
      <c r="V33" s="122"/>
      <c r="W33" s="122"/>
      <c r="X33" s="123"/>
    </row>
    <row r="34" spans="1:25" s="36" customFormat="1" ht="21.95" customHeight="1" x14ac:dyDescent="0.25">
      <c r="A34" s="61" t="s">
        <v>2239</v>
      </c>
      <c r="B34" s="95" t="str">
        <f>IF(S29&lt;&gt;"",S29,"")</f>
        <v/>
      </c>
      <c r="C34" s="54">
        <f ca="1">VLOOKUP(A34,DB_TBL_DATA_FIELDS[[FIELD_ID]:[PCT_CALC_FIELD_STATUS_CODE]],22,FALSE)</f>
        <v>1</v>
      </c>
      <c r="D34" s="54" t="str">
        <f>IF(VLOOKUP(A34,DB_TBL_DATA_FIELDS[[FIELD_ID]:[ERROR_MESSAGE]],23,FALSE)&lt;&gt;0,VLOOKUP(A34,DB_TBL_DATA_FIELDS[[FIELD_ID]:[ERROR_MESSAGE]],23,FALSE),"")</f>
        <v/>
      </c>
      <c r="E34" s="54">
        <f>VLOOKUP(A34,DB_TBL_DATA_FIELDS[[#All],[FIELD_ID]:[RANGE_VALIDATION_MAX]],18,FALSE)</f>
        <v>0</v>
      </c>
      <c r="F34" s="54">
        <f>VLOOKUP(A34,DB_TBL_DATA_FIELDS[[#All],[FIELD_ID]:[RANGE_VALIDATION_MAX]],19,FALSE)</f>
        <v>30</v>
      </c>
      <c r="G34" s="54">
        <f t="shared" ca="1" si="1"/>
        <v>1</v>
      </c>
      <c r="H34"/>
      <c r="I34" s="36" t="str">
        <f>"Requested Grant Amount (must not exceed "&amp;TEXT(CONFIG_GRANT_AMT_MAX,"$#,###")&amp;")"</f>
        <v>Requested Grant Amount (must not exceed )</v>
      </c>
      <c r="J34" s="44"/>
      <c r="K34"/>
      <c r="L34" s="121"/>
      <c r="M34"/>
      <c r="N34" s="44"/>
      <c r="O34"/>
      <c r="P34" s="44"/>
      <c r="Q34"/>
      <c r="R34" s="44"/>
      <c r="S34"/>
      <c r="T34" s="44"/>
      <c r="U34" s="388"/>
      <c r="V34" s="388"/>
      <c r="W34" s="388"/>
      <c r="X34" s="52">
        <f ca="1">G46</f>
        <v>1</v>
      </c>
      <c r="Y34"/>
    </row>
    <row r="35" spans="1:25" s="36" customFormat="1" ht="21.95" customHeight="1" x14ac:dyDescent="0.25">
      <c r="A35" s="61" t="s">
        <v>121</v>
      </c>
      <c r="B35" s="65" t="str">
        <f>"C"&amp;MATCH(LEFT(A35,LEN(A35)-LEN("_RANGE")),A:A,0)+1&amp;":C"&amp;(ROW()-1)</f>
        <v>C32:C34</v>
      </c>
      <c r="C35" s="54"/>
      <c r="D35" s="54"/>
      <c r="E35" s="54"/>
      <c r="F35" s="54"/>
      <c r="G35" s="54"/>
      <c r="H35"/>
      <c r="I35" s="124"/>
      <c r="J35" s="124"/>
      <c r="K35" s="124"/>
      <c r="L35" s="124"/>
      <c r="M35" s="124"/>
      <c r="N35" s="124"/>
      <c r="O35" s="124"/>
      <c r="P35" s="124"/>
      <c r="Q35" s="350" t="str">
        <f ca="1">D48</f>
        <v/>
      </c>
      <c r="R35" s="350"/>
      <c r="S35" s="350"/>
      <c r="T35" s="350"/>
      <c r="U35" s="350"/>
      <c r="V35" s="350"/>
      <c r="W35" s="350"/>
      <c r="X35" s="124"/>
    </row>
    <row r="36" spans="1:25" s="36" customFormat="1" ht="21.95" customHeight="1" x14ac:dyDescent="0.25">
      <c r="A36" s="61" t="s">
        <v>122</v>
      </c>
      <c r="B36" s="65">
        <f ca="1">COUNTIF(INDIRECT($B$35),2)</f>
        <v>0</v>
      </c>
      <c r="C36" s="54"/>
      <c r="D36" s="54"/>
      <c r="E36" s="54"/>
      <c r="F36" s="54"/>
      <c r="G36" s="54"/>
      <c r="H36"/>
      <c r="I36" s="367" t="s">
        <v>2381</v>
      </c>
      <c r="J36" s="367"/>
      <c r="K36" s="367"/>
      <c r="L36" s="367"/>
      <c r="M36" s="367"/>
      <c r="N36" s="367"/>
      <c r="O36" s="367"/>
      <c r="P36" s="367"/>
      <c r="Q36" s="367"/>
      <c r="R36" s="367"/>
      <c r="S36" s="367"/>
      <c r="T36" s="125"/>
      <c r="U36" s="125"/>
      <c r="W36" s="40"/>
      <c r="X36" s="52" t="str">
        <f ca="1">G49</f>
        <v/>
      </c>
    </row>
    <row r="37" spans="1:25" ht="21.95" customHeight="1" x14ac:dyDescent="0.25">
      <c r="A37" s="61" t="s">
        <v>123</v>
      </c>
      <c r="B37" s="65">
        <f ca="1">COUNTIF(INDIRECT($B$35),0)+COUNTIF(INDIRECT($B$35),1)+COUNTIF(INDIRECT($B$35),2)</f>
        <v>3</v>
      </c>
      <c r="C37" s="54"/>
      <c r="D37" s="54"/>
      <c r="E37" s="54"/>
      <c r="F37" s="54"/>
      <c r="G37" s="54"/>
      <c r="I37" s="367"/>
      <c r="J37" s="367"/>
      <c r="K37" s="367"/>
      <c r="L37" s="367"/>
      <c r="M37" s="367"/>
      <c r="N37" s="367"/>
      <c r="O37" s="367"/>
      <c r="P37" s="367"/>
      <c r="Q37" s="367"/>
      <c r="R37" s="367"/>
      <c r="S37" s="367"/>
      <c r="T37" s="125"/>
      <c r="U37" s="125"/>
      <c r="V37"/>
      <c r="X37"/>
      <c r="Y37" s="36"/>
    </row>
    <row r="38" spans="1:25" ht="21.95" customHeight="1" x14ac:dyDescent="0.25">
      <c r="A38" s="61" t="s">
        <v>124</v>
      </c>
      <c r="B38" s="65">
        <f ca="1">COUNTIF(INDIRECT($B$35),0)</f>
        <v>0</v>
      </c>
      <c r="C38" s="54"/>
      <c r="D38" s="54"/>
      <c r="E38" s="54"/>
      <c r="F38" s="54"/>
      <c r="G38" s="54"/>
      <c r="J38"/>
      <c r="L38"/>
      <c r="N38"/>
      <c r="P38"/>
      <c r="R38"/>
      <c r="T38"/>
      <c r="V38"/>
      <c r="X38"/>
      <c r="Y38" s="36"/>
    </row>
    <row r="39" spans="1:25" ht="21.95" customHeight="1" thickBot="1" x14ac:dyDescent="0.3">
      <c r="A39" s="61" t="s">
        <v>125</v>
      </c>
      <c r="B39" s="97">
        <f ca="1">IFERROR(B36/B37,1.01)</f>
        <v>0</v>
      </c>
      <c r="C39" s="54"/>
      <c r="D39" s="54"/>
      <c r="E39" s="54"/>
      <c r="F39" s="54"/>
      <c r="G39" s="54"/>
      <c r="I39" s="55" t="str">
        <f>B60</f>
        <v>Mortgage Information</v>
      </c>
      <c r="J39" s="55"/>
      <c r="K39" s="55"/>
      <c r="L39" s="55"/>
      <c r="M39" s="55"/>
      <c r="N39" s="55"/>
      <c r="O39" s="55"/>
      <c r="P39" s="55"/>
      <c r="Q39" s="55"/>
      <c r="R39" s="55"/>
      <c r="S39" s="55"/>
      <c r="T39" s="55"/>
      <c r="U39" s="55"/>
      <c r="V39" s="55"/>
      <c r="W39" s="55"/>
      <c r="X39" s="56" t="str">
        <f ca="1">"Status: "&amp;$B$83</f>
        <v>Status: Not Started</v>
      </c>
    </row>
    <row r="40" spans="1:25" ht="21.95" customHeight="1" x14ac:dyDescent="0.25">
      <c r="A40" s="61" t="s">
        <v>126</v>
      </c>
      <c r="B40" s="65" t="str">
        <f ca="1">IF(B38&gt;0,"Data Error(s)",IF(B39=0,"Not Started",IF(B39&lt;1,ROUNDUP(B39*100,0)&amp;"% Done",IF(B39&gt;1,"Optional","Complete"))))</f>
        <v>Not Started</v>
      </c>
      <c r="C40" s="54"/>
      <c r="D40" s="54"/>
      <c r="E40" s="54"/>
      <c r="F40" s="54"/>
      <c r="G40" s="54"/>
    </row>
    <row r="41" spans="1:25" ht="21.95" customHeight="1" x14ac:dyDescent="0.25">
      <c r="A41" s="61" t="s">
        <v>127</v>
      </c>
      <c r="B41" s="65" t="str">
        <f ca="1">IF(B38&gt;0,0,IF(B39&lt;1,"",2))</f>
        <v/>
      </c>
      <c r="C41" s="54"/>
      <c r="D41" s="54"/>
      <c r="E41" s="54"/>
      <c r="F41" s="54"/>
      <c r="G41" s="54"/>
      <c r="I41" s="36"/>
      <c r="J41" s="36"/>
      <c r="K41" s="36"/>
      <c r="L41" s="36"/>
      <c r="M41" s="36"/>
      <c r="N41" s="36"/>
      <c r="O41" s="36"/>
      <c r="P41" s="36"/>
      <c r="Q41" s="36"/>
      <c r="R41" s="36"/>
      <c r="S41" s="36"/>
      <c r="T41" s="36"/>
      <c r="U41" s="36"/>
      <c r="V41" s="36"/>
      <c r="W41" s="36"/>
      <c r="X41" s="36"/>
    </row>
    <row r="42" spans="1:25" ht="21.95" customHeight="1" thickBot="1" x14ac:dyDescent="0.3">
      <c r="A42" s="61" t="s">
        <v>128</v>
      </c>
      <c r="B42" s="96" t="s">
        <v>2355</v>
      </c>
      <c r="C42" s="54"/>
      <c r="D42" s="54"/>
      <c r="E42" s="54"/>
      <c r="F42" s="54"/>
      <c r="G42" s="54"/>
      <c r="I42" s="64" t="s">
        <v>2566</v>
      </c>
      <c r="J42" s="64"/>
      <c r="K42" s="64"/>
      <c r="L42" s="64"/>
      <c r="M42" s="64"/>
      <c r="N42" s="64"/>
      <c r="O42" s="64"/>
      <c r="P42" s="64"/>
      <c r="Q42" s="64"/>
      <c r="R42" s="64"/>
      <c r="S42" s="64"/>
      <c r="T42" s="64"/>
      <c r="U42" s="64"/>
      <c r="V42" s="64"/>
      <c r="W42" s="157" t="str">
        <f ca="1">IF(B86&lt;&gt;"",B86,IF(B87&lt;&gt;"",B87,IF(B88&lt;&gt;"",B88,IF(B89&lt;&gt;"",B89,""))))</f>
        <v/>
      </c>
      <c r="X42" s="132" t="str">
        <f ca="1">IF(SUM(C86:C89)&gt;0,1,"")</f>
        <v/>
      </c>
    </row>
    <row r="43" spans="1:25" ht="21.95" customHeight="1" thickTop="1" x14ac:dyDescent="0.25">
      <c r="A43" s="77" t="s">
        <v>2152</v>
      </c>
      <c r="B43" s="65">
        <v>0</v>
      </c>
      <c r="C43" s="54"/>
      <c r="D43" s="54"/>
      <c r="E43" s="54"/>
      <c r="F43" s="54"/>
      <c r="G43" s="54"/>
      <c r="I43" s="36"/>
      <c r="J43" s="36"/>
      <c r="K43" s="36"/>
      <c r="L43" s="36"/>
      <c r="M43" s="36"/>
      <c r="N43" s="36"/>
      <c r="O43" s="36"/>
      <c r="P43" s="36"/>
      <c r="Q43" s="36"/>
      <c r="R43" s="36"/>
      <c r="S43" s="36"/>
      <c r="T43" s="36"/>
      <c r="U43" s="36"/>
      <c r="V43" s="36"/>
      <c r="W43" s="36"/>
      <c r="X43" s="36"/>
    </row>
    <row r="44" spans="1:25" ht="21.95" customHeight="1" x14ac:dyDescent="0.25">
      <c r="A44" s="77" t="s">
        <v>2153</v>
      </c>
      <c r="B44" s="65" t="b">
        <f>(B43&gt;0)</f>
        <v>0</v>
      </c>
      <c r="C44" s="54"/>
      <c r="D44" s="54"/>
      <c r="E44" s="54"/>
      <c r="F44" s="54"/>
      <c r="G44" s="54"/>
      <c r="I44" s="36" t="s">
        <v>2567</v>
      </c>
      <c r="J44" s="36"/>
      <c r="K44" s="36"/>
      <c r="L44" s="36"/>
      <c r="M44" s="237" t="s">
        <v>2539</v>
      </c>
      <c r="N44" s="36"/>
      <c r="O44" s="36"/>
      <c r="P44" s="36"/>
      <c r="Q44" s="36" t="s">
        <v>2569</v>
      </c>
      <c r="R44" s="36"/>
      <c r="S44" s="237" t="s">
        <v>2570</v>
      </c>
      <c r="T44" s="36"/>
      <c r="U44" s="36" t="s">
        <v>2571</v>
      </c>
      <c r="V44" s="36"/>
      <c r="X44" s="36"/>
    </row>
    <row r="45" spans="1:25" ht="21.95" customHeight="1" x14ac:dyDescent="0.25">
      <c r="A45" s="91" t="s">
        <v>141</v>
      </c>
      <c r="B45" s="93" t="s">
        <v>2356</v>
      </c>
      <c r="C45" s="92"/>
      <c r="D45" s="92"/>
      <c r="E45" s="92"/>
      <c r="F45" s="92"/>
      <c r="G45" s="92"/>
      <c r="I45" s="338"/>
      <c r="J45" s="339"/>
      <c r="K45" s="340"/>
      <c r="L45" s="52">
        <f ca="1">G61</f>
        <v>1</v>
      </c>
      <c r="M45" s="388"/>
      <c r="N45" s="388"/>
      <c r="O45" s="388"/>
      <c r="P45" s="52">
        <f ca="1">G70</f>
        <v>1</v>
      </c>
      <c r="Q45" s="238"/>
      <c r="R45" s="52">
        <f ca="1">G71</f>
        <v>1</v>
      </c>
      <c r="S45" s="236"/>
      <c r="T45" s="52">
        <f ca="1">G72</f>
        <v>1</v>
      </c>
      <c r="U45" s="316"/>
      <c r="V45" s="317"/>
      <c r="W45" s="318"/>
      <c r="X45" s="52">
        <f ca="1">G73</f>
        <v>1</v>
      </c>
    </row>
    <row r="46" spans="1:25" ht="21.95" customHeight="1" x14ac:dyDescent="0.25">
      <c r="A46" s="61" t="s">
        <v>2283</v>
      </c>
      <c r="B46" s="95" t="str">
        <f>IF(U34&lt;&gt;"",U34,"")</f>
        <v/>
      </c>
      <c r="C46" s="54">
        <f ca="1">VLOOKUP(A46,DB_TBL_DATA_FIELDS[[FIELD_ID]:[PCT_CALC_FIELD_STATUS_CODE]],22,FALSE)</f>
        <v>1</v>
      </c>
      <c r="D46" s="54" t="str">
        <f>IF(VLOOKUP(A46,DB_TBL_DATA_FIELDS[[FIELD_ID]:[ERROR_MESSAGE]],23,FALSE)&lt;&gt;0,VLOOKUP(A46,DB_TBL_DATA_FIELDS[[FIELD_ID]:[ERROR_MESSAGE]],23,FALSE),"")</f>
        <v/>
      </c>
      <c r="E46" s="54">
        <f>VLOOKUP(A46,DB_TBL_DATA_FIELDS[[#All],[FIELD_ID]:[RANGE_VALIDATION_MAX]],18,FALSE)</f>
        <v>1</v>
      </c>
      <c r="F46" s="54" t="str">
        <f>VLOOKUP(A46,DB_TBL_DATA_FIELDS[[#All],[FIELD_ID]:[RANGE_VALIDATION_MAX]],19,FALSE)</f>
        <v/>
      </c>
      <c r="G46" s="54">
        <f t="shared" ref="G46:G49" ca="1" si="2">IF(C46&lt;0,"",C46)</f>
        <v>1</v>
      </c>
      <c r="I46" s="36" t="s">
        <v>9297</v>
      </c>
      <c r="J46" s="36"/>
      <c r="K46" s="36"/>
      <c r="L46" s="36"/>
      <c r="M46" s="36" t="s">
        <v>9298</v>
      </c>
      <c r="N46" s="36"/>
      <c r="O46" s="36"/>
      <c r="P46" s="36"/>
      <c r="Q46" s="36"/>
      <c r="R46" s="36"/>
      <c r="S46" s="36"/>
      <c r="T46" s="36"/>
      <c r="U46" s="36"/>
      <c r="V46" s="36"/>
      <c r="W46" s="36"/>
      <c r="X46" s="36"/>
    </row>
    <row r="47" spans="1:25" ht="21.95" customHeight="1" x14ac:dyDescent="0.25">
      <c r="A47" s="244" t="s">
        <v>2284</v>
      </c>
      <c r="B47" s="245" t="str">
        <f>""</f>
        <v/>
      </c>
      <c r="C47" s="245" t="str">
        <f>VLOOKUP(A47,DB_TBL_DATA_FIELDS[[FIELD_ID]:[PCT_CALC_FIELD_STATUS_CODE]],22,FALSE)</f>
        <v/>
      </c>
      <c r="D47" s="245" t="str">
        <f>IF(VLOOKUP(A47,DB_TBL_DATA_FIELDS[[FIELD_ID]:[ERROR_MESSAGE]],23,FALSE)&lt;&gt;0,VLOOKUP(A47,DB_TBL_DATA_FIELDS[[FIELD_ID]:[ERROR_MESSAGE]],23,FALSE),"")</f>
        <v/>
      </c>
      <c r="E47" s="245">
        <f>VLOOKUP(A47,DB_TBL_DATA_FIELDS[[#All],[FIELD_ID]:[RANGE_VALIDATION_MAX]],18,FALSE)</f>
        <v>0</v>
      </c>
      <c r="F47" s="245" t="str">
        <f>VLOOKUP(A47,DB_TBL_DATA_FIELDS[[#All],[FIELD_ID]:[RANGE_VALIDATION_MAX]],19,FALSE)</f>
        <v/>
      </c>
      <c r="G47" s="245" t="str">
        <f t="shared" si="2"/>
        <v/>
      </c>
      <c r="I47" s="388"/>
      <c r="J47" s="388"/>
      <c r="K47" s="388"/>
      <c r="L47" s="52">
        <f ca="1">G65</f>
        <v>1</v>
      </c>
      <c r="M47" s="388"/>
      <c r="N47" s="388"/>
      <c r="O47" s="388"/>
      <c r="P47" s="52" t="str">
        <f ca="1">G66</f>
        <v/>
      </c>
      <c r="Q47" s="36"/>
      <c r="R47" s="36"/>
      <c r="S47" s="36"/>
      <c r="T47" s="36"/>
      <c r="U47" s="36"/>
      <c r="V47" s="36"/>
      <c r="W47" s="36"/>
      <c r="X47" s="36"/>
    </row>
    <row r="48" spans="1:25" ht="21.95" customHeight="1" x14ac:dyDescent="0.25">
      <c r="A48" s="61" t="s">
        <v>2285</v>
      </c>
      <c r="B48" s="65">
        <f ca="1">VLOOKUP(A48,DB_TBL_DATA_FIELDS[[#All],[FIELD_ID]:[FIELD_VALUE_RAW]],5,FALSE)</f>
        <v>0</v>
      </c>
      <c r="C48" s="54" t="str">
        <f ca="1">VLOOKUP(A48,DB_TBL_DATA_FIELDS[[FIELD_ID]:[PCT_CALC_FIELD_STATUS_CODE]],22,FALSE)</f>
        <v/>
      </c>
      <c r="D48" s="54" t="str">
        <f ca="1">IF(VLOOKUP(A48,DB_TBL_DATA_FIELDS[[FIELD_ID]:[ERROR_MESSAGE]],23,FALSE)&lt;&gt;0,VLOOKUP(A48,DB_TBL_DATA_FIELDS[[FIELD_ID]:[ERROR_MESSAGE]],23,FALSE),"")</f>
        <v/>
      </c>
      <c r="E48" s="54">
        <f>VLOOKUP(A48,DB_TBL_DATA_FIELDS[[#All],[FIELD_ID]:[RANGE_VALIDATION_MAX]],18,FALSE)</f>
        <v>0</v>
      </c>
      <c r="F48" s="54" t="str">
        <f>VLOOKUP(A48,DB_TBL_DATA_FIELDS[[#All],[FIELD_ID]:[RANGE_VALIDATION_MAX]],19,FALSE)</f>
        <v/>
      </c>
      <c r="G48" s="54" t="str">
        <f t="shared" ca="1" si="2"/>
        <v/>
      </c>
      <c r="I48" s="36"/>
      <c r="J48" s="36"/>
      <c r="K48" s="36"/>
      <c r="L48" s="36"/>
      <c r="M48" s="36"/>
      <c r="N48" s="36"/>
      <c r="O48" s="36"/>
      <c r="P48" s="36"/>
      <c r="Q48" s="36"/>
      <c r="R48" s="36"/>
      <c r="S48" s="36"/>
      <c r="T48" s="36"/>
      <c r="U48" s="36"/>
      <c r="V48" s="36"/>
      <c r="W48" s="36"/>
      <c r="X48" s="36"/>
    </row>
    <row r="49" spans="1:24" ht="21.95" customHeight="1" x14ac:dyDescent="0.25">
      <c r="A49" s="61" t="s">
        <v>2348</v>
      </c>
      <c r="B49" s="95" t="str">
        <f>IF(W36="","",IF(UPPER(W36)="YES",TRUE,FALSE))</f>
        <v/>
      </c>
      <c r="C49" s="54">
        <f ca="1">VLOOKUP(A49,DB_TBL_DATA_FIELDS[[FIELD_ID]:[PCT_CALC_FIELD_STATUS_CODE]],22,FALSE)</f>
        <v>-1</v>
      </c>
      <c r="D49" s="54" t="str">
        <f>IF(VLOOKUP(A49,DB_TBL_DATA_FIELDS[[FIELD_ID]:[ERROR_MESSAGE]],23,FALSE)&lt;&gt;0,VLOOKUP(A49,DB_TBL_DATA_FIELDS[[FIELD_ID]:[ERROR_MESSAGE]],23,FALSE),"")</f>
        <v/>
      </c>
      <c r="E49" s="54">
        <f>VLOOKUP(A49,DB_TBL_DATA_FIELDS[[#All],[FIELD_ID]:[RANGE_VALIDATION_MAX]],18,FALSE)</f>
        <v>0</v>
      </c>
      <c r="F49" s="54">
        <f>VLOOKUP(A49,DB_TBL_DATA_FIELDS[[#All],[FIELD_ID]:[RANGE_VALIDATION_MAX]],19,FALSE)</f>
        <v>0</v>
      </c>
      <c r="G49" s="54" t="str">
        <f t="shared" ca="1" si="2"/>
        <v/>
      </c>
      <c r="I49" s="36" t="s">
        <v>2510</v>
      </c>
      <c r="L49" s="121"/>
      <c r="U49" s="36"/>
      <c r="V49" s="36"/>
      <c r="W49" s="294" t="str">
        <f ca="1">B67</f>
        <v/>
      </c>
      <c r="X49" s="52">
        <f ca="1">G67</f>
        <v>1</v>
      </c>
    </row>
    <row r="50" spans="1:24" ht="21.95" customHeight="1" x14ac:dyDescent="0.25">
      <c r="A50" s="61" t="s">
        <v>142</v>
      </c>
      <c r="B50" s="65" t="str">
        <f>"C"&amp;MATCH(LEFT(A50,LEN(A50)-LEN("_RANGE")),A:A,0)+1&amp;":C"&amp;(ROW()-1)</f>
        <v>C46:C49</v>
      </c>
      <c r="C50" s="54"/>
      <c r="D50" s="54"/>
      <c r="E50" s="54"/>
      <c r="F50" s="54"/>
      <c r="G50" s="54"/>
      <c r="I50" s="36" t="s">
        <v>2535</v>
      </c>
      <c r="L50" s="121"/>
      <c r="U50" s="36"/>
      <c r="V50" s="36"/>
      <c r="W50" s="159"/>
      <c r="X50" s="52">
        <f ca="1">G62</f>
        <v>1</v>
      </c>
    </row>
    <row r="51" spans="1:24" ht="21.95" customHeight="1" x14ac:dyDescent="0.25">
      <c r="A51" s="61" t="s">
        <v>143</v>
      </c>
      <c r="B51" s="65">
        <f ca="1">COUNTIF(INDIRECT($B50),2)</f>
        <v>0</v>
      </c>
      <c r="C51" s="54"/>
      <c r="D51" s="54"/>
      <c r="E51" s="54"/>
      <c r="F51" s="54"/>
      <c r="G51" s="54"/>
      <c r="I51" s="36" t="s">
        <v>2536</v>
      </c>
      <c r="L51" s="121"/>
      <c r="U51" s="36"/>
      <c r="V51" s="36"/>
      <c r="W51" s="159"/>
      <c r="X51" s="52">
        <f ca="1">G63</f>
        <v>1</v>
      </c>
    </row>
    <row r="52" spans="1:24" ht="21.95" customHeight="1" x14ac:dyDescent="0.25">
      <c r="A52" s="61" t="s">
        <v>144</v>
      </c>
      <c r="B52" s="65">
        <f ca="1">COUNTIF(INDIRECT($B50),0)+COUNTIF(INDIRECT($B50),1)+COUNTIF(INDIRECT($B50),2)</f>
        <v>1</v>
      </c>
      <c r="C52" s="54"/>
      <c r="D52" s="54"/>
      <c r="E52" s="54"/>
      <c r="F52" s="54"/>
      <c r="G52" s="54"/>
      <c r="I52" s="36"/>
      <c r="L52" s="121"/>
      <c r="O52" s="350" t="str">
        <f ca="1">D63</f>
        <v/>
      </c>
      <c r="P52" s="350"/>
      <c r="Q52" s="350"/>
      <c r="R52" s="350"/>
      <c r="S52" s="350"/>
      <c r="T52" s="350"/>
      <c r="U52" s="350"/>
      <c r="V52" s="350"/>
      <c r="W52" s="350"/>
      <c r="X52" s="52"/>
    </row>
    <row r="53" spans="1:24" ht="21.95" customHeight="1" x14ac:dyDescent="0.25">
      <c r="A53" s="61" t="s">
        <v>145</v>
      </c>
      <c r="B53" s="65">
        <f ca="1">COUNTIF(INDIRECT($B50),0)</f>
        <v>0</v>
      </c>
      <c r="C53" s="54"/>
      <c r="D53" s="54"/>
      <c r="E53" s="54"/>
      <c r="F53" s="54"/>
      <c r="G53" s="54"/>
      <c r="I53" s="36" t="str">
        <f>"If Total Debt to Income Ratio is greater than "&amp;TEXT(CONFIG_DTI_THRESH_AFFORDABILITY,"0%")&amp;", provide an explanation of affordability:"</f>
        <v>If Total Debt to Income Ratio is greater than , provide an explanation of affordability:</v>
      </c>
      <c r="J53" s="36"/>
      <c r="K53" s="36"/>
      <c r="L53" s="36"/>
      <c r="M53" s="36"/>
      <c r="N53" s="36"/>
      <c r="O53" s="36"/>
      <c r="P53" s="36"/>
      <c r="Q53" s="36"/>
      <c r="R53" s="36"/>
      <c r="S53" s="36"/>
      <c r="T53" s="36"/>
      <c r="U53" s="36"/>
      <c r="V53" s="36"/>
      <c r="W53" s="155" t="str">
        <f ca="1">IF(DATA_EXPLANATION_OF_AFFORDABILITY_REQ_FLAG,SUBSTITUTE(SUBSTITUTE(SUBSTITUTE(IF(LEN(B64)&gt;F64,CONFIG_CHAR_LIMIT_TEMPLATE_ERR,CONFIG_CHAR_LIMIT_TEMPLATE),"[diff]",ABS(LEN(B64)-F64)),"[limit]",F64),"[used]",LEN(B64)),"")</f>
        <v/>
      </c>
      <c r="X53" s="36"/>
    </row>
    <row r="54" spans="1:24" ht="21.95" customHeight="1" x14ac:dyDescent="0.25">
      <c r="A54" s="61" t="s">
        <v>146</v>
      </c>
      <c r="B54" s="97">
        <f ca="1">IFERROR(B51/B52,1.01)</f>
        <v>0</v>
      </c>
      <c r="C54" s="54"/>
      <c r="D54" s="54"/>
      <c r="E54" s="54"/>
      <c r="F54" s="54"/>
      <c r="G54" s="54"/>
      <c r="I54" s="389"/>
      <c r="J54" s="390"/>
      <c r="K54" s="390"/>
      <c r="L54" s="390"/>
      <c r="M54" s="390"/>
      <c r="N54" s="390"/>
      <c r="O54" s="390"/>
      <c r="P54" s="390"/>
      <c r="Q54" s="390"/>
      <c r="R54" s="390"/>
      <c r="S54" s="390"/>
      <c r="T54" s="390"/>
      <c r="U54" s="390"/>
      <c r="V54" s="390"/>
      <c r="W54" s="391"/>
      <c r="X54" s="52" t="str">
        <f ca="1">G64</f>
        <v/>
      </c>
    </row>
    <row r="55" spans="1:24" ht="21.95" customHeight="1" x14ac:dyDescent="0.25">
      <c r="A55" s="61" t="s">
        <v>147</v>
      </c>
      <c r="B55" s="65" t="str">
        <f ca="1">IF(B53&gt;0,"Data Error(s)",IF(B54=0,"Not Started",IF(B54&lt;1,ROUNDUP(B54*100,0)&amp;"% Done",IF(B54&gt;1,"Optional","Complete"))))</f>
        <v>Not Started</v>
      </c>
      <c r="C55" s="54"/>
      <c r="D55" s="54"/>
      <c r="E55" s="54"/>
      <c r="F55" s="54"/>
      <c r="G55" s="54"/>
      <c r="I55" s="392"/>
      <c r="J55" s="393"/>
      <c r="K55" s="393"/>
      <c r="L55" s="393"/>
      <c r="M55" s="393"/>
      <c r="N55" s="393"/>
      <c r="O55" s="393"/>
      <c r="P55" s="393"/>
      <c r="Q55" s="393"/>
      <c r="R55" s="393"/>
      <c r="S55" s="393"/>
      <c r="T55" s="393"/>
      <c r="U55" s="393"/>
      <c r="V55" s="393"/>
      <c r="W55" s="394"/>
      <c r="X55" s="36"/>
    </row>
    <row r="56" spans="1:24" ht="21.95" customHeight="1" x14ac:dyDescent="0.25">
      <c r="A56" s="61" t="s">
        <v>148</v>
      </c>
      <c r="B56" s="65" t="str">
        <f ca="1">IF(B53&gt;0,0,IF(B54&lt;1,"",2))</f>
        <v/>
      </c>
      <c r="C56" s="54"/>
      <c r="D56" s="54"/>
      <c r="E56" s="54"/>
      <c r="F56" s="54"/>
      <c r="G56" s="54"/>
      <c r="I56" s="392"/>
      <c r="J56" s="393"/>
      <c r="K56" s="393"/>
      <c r="L56" s="393"/>
      <c r="M56" s="393"/>
      <c r="N56" s="393"/>
      <c r="O56" s="393"/>
      <c r="P56" s="393"/>
      <c r="Q56" s="393"/>
      <c r="R56" s="393"/>
      <c r="S56" s="393"/>
      <c r="T56" s="393"/>
      <c r="U56" s="393"/>
      <c r="V56" s="393"/>
      <c r="W56" s="394"/>
      <c r="X56" s="36"/>
    </row>
    <row r="57" spans="1:24" ht="21.95" customHeight="1" x14ac:dyDescent="0.25">
      <c r="A57" s="61" t="s">
        <v>149</v>
      </c>
      <c r="B57" s="96" t="s">
        <v>2356</v>
      </c>
      <c r="C57" s="54"/>
      <c r="D57" s="54"/>
      <c r="E57" s="54"/>
      <c r="F57" s="54"/>
      <c r="G57" s="54"/>
      <c r="I57" s="392"/>
      <c r="J57" s="393"/>
      <c r="K57" s="393"/>
      <c r="L57" s="393"/>
      <c r="M57" s="393"/>
      <c r="N57" s="393"/>
      <c r="O57" s="393"/>
      <c r="P57" s="393"/>
      <c r="Q57" s="393"/>
      <c r="R57" s="393"/>
      <c r="S57" s="393"/>
      <c r="T57" s="393"/>
      <c r="U57" s="393"/>
      <c r="V57" s="393"/>
      <c r="W57" s="394"/>
      <c r="X57" s="36"/>
    </row>
    <row r="58" spans="1:24" ht="21.95" customHeight="1" x14ac:dyDescent="0.25">
      <c r="A58" s="77" t="s">
        <v>2150</v>
      </c>
      <c r="B58" s="65">
        <v>0</v>
      </c>
      <c r="C58" s="54"/>
      <c r="D58" s="54"/>
      <c r="E58" s="54"/>
      <c r="F58" s="54"/>
      <c r="G58" s="54"/>
      <c r="I58" s="392"/>
      <c r="J58" s="393"/>
      <c r="K58" s="393"/>
      <c r="L58" s="393"/>
      <c r="M58" s="393"/>
      <c r="N58" s="393"/>
      <c r="O58" s="393"/>
      <c r="P58" s="393"/>
      <c r="Q58" s="393"/>
      <c r="R58" s="393"/>
      <c r="S58" s="393"/>
      <c r="T58" s="393"/>
      <c r="U58" s="393"/>
      <c r="V58" s="393"/>
      <c r="W58" s="394"/>
      <c r="X58" s="36"/>
    </row>
    <row r="59" spans="1:24" ht="21.95" customHeight="1" x14ac:dyDescent="0.25">
      <c r="A59" s="77" t="s">
        <v>2151</v>
      </c>
      <c r="B59" s="65" t="b">
        <f>(B58&gt;0)</f>
        <v>0</v>
      </c>
      <c r="C59" s="54"/>
      <c r="D59" s="54"/>
      <c r="E59" s="54"/>
      <c r="F59" s="54"/>
      <c r="G59" s="54"/>
      <c r="I59" s="395"/>
      <c r="J59" s="396"/>
      <c r="K59" s="396"/>
      <c r="L59" s="396"/>
      <c r="M59" s="396"/>
      <c r="N59" s="396"/>
      <c r="O59" s="396"/>
      <c r="P59" s="396"/>
      <c r="Q59" s="396"/>
      <c r="R59" s="396"/>
      <c r="S59" s="396"/>
      <c r="T59" s="396"/>
      <c r="U59" s="396"/>
      <c r="V59" s="396"/>
      <c r="W59" s="397"/>
      <c r="X59" s="36"/>
    </row>
    <row r="60" spans="1:24" ht="21.95" customHeight="1" x14ac:dyDescent="0.25">
      <c r="A60" s="91" t="s">
        <v>152</v>
      </c>
      <c r="B60" s="93" t="s">
        <v>2564</v>
      </c>
      <c r="C60" s="92"/>
      <c r="D60" s="92"/>
      <c r="E60" s="92"/>
      <c r="F60" s="92"/>
      <c r="G60" s="92"/>
      <c r="I60" s="36"/>
      <c r="J60" s="36"/>
      <c r="K60" s="36"/>
      <c r="L60" s="36"/>
      <c r="M60" s="36"/>
      <c r="N60" s="36"/>
      <c r="O60" s="36"/>
      <c r="P60" s="36"/>
      <c r="Q60" s="36"/>
      <c r="R60" s="36"/>
      <c r="S60" s="36"/>
      <c r="T60" s="36"/>
      <c r="U60" s="36"/>
      <c r="V60" s="36"/>
      <c r="W60" s="36"/>
      <c r="X60" s="36"/>
    </row>
    <row r="61" spans="1:24" ht="21.95" customHeight="1" x14ac:dyDescent="0.25">
      <c r="A61" s="61" t="s">
        <v>2513</v>
      </c>
      <c r="B61" s="95" t="str">
        <f>IF(I45&lt;&gt;"",I45,"")</f>
        <v/>
      </c>
      <c r="C61" s="54">
        <f ca="1">VLOOKUP(A61,DB_TBL_DATA_FIELDS[[FIELD_ID]:[PCT_CALC_FIELD_STATUS_CODE]],22,FALSE)</f>
        <v>1</v>
      </c>
      <c r="D61" s="54" t="str">
        <f>IF(VLOOKUP(A61,DB_TBL_DATA_FIELDS[[FIELD_ID]:[ERROR_MESSAGE]],23,FALSE)&lt;&gt;0,VLOOKUP(A61,DB_TBL_DATA_FIELDS[[FIELD_ID]:[ERROR_MESSAGE]],23,FALSE),"")</f>
        <v/>
      </c>
      <c r="E61" s="54">
        <f>VLOOKUP(A61,DB_TBL_DATA_FIELDS[[#All],[FIELD_ID]:[RANGE_VALIDATION_MAX]],18,FALSE)</f>
        <v>0</v>
      </c>
      <c r="F61" s="54">
        <f>VLOOKUP(A61,DB_TBL_DATA_FIELDS[[#All],[FIELD_ID]:[RANGE_VALIDATION_MAX]],19,FALSE)</f>
        <v>0</v>
      </c>
      <c r="G61" s="54">
        <f t="shared" ref="G61:G77" ca="1" si="3">IF(C61&lt;0,"",C61)</f>
        <v>1</v>
      </c>
      <c r="I61" s="36" t="s">
        <v>2538</v>
      </c>
      <c r="L61" s="121"/>
      <c r="U61" s="388"/>
      <c r="V61" s="388"/>
      <c r="W61" s="388"/>
      <c r="X61" s="52">
        <f ca="1">G69</f>
        <v>1</v>
      </c>
    </row>
    <row r="62" spans="1:24" ht="21.95" customHeight="1" x14ac:dyDescent="0.25">
      <c r="A62" s="61" t="s">
        <v>2508</v>
      </c>
      <c r="B62" s="95" t="str">
        <f>IF(W50&lt;&gt;"",W50,"")</f>
        <v/>
      </c>
      <c r="C62" s="54">
        <f ca="1">VLOOKUP(A62,DB_TBL_DATA_FIELDS[[FIELD_ID]:[PCT_CALC_FIELD_STATUS_CODE]],22,FALSE)</f>
        <v>1</v>
      </c>
      <c r="D62" s="54" t="str">
        <f>IF(VLOOKUP(A62,DB_TBL_DATA_FIELDS[[FIELD_ID]:[ERROR_MESSAGE]],23,FALSE)&lt;&gt;0,VLOOKUP(A62,DB_TBL_DATA_FIELDS[[FIELD_ID]:[ERROR_MESSAGE]],23,FALSE),"")</f>
        <v/>
      </c>
      <c r="E62" s="54">
        <f>VLOOKUP(A62,DB_TBL_DATA_FIELDS[[#All],[FIELD_ID]:[RANGE_VALIDATION_MAX]],18,FALSE)</f>
        <v>0</v>
      </c>
      <c r="F62" s="54">
        <f>VLOOKUP(A62,DB_TBL_DATA_FIELDS[[#All],[FIELD_ID]:[RANGE_VALIDATION_MAX]],19,FALSE)</f>
        <v>999999999</v>
      </c>
      <c r="G62" s="54">
        <f t="shared" ca="1" si="3"/>
        <v>1</v>
      </c>
      <c r="I62" s="36" t="s">
        <v>2537</v>
      </c>
      <c r="L62" s="121"/>
      <c r="U62" s="388"/>
      <c r="V62" s="388"/>
      <c r="W62" s="388"/>
      <c r="X62" s="52">
        <f ca="1">G68</f>
        <v>1</v>
      </c>
    </row>
    <row r="63" spans="1:24" ht="21.95" customHeight="1" x14ac:dyDescent="0.25">
      <c r="A63" s="61" t="s">
        <v>2509</v>
      </c>
      <c r="B63" s="95" t="str">
        <f>IF(W51&lt;&gt;"",W51,"")</f>
        <v/>
      </c>
      <c r="C63" s="54">
        <f ca="1">VLOOKUP(A63,DB_TBL_DATA_FIELDS[[FIELD_ID]:[PCT_CALC_FIELD_STATUS_CODE]],22,FALSE)</f>
        <v>1</v>
      </c>
      <c r="D63" s="54" t="str">
        <f ca="1">IF(VLOOKUP(A63,DB_TBL_DATA_FIELDS[[FIELD_ID]:[ERROR_MESSAGE]],23,FALSE)&lt;&gt;0,VLOOKUP(A63,DB_TBL_DATA_FIELDS[[FIELD_ID]:[ERROR_MESSAGE]],23,FALSE),"")</f>
        <v/>
      </c>
      <c r="E63" s="54">
        <f>VLOOKUP(A63,DB_TBL_DATA_FIELDS[[#All],[FIELD_ID]:[RANGE_VALIDATION_MAX]],18,FALSE)</f>
        <v>0</v>
      </c>
      <c r="F63" s="54">
        <f>VLOOKUP(A63,DB_TBL_DATA_FIELDS[[#All],[FIELD_ID]:[RANGE_VALIDATION_MAX]],19,FALSE)</f>
        <v>999999999</v>
      </c>
      <c r="G63" s="54">
        <f t="shared" ca="1" si="3"/>
        <v>1</v>
      </c>
      <c r="I63" s="36"/>
      <c r="J63" s="36"/>
      <c r="K63" s="36"/>
      <c r="L63" s="36"/>
      <c r="M63" s="36"/>
      <c r="N63" s="36"/>
      <c r="O63" s="36"/>
      <c r="P63" s="36"/>
      <c r="Q63" s="36"/>
      <c r="R63" s="36"/>
      <c r="S63" s="36"/>
      <c r="T63" s="36"/>
      <c r="U63" s="36"/>
      <c r="V63" s="36"/>
      <c r="W63" s="36"/>
      <c r="X63" s="36"/>
    </row>
    <row r="64" spans="1:24" ht="21.95" customHeight="1" thickBot="1" x14ac:dyDescent="0.3">
      <c r="A64" s="61" t="s">
        <v>2840</v>
      </c>
      <c r="B64" s="95" t="str">
        <f>IF(I54&lt;&gt;"",I54,"")</f>
        <v/>
      </c>
      <c r="C64" s="54">
        <f ca="1">VLOOKUP(A64,DB_TBL_DATA_FIELDS[[FIELD_ID]:[PCT_CALC_FIELD_STATUS_CODE]],22,FALSE)</f>
        <v>-1</v>
      </c>
      <c r="D64" s="54" t="str">
        <f>IF(VLOOKUP(A64,DB_TBL_DATA_FIELDS[[FIELD_ID]:[ERROR_MESSAGE]],23,FALSE)&lt;&gt;0,VLOOKUP(A64,DB_TBL_DATA_FIELDS[[FIELD_ID]:[ERROR_MESSAGE]],23,FALSE),"")</f>
        <v/>
      </c>
      <c r="E64" s="54">
        <f>VLOOKUP(A64,DB_TBL_DATA_FIELDS[[#All],[FIELD_ID]:[RANGE_VALIDATION_MAX]],18,FALSE)</f>
        <v>0</v>
      </c>
      <c r="F64" s="54">
        <f>VLOOKUP(A64,DB_TBL_DATA_FIELDS[[#All],[FIELD_ID]:[RANGE_VALIDATION_MAX]],19,FALSE)</f>
        <v>1000</v>
      </c>
      <c r="G64" s="54" t="str">
        <f t="shared" ca="1" si="3"/>
        <v/>
      </c>
      <c r="I64" s="64" t="s">
        <v>2572</v>
      </c>
      <c r="J64" s="64"/>
      <c r="K64" s="64"/>
      <c r="L64" s="64"/>
      <c r="M64" s="64"/>
      <c r="N64" s="64"/>
      <c r="O64" s="64"/>
      <c r="P64" s="64"/>
      <c r="Q64" s="64"/>
      <c r="R64" s="64"/>
      <c r="S64" s="64"/>
      <c r="T64" s="64"/>
      <c r="U64" s="64"/>
      <c r="V64" s="64"/>
      <c r="W64" s="64"/>
      <c r="X64" s="36"/>
    </row>
    <row r="65" spans="1:24" ht="21.95" customHeight="1" thickTop="1" x14ac:dyDescent="0.25">
      <c r="A65" s="61" t="s">
        <v>9293</v>
      </c>
      <c r="B65" s="95" t="str">
        <f>IF(I47&lt;&gt;"",I47,"")</f>
        <v/>
      </c>
      <c r="C65" s="54">
        <f ca="1">VLOOKUP(A65,DB_TBL_DATA_FIELDS[[FIELD_ID]:[PCT_CALC_FIELD_STATUS_CODE]],22,FALSE)</f>
        <v>1</v>
      </c>
      <c r="D65" s="54" t="str">
        <f>IF(VLOOKUP(A65,DB_TBL_DATA_FIELDS[[FIELD_ID]:[ERROR_MESSAGE]],23,FALSE)&lt;&gt;0,VLOOKUP(A65,DB_TBL_DATA_FIELDS[[FIELD_ID]:[ERROR_MESSAGE]],23,FALSE),"")</f>
        <v/>
      </c>
      <c r="E65" s="54">
        <f>VLOOKUP(A65,DB_TBL_DATA_FIELDS[[#All],[FIELD_ID]:[RANGE_VALIDATION_MAX]],18,FALSE)</f>
        <v>1</v>
      </c>
      <c r="F65" s="54">
        <f>VLOOKUP(A65,DB_TBL_DATA_FIELDS[[#All],[FIELD_ID]:[RANGE_VALIDATION_MAX]],19,FALSE)</f>
        <v>999999999</v>
      </c>
      <c r="G65" s="54">
        <f t="shared" ref="G65:G66" ca="1" si="4">IF(C65&lt;0,"",C65)</f>
        <v>1</v>
      </c>
      <c r="I65" s="36"/>
      <c r="J65" s="36"/>
      <c r="K65" s="36"/>
      <c r="L65" s="36"/>
      <c r="M65" s="36"/>
      <c r="N65" s="36"/>
      <c r="O65" s="36"/>
      <c r="P65" s="36"/>
      <c r="Q65" s="36"/>
      <c r="R65" s="36"/>
      <c r="S65" s="36"/>
      <c r="T65" s="36"/>
      <c r="U65" s="36"/>
      <c r="V65" s="36"/>
      <c r="W65" s="36"/>
      <c r="X65" s="36"/>
    </row>
    <row r="66" spans="1:24" ht="21.95" customHeight="1" x14ac:dyDescent="0.25">
      <c r="A66" s="61" t="s">
        <v>9294</v>
      </c>
      <c r="B66" s="95" t="str">
        <f>IF(M47&lt;&gt;"",M47,"")</f>
        <v/>
      </c>
      <c r="C66" s="54">
        <f ca="1">VLOOKUP(A66,DB_TBL_DATA_FIELDS[[FIELD_ID]:[PCT_CALC_FIELD_STATUS_CODE]],22,FALSE)</f>
        <v>-1</v>
      </c>
      <c r="D66" s="54" t="str">
        <f>IF(VLOOKUP(A66,DB_TBL_DATA_FIELDS[[FIELD_ID]:[ERROR_MESSAGE]],23,FALSE)&lt;&gt;0,VLOOKUP(A66,DB_TBL_DATA_FIELDS[[FIELD_ID]:[ERROR_MESSAGE]],23,FALSE),"")</f>
        <v/>
      </c>
      <c r="E66" s="54">
        <f>VLOOKUP(A66,DB_TBL_DATA_FIELDS[[#All],[FIELD_ID]:[RANGE_VALIDATION_MAX]],18,FALSE)</f>
        <v>0</v>
      </c>
      <c r="F66" s="54">
        <f>VLOOKUP(A66,DB_TBL_DATA_FIELDS[[#All],[FIELD_ID]:[RANGE_VALIDATION_MAX]],19,FALSE)</f>
        <v>999999999</v>
      </c>
      <c r="G66" s="54" t="str">
        <f t="shared" ca="1" si="4"/>
        <v/>
      </c>
      <c r="I66" s="36" t="s">
        <v>2576</v>
      </c>
      <c r="J66" s="36"/>
      <c r="K66" s="36"/>
      <c r="L66" s="36"/>
      <c r="M66" s="36"/>
      <c r="N66" s="36"/>
      <c r="O66" s="36"/>
      <c r="P66" s="36"/>
      <c r="Q66" s="36"/>
      <c r="R66" s="36"/>
      <c r="S66" s="36"/>
      <c r="T66" s="125"/>
      <c r="U66" s="125"/>
      <c r="V66" s="36"/>
      <c r="W66" s="40"/>
      <c r="X66" s="52">
        <f ca="1">G74</f>
        <v>1</v>
      </c>
    </row>
    <row r="67" spans="1:24" ht="21.95" customHeight="1" x14ac:dyDescent="0.25">
      <c r="A67" s="61" t="s">
        <v>2510</v>
      </c>
      <c r="B67" s="65" t="str">
        <f ca="1">VLOOKUP(A67,DB_TBL_DATA_FIELDS[[#All],[FIELD_ID]:[FIELD_VALUE_RAW]],5,FALSE)</f>
        <v/>
      </c>
      <c r="C67" s="54">
        <f ca="1">VLOOKUP(A67,DB_TBL_DATA_FIELDS[[FIELD_ID]:[PCT_CALC_FIELD_STATUS_CODE]],22,FALSE)</f>
        <v>1</v>
      </c>
      <c r="D67" s="54" t="str">
        <f>IF(VLOOKUP(A67,DB_TBL_DATA_FIELDS[[FIELD_ID]:[ERROR_MESSAGE]],23,FALSE)&lt;&gt;0,VLOOKUP(A67,DB_TBL_DATA_FIELDS[[FIELD_ID]:[ERROR_MESSAGE]],23,FALSE),"")</f>
        <v/>
      </c>
      <c r="E67" s="54">
        <f>VLOOKUP(A67,DB_TBL_DATA_FIELDS[[#All],[FIELD_ID]:[RANGE_VALIDATION_MAX]],18,FALSE)</f>
        <v>0</v>
      </c>
      <c r="F67" s="54">
        <f>VLOOKUP(A67,DB_TBL_DATA_FIELDS[[#All],[FIELD_ID]:[RANGE_VALIDATION_MAX]],19,FALSE)</f>
        <v>999999999</v>
      </c>
      <c r="G67" s="54">
        <f t="shared" ca="1" si="3"/>
        <v>1</v>
      </c>
      <c r="I67" s="36"/>
      <c r="J67" s="36"/>
      <c r="K67" s="36"/>
      <c r="L67" s="36"/>
      <c r="M67" s="36"/>
      <c r="N67" s="36"/>
      <c r="O67" s="36"/>
      <c r="P67" s="36"/>
      <c r="Q67" s="36"/>
      <c r="R67" s="36"/>
      <c r="S67" s="36"/>
      <c r="T67" s="36"/>
      <c r="U67" s="36"/>
      <c r="V67" s="36"/>
      <c r="W67" s="36"/>
      <c r="X67" s="36"/>
    </row>
    <row r="68" spans="1:24" ht="21.95" customHeight="1" x14ac:dyDescent="0.25">
      <c r="A68" s="61" t="s">
        <v>2511</v>
      </c>
      <c r="B68" s="95" t="str">
        <f>IF(U62&lt;&gt;"",U62,"")</f>
        <v/>
      </c>
      <c r="C68" s="54">
        <f ca="1">VLOOKUP(A68,DB_TBL_DATA_FIELDS[[FIELD_ID]:[PCT_CALC_FIELD_STATUS_CODE]],22,FALSE)</f>
        <v>1</v>
      </c>
      <c r="D68" s="54" t="str">
        <f>IF(VLOOKUP(A68,DB_TBL_DATA_FIELDS[[FIELD_ID]:[ERROR_MESSAGE]],23,FALSE)&lt;&gt;0,VLOOKUP(A68,DB_TBL_DATA_FIELDS[[FIELD_ID]:[ERROR_MESSAGE]],23,FALSE),"")</f>
        <v/>
      </c>
      <c r="E68" s="54">
        <f>VLOOKUP(A68,DB_TBL_DATA_FIELDS[[#All],[FIELD_ID]:[RANGE_VALIDATION_MAX]],18,FALSE)</f>
        <v>0</v>
      </c>
      <c r="F68" s="54">
        <f>VLOOKUP(A68,DB_TBL_DATA_FIELDS[[#All],[FIELD_ID]:[RANGE_VALIDATION_MAX]],19,FALSE)</f>
        <v>999999999</v>
      </c>
      <c r="G68" s="54">
        <f t="shared" ca="1" si="3"/>
        <v>1</v>
      </c>
      <c r="I68" s="36" t="s">
        <v>2545</v>
      </c>
      <c r="J68" s="36"/>
      <c r="K68" s="36"/>
      <c r="L68" s="36"/>
      <c r="O68" s="36" t="s">
        <v>2569</v>
      </c>
      <c r="P68" s="36"/>
      <c r="S68" s="36"/>
      <c r="T68" s="36"/>
      <c r="U68" s="36" t="s">
        <v>2570</v>
      </c>
      <c r="V68" s="36"/>
      <c r="W68" s="36"/>
      <c r="X68" s="36"/>
    </row>
    <row r="69" spans="1:24" ht="21.95" customHeight="1" x14ac:dyDescent="0.25">
      <c r="A69" s="61" t="s">
        <v>2514</v>
      </c>
      <c r="B69" s="95" t="str">
        <f>IF(U61&lt;&gt;"",U61,"")</f>
        <v/>
      </c>
      <c r="C69" s="54">
        <f ca="1">VLOOKUP(A69,DB_TBL_DATA_FIELDS[[FIELD_ID]:[PCT_CALC_FIELD_STATUS_CODE]],22,FALSE)</f>
        <v>1</v>
      </c>
      <c r="D69" s="54" t="str">
        <f>IF(VLOOKUP(A69,DB_TBL_DATA_FIELDS[[FIELD_ID]:[ERROR_MESSAGE]],23,FALSE)&lt;&gt;0,VLOOKUP(A69,DB_TBL_DATA_FIELDS[[FIELD_ID]:[ERROR_MESSAGE]],23,FALSE),"")</f>
        <v/>
      </c>
      <c r="E69" s="54">
        <f>VLOOKUP(A69,DB_TBL_DATA_FIELDS[[#All],[FIELD_ID]:[RANGE_VALIDATION_MAX]],18,FALSE)</f>
        <v>0</v>
      </c>
      <c r="F69" s="54">
        <f>VLOOKUP(A69,DB_TBL_DATA_FIELDS[[#All],[FIELD_ID]:[RANGE_VALIDATION_MAX]],19,FALSE)</f>
        <v>999999999</v>
      </c>
      <c r="G69" s="54">
        <f t="shared" ca="1" si="3"/>
        <v>1</v>
      </c>
      <c r="I69" s="325"/>
      <c r="J69" s="325"/>
      <c r="K69" s="325"/>
      <c r="L69" s="52" t="str">
        <f ca="1">G75</f>
        <v/>
      </c>
      <c r="O69" s="404"/>
      <c r="P69" s="405"/>
      <c r="Q69" s="406"/>
      <c r="R69" s="52" t="str">
        <f ca="1">G76</f>
        <v/>
      </c>
      <c r="S69" s="36"/>
      <c r="T69" s="36"/>
      <c r="U69" s="401"/>
      <c r="V69" s="402"/>
      <c r="W69" s="403"/>
      <c r="X69" s="52" t="str">
        <f ca="1">G77</f>
        <v/>
      </c>
    </row>
    <row r="70" spans="1:24" ht="21.95" customHeight="1" x14ac:dyDescent="0.25">
      <c r="A70" s="61" t="s">
        <v>2512</v>
      </c>
      <c r="B70" s="95" t="str">
        <f>IF(M45&lt;&gt;"",M45,"")</f>
        <v/>
      </c>
      <c r="C70" s="54">
        <f ca="1">VLOOKUP(A70,DB_TBL_DATA_FIELDS[[FIELD_ID]:[PCT_CALC_FIELD_STATUS_CODE]],22,FALSE)</f>
        <v>1</v>
      </c>
      <c r="D70" s="54" t="str">
        <f>IF(VLOOKUP(A70,DB_TBL_DATA_FIELDS[[FIELD_ID]:[ERROR_MESSAGE]],23,FALSE)&lt;&gt;0,VLOOKUP(A70,DB_TBL_DATA_FIELDS[[FIELD_ID]:[ERROR_MESSAGE]],23,FALSE),"")</f>
        <v/>
      </c>
      <c r="E70" s="54">
        <f>VLOOKUP(A70,DB_TBL_DATA_FIELDS[[#All],[FIELD_ID]:[RANGE_VALIDATION_MAX]],18,FALSE)</f>
        <v>1</v>
      </c>
      <c r="F70" s="54">
        <f>VLOOKUP(A70,DB_TBL_DATA_FIELDS[[#All],[FIELD_ID]:[RANGE_VALIDATION_MAX]],19,FALSE)</f>
        <v>999999999</v>
      </c>
      <c r="G70" s="54">
        <f t="shared" ca="1" si="3"/>
        <v>1</v>
      </c>
      <c r="I70" s="36"/>
      <c r="J70" s="36"/>
      <c r="K70" s="36"/>
      <c r="L70" s="36"/>
      <c r="M70" s="36"/>
      <c r="N70" s="36"/>
      <c r="O70" s="36"/>
      <c r="P70" s="36"/>
      <c r="Q70" s="36"/>
      <c r="R70" s="36"/>
      <c r="S70" s="36"/>
      <c r="T70" s="36"/>
      <c r="U70" s="36"/>
      <c r="V70" s="36"/>
      <c r="W70" s="36"/>
      <c r="X70" s="36"/>
    </row>
    <row r="71" spans="1:24" ht="21.95" customHeight="1" thickBot="1" x14ac:dyDescent="0.3">
      <c r="A71" s="61" t="s">
        <v>2515</v>
      </c>
      <c r="B71" s="95" t="str">
        <f>IF(Q45&lt;&gt;"",Q45,"")</f>
        <v/>
      </c>
      <c r="C71" s="54">
        <f ca="1">VLOOKUP(A71,DB_TBL_DATA_FIELDS[[FIELD_ID]:[PCT_CALC_FIELD_STATUS_CODE]],22,FALSE)</f>
        <v>1</v>
      </c>
      <c r="D71" s="54" t="str">
        <f>IF(VLOOKUP(A71,DB_TBL_DATA_FIELDS[[FIELD_ID]:[ERROR_MESSAGE]],23,FALSE)&lt;&gt;0,VLOOKUP(A71,DB_TBL_DATA_FIELDS[[FIELD_ID]:[ERROR_MESSAGE]],23,FALSE),"")</f>
        <v/>
      </c>
      <c r="E71" s="54">
        <f>VLOOKUP(A71,DB_TBL_DATA_FIELDS[[#All],[FIELD_ID]:[RANGE_VALIDATION_MAX]],18,FALSE)</f>
        <v>0</v>
      </c>
      <c r="F71" s="54">
        <f>VLOOKUP(A71,DB_TBL_DATA_FIELDS[[#All],[FIELD_ID]:[RANGE_VALIDATION_MAX]],19,FALSE)</f>
        <v>0.5</v>
      </c>
      <c r="G71" s="54">
        <f t="shared" ca="1" si="3"/>
        <v>1</v>
      </c>
      <c r="I71" s="55" t="str">
        <f>B92</f>
        <v>Other Grants</v>
      </c>
      <c r="J71" s="55"/>
      <c r="K71" s="55"/>
      <c r="L71" s="55"/>
      <c r="M71" s="55"/>
      <c r="N71" s="55"/>
      <c r="O71" s="55"/>
      <c r="P71" s="55"/>
      <c r="Q71" s="55"/>
      <c r="R71" s="55"/>
      <c r="S71" s="55"/>
      <c r="T71" s="55"/>
      <c r="U71" s="55"/>
      <c r="V71" s="55"/>
      <c r="W71" s="55"/>
      <c r="X71" s="56" t="str">
        <f ca="1">"Status: "&amp;$B$110</f>
        <v>Status: Not Started</v>
      </c>
    </row>
    <row r="72" spans="1:24" ht="21.95" customHeight="1" x14ac:dyDescent="0.25">
      <c r="A72" s="61" t="s">
        <v>2516</v>
      </c>
      <c r="B72" s="95" t="str">
        <f>IF(S45&lt;&gt;"",S45,"")</f>
        <v/>
      </c>
      <c r="C72" s="54">
        <f ca="1">VLOOKUP(A72,DB_TBL_DATA_FIELDS[[FIELD_ID]:[PCT_CALC_FIELD_STATUS_CODE]],22,FALSE)</f>
        <v>1</v>
      </c>
      <c r="D72" s="54" t="str">
        <f>IF(VLOOKUP(A72,DB_TBL_DATA_FIELDS[[FIELD_ID]:[ERROR_MESSAGE]],23,FALSE)&lt;&gt;0,VLOOKUP(A72,DB_TBL_DATA_FIELDS[[FIELD_ID]:[ERROR_MESSAGE]],23,FALSE),"")</f>
        <v/>
      </c>
      <c r="E72" s="54">
        <f>VLOOKUP(A72,DB_TBL_DATA_FIELDS[[#All],[FIELD_ID]:[RANGE_VALIDATION_MAX]],18,FALSE)</f>
        <v>1</v>
      </c>
      <c r="F72" s="54">
        <f>VLOOKUP(A72,DB_TBL_DATA_FIELDS[[#All],[FIELD_ID]:[RANGE_VALIDATION_MAX]],19,FALSE)</f>
        <v>600</v>
      </c>
      <c r="G72" s="54">
        <f t="shared" ca="1" si="3"/>
        <v>1</v>
      </c>
    </row>
    <row r="73" spans="1:24" ht="21.95" customHeight="1" x14ac:dyDescent="0.25">
      <c r="A73" s="61" t="s">
        <v>2517</v>
      </c>
      <c r="B73" s="95" t="str">
        <f>IF(U45&lt;&gt;"",U45,"")</f>
        <v/>
      </c>
      <c r="C73" s="54">
        <f ca="1">VLOOKUP(A73,DB_TBL_DATA_FIELDS[[FIELD_ID]:[PCT_CALC_FIELD_STATUS_CODE]],22,FALSE)</f>
        <v>1</v>
      </c>
      <c r="D73" s="54" t="str">
        <f>IF(VLOOKUP(A73,DB_TBL_DATA_FIELDS[[FIELD_ID]:[ERROR_MESSAGE]],23,FALSE)&lt;&gt;0,VLOOKUP(A73,DB_TBL_DATA_FIELDS[[FIELD_ID]:[ERROR_MESSAGE]],23,FALSE),"")</f>
        <v/>
      </c>
      <c r="E73" s="54">
        <f>VLOOKUP(A73,DB_TBL_DATA_FIELDS[[#All],[FIELD_ID]:[RANGE_VALIDATION_MAX]],18,FALSE)</f>
        <v>0</v>
      </c>
      <c r="F73" s="54">
        <f>VLOOKUP(A73,DB_TBL_DATA_FIELDS[[#All],[FIELD_ID]:[RANGE_VALIDATION_MAX]],19,FALSE)</f>
        <v>100</v>
      </c>
      <c r="G73" s="54">
        <f t="shared" ca="1" si="3"/>
        <v>1</v>
      </c>
      <c r="J73"/>
      <c r="L73"/>
      <c r="N73"/>
      <c r="P73"/>
      <c r="R73"/>
      <c r="T73"/>
      <c r="V73"/>
      <c r="X73"/>
    </row>
    <row r="74" spans="1:24" ht="21.95" customHeight="1" x14ac:dyDescent="0.25">
      <c r="A74" s="61" t="s">
        <v>2532</v>
      </c>
      <c r="B74" s="95" t="str">
        <f>IF(W66="","",IF(UPPER(W66)="YES",TRUE,FALSE))</f>
        <v/>
      </c>
      <c r="C74" s="54">
        <f ca="1">VLOOKUP(A74,DB_TBL_DATA_FIELDS[[FIELD_ID]:[PCT_CALC_FIELD_STATUS_CODE]],22,FALSE)</f>
        <v>1</v>
      </c>
      <c r="D74" s="54" t="str">
        <f>IF(VLOOKUP(A74,DB_TBL_DATA_FIELDS[[FIELD_ID]:[ERROR_MESSAGE]],23,FALSE)&lt;&gt;0,VLOOKUP(A74,DB_TBL_DATA_FIELDS[[FIELD_ID]:[ERROR_MESSAGE]],23,FALSE),"")</f>
        <v/>
      </c>
      <c r="E74" s="54">
        <f>VLOOKUP(A74,DB_TBL_DATA_FIELDS[[#All],[FIELD_ID]:[RANGE_VALIDATION_MAX]],18,FALSE)</f>
        <v>0</v>
      </c>
      <c r="F74" s="54">
        <f>VLOOKUP(A74,DB_TBL_DATA_FIELDS[[#All],[FIELD_ID]:[RANGE_VALIDATION_MAX]],19,FALSE)</f>
        <v>0</v>
      </c>
      <c r="G74" s="54">
        <f t="shared" ca="1" si="3"/>
        <v>1</v>
      </c>
      <c r="I74" s="36" t="s">
        <v>2575</v>
      </c>
      <c r="J74" s="36"/>
      <c r="K74" s="36"/>
      <c r="L74" s="36"/>
      <c r="M74" s="36"/>
      <c r="N74" s="36"/>
      <c r="O74" s="36"/>
      <c r="P74" s="36"/>
      <c r="Q74" s="36"/>
      <c r="R74" s="36"/>
      <c r="S74" s="36"/>
      <c r="T74" s="125"/>
      <c r="U74" s="125"/>
      <c r="V74" s="36"/>
      <c r="W74" s="40"/>
      <c r="X74" s="52">
        <f ca="1">G102</f>
        <v>1</v>
      </c>
    </row>
    <row r="75" spans="1:24" ht="21.95" customHeight="1" x14ac:dyDescent="0.25">
      <c r="A75" s="61" t="s">
        <v>2519</v>
      </c>
      <c r="B75" s="95" t="str">
        <f>IF(I69&lt;&gt;"",I69,"")</f>
        <v/>
      </c>
      <c r="C75" s="54">
        <f ca="1">VLOOKUP(A75,DB_TBL_DATA_FIELDS[[FIELD_ID]:[PCT_CALC_FIELD_STATUS_CODE]],22,FALSE)</f>
        <v>-1</v>
      </c>
      <c r="D75" s="54" t="str">
        <f>IF(VLOOKUP(A75,DB_TBL_DATA_FIELDS[[FIELD_ID]:[ERROR_MESSAGE]],23,FALSE)&lt;&gt;0,VLOOKUP(A75,DB_TBL_DATA_FIELDS[[FIELD_ID]:[ERROR_MESSAGE]],23,FALSE),"")</f>
        <v/>
      </c>
      <c r="E75" s="54">
        <f>VLOOKUP(A75,DB_TBL_DATA_FIELDS[[#All],[FIELD_ID]:[RANGE_VALIDATION_MAX]],18,FALSE)</f>
        <v>1</v>
      </c>
      <c r="F75" s="54">
        <f>VLOOKUP(A75,DB_TBL_DATA_FIELDS[[#All],[FIELD_ID]:[RANGE_VALIDATION_MAX]],19,FALSE)</f>
        <v>999999999</v>
      </c>
      <c r="G75" s="54" t="str">
        <f t="shared" ca="1" si="3"/>
        <v/>
      </c>
      <c r="I75" s="407" t="s">
        <v>9001</v>
      </c>
      <c r="J75" s="407"/>
      <c r="K75" s="407"/>
      <c r="L75" s="407"/>
      <c r="M75" s="407"/>
      <c r="N75" s="407"/>
      <c r="O75" s="407"/>
      <c r="P75" s="407"/>
      <c r="Q75" s="407"/>
      <c r="R75" s="407"/>
      <c r="S75" s="407"/>
      <c r="T75" s="407"/>
      <c r="U75" s="407"/>
      <c r="V75" s="407"/>
      <c r="W75" s="407"/>
      <c r="X75"/>
    </row>
    <row r="76" spans="1:24" ht="21.95" customHeight="1" x14ac:dyDescent="0.25">
      <c r="A76" s="61" t="s">
        <v>2520</v>
      </c>
      <c r="B76" s="95" t="str">
        <f>IF(O69&lt;&gt;"",O69,"")</f>
        <v/>
      </c>
      <c r="C76" s="54">
        <f ca="1">VLOOKUP(A76,DB_TBL_DATA_FIELDS[[FIELD_ID]:[PCT_CALC_FIELD_STATUS_CODE]],22,FALSE)</f>
        <v>-1</v>
      </c>
      <c r="D76" s="54" t="str">
        <f>IF(VLOOKUP(A76,DB_TBL_DATA_FIELDS[[FIELD_ID]:[ERROR_MESSAGE]],23,FALSE)&lt;&gt;0,VLOOKUP(A76,DB_TBL_DATA_FIELDS[[FIELD_ID]:[ERROR_MESSAGE]],23,FALSE),"")</f>
        <v/>
      </c>
      <c r="E76" s="54">
        <f>VLOOKUP(A76,DB_TBL_DATA_FIELDS[[#All],[FIELD_ID]:[RANGE_VALIDATION_MAX]],18,FALSE)</f>
        <v>0</v>
      </c>
      <c r="F76" s="54">
        <f>VLOOKUP(A76,DB_TBL_DATA_FIELDS[[#All],[FIELD_ID]:[RANGE_VALIDATION_MAX]],19,FALSE)</f>
        <v>0.5</v>
      </c>
      <c r="G76" s="54" t="str">
        <f t="shared" ca="1" si="3"/>
        <v/>
      </c>
      <c r="I76" s="407"/>
      <c r="J76" s="407"/>
      <c r="K76" s="407"/>
      <c r="L76" s="407"/>
      <c r="M76" s="407"/>
      <c r="N76" s="407"/>
      <c r="O76" s="407"/>
      <c r="P76" s="407"/>
      <c r="Q76" s="407"/>
      <c r="R76" s="407"/>
      <c r="S76" s="407"/>
      <c r="T76" s="407"/>
      <c r="U76" s="407"/>
      <c r="V76" s="407"/>
      <c r="W76" s="407"/>
      <c r="X76"/>
    </row>
    <row r="77" spans="1:24" ht="21.95" customHeight="1" x14ac:dyDescent="0.25">
      <c r="A77" s="61" t="s">
        <v>2521</v>
      </c>
      <c r="B77" s="95" t="str">
        <f>IF(U69&lt;&gt;"",U69,"")</f>
        <v/>
      </c>
      <c r="C77" s="54">
        <f ca="1">VLOOKUP(A77,DB_TBL_DATA_FIELDS[[FIELD_ID]:[PCT_CALC_FIELD_STATUS_CODE]],22,FALSE)</f>
        <v>-1</v>
      </c>
      <c r="D77" s="54" t="str">
        <f>IF(VLOOKUP(A77,DB_TBL_DATA_FIELDS[[FIELD_ID]:[ERROR_MESSAGE]],23,FALSE)&lt;&gt;0,VLOOKUP(A77,DB_TBL_DATA_FIELDS[[FIELD_ID]:[ERROR_MESSAGE]],23,FALSE),"")</f>
        <v/>
      </c>
      <c r="E77" s="54">
        <f>VLOOKUP(A77,DB_TBL_DATA_FIELDS[[#All],[FIELD_ID]:[RANGE_VALIDATION_MAX]],18,FALSE)</f>
        <v>1</v>
      </c>
      <c r="F77" s="54">
        <f>VLOOKUP(A77,DB_TBL_DATA_FIELDS[[#All],[FIELD_ID]:[RANGE_VALIDATION_MAX]],19,FALSE)</f>
        <v>600</v>
      </c>
      <c r="G77" s="54" t="str">
        <f t="shared" ca="1" si="3"/>
        <v/>
      </c>
      <c r="I77" s="36" t="s">
        <v>8999</v>
      </c>
      <c r="J77"/>
      <c r="L77"/>
      <c r="N77"/>
      <c r="P77"/>
      <c r="R77"/>
      <c r="T77"/>
      <c r="U77" s="36" t="s">
        <v>9000</v>
      </c>
    </row>
    <row r="78" spans="1:24" ht="21.95" customHeight="1" x14ac:dyDescent="0.25">
      <c r="A78" s="61" t="s">
        <v>153</v>
      </c>
      <c r="B78" s="65" t="str">
        <f>"C"&amp;MATCH(LEFT(A78,LEN(A78)-LEN("_RANGE")),A:A,0)+1&amp;":C"&amp;(ROW()-1)</f>
        <v>C61:C77</v>
      </c>
      <c r="C78" s="54"/>
      <c r="D78" s="54"/>
      <c r="E78" s="54"/>
      <c r="F78" s="54"/>
      <c r="G78" s="54"/>
      <c r="I78" s="355"/>
      <c r="J78" s="356"/>
      <c r="K78" s="356"/>
      <c r="L78" s="356"/>
      <c r="M78" s="356"/>
      <c r="N78" s="356"/>
      <c r="O78" s="356"/>
      <c r="P78" s="356"/>
      <c r="Q78" s="356"/>
      <c r="R78" s="356"/>
      <c r="S78" s="357"/>
      <c r="T78" s="52" t="str">
        <f ca="1">G103</f>
        <v/>
      </c>
      <c r="U78" s="388"/>
      <c r="V78" s="388"/>
      <c r="W78" s="388"/>
      <c r="X78" s="52" t="str">
        <f ca="1">G104</f>
        <v/>
      </c>
    </row>
    <row r="79" spans="1:24" ht="21.95" customHeight="1" thickBot="1" x14ac:dyDescent="0.3">
      <c r="A79" s="61" t="s">
        <v>154</v>
      </c>
      <c r="B79" s="65">
        <f ca="1">COUNTIF(INDIRECT($B78),2)</f>
        <v>0</v>
      </c>
      <c r="C79" s="54"/>
      <c r="D79" s="54"/>
      <c r="E79" s="54"/>
      <c r="F79" s="54"/>
      <c r="G79" s="54"/>
      <c r="I79" s="130"/>
      <c r="J79" s="130"/>
      <c r="K79" s="130"/>
      <c r="L79" s="130"/>
      <c r="M79" s="130"/>
      <c r="N79" s="130"/>
      <c r="O79" s="130"/>
      <c r="P79" s="130"/>
      <c r="Q79" s="130"/>
      <c r="R79" s="130"/>
      <c r="S79" s="130"/>
      <c r="T79" s="130"/>
      <c r="U79" s="130"/>
      <c r="V79" s="130"/>
      <c r="W79" s="130"/>
      <c r="X79"/>
    </row>
    <row r="80" spans="1:24" ht="21.95" customHeight="1" thickTop="1" x14ac:dyDescent="0.25">
      <c r="A80" s="61" t="s">
        <v>155</v>
      </c>
      <c r="B80" s="65">
        <f ca="1">COUNTIF(INDIRECT($B78),0)+COUNTIF(INDIRECT($B78),1)+COUNTIF(INDIRECT($B78),2)</f>
        <v>12</v>
      </c>
      <c r="C80" s="54"/>
      <c r="D80" s="54"/>
      <c r="E80" s="54"/>
      <c r="F80" s="54"/>
      <c r="G80" s="54"/>
    </row>
    <row r="81" spans="1:24" ht="21.95" customHeight="1" x14ac:dyDescent="0.25">
      <c r="A81" s="61" t="s">
        <v>156</v>
      </c>
      <c r="B81" s="65">
        <f ca="1">COUNTIF(INDIRECT($B78),0)</f>
        <v>0</v>
      </c>
      <c r="C81" s="54"/>
      <c r="D81" s="54"/>
      <c r="E81" s="54"/>
      <c r="F81" s="54"/>
      <c r="G81" s="54"/>
      <c r="I81" s="36" t="s">
        <v>2574</v>
      </c>
      <c r="J81" s="36"/>
      <c r="K81" s="36"/>
      <c r="L81" s="36"/>
      <c r="M81" s="36"/>
      <c r="N81" s="36"/>
      <c r="O81" s="36"/>
      <c r="P81" s="36"/>
      <c r="Q81" s="36"/>
      <c r="R81" s="36"/>
      <c r="S81" s="36"/>
      <c r="T81" s="125"/>
      <c r="U81" s="125"/>
      <c r="V81" s="36"/>
      <c r="W81" s="40"/>
      <c r="X81" s="52">
        <f ca="1">G93</f>
        <v>1</v>
      </c>
    </row>
    <row r="82" spans="1:24" ht="21.95" customHeight="1" x14ac:dyDescent="0.25">
      <c r="A82" s="61" t="s">
        <v>157</v>
      </c>
      <c r="B82" s="97">
        <f ca="1">IFERROR(B79/B80,1.01)</f>
        <v>0</v>
      </c>
      <c r="C82" s="54"/>
      <c r="D82" s="54"/>
      <c r="E82" s="54"/>
      <c r="F82" s="54"/>
      <c r="G82" s="54"/>
      <c r="J82"/>
      <c r="L82"/>
      <c r="N82"/>
      <c r="P82"/>
      <c r="R82"/>
      <c r="T82"/>
      <c r="V82"/>
      <c r="X82"/>
    </row>
    <row r="83" spans="1:24" ht="21.95" customHeight="1" x14ac:dyDescent="0.25">
      <c r="A83" s="61" t="s">
        <v>158</v>
      </c>
      <c r="B83" s="65" t="str">
        <f ca="1">IF(B81&gt;0,"Data Error(s)",IF(B82=0,"Not Started",IF(B82&lt;1,ROUNDUP(B82*100,0)&amp;"% Done",IF(B82&gt;1,"Optional","Complete"))))</f>
        <v>Not Started</v>
      </c>
      <c r="C83" s="54"/>
      <c r="D83" s="54"/>
      <c r="E83" s="54"/>
      <c r="F83" s="54"/>
      <c r="G83" s="54"/>
      <c r="I83" s="343" t="s">
        <v>2573</v>
      </c>
      <c r="J83" s="343"/>
      <c r="K83" s="343"/>
      <c r="L83" s="343"/>
      <c r="M83" s="343"/>
      <c r="N83" s="343"/>
      <c r="O83" s="343"/>
      <c r="P83" s="343"/>
      <c r="Q83" s="343"/>
      <c r="R83" s="343"/>
      <c r="S83" s="343"/>
      <c r="T83" s="343"/>
      <c r="U83" s="400" t="s">
        <v>2568</v>
      </c>
      <c r="V83" s="400"/>
      <c r="W83" s="400"/>
      <c r="X83" s="400"/>
    </row>
    <row r="84" spans="1:24" ht="21.95" customHeight="1" x14ac:dyDescent="0.25">
      <c r="A84" s="61" t="s">
        <v>159</v>
      </c>
      <c r="B84" s="65" t="str">
        <f ca="1">IF(B81&gt;0,0,IF(B82&lt;1,"",2))</f>
        <v/>
      </c>
      <c r="C84" s="54"/>
      <c r="D84" s="54"/>
      <c r="E84" s="54"/>
      <c r="F84" s="54"/>
      <c r="G84" s="54"/>
      <c r="I84" s="316"/>
      <c r="J84" s="317"/>
      <c r="K84" s="317"/>
      <c r="L84" s="317"/>
      <c r="M84" s="317"/>
      <c r="N84" s="317"/>
      <c r="O84" s="317"/>
      <c r="P84" s="317"/>
      <c r="Q84" s="317"/>
      <c r="R84" s="317"/>
      <c r="S84" s="317"/>
      <c r="T84" s="66" t="str">
        <f ca="1">G94</f>
        <v/>
      </c>
      <c r="U84" s="398"/>
      <c r="V84" s="399"/>
      <c r="W84" s="399"/>
      <c r="X84" s="66" t="str">
        <f ca="1">G95</f>
        <v/>
      </c>
    </row>
    <row r="85" spans="1:24" ht="21.95" customHeight="1" x14ac:dyDescent="0.25">
      <c r="A85" s="61" t="s">
        <v>160</v>
      </c>
      <c r="B85" s="96" t="s">
        <v>2564</v>
      </c>
      <c r="C85" s="54"/>
      <c r="D85" s="54"/>
      <c r="E85" s="54"/>
      <c r="F85" s="54"/>
      <c r="G85" s="54"/>
      <c r="I85" s="316"/>
      <c r="J85" s="317"/>
      <c r="K85" s="317"/>
      <c r="L85" s="317"/>
      <c r="M85" s="317"/>
      <c r="N85" s="317"/>
      <c r="O85" s="317"/>
      <c r="P85" s="317"/>
      <c r="Q85" s="317"/>
      <c r="R85" s="317"/>
      <c r="S85" s="317"/>
      <c r="T85" s="66" t="str">
        <f ca="1">G96</f>
        <v/>
      </c>
      <c r="U85" s="398"/>
      <c r="V85" s="399"/>
      <c r="W85" s="399"/>
      <c r="X85" s="66" t="str">
        <f ca="1">G97</f>
        <v/>
      </c>
    </row>
    <row r="86" spans="1:24" ht="21.95" customHeight="1" x14ac:dyDescent="0.25">
      <c r="A86" s="77" t="s">
        <v>2813</v>
      </c>
      <c r="B86" s="65" t="str">
        <f ca="1">IF(DATA_HSEHLD_CONTRIBUTION_AMT&lt;&gt;"",IF(VALUE(DATA_HSEHLD_CONTRIBUTION_AMT)&lt;VALUE(CONFIG_MIN_HOUSEHOLD_CONTRIB_AMT),'$DB.CONFIG'!$M$3,""),"")</f>
        <v/>
      </c>
      <c r="C86" s="54">
        <f ca="1">IF(B86="",0,1)</f>
        <v>0</v>
      </c>
      <c r="D86" s="54"/>
      <c r="E86" s="54"/>
      <c r="F86" s="54"/>
      <c r="G86" s="54"/>
      <c r="I86" s="316"/>
      <c r="J86" s="317"/>
      <c r="K86" s="317"/>
      <c r="L86" s="317"/>
      <c r="M86" s="317"/>
      <c r="N86" s="317"/>
      <c r="O86" s="317"/>
      <c r="P86" s="317"/>
      <c r="Q86" s="317"/>
      <c r="R86" s="317"/>
      <c r="S86" s="317"/>
      <c r="T86" s="66" t="str">
        <f ca="1">G98</f>
        <v/>
      </c>
      <c r="U86" s="398"/>
      <c r="V86" s="399"/>
      <c r="W86" s="399"/>
      <c r="X86" s="66" t="str">
        <f ca="1">G99</f>
        <v/>
      </c>
    </row>
    <row r="87" spans="1:24" ht="21.95" customHeight="1" x14ac:dyDescent="0.25">
      <c r="A87" s="77" t="s">
        <v>2823</v>
      </c>
      <c r="B87" s="65" t="str">
        <f ca="1">IF(DATA_LTV&lt;&gt;"",IF(VALUE(DATA_LTV)&gt;VALUE(CONFIG_MAX_LTV_RATIO),'$DB.CONFIG'!$M$3,""),"")</f>
        <v/>
      </c>
      <c r="C87" s="54">
        <f t="shared" ref="C87:C89" ca="1" si="5">IF(B87="",0,1)</f>
        <v>0</v>
      </c>
      <c r="D87" s="54"/>
      <c r="E87" s="54"/>
      <c r="F87" s="54"/>
      <c r="G87" s="54"/>
      <c r="I87" s="316"/>
      <c r="J87" s="317"/>
      <c r="K87" s="317"/>
      <c r="L87" s="317"/>
      <c r="M87" s="317"/>
      <c r="N87" s="317"/>
      <c r="O87" s="317"/>
      <c r="P87" s="317"/>
      <c r="Q87" s="317"/>
      <c r="R87" s="317"/>
      <c r="S87" s="317"/>
      <c r="T87" s="66" t="str">
        <f ca="1">G100</f>
        <v/>
      </c>
      <c r="U87" s="398"/>
      <c r="V87" s="399"/>
      <c r="W87" s="399"/>
      <c r="X87" s="66" t="str">
        <f ca="1">G101</f>
        <v/>
      </c>
    </row>
    <row r="88" spans="1:24" ht="21.95" customHeight="1" x14ac:dyDescent="0.25">
      <c r="A88" s="77" t="s">
        <v>2824</v>
      </c>
      <c r="B88" s="65" t="str">
        <f ca="1">IF(DATA_HOUSING_EXP_INC_RATIO&lt;&gt;"",IF(VALUE(DATA_HOUSING_EXP_INC_RATIO)&gt;VALUE(CONFIG_MAX_DTI_FE_RATIO),'$DB.CONFIG'!$M$3,""),"")</f>
        <v/>
      </c>
      <c r="C88" s="54">
        <f t="shared" ca="1" si="5"/>
        <v>0</v>
      </c>
      <c r="D88" s="54"/>
      <c r="E88" s="54"/>
      <c r="F88" s="54"/>
      <c r="G88" s="54"/>
      <c r="J88"/>
      <c r="L88"/>
      <c r="N88"/>
      <c r="P88"/>
      <c r="R88"/>
      <c r="T88"/>
      <c r="V88"/>
      <c r="X88"/>
    </row>
    <row r="89" spans="1:24" ht="21.95" customHeight="1" thickBot="1" x14ac:dyDescent="0.3">
      <c r="A89" s="77" t="s">
        <v>2825</v>
      </c>
      <c r="B89" s="65" t="str">
        <f ca="1">IF(DATA_TOTAL_DEBT_INC_RATIO&lt;&gt;"",IF(VALUE(DATA_TOTAL_DEBT_INC_RATIO)&gt;VALUE(CONFIG_MAX_DTI_BE_RATIO),'$DB.CONFIG'!$M$3,""),"")</f>
        <v/>
      </c>
      <c r="C89" s="54">
        <f t="shared" ca="1" si="5"/>
        <v>0</v>
      </c>
      <c r="D89" s="54"/>
      <c r="E89" s="54"/>
      <c r="F89" s="54"/>
      <c r="G89" s="54"/>
      <c r="I89" s="55" t="str">
        <f>B115</f>
        <v>Member Certification</v>
      </c>
      <c r="J89" s="55"/>
      <c r="K89" s="55"/>
      <c r="L89" s="55"/>
      <c r="M89" s="55"/>
      <c r="N89" s="55"/>
      <c r="O89" s="55"/>
      <c r="P89" s="55"/>
      <c r="Q89" s="55"/>
      <c r="R89" s="55"/>
      <c r="S89" s="55"/>
      <c r="T89" s="55"/>
      <c r="U89" s="55"/>
      <c r="V89" s="55"/>
      <c r="W89" s="55"/>
      <c r="X89" s="56" t="str">
        <f ca="1">"Status: "&amp;$B$126</f>
        <v>Status: Not Started</v>
      </c>
    </row>
    <row r="90" spans="1:24" ht="21.95" customHeight="1" x14ac:dyDescent="0.25">
      <c r="A90" s="77" t="s">
        <v>2148</v>
      </c>
      <c r="B90" s="65">
        <f ca="1">COUNTIF(C86:C89,1)</f>
        <v>0</v>
      </c>
      <c r="C90" s="54"/>
      <c r="D90" s="54"/>
      <c r="E90" s="54"/>
      <c r="F90" s="54"/>
      <c r="G90" s="54"/>
      <c r="J90"/>
      <c r="V90"/>
      <c r="X90"/>
    </row>
    <row r="91" spans="1:24" ht="21.95" customHeight="1" x14ac:dyDescent="0.25">
      <c r="A91" s="77" t="s">
        <v>2149</v>
      </c>
      <c r="B91" s="65" t="b">
        <f ca="1">(B90&gt;0)</f>
        <v>0</v>
      </c>
      <c r="C91" s="54"/>
      <c r="D91" s="54"/>
      <c r="E91" s="54"/>
      <c r="F91" s="54"/>
      <c r="G91" s="54"/>
      <c r="I91" s="367" t="s">
        <v>9060</v>
      </c>
      <c r="J91" s="367"/>
      <c r="K91" s="367"/>
      <c r="L91" s="367"/>
      <c r="M91" s="367"/>
      <c r="N91" s="367"/>
      <c r="O91" s="367"/>
      <c r="P91" s="367"/>
      <c r="Q91" s="367"/>
      <c r="R91" s="367"/>
      <c r="S91" s="367"/>
      <c r="T91" s="367"/>
      <c r="U91" s="367"/>
      <c r="V91" s="367"/>
      <c r="W91" s="367"/>
      <c r="X91" s="367"/>
    </row>
    <row r="92" spans="1:24" ht="21.95" customHeight="1" x14ac:dyDescent="0.25">
      <c r="A92" s="91" t="s">
        <v>162</v>
      </c>
      <c r="B92" s="93" t="s">
        <v>2565</v>
      </c>
      <c r="C92" s="92"/>
      <c r="D92" s="92"/>
      <c r="E92" s="92"/>
      <c r="F92" s="92"/>
      <c r="G92" s="92"/>
      <c r="I92" s="367"/>
      <c r="J92" s="367"/>
      <c r="K92" s="367"/>
      <c r="L92" s="367"/>
      <c r="M92" s="367"/>
      <c r="N92" s="367"/>
      <c r="O92" s="367"/>
      <c r="P92" s="367"/>
      <c r="Q92" s="367"/>
      <c r="R92" s="367"/>
      <c r="S92" s="367"/>
      <c r="T92" s="367"/>
      <c r="U92" s="367"/>
      <c r="V92" s="367"/>
      <c r="W92" s="367"/>
      <c r="X92" s="367"/>
    </row>
    <row r="93" spans="1:24" ht="21.95" customHeight="1" x14ac:dyDescent="0.25">
      <c r="A93" s="61" t="s">
        <v>2533</v>
      </c>
      <c r="B93" s="95" t="str">
        <f>IF(W81="","",IF(UPPER(W81)="YES",TRUE,FALSE))</f>
        <v/>
      </c>
      <c r="C93" s="54">
        <f ca="1">VLOOKUP(A93,DB_TBL_DATA_FIELDS[[FIELD_ID]:[PCT_CALC_FIELD_STATUS_CODE]],22,FALSE)</f>
        <v>1</v>
      </c>
      <c r="D93" s="54" t="str">
        <f>IF(VLOOKUP(A93,DB_TBL_DATA_FIELDS[[FIELD_ID]:[ERROR_MESSAGE]],23,FALSE)&lt;&gt;0,VLOOKUP(A93,DB_TBL_DATA_FIELDS[[FIELD_ID]:[ERROR_MESSAGE]],23,FALSE),"")</f>
        <v/>
      </c>
      <c r="E93" s="54">
        <f>VLOOKUP(A93,DB_TBL_DATA_FIELDS[[#All],[FIELD_ID]:[RANGE_VALIDATION_MAX]],18,FALSE)</f>
        <v>0</v>
      </c>
      <c r="F93" s="54">
        <f>VLOOKUP(A93,DB_TBL_DATA_FIELDS[[#All],[FIELD_ID]:[RANGE_VALIDATION_MAX]],19,FALSE)</f>
        <v>0</v>
      </c>
      <c r="G93" s="54">
        <f t="shared" ref="G93:G104" ca="1" si="6">IF(C93&lt;0,"",C93)</f>
        <v>1</v>
      </c>
      <c r="I93" s="367"/>
      <c r="J93" s="367"/>
      <c r="K93" s="367"/>
      <c r="L93" s="367"/>
      <c r="M93" s="367"/>
      <c r="N93" s="367"/>
      <c r="O93" s="367"/>
      <c r="P93" s="367"/>
      <c r="Q93" s="367"/>
      <c r="R93" s="367"/>
      <c r="S93" s="367"/>
      <c r="T93" s="367"/>
      <c r="U93" s="367"/>
      <c r="V93" s="367"/>
      <c r="W93" s="367"/>
      <c r="X93" s="367"/>
    </row>
    <row r="94" spans="1:24" ht="21.95" customHeight="1" x14ac:dyDescent="0.25">
      <c r="A94" s="61" t="s">
        <v>2522</v>
      </c>
      <c r="B94" s="95" t="str">
        <f>IF(I84&lt;&gt;"",I84,"")</f>
        <v/>
      </c>
      <c r="C94" s="54">
        <f ca="1">VLOOKUP(A94,DB_TBL_DATA_FIELDS[[FIELD_ID]:[PCT_CALC_FIELD_STATUS_CODE]],22,FALSE)</f>
        <v>-1</v>
      </c>
      <c r="D94" s="54" t="str">
        <f>IF(VLOOKUP(A94,DB_TBL_DATA_FIELDS[[FIELD_ID]:[ERROR_MESSAGE]],23,FALSE)&lt;&gt;0,VLOOKUP(A94,DB_TBL_DATA_FIELDS[[FIELD_ID]:[ERROR_MESSAGE]],23,FALSE),"")</f>
        <v/>
      </c>
      <c r="E94" s="54">
        <f>VLOOKUP(A94,DB_TBL_DATA_FIELDS[[#All],[FIELD_ID]:[RANGE_VALIDATION_MAX]],18,FALSE)</f>
        <v>0</v>
      </c>
      <c r="F94" s="54">
        <f>VLOOKUP(A94,DB_TBL_DATA_FIELDS[[#All],[FIELD_ID]:[RANGE_VALIDATION_MAX]],19,FALSE)</f>
        <v>100</v>
      </c>
      <c r="G94" s="54" t="str">
        <f t="shared" ca="1" si="6"/>
        <v/>
      </c>
      <c r="I94" s="367"/>
      <c r="J94" s="367"/>
      <c r="K94" s="367"/>
      <c r="L94" s="367"/>
      <c r="M94" s="367"/>
      <c r="N94" s="367"/>
      <c r="O94" s="367"/>
      <c r="P94" s="367"/>
      <c r="Q94" s="367"/>
      <c r="R94" s="367"/>
      <c r="S94" s="367"/>
      <c r="T94" s="367"/>
      <c r="U94" s="367"/>
      <c r="V94" s="367"/>
      <c r="W94" s="367"/>
      <c r="X94" s="367"/>
    </row>
    <row r="95" spans="1:24" ht="21.95" customHeight="1" x14ac:dyDescent="0.25">
      <c r="A95" s="61" t="s">
        <v>2523</v>
      </c>
      <c r="B95" s="95" t="str">
        <f>IF(U84&lt;&gt;"",U84,"")</f>
        <v/>
      </c>
      <c r="C95" s="54">
        <f ca="1">VLOOKUP(A95,DB_TBL_DATA_FIELDS[[FIELD_ID]:[PCT_CALC_FIELD_STATUS_CODE]],22,FALSE)</f>
        <v>-1</v>
      </c>
      <c r="D95" s="54" t="str">
        <f>IF(VLOOKUP(A95,DB_TBL_DATA_FIELDS[[FIELD_ID]:[ERROR_MESSAGE]],23,FALSE)&lt;&gt;0,VLOOKUP(A95,DB_TBL_DATA_FIELDS[[FIELD_ID]:[ERROR_MESSAGE]],23,FALSE),"")</f>
        <v/>
      </c>
      <c r="E95" s="54">
        <f>VLOOKUP(A95,DB_TBL_DATA_FIELDS[[#All],[FIELD_ID]:[RANGE_VALIDATION_MAX]],18,FALSE)</f>
        <v>0</v>
      </c>
      <c r="F95" s="54">
        <f>VLOOKUP(A95,DB_TBL_DATA_FIELDS[[#All],[FIELD_ID]:[RANGE_VALIDATION_MAX]],19,FALSE)</f>
        <v>999999999</v>
      </c>
      <c r="G95" s="54" t="str">
        <f t="shared" ca="1" si="6"/>
        <v/>
      </c>
      <c r="I95" s="367"/>
      <c r="J95" s="367"/>
      <c r="K95" s="367"/>
      <c r="L95" s="367"/>
      <c r="M95" s="367"/>
      <c r="N95" s="367"/>
      <c r="O95" s="367"/>
      <c r="P95" s="367"/>
      <c r="Q95" s="367"/>
      <c r="R95" s="367"/>
      <c r="S95" s="367"/>
      <c r="T95" s="367"/>
      <c r="U95" s="367"/>
      <c r="V95" s="367"/>
      <c r="W95" s="367"/>
      <c r="X95" s="367"/>
    </row>
    <row r="96" spans="1:24" ht="21.95" customHeight="1" x14ac:dyDescent="0.25">
      <c r="A96" s="61" t="s">
        <v>2524</v>
      </c>
      <c r="B96" s="95" t="str">
        <f>IF(I85&lt;&gt;"",I85,"")</f>
        <v/>
      </c>
      <c r="C96" s="54">
        <f ca="1">VLOOKUP(A96,DB_TBL_DATA_FIELDS[[FIELD_ID]:[PCT_CALC_FIELD_STATUS_CODE]],22,FALSE)</f>
        <v>-1</v>
      </c>
      <c r="D96" s="54" t="str">
        <f>IF(VLOOKUP(A96,DB_TBL_DATA_FIELDS[[FIELD_ID]:[ERROR_MESSAGE]],23,FALSE)&lt;&gt;0,VLOOKUP(A96,DB_TBL_DATA_FIELDS[[FIELD_ID]:[ERROR_MESSAGE]],23,FALSE),"")</f>
        <v/>
      </c>
      <c r="E96" s="54">
        <f>VLOOKUP(A96,DB_TBL_DATA_FIELDS[[#All],[FIELD_ID]:[RANGE_VALIDATION_MAX]],18,FALSE)</f>
        <v>0</v>
      </c>
      <c r="F96" s="54">
        <f>VLOOKUP(A96,DB_TBL_DATA_FIELDS[[#All],[FIELD_ID]:[RANGE_VALIDATION_MAX]],19,FALSE)</f>
        <v>100</v>
      </c>
      <c r="G96" s="54" t="str">
        <f t="shared" ca="1" si="6"/>
        <v/>
      </c>
      <c r="I96" s="367"/>
      <c r="J96" s="367"/>
      <c r="K96" s="367"/>
      <c r="L96" s="367"/>
      <c r="M96" s="367"/>
      <c r="N96" s="367"/>
      <c r="O96" s="367"/>
      <c r="P96" s="367"/>
      <c r="Q96" s="367"/>
      <c r="R96" s="367"/>
      <c r="S96" s="367"/>
      <c r="T96" s="367"/>
      <c r="U96" s="367"/>
      <c r="V96" s="367"/>
      <c r="W96" s="367"/>
      <c r="X96" s="367"/>
    </row>
    <row r="97" spans="1:24" ht="21.95" customHeight="1" x14ac:dyDescent="0.25">
      <c r="A97" s="61" t="s">
        <v>2525</v>
      </c>
      <c r="B97" s="95" t="str">
        <f>IF(U85&lt;&gt;"",U85,"")</f>
        <v/>
      </c>
      <c r="C97" s="54">
        <f ca="1">VLOOKUP(A97,DB_TBL_DATA_FIELDS[[FIELD_ID]:[PCT_CALC_FIELD_STATUS_CODE]],22,FALSE)</f>
        <v>-1</v>
      </c>
      <c r="D97" s="54" t="str">
        <f>IF(VLOOKUP(A97,DB_TBL_DATA_FIELDS[[FIELD_ID]:[ERROR_MESSAGE]],23,FALSE)&lt;&gt;0,VLOOKUP(A97,DB_TBL_DATA_FIELDS[[FIELD_ID]:[ERROR_MESSAGE]],23,FALSE),"")</f>
        <v/>
      </c>
      <c r="E97" s="54">
        <f>VLOOKUP(A97,DB_TBL_DATA_FIELDS[[#All],[FIELD_ID]:[RANGE_VALIDATION_MAX]],18,FALSE)</f>
        <v>0</v>
      </c>
      <c r="F97" s="54">
        <f>VLOOKUP(A97,DB_TBL_DATA_FIELDS[[#All],[FIELD_ID]:[RANGE_VALIDATION_MAX]],19,FALSE)</f>
        <v>999999999</v>
      </c>
      <c r="G97" s="54" t="str">
        <f t="shared" ca="1" si="6"/>
        <v/>
      </c>
      <c r="I97" s="367"/>
      <c r="J97" s="367"/>
      <c r="K97" s="367"/>
      <c r="L97" s="367"/>
      <c r="M97" s="367"/>
      <c r="N97" s="367"/>
      <c r="O97" s="367"/>
      <c r="P97" s="367"/>
      <c r="Q97" s="367"/>
      <c r="R97" s="367"/>
      <c r="S97" s="367"/>
      <c r="T97" s="367"/>
      <c r="U97" s="367"/>
      <c r="V97" s="367"/>
      <c r="W97" s="367"/>
      <c r="X97" s="367"/>
    </row>
    <row r="98" spans="1:24" ht="21.95" customHeight="1" x14ac:dyDescent="0.25">
      <c r="A98" s="61" t="s">
        <v>2526</v>
      </c>
      <c r="B98" s="95" t="str">
        <f>IF(I86&lt;&gt;"",I86,"")</f>
        <v/>
      </c>
      <c r="C98" s="54">
        <f ca="1">VLOOKUP(A98,DB_TBL_DATA_FIELDS[[FIELD_ID]:[PCT_CALC_FIELD_STATUS_CODE]],22,FALSE)</f>
        <v>-1</v>
      </c>
      <c r="D98" s="54" t="str">
        <f>IF(VLOOKUP(A98,DB_TBL_DATA_FIELDS[[FIELD_ID]:[ERROR_MESSAGE]],23,FALSE)&lt;&gt;0,VLOOKUP(A98,DB_TBL_DATA_FIELDS[[FIELD_ID]:[ERROR_MESSAGE]],23,FALSE),"")</f>
        <v/>
      </c>
      <c r="E98" s="54">
        <f>VLOOKUP(A98,DB_TBL_DATA_FIELDS[[#All],[FIELD_ID]:[RANGE_VALIDATION_MAX]],18,FALSE)</f>
        <v>0</v>
      </c>
      <c r="F98" s="54">
        <f>VLOOKUP(A98,DB_TBL_DATA_FIELDS[[#All],[FIELD_ID]:[RANGE_VALIDATION_MAX]],19,FALSE)</f>
        <v>100</v>
      </c>
      <c r="G98" s="54" t="str">
        <f t="shared" ca="1" si="6"/>
        <v/>
      </c>
      <c r="I98" s="367"/>
      <c r="J98" s="367"/>
      <c r="K98" s="367"/>
      <c r="L98" s="367"/>
      <c r="M98" s="367"/>
      <c r="N98" s="367"/>
      <c r="O98" s="367"/>
      <c r="P98" s="367"/>
      <c r="Q98" s="367"/>
      <c r="R98" s="367"/>
      <c r="S98" s="367"/>
      <c r="T98" s="367"/>
      <c r="U98" s="367"/>
      <c r="V98" s="367"/>
      <c r="W98" s="367"/>
      <c r="X98" s="367"/>
    </row>
    <row r="99" spans="1:24" ht="21.95" customHeight="1" x14ac:dyDescent="0.25">
      <c r="A99" s="61" t="s">
        <v>2527</v>
      </c>
      <c r="B99" s="95" t="str">
        <f>IF(U86&lt;&gt;"",U86,"")</f>
        <v/>
      </c>
      <c r="C99" s="54">
        <f ca="1">VLOOKUP(A99,DB_TBL_DATA_FIELDS[[FIELD_ID]:[PCT_CALC_FIELD_STATUS_CODE]],22,FALSE)</f>
        <v>-1</v>
      </c>
      <c r="D99" s="54" t="str">
        <f>IF(VLOOKUP(A99,DB_TBL_DATA_FIELDS[[FIELD_ID]:[ERROR_MESSAGE]],23,FALSE)&lt;&gt;0,VLOOKUP(A99,DB_TBL_DATA_FIELDS[[FIELD_ID]:[ERROR_MESSAGE]],23,FALSE),"")</f>
        <v/>
      </c>
      <c r="E99" s="54">
        <f>VLOOKUP(A99,DB_TBL_DATA_FIELDS[[#All],[FIELD_ID]:[RANGE_VALIDATION_MAX]],18,FALSE)</f>
        <v>0</v>
      </c>
      <c r="F99" s="54">
        <f>VLOOKUP(A99,DB_TBL_DATA_FIELDS[[#All],[FIELD_ID]:[RANGE_VALIDATION_MAX]],19,FALSE)</f>
        <v>999999999</v>
      </c>
      <c r="G99" s="54" t="str">
        <f t="shared" ca="1" si="6"/>
        <v/>
      </c>
      <c r="I99" s="367"/>
      <c r="J99" s="367"/>
      <c r="K99" s="367"/>
      <c r="L99" s="367"/>
      <c r="M99" s="367"/>
      <c r="N99" s="367"/>
      <c r="O99" s="367"/>
      <c r="P99" s="367"/>
      <c r="Q99" s="367"/>
      <c r="R99" s="367"/>
      <c r="S99" s="367"/>
      <c r="T99" s="367"/>
      <c r="U99" s="367"/>
      <c r="V99" s="367"/>
      <c r="W99" s="367"/>
      <c r="X99" s="367"/>
    </row>
    <row r="100" spans="1:24" ht="21.95" customHeight="1" x14ac:dyDescent="0.25">
      <c r="A100" s="61" t="s">
        <v>2528</v>
      </c>
      <c r="B100" s="95" t="str">
        <f>IF(I87&lt;&gt;"",I87,"")</f>
        <v/>
      </c>
      <c r="C100" s="54">
        <f ca="1">VLOOKUP(A100,DB_TBL_DATA_FIELDS[[FIELD_ID]:[PCT_CALC_FIELD_STATUS_CODE]],22,FALSE)</f>
        <v>-1</v>
      </c>
      <c r="D100" s="54" t="str">
        <f>IF(VLOOKUP(A100,DB_TBL_DATA_FIELDS[[FIELD_ID]:[ERROR_MESSAGE]],23,FALSE)&lt;&gt;0,VLOOKUP(A100,DB_TBL_DATA_FIELDS[[FIELD_ID]:[ERROR_MESSAGE]],23,FALSE),"")</f>
        <v/>
      </c>
      <c r="E100" s="54">
        <f>VLOOKUP(A100,DB_TBL_DATA_FIELDS[[#All],[FIELD_ID]:[RANGE_VALIDATION_MAX]],18,FALSE)</f>
        <v>0</v>
      </c>
      <c r="F100" s="54">
        <f>VLOOKUP(A100,DB_TBL_DATA_FIELDS[[#All],[FIELD_ID]:[RANGE_VALIDATION_MAX]],19,FALSE)</f>
        <v>100</v>
      </c>
      <c r="G100" s="54" t="str">
        <f t="shared" ca="1" si="6"/>
        <v/>
      </c>
      <c r="I100" s="367"/>
      <c r="J100" s="367"/>
      <c r="K100" s="367"/>
      <c r="L100" s="367"/>
      <c r="M100" s="367"/>
      <c r="N100" s="367"/>
      <c r="O100" s="367"/>
      <c r="P100" s="367"/>
      <c r="Q100" s="367"/>
      <c r="R100" s="367"/>
      <c r="S100" s="367"/>
      <c r="T100" s="367"/>
      <c r="U100" s="367"/>
      <c r="V100" s="367"/>
      <c r="W100" s="367"/>
      <c r="X100" s="367"/>
    </row>
    <row r="101" spans="1:24" ht="21.95" customHeight="1" x14ac:dyDescent="0.25">
      <c r="A101" s="61" t="s">
        <v>2529</v>
      </c>
      <c r="B101" s="95" t="str">
        <f>IF(U87&lt;&gt;"",U87,"")</f>
        <v/>
      </c>
      <c r="C101" s="54">
        <f ca="1">VLOOKUP(A101,DB_TBL_DATA_FIELDS[[FIELD_ID]:[PCT_CALC_FIELD_STATUS_CODE]],22,FALSE)</f>
        <v>-1</v>
      </c>
      <c r="D101" s="54" t="str">
        <f>IF(VLOOKUP(A101,DB_TBL_DATA_FIELDS[[FIELD_ID]:[ERROR_MESSAGE]],23,FALSE)&lt;&gt;0,VLOOKUP(A101,DB_TBL_DATA_FIELDS[[FIELD_ID]:[ERROR_MESSAGE]],23,FALSE),"")</f>
        <v/>
      </c>
      <c r="E101" s="54">
        <f>VLOOKUP(A101,DB_TBL_DATA_FIELDS[[#All],[FIELD_ID]:[RANGE_VALIDATION_MAX]],18,FALSE)</f>
        <v>0</v>
      </c>
      <c r="F101" s="54">
        <f>VLOOKUP(A101,DB_TBL_DATA_FIELDS[[#All],[FIELD_ID]:[RANGE_VALIDATION_MAX]],19,FALSE)</f>
        <v>999999999</v>
      </c>
      <c r="G101" s="54" t="str">
        <f t="shared" ca="1" si="6"/>
        <v/>
      </c>
      <c r="I101" s="367"/>
      <c r="J101" s="367"/>
      <c r="K101" s="367"/>
      <c r="L101" s="367"/>
      <c r="M101" s="367"/>
      <c r="N101" s="367"/>
      <c r="O101" s="367"/>
      <c r="P101" s="367"/>
      <c r="Q101" s="367"/>
      <c r="R101" s="367"/>
      <c r="S101" s="367"/>
      <c r="T101" s="367"/>
      <c r="U101" s="367"/>
      <c r="V101" s="367"/>
      <c r="W101" s="367"/>
      <c r="X101" s="367"/>
    </row>
    <row r="102" spans="1:24" ht="21.95" customHeight="1" x14ac:dyDescent="0.25">
      <c r="A102" s="61" t="s">
        <v>2534</v>
      </c>
      <c r="B102" s="95" t="str">
        <f>IF(W74="","",IF(UPPER(W74)="YES",TRUE,FALSE))</f>
        <v/>
      </c>
      <c r="C102" s="54">
        <f ca="1">VLOOKUP(A102,DB_TBL_DATA_FIELDS[[FIELD_ID]:[PCT_CALC_FIELD_STATUS_CODE]],22,FALSE)</f>
        <v>1</v>
      </c>
      <c r="D102" s="54" t="str">
        <f>IF(VLOOKUP(A102,DB_TBL_DATA_FIELDS[[FIELD_ID]:[ERROR_MESSAGE]],23,FALSE)&lt;&gt;0,VLOOKUP(A102,DB_TBL_DATA_FIELDS[[FIELD_ID]:[ERROR_MESSAGE]],23,FALSE),"")</f>
        <v/>
      </c>
      <c r="E102" s="54">
        <f>VLOOKUP(A102,DB_TBL_DATA_FIELDS[[#All],[FIELD_ID]:[RANGE_VALIDATION_MAX]],18,FALSE)</f>
        <v>0</v>
      </c>
      <c r="F102" s="54">
        <f>VLOOKUP(A102,DB_TBL_DATA_FIELDS[[#All],[FIELD_ID]:[RANGE_VALIDATION_MAX]],19,FALSE)</f>
        <v>0</v>
      </c>
      <c r="G102" s="54">
        <f t="shared" ca="1" si="6"/>
        <v>1</v>
      </c>
      <c r="I102" s="367"/>
      <c r="J102" s="367"/>
      <c r="K102" s="367"/>
      <c r="L102" s="367"/>
      <c r="M102" s="367"/>
      <c r="N102" s="367"/>
      <c r="O102" s="367"/>
      <c r="P102" s="367"/>
      <c r="Q102" s="367"/>
      <c r="R102" s="367"/>
      <c r="S102" s="367"/>
      <c r="T102" s="367"/>
      <c r="U102" s="367"/>
      <c r="V102" s="367"/>
      <c r="W102" s="367"/>
      <c r="X102" s="367"/>
    </row>
    <row r="103" spans="1:24" ht="21.95" customHeight="1" x14ac:dyDescent="0.25">
      <c r="A103" s="61" t="s">
        <v>2531</v>
      </c>
      <c r="B103" s="95" t="str">
        <f>IF(I78&lt;&gt;"",I78,"")</f>
        <v/>
      </c>
      <c r="C103" s="54">
        <f ca="1">VLOOKUP(A103,DB_TBL_DATA_FIELDS[[FIELD_ID]:[PCT_CALC_FIELD_STATUS_CODE]],22,FALSE)</f>
        <v>-1</v>
      </c>
      <c r="D103" s="54" t="str">
        <f>IF(VLOOKUP(A103,DB_TBL_DATA_FIELDS[[FIELD_ID]:[ERROR_MESSAGE]],23,FALSE)&lt;&gt;0,VLOOKUP(A103,DB_TBL_DATA_FIELDS[[FIELD_ID]:[ERROR_MESSAGE]],23,FALSE),"")</f>
        <v/>
      </c>
      <c r="E103" s="54">
        <f>VLOOKUP(A103,DB_TBL_DATA_FIELDS[[#All],[FIELD_ID]:[RANGE_VALIDATION_MAX]],18,FALSE)</f>
        <v>0</v>
      </c>
      <c r="F103" s="54">
        <f>VLOOKUP(A103,DB_TBL_DATA_FIELDS[[#All],[FIELD_ID]:[RANGE_VALIDATION_MAX]],19,FALSE)</f>
        <v>100</v>
      </c>
      <c r="G103" s="54" t="str">
        <f t="shared" ca="1" si="6"/>
        <v/>
      </c>
      <c r="I103" s="367"/>
      <c r="J103" s="367"/>
      <c r="K103" s="367"/>
      <c r="L103" s="367"/>
      <c r="M103" s="367"/>
      <c r="N103" s="367"/>
      <c r="O103" s="367"/>
      <c r="P103" s="367"/>
      <c r="Q103" s="367"/>
      <c r="R103" s="367"/>
      <c r="S103" s="367"/>
      <c r="T103" s="367"/>
      <c r="U103" s="367"/>
      <c r="V103" s="367"/>
      <c r="W103" s="367"/>
      <c r="X103" s="367"/>
    </row>
    <row r="104" spans="1:24" ht="21.95" customHeight="1" x14ac:dyDescent="0.25">
      <c r="A104" s="61" t="s">
        <v>2530</v>
      </c>
      <c r="B104" s="95" t="str">
        <f>IF(U78&lt;&gt;"",U78,"")</f>
        <v/>
      </c>
      <c r="C104" s="54">
        <f ca="1">VLOOKUP(A104,DB_TBL_DATA_FIELDS[[FIELD_ID]:[PCT_CALC_FIELD_STATUS_CODE]],22,FALSE)</f>
        <v>-1</v>
      </c>
      <c r="D104" s="54" t="str">
        <f>IF(VLOOKUP(A104,DB_TBL_DATA_FIELDS[[FIELD_ID]:[ERROR_MESSAGE]],23,FALSE)&lt;&gt;0,VLOOKUP(A104,DB_TBL_DATA_FIELDS[[FIELD_ID]:[ERROR_MESSAGE]],23,FALSE),"")</f>
        <v/>
      </c>
      <c r="E104" s="54">
        <f>VLOOKUP(A104,DB_TBL_DATA_FIELDS[[#All],[FIELD_ID]:[RANGE_VALIDATION_MAX]],18,FALSE)</f>
        <v>0</v>
      </c>
      <c r="F104" s="54">
        <f>VLOOKUP(A104,DB_TBL_DATA_FIELDS[[#All],[FIELD_ID]:[RANGE_VALIDATION_MAX]],19,FALSE)</f>
        <v>999999999</v>
      </c>
      <c r="G104" s="54" t="str">
        <f t="shared" ca="1" si="6"/>
        <v/>
      </c>
      <c r="I104" s="367"/>
      <c r="J104" s="367"/>
      <c r="K104" s="367"/>
      <c r="L104" s="367"/>
      <c r="M104" s="367"/>
      <c r="N104" s="367"/>
      <c r="O104" s="367"/>
      <c r="P104" s="367"/>
      <c r="Q104" s="367"/>
      <c r="R104" s="367"/>
      <c r="S104" s="367"/>
      <c r="T104" s="367"/>
      <c r="U104" s="367"/>
      <c r="V104" s="367"/>
      <c r="W104" s="367"/>
      <c r="X104" s="367"/>
    </row>
    <row r="105" spans="1:24" ht="21.95" customHeight="1" x14ac:dyDescent="0.25">
      <c r="A105" s="61" t="s">
        <v>164</v>
      </c>
      <c r="B105" s="65" t="str">
        <f>"C"&amp;MATCH(LEFT(A105,LEN(A105)-LEN("_RANGE")),A:A,0)+1&amp;":C"&amp;(ROW()-1)</f>
        <v>C93:C104</v>
      </c>
      <c r="C105" s="54"/>
      <c r="D105" s="54"/>
      <c r="E105" s="54"/>
      <c r="F105" s="54"/>
      <c r="G105" s="54"/>
      <c r="I105" s="367"/>
      <c r="J105" s="367"/>
      <c r="K105" s="367"/>
      <c r="L105" s="367"/>
      <c r="M105" s="367"/>
      <c r="N105" s="367"/>
      <c r="O105" s="367"/>
      <c r="P105" s="367"/>
      <c r="Q105" s="367"/>
      <c r="R105" s="367"/>
      <c r="S105" s="367"/>
      <c r="T105" s="367"/>
      <c r="U105" s="367"/>
      <c r="V105" s="367"/>
      <c r="W105" s="367"/>
      <c r="X105" s="367"/>
    </row>
    <row r="106" spans="1:24" ht="21.95" customHeight="1" x14ac:dyDescent="0.25">
      <c r="A106" s="61" t="s">
        <v>165</v>
      </c>
      <c r="B106" s="65">
        <f ca="1">COUNTIF(INDIRECT($B105),2)</f>
        <v>0</v>
      </c>
      <c r="C106" s="54"/>
      <c r="D106" s="54"/>
      <c r="E106" s="54"/>
      <c r="F106" s="54"/>
      <c r="G106" s="54"/>
      <c r="I106" s="367"/>
      <c r="J106" s="367"/>
      <c r="K106" s="367"/>
      <c r="L106" s="367"/>
      <c r="M106" s="367"/>
      <c r="N106" s="367"/>
      <c r="O106" s="367"/>
      <c r="P106" s="367"/>
      <c r="Q106" s="367"/>
      <c r="R106" s="367"/>
      <c r="S106" s="367"/>
      <c r="T106" s="367"/>
      <c r="U106" s="367"/>
      <c r="V106" s="367"/>
      <c r="W106" s="367"/>
      <c r="X106" s="367"/>
    </row>
    <row r="107" spans="1:24" ht="21.95" customHeight="1" x14ac:dyDescent="0.25">
      <c r="A107" s="61" t="s">
        <v>166</v>
      </c>
      <c r="B107" s="65">
        <f ca="1">COUNTIF(INDIRECT($B105),0)+COUNTIF(INDIRECT($B105),1)+COUNTIF(INDIRECT($B105),2)</f>
        <v>2</v>
      </c>
      <c r="C107" s="54"/>
      <c r="D107" s="54"/>
      <c r="E107" s="54"/>
      <c r="F107" s="54"/>
      <c r="G107" s="54"/>
      <c r="I107" s="367"/>
      <c r="J107" s="367"/>
      <c r="K107" s="367"/>
      <c r="L107" s="367"/>
      <c r="M107" s="367"/>
      <c r="N107" s="367"/>
      <c r="O107" s="367"/>
      <c r="P107" s="367"/>
      <c r="Q107" s="367"/>
      <c r="R107" s="367"/>
      <c r="S107" s="367"/>
      <c r="T107" s="367"/>
      <c r="U107" s="367"/>
      <c r="V107" s="367"/>
      <c r="W107" s="367"/>
      <c r="X107" s="367"/>
    </row>
    <row r="108" spans="1:24" ht="21.95" customHeight="1" x14ac:dyDescent="0.25">
      <c r="A108" s="61" t="s">
        <v>167</v>
      </c>
      <c r="B108" s="65">
        <f ca="1">COUNTIF(INDIRECT($B105),0)</f>
        <v>0</v>
      </c>
      <c r="C108" s="54"/>
      <c r="D108" s="54"/>
      <c r="E108" s="54"/>
      <c r="F108" s="54"/>
      <c r="G108" s="54"/>
      <c r="I108" s="367"/>
      <c r="J108" s="367"/>
      <c r="K108" s="367"/>
      <c r="L108" s="367"/>
      <c r="M108" s="367"/>
      <c r="N108" s="367"/>
      <c r="O108" s="367"/>
      <c r="P108" s="367"/>
      <c r="Q108" s="367"/>
      <c r="R108" s="367"/>
      <c r="S108" s="367"/>
      <c r="T108" s="367"/>
      <c r="U108" s="367"/>
      <c r="V108" s="367"/>
      <c r="W108" s="367"/>
      <c r="X108" s="367"/>
    </row>
    <row r="109" spans="1:24" ht="21.95" customHeight="1" x14ac:dyDescent="0.25">
      <c r="A109" s="61" t="s">
        <v>168</v>
      </c>
      <c r="B109" s="97">
        <f ca="1">IFERROR(B106/B107,1.01)</f>
        <v>0</v>
      </c>
      <c r="C109" s="54"/>
      <c r="D109" s="54"/>
      <c r="E109" s="54"/>
      <c r="F109" s="54"/>
      <c r="G109" s="54"/>
      <c r="I109" s="367"/>
      <c r="J109" s="367"/>
      <c r="K109" s="367"/>
      <c r="L109" s="367"/>
      <c r="M109" s="367"/>
      <c r="N109" s="367"/>
      <c r="O109" s="367"/>
      <c r="P109" s="367"/>
      <c r="Q109" s="367"/>
      <c r="R109" s="367"/>
      <c r="S109" s="367"/>
      <c r="T109" s="367"/>
      <c r="U109" s="367"/>
      <c r="V109" s="367"/>
      <c r="W109" s="367"/>
      <c r="X109" s="367"/>
    </row>
    <row r="110" spans="1:24" ht="21.95" customHeight="1" x14ac:dyDescent="0.25">
      <c r="A110" s="61" t="s">
        <v>169</v>
      </c>
      <c r="B110" s="65" t="str">
        <f ca="1">IF(B108&gt;0,"Data Error(s)",IF(B109=0,"Not Started",IF(B109&lt;1,ROUNDUP(B109*100,0)&amp;"% Done",IF(B109&gt;1,"Optional","Complete"))))</f>
        <v>Not Started</v>
      </c>
      <c r="C110" s="54"/>
      <c r="D110" s="54"/>
      <c r="E110" s="54"/>
      <c r="F110" s="54"/>
      <c r="G110" s="54"/>
      <c r="I110" s="367"/>
      <c r="J110" s="367"/>
      <c r="K110" s="367"/>
      <c r="L110" s="367"/>
      <c r="M110" s="367"/>
      <c r="N110" s="367"/>
      <c r="O110" s="367"/>
      <c r="P110" s="367"/>
      <c r="Q110" s="367"/>
      <c r="R110" s="367"/>
      <c r="S110" s="367"/>
      <c r="T110" s="367"/>
      <c r="U110" s="367"/>
      <c r="V110" s="367"/>
      <c r="W110" s="367"/>
      <c r="X110" s="367"/>
    </row>
    <row r="111" spans="1:24" ht="21.95" customHeight="1" x14ac:dyDescent="0.25">
      <c r="A111" s="61" t="s">
        <v>170</v>
      </c>
      <c r="B111" s="65" t="str">
        <f ca="1">IF(B108&gt;0,0,IF(B109&lt;1,"",2))</f>
        <v/>
      </c>
      <c r="C111" s="54"/>
      <c r="D111" s="54"/>
      <c r="E111" s="54"/>
      <c r="F111" s="54"/>
      <c r="G111" s="54"/>
      <c r="I111" s="367"/>
      <c r="J111" s="367"/>
      <c r="K111" s="367"/>
      <c r="L111" s="367"/>
      <c r="M111" s="367"/>
      <c r="N111" s="367"/>
      <c r="O111" s="367"/>
      <c r="P111" s="367"/>
      <c r="Q111" s="367"/>
      <c r="R111" s="367"/>
      <c r="S111" s="367"/>
      <c r="T111" s="367"/>
      <c r="U111" s="367"/>
      <c r="V111" s="367"/>
      <c r="W111" s="367"/>
      <c r="X111" s="367"/>
    </row>
    <row r="112" spans="1:24" ht="21.95" customHeight="1" x14ac:dyDescent="0.25">
      <c r="A112" s="61" t="s">
        <v>171</v>
      </c>
      <c r="B112" s="96" t="s">
        <v>2565</v>
      </c>
      <c r="C112" s="54"/>
      <c r="D112" s="54"/>
      <c r="E112" s="54"/>
      <c r="F112" s="54"/>
      <c r="G112" s="54"/>
      <c r="I112" s="367"/>
      <c r="J112" s="367"/>
      <c r="K112" s="367"/>
      <c r="L112" s="367"/>
      <c r="M112" s="367"/>
      <c r="N112" s="367"/>
      <c r="O112" s="367"/>
      <c r="P112" s="367"/>
      <c r="Q112" s="367"/>
      <c r="R112" s="367"/>
      <c r="S112" s="367"/>
      <c r="T112" s="367"/>
      <c r="U112" s="367"/>
      <c r="V112" s="367"/>
      <c r="W112" s="367"/>
      <c r="X112" s="367"/>
    </row>
    <row r="113" spans="1:24" ht="21.95" customHeight="1" x14ac:dyDescent="0.25">
      <c r="A113" s="77" t="s">
        <v>2146</v>
      </c>
      <c r="B113" s="65">
        <v>0</v>
      </c>
      <c r="C113" s="54"/>
      <c r="D113" s="54"/>
      <c r="E113" s="54"/>
      <c r="F113" s="54"/>
      <c r="G113" s="54"/>
      <c r="J113"/>
      <c r="L113"/>
      <c r="N113"/>
      <c r="P113"/>
      <c r="R113"/>
      <c r="T113"/>
      <c r="V113"/>
      <c r="X113"/>
    </row>
    <row r="114" spans="1:24" ht="21.95" customHeight="1" x14ac:dyDescent="0.25">
      <c r="A114" s="77" t="s">
        <v>2147</v>
      </c>
      <c r="B114" s="65" t="b">
        <f>(B113&gt;0)</f>
        <v>0</v>
      </c>
      <c r="C114" s="54"/>
      <c r="D114" s="54"/>
      <c r="E114" s="54"/>
      <c r="F114" s="54"/>
      <c r="G114" s="54"/>
      <c r="I114" s="36" t="s">
        <v>2873</v>
      </c>
      <c r="K114" s="36"/>
      <c r="M114" s="36"/>
      <c r="N114" s="36"/>
      <c r="O114" s="36" t="s">
        <v>2874</v>
      </c>
      <c r="Q114" s="36"/>
      <c r="S114" s="36"/>
      <c r="T114" s="36"/>
      <c r="U114" s="36" t="s">
        <v>31</v>
      </c>
      <c r="V114" s="36"/>
      <c r="W114" s="36"/>
      <c r="X114" s="36"/>
    </row>
    <row r="115" spans="1:24" ht="21.95" customHeight="1" x14ac:dyDescent="0.25">
      <c r="A115" s="91" t="s">
        <v>2861</v>
      </c>
      <c r="B115" s="93" t="s">
        <v>2862</v>
      </c>
      <c r="C115" s="92"/>
      <c r="D115" s="92"/>
      <c r="E115" s="92"/>
      <c r="F115" s="92"/>
      <c r="G115" s="92"/>
      <c r="I115" s="316"/>
      <c r="J115" s="317"/>
      <c r="K115" s="317"/>
      <c r="L115" s="317"/>
      <c r="M115" s="318"/>
      <c r="N115" s="52">
        <f ca="1">G116</f>
        <v>1</v>
      </c>
      <c r="O115" s="316"/>
      <c r="P115" s="317"/>
      <c r="Q115" s="317"/>
      <c r="R115" s="317"/>
      <c r="S115" s="318"/>
      <c r="T115" s="52">
        <f ca="1">G117</f>
        <v>1</v>
      </c>
      <c r="U115" s="338"/>
      <c r="V115" s="339"/>
      <c r="W115" s="340"/>
      <c r="X115" s="52">
        <f ca="1">G118</f>
        <v>1</v>
      </c>
    </row>
    <row r="116" spans="1:24" ht="21.95" customHeight="1" x14ac:dyDescent="0.25">
      <c r="A116" s="61" t="s">
        <v>2855</v>
      </c>
      <c r="B116" s="95" t="str">
        <f>IF(I115&lt;&gt;"",I115,"")</f>
        <v/>
      </c>
      <c r="C116" s="54">
        <f ca="1">VLOOKUP(A116,DB_TBL_DATA_FIELDS[[FIELD_ID]:[PCT_CALC_FIELD_STATUS_CODE]],22,FALSE)</f>
        <v>1</v>
      </c>
      <c r="D116" s="54" t="str">
        <f ca="1">IF(VLOOKUP(A116,DB_TBL_DATA_FIELDS[[FIELD_ID]:[ERROR_MESSAGE]],23,FALSE)&lt;&gt;0,VLOOKUP(A116,DB_TBL_DATA_FIELDS[[FIELD_ID]:[ERROR_MESSAGE]],23,FALSE),"")</f>
        <v/>
      </c>
      <c r="E116" s="54">
        <f>VLOOKUP(A116,DB_TBL_DATA_FIELDS[[#All],[FIELD_ID]:[RANGE_VALIDATION_MAX]],18,FALSE)</f>
        <v>0</v>
      </c>
      <c r="F116" s="54">
        <f>VLOOKUP(A116,DB_TBL_DATA_FIELDS[[#All],[FIELD_ID]:[RANGE_VALIDATION_MAX]],19,FALSE)</f>
        <v>100</v>
      </c>
      <c r="G116" s="54">
        <f t="shared" ref="G116:G120" ca="1" si="7">IF(C116&lt;0,"",C116)</f>
        <v>1</v>
      </c>
      <c r="I116" s="36" t="s">
        <v>132</v>
      </c>
      <c r="K116" s="36"/>
      <c r="M116" s="36"/>
      <c r="N116" s="36"/>
      <c r="O116" s="36"/>
      <c r="P116" s="36"/>
      <c r="S116" s="36" t="s">
        <v>2158</v>
      </c>
      <c r="W116" s="36"/>
    </row>
    <row r="117" spans="1:24" ht="21.95" customHeight="1" x14ac:dyDescent="0.25">
      <c r="A117" s="61" t="s">
        <v>2857</v>
      </c>
      <c r="B117" s="95" t="str">
        <f>IF(O115&lt;&gt;"",O115,"")</f>
        <v/>
      </c>
      <c r="C117" s="54">
        <f ca="1">VLOOKUP(A117,DB_TBL_DATA_FIELDS[[FIELD_ID]:[PCT_CALC_FIELD_STATUS_CODE]],22,FALSE)</f>
        <v>1</v>
      </c>
      <c r="D117" s="54" t="str">
        <f ca="1">IF(VLOOKUP(A117,DB_TBL_DATA_FIELDS[[FIELD_ID]:[ERROR_MESSAGE]],23,FALSE)&lt;&gt;0,VLOOKUP(A117,DB_TBL_DATA_FIELDS[[FIELD_ID]:[ERROR_MESSAGE]],23,FALSE),"")</f>
        <v/>
      </c>
      <c r="E117" s="54">
        <f>VLOOKUP(A117,DB_TBL_DATA_FIELDS[[#All],[FIELD_ID]:[RANGE_VALIDATION_MAX]],18,FALSE)</f>
        <v>0</v>
      </c>
      <c r="F117" s="54">
        <f>VLOOKUP(A117,DB_TBL_DATA_FIELDS[[#All],[FIELD_ID]:[RANGE_VALIDATION_MAX]],19,FALSE)</f>
        <v>100</v>
      </c>
      <c r="G117" s="54">
        <f t="shared" ca="1" si="7"/>
        <v>1</v>
      </c>
      <c r="I117" s="409"/>
      <c r="J117" s="317"/>
      <c r="K117" s="317"/>
      <c r="L117" s="317"/>
      <c r="M117" s="317"/>
      <c r="N117" s="317"/>
      <c r="O117" s="317"/>
      <c r="P117" s="317"/>
      <c r="Q117" s="318"/>
      <c r="R117" s="52">
        <f ca="1">G119</f>
        <v>1</v>
      </c>
      <c r="S117" s="313"/>
      <c r="T117" s="314"/>
      <c r="U117" s="314"/>
      <c r="V117" s="314"/>
      <c r="W117" s="315"/>
      <c r="X117" s="52">
        <f ca="1">G120</f>
        <v>1</v>
      </c>
    </row>
    <row r="118" spans="1:24" ht="21.95" customHeight="1" x14ac:dyDescent="0.25">
      <c r="A118" s="61" t="s">
        <v>2858</v>
      </c>
      <c r="B118" s="95" t="str">
        <f>IF(U115&lt;&gt;"",U115,"")</f>
        <v/>
      </c>
      <c r="C118" s="54">
        <f ca="1">VLOOKUP(A118,DB_TBL_DATA_FIELDS[[FIELD_ID]:[PCT_CALC_FIELD_STATUS_CODE]],22,FALSE)</f>
        <v>1</v>
      </c>
      <c r="D118" s="54" t="str">
        <f ca="1">IF(VLOOKUP(A118,DB_TBL_DATA_FIELDS[[FIELD_ID]:[ERROR_MESSAGE]],23,FALSE)&lt;&gt;0,VLOOKUP(A118,DB_TBL_DATA_FIELDS[[FIELD_ID]:[ERROR_MESSAGE]],23,FALSE),"")</f>
        <v/>
      </c>
      <c r="E118" s="54">
        <f>VLOOKUP(A118,DB_TBL_DATA_FIELDS[[#All],[FIELD_ID]:[RANGE_VALIDATION_MAX]],18,FALSE)</f>
        <v>0</v>
      </c>
      <c r="F118" s="54">
        <f>VLOOKUP(A118,DB_TBL_DATA_FIELDS[[#All],[FIELD_ID]:[RANGE_VALIDATION_MAX]],19,FALSE)</f>
        <v>0</v>
      </c>
      <c r="G118" s="54">
        <f t="shared" ca="1" si="7"/>
        <v>1</v>
      </c>
      <c r="I118" s="331" t="str">
        <f ca="1">D119</f>
        <v/>
      </c>
      <c r="J118" s="331"/>
      <c r="K118" s="331"/>
      <c r="L118" s="331"/>
      <c r="M118" s="331"/>
      <c r="N118" s="331"/>
      <c r="O118" s="331"/>
      <c r="P118" s="331"/>
      <c r="Q118" s="331"/>
      <c r="R118"/>
      <c r="T118"/>
      <c r="V118"/>
      <c r="X118"/>
    </row>
    <row r="119" spans="1:24" ht="21.95" customHeight="1" x14ac:dyDescent="0.25">
      <c r="A119" s="61" t="s">
        <v>2230</v>
      </c>
      <c r="B119" s="95" t="str">
        <f>IF(I117&lt;&gt;"",I117,"")</f>
        <v/>
      </c>
      <c r="C119" s="54">
        <f ca="1">VLOOKUP(A119,DB_TBL_DATA_FIELDS[[FIELD_ID]:[PCT_CALC_FIELD_STATUS_CODE]],22,FALSE)</f>
        <v>1</v>
      </c>
      <c r="D119" s="54" t="str">
        <f ca="1">IF(VLOOKUP(A119,DB_TBL_DATA_FIELDS[[FIELD_ID]:[ERROR_MESSAGE]],23,FALSE)&lt;&gt;0,VLOOKUP(A119,DB_TBL_DATA_FIELDS[[FIELD_ID]:[ERROR_MESSAGE]],23,FALSE),"")</f>
        <v/>
      </c>
      <c r="E119" s="54">
        <f>VLOOKUP(A119,DB_TBL_DATA_FIELDS[[#All],[FIELD_ID]:[RANGE_VALIDATION_MAX]],18,FALSE)</f>
        <v>0</v>
      </c>
      <c r="F119" s="54">
        <f>VLOOKUP(A119,DB_TBL_DATA_FIELDS[[#All],[FIELD_ID]:[RANGE_VALIDATION_MAX]],19,FALSE)</f>
        <v>60</v>
      </c>
      <c r="G119" s="54">
        <f t="shared" ca="1" si="7"/>
        <v>1</v>
      </c>
      <c r="J119"/>
      <c r="L119"/>
      <c r="N119"/>
      <c r="P119"/>
    </row>
    <row r="120" spans="1:24" ht="21.95" customHeight="1" x14ac:dyDescent="0.25">
      <c r="A120" s="61" t="s">
        <v>2231</v>
      </c>
      <c r="B120" s="95" t="str">
        <f>IF(S117&lt;&gt;"",S117,"")</f>
        <v/>
      </c>
      <c r="C120" s="54">
        <f ca="1">VLOOKUP(A120,DB_TBL_DATA_FIELDS[[FIELD_ID]:[PCT_CALC_FIELD_STATUS_CODE]],22,FALSE)</f>
        <v>1</v>
      </c>
      <c r="D120" s="54" t="str">
        <f>IF(VLOOKUP(A120,DB_TBL_DATA_FIELDS[[FIELD_ID]:[ERROR_MESSAGE]],23,FALSE)&lt;&gt;0,VLOOKUP(A120,DB_TBL_DATA_FIELDS[[FIELD_ID]:[ERROR_MESSAGE]],23,FALSE),"")</f>
        <v/>
      </c>
      <c r="E120" s="54">
        <f>VLOOKUP(A120,DB_TBL_DATA_FIELDS[[#All],[FIELD_ID]:[RANGE_VALIDATION_MAX]],18,FALSE)</f>
        <v>0</v>
      </c>
      <c r="F120" s="54">
        <f>VLOOKUP(A120,DB_TBL_DATA_FIELDS[[#All],[FIELD_ID]:[RANGE_VALIDATION_MAX]],19,FALSE)</f>
        <v>50</v>
      </c>
      <c r="G120" s="54">
        <f t="shared" ca="1" si="7"/>
        <v>1</v>
      </c>
    </row>
    <row r="121" spans="1:24" ht="21.95" hidden="1" customHeight="1" x14ac:dyDescent="0.25">
      <c r="A121" s="61" t="s">
        <v>2863</v>
      </c>
      <c r="B121" s="65" t="str">
        <f>"C"&amp;MATCH(LEFT(A121,LEN(A121)-LEN("_RANGE")),A:A,0)+1&amp;":C"&amp;(ROW()-1)</f>
        <v>C116:C120</v>
      </c>
      <c r="C121" s="54"/>
      <c r="D121" s="54"/>
      <c r="E121" s="54"/>
      <c r="F121" s="54"/>
      <c r="G121" s="54"/>
    </row>
    <row r="122" spans="1:24" ht="21.95" hidden="1" customHeight="1" x14ac:dyDescent="0.25">
      <c r="A122" s="61" t="s">
        <v>2864</v>
      </c>
      <c r="B122" s="65">
        <f ca="1">COUNTIF(INDIRECT($B121),2)</f>
        <v>0</v>
      </c>
      <c r="C122" s="54"/>
      <c r="D122" s="54"/>
      <c r="E122" s="54"/>
      <c r="F122" s="54"/>
      <c r="G122" s="54"/>
    </row>
    <row r="123" spans="1:24" ht="21.95" hidden="1" customHeight="1" x14ac:dyDescent="0.25">
      <c r="A123" s="61" t="s">
        <v>2865</v>
      </c>
      <c r="B123" s="65">
        <f ca="1">COUNTIF(INDIRECT($B121),0)+COUNTIF(INDIRECT($B121),1)+COUNTIF(INDIRECT($B121),2)</f>
        <v>5</v>
      </c>
      <c r="C123" s="54"/>
      <c r="D123" s="54"/>
      <c r="E123" s="54"/>
      <c r="F123" s="54"/>
      <c r="G123" s="54"/>
    </row>
    <row r="124" spans="1:24" ht="21.95" hidden="1" customHeight="1" x14ac:dyDescent="0.25">
      <c r="A124" s="61" t="s">
        <v>2866</v>
      </c>
      <c r="B124" s="65">
        <f ca="1">COUNTIF(INDIRECT($B121),0)</f>
        <v>0</v>
      </c>
      <c r="C124" s="54"/>
      <c r="D124" s="54"/>
      <c r="E124" s="54"/>
      <c r="F124" s="54"/>
      <c r="G124" s="54"/>
    </row>
    <row r="125" spans="1:24" ht="21.95" hidden="1" customHeight="1" x14ac:dyDescent="0.25">
      <c r="A125" s="61" t="s">
        <v>2867</v>
      </c>
      <c r="B125" s="97">
        <f ca="1">IFERROR(B122/B123,1.01)</f>
        <v>0</v>
      </c>
      <c r="C125" s="54"/>
      <c r="D125" s="54"/>
      <c r="E125" s="54"/>
      <c r="F125" s="54"/>
      <c r="G125" s="54"/>
    </row>
    <row r="126" spans="1:24" ht="21.95" hidden="1" customHeight="1" x14ac:dyDescent="0.25">
      <c r="A126" s="61" t="s">
        <v>2868</v>
      </c>
      <c r="B126" s="65" t="str">
        <f ca="1">IF(B124&gt;0,"Data Error(s)",IF(B125=0,"Not Started",IF(B125&lt;1,ROUNDUP(B125*100,0)&amp;"% Done",IF(B125&gt;1,"Optional","Complete"))))</f>
        <v>Not Started</v>
      </c>
      <c r="C126" s="54"/>
      <c r="D126" s="54"/>
      <c r="E126" s="54"/>
      <c r="F126" s="54"/>
      <c r="G126" s="54"/>
    </row>
    <row r="127" spans="1:24" ht="21.95" hidden="1" customHeight="1" x14ac:dyDescent="0.25">
      <c r="A127" s="61" t="s">
        <v>2869</v>
      </c>
      <c r="B127" s="65" t="str">
        <f ca="1">IF(B124&gt;0,0,IF(B125&lt;1,"",2))</f>
        <v/>
      </c>
      <c r="C127" s="54"/>
      <c r="D127" s="54"/>
      <c r="E127" s="54"/>
      <c r="F127" s="54"/>
      <c r="G127" s="54"/>
    </row>
    <row r="128" spans="1:24" ht="21.95" hidden="1" customHeight="1" x14ac:dyDescent="0.25">
      <c r="A128" s="61" t="s">
        <v>2870</v>
      </c>
      <c r="B128" s="96" t="s">
        <v>2862</v>
      </c>
      <c r="C128" s="54"/>
      <c r="D128" s="54"/>
      <c r="E128" s="54"/>
      <c r="F128" s="54"/>
      <c r="G128" s="54"/>
    </row>
    <row r="129" spans="1:7" ht="21.95" hidden="1" customHeight="1" x14ac:dyDescent="0.25">
      <c r="A129" s="77" t="s">
        <v>2871</v>
      </c>
      <c r="B129" s="65">
        <v>0</v>
      </c>
      <c r="C129" s="54"/>
      <c r="D129" s="54"/>
      <c r="E129" s="54"/>
      <c r="F129" s="54"/>
      <c r="G129" s="54"/>
    </row>
    <row r="130" spans="1:7" ht="21.95" hidden="1" customHeight="1" x14ac:dyDescent="0.25">
      <c r="A130" s="77" t="s">
        <v>2872</v>
      </c>
      <c r="B130" s="65" t="b">
        <f>(B129&gt;0)</f>
        <v>0</v>
      </c>
      <c r="C130" s="54"/>
      <c r="D130" s="54"/>
      <c r="E130" s="54"/>
      <c r="F130" s="54"/>
      <c r="G130" s="54"/>
    </row>
  </sheetData>
  <sheetProtection algorithmName="SHA-512" hashValue="I2h3cGUNeN1y/VMFCSbAOJMJgKZiyFDFcSpQBLOyYTVY6ZmAEhs1qMcHSpD2bFBWhdyDTsHdWYnhE2uG7+uiag==" saltValue="fB4EBbHlCpaoUqM6TtIUeA==" spinCount="100000" sheet="1" objects="1" scenarios="1" selectLockedCells="1"/>
  <dataConsolidate/>
  <mergeCells count="48">
    <mergeCell ref="O52:W52"/>
    <mergeCell ref="I47:K47"/>
    <mergeCell ref="M47:O47"/>
    <mergeCell ref="I118:Q118"/>
    <mergeCell ref="I91:X112"/>
    <mergeCell ref="I115:M115"/>
    <mergeCell ref="O115:S115"/>
    <mergeCell ref="U115:W115"/>
    <mergeCell ref="I117:Q117"/>
    <mergeCell ref="S117:W117"/>
    <mergeCell ref="I85:S85"/>
    <mergeCell ref="U85:W85"/>
    <mergeCell ref="I86:S86"/>
    <mergeCell ref="U86:W86"/>
    <mergeCell ref="I87:S87"/>
    <mergeCell ref="U87:W87"/>
    <mergeCell ref="I84:S84"/>
    <mergeCell ref="U84:W84"/>
    <mergeCell ref="I54:W59"/>
    <mergeCell ref="U61:W61"/>
    <mergeCell ref="U62:W62"/>
    <mergeCell ref="I69:K69"/>
    <mergeCell ref="O69:Q69"/>
    <mergeCell ref="U69:W69"/>
    <mergeCell ref="I75:W76"/>
    <mergeCell ref="I78:S78"/>
    <mergeCell ref="U78:W78"/>
    <mergeCell ref="I83:T83"/>
    <mergeCell ref="U83:X83"/>
    <mergeCell ref="I45:K45"/>
    <mergeCell ref="M45:O45"/>
    <mergeCell ref="U45:W45"/>
    <mergeCell ref="I19:M19"/>
    <mergeCell ref="Q19:U19"/>
    <mergeCell ref="I24:W24"/>
    <mergeCell ref="I29:K29"/>
    <mergeCell ref="M29:Q29"/>
    <mergeCell ref="S29:W29"/>
    <mergeCell ref="U34:W34"/>
    <mergeCell ref="Q35:W35"/>
    <mergeCell ref="I36:S37"/>
    <mergeCell ref="I18:M18"/>
    <mergeCell ref="Q18:U18"/>
    <mergeCell ref="I6:Y6"/>
    <mergeCell ref="I9:X9"/>
    <mergeCell ref="U13:X13"/>
    <mergeCell ref="I17:M17"/>
    <mergeCell ref="Q17:U17"/>
  </mergeCells>
  <conditionalFormatting sqref="H6">
    <cfRule type="iconSet" priority="76">
      <iconSet iconSet="3Flags" showValue="0">
        <cfvo type="percent" val="0"/>
        <cfvo type="num" val="1"/>
        <cfvo type="num" val="2" gte="0"/>
      </iconSet>
    </cfRule>
    <cfRule type="expression" dxfId="38" priority="77">
      <formula>($B$10=TRUE)</formula>
    </cfRule>
  </conditionalFormatting>
  <conditionalFormatting sqref="I118">
    <cfRule type="notContainsBlanks" dxfId="37" priority="13">
      <formula>LEN(TRIM(I118))&gt;0</formula>
    </cfRule>
  </conditionalFormatting>
  <conditionalFormatting sqref="I69:K69 O69 U69">
    <cfRule type="expression" dxfId="36" priority="41">
      <formula>(DATA_SECOND_MTG_FLAG&lt;&gt;TRUE)</formula>
    </cfRule>
  </conditionalFormatting>
  <conditionalFormatting sqref="I78:S78 U78">
    <cfRule type="expression" dxfId="35" priority="28">
      <formula>(DATA_OTHER_FHLB_GRANT_FLAG&lt;&gt;TRUE)</formula>
    </cfRule>
  </conditionalFormatting>
  <conditionalFormatting sqref="I85:T87">
    <cfRule type="expression" dxfId="34" priority="26">
      <formula>OR(DATA_OTHER_NON_FHLB_GRANT_FLAG&lt;&gt;TRUE,$I84="",$T84=0)</formula>
    </cfRule>
  </conditionalFormatting>
  <conditionalFormatting sqref="I54:W59">
    <cfRule type="expression" dxfId="33" priority="18">
      <formula>NOT(DATA_EXPLANATION_OF_AFFORDABILITY_REQ_FLAG)</formula>
    </cfRule>
  </conditionalFormatting>
  <conditionalFormatting sqref="I42:X42">
    <cfRule type="expression" dxfId="32" priority="22">
      <formula>$X$42=1</formula>
    </cfRule>
  </conditionalFormatting>
  <conditionalFormatting sqref="I84:X87">
    <cfRule type="expression" dxfId="31" priority="27">
      <formula>(DATA_OTHER_NON_FHLB_GRANT_FLAG&lt;&gt;TRUE)</formula>
    </cfRule>
  </conditionalFormatting>
  <conditionalFormatting sqref="I6:Y6">
    <cfRule type="expression" dxfId="30" priority="78">
      <formula>($B$10=TRUE)</formula>
    </cfRule>
  </conditionalFormatting>
  <conditionalFormatting sqref="L29">
    <cfRule type="iconSet" priority="64">
      <iconSet iconSet="3Symbols" showValue="0">
        <cfvo type="percent" val="0"/>
        <cfvo type="num" val="0" gte="0"/>
        <cfvo type="num" val="2"/>
      </iconSet>
    </cfRule>
    <cfRule type="iconSet" priority="63">
      <iconSet iconSet="3Symbols" showValue="0">
        <cfvo type="percent" val="0"/>
        <cfvo type="num" val="0" gte="0"/>
        <cfvo type="num" val="2"/>
      </iconSet>
    </cfRule>
  </conditionalFormatting>
  <conditionalFormatting sqref="L45">
    <cfRule type="iconSet" priority="59">
      <iconSet iconSet="3Symbols" showValue="0">
        <cfvo type="percent" val="0"/>
        <cfvo type="num" val="0" gte="0"/>
        <cfvo type="num" val="2"/>
      </iconSet>
    </cfRule>
    <cfRule type="iconSet" priority="58">
      <iconSet iconSet="3Symbols" showValue="0">
        <cfvo type="percent" val="0"/>
        <cfvo type="num" val="0" gte="0"/>
        <cfvo type="num" val="2"/>
      </iconSet>
    </cfRule>
  </conditionalFormatting>
  <conditionalFormatting sqref="L46">
    <cfRule type="iconSet" priority="1">
      <iconSet iconSet="3Symbols" showValue="0">
        <cfvo type="percent" val="0"/>
        <cfvo type="num" val="0" gte="0"/>
        <cfvo type="num" val="2"/>
      </iconSet>
    </cfRule>
  </conditionalFormatting>
  <conditionalFormatting sqref="L47">
    <cfRule type="iconSet" priority="3">
      <iconSet iconSet="3Symbols" showValue="0">
        <cfvo type="percent" val="0"/>
        <cfvo type="num" val="0" gte="0"/>
        <cfvo type="num" val="2"/>
      </iconSet>
    </cfRule>
  </conditionalFormatting>
  <conditionalFormatting sqref="L68">
    <cfRule type="iconSet" priority="46">
      <iconSet iconSet="3Symbols" showValue="0">
        <cfvo type="percent" val="0"/>
        <cfvo type="num" val="0" gte="0"/>
        <cfvo type="num" val="2"/>
      </iconSet>
    </cfRule>
  </conditionalFormatting>
  <conditionalFormatting sqref="L69">
    <cfRule type="iconSet" priority="44">
      <iconSet iconSet="3Symbols" showValue="0">
        <cfvo type="percent" val="0"/>
        <cfvo type="num" val="0" gte="0"/>
        <cfvo type="num" val="2"/>
      </iconSet>
    </cfRule>
  </conditionalFormatting>
  <conditionalFormatting sqref="N17:N19 V17:V18">
    <cfRule type="iconSet" priority="84">
      <iconSet iconSet="3Flags">
        <cfvo type="percent" val="0"/>
        <cfvo type="num" val="0" gte="0"/>
        <cfvo type="num" val="1000" gte="0"/>
      </iconSet>
    </cfRule>
  </conditionalFormatting>
  <conditionalFormatting sqref="N25">
    <cfRule type="iconSet" priority="85">
      <iconSet iconSet="3Symbols" showValue="0">
        <cfvo type="percent" val="0"/>
        <cfvo type="num" val="0" gte="0"/>
        <cfvo type="num" val="2"/>
      </iconSet>
    </cfRule>
  </conditionalFormatting>
  <conditionalFormatting sqref="N115">
    <cfRule type="iconSet" priority="15">
      <iconSet iconSet="3Symbols" showValue="0">
        <cfvo type="percent" val="0"/>
        <cfvo type="num" val="0" gte="0"/>
        <cfvo type="num" val="2"/>
      </iconSet>
    </cfRule>
  </conditionalFormatting>
  <conditionalFormatting sqref="O52">
    <cfRule type="notContainsBlanks" dxfId="29" priority="4">
      <formula>LEN(TRIM(O52))&gt;0</formula>
    </cfRule>
  </conditionalFormatting>
  <conditionalFormatting sqref="O17:P19">
    <cfRule type="expression" dxfId="28" priority="80">
      <formula>($P17=2)</formula>
    </cfRule>
    <cfRule type="expression" dxfId="27" priority="79">
      <formula>($P17=0)</formula>
    </cfRule>
  </conditionalFormatting>
  <conditionalFormatting sqref="P17:P19">
    <cfRule type="iconSet" priority="83">
      <iconSet iconSet="3Symbols2" showValue="0">
        <cfvo type="percent" val="0"/>
        <cfvo type="num" val="0" gte="0"/>
        <cfvo type="num" val="1" gte="0"/>
      </iconSet>
    </cfRule>
  </conditionalFormatting>
  <conditionalFormatting sqref="P42 T42 V42">
    <cfRule type="iconSet" priority="68">
      <iconSet iconSet="3Symbols" showValue="0">
        <cfvo type="percent" val="0"/>
        <cfvo type="num" val="0" gte="0"/>
        <cfvo type="num" val="2"/>
      </iconSet>
    </cfRule>
  </conditionalFormatting>
  <conditionalFormatting sqref="P44">
    <cfRule type="iconSet" priority="67">
      <iconSet iconSet="3Symbols" showValue="0">
        <cfvo type="percent" val="0"/>
        <cfvo type="num" val="0" gte="0"/>
        <cfvo type="num" val="2"/>
      </iconSet>
    </cfRule>
  </conditionalFormatting>
  <conditionalFormatting sqref="P45">
    <cfRule type="iconSet" priority="57">
      <iconSet iconSet="3Symbols" showValue="0">
        <cfvo type="percent" val="0"/>
        <cfvo type="num" val="0" gte="0"/>
        <cfvo type="num" val="2"/>
      </iconSet>
    </cfRule>
  </conditionalFormatting>
  <conditionalFormatting sqref="P47">
    <cfRule type="iconSet" priority="2">
      <iconSet iconSet="3Symbols" showValue="0">
        <cfvo type="percent" val="0"/>
        <cfvo type="num" val="0" gte="0"/>
        <cfvo type="num" val="2"/>
      </iconSet>
    </cfRule>
  </conditionalFormatting>
  <conditionalFormatting sqref="P64 T64 V64">
    <cfRule type="iconSet" priority="48">
      <iconSet iconSet="3Symbols" showValue="0">
        <cfvo type="percent" val="0"/>
        <cfvo type="num" val="0" gte="0"/>
        <cfvo type="num" val="2"/>
      </iconSet>
    </cfRule>
  </conditionalFormatting>
  <conditionalFormatting sqref="Q35">
    <cfRule type="notContainsBlanks" dxfId="26" priority="24">
      <formula>LEN(TRIM(Q35))&gt;0</formula>
    </cfRule>
  </conditionalFormatting>
  <conditionalFormatting sqref="R13 N13 J13">
    <cfRule type="iconSet" priority="81">
      <iconSet iconSet="3Symbols" showValue="0">
        <cfvo type="percent" val="0"/>
        <cfvo type="num" val="0" gte="0"/>
        <cfvo type="num" val="2"/>
      </iconSet>
    </cfRule>
  </conditionalFormatting>
  <conditionalFormatting sqref="R29">
    <cfRule type="iconSet" priority="61">
      <iconSet iconSet="3Symbols" showValue="0">
        <cfvo type="percent" val="0"/>
        <cfvo type="num" val="0" gte="0"/>
        <cfvo type="num" val="2"/>
      </iconSet>
    </cfRule>
  </conditionalFormatting>
  <conditionalFormatting sqref="R45">
    <cfRule type="iconSet" priority="56">
      <iconSet iconSet="3Symbols" showValue="0">
        <cfvo type="percent" val="0"/>
        <cfvo type="num" val="0" gte="0"/>
        <cfvo type="num" val="2"/>
      </iconSet>
    </cfRule>
  </conditionalFormatting>
  <conditionalFormatting sqref="R69">
    <cfRule type="iconSet" priority="43">
      <iconSet iconSet="3Symbols" showValue="0">
        <cfvo type="percent" val="0"/>
        <cfvo type="num" val="0" gte="0"/>
        <cfvo type="num" val="2"/>
      </iconSet>
    </cfRule>
  </conditionalFormatting>
  <conditionalFormatting sqref="R117 X117 N115">
    <cfRule type="iconSet" priority="16">
      <iconSet iconSet="3Symbols" showValue="0">
        <cfvo type="percent" val="0"/>
        <cfvo type="num" val="0" gte="0"/>
        <cfvo type="num" val="2"/>
      </iconSet>
    </cfRule>
  </conditionalFormatting>
  <conditionalFormatting sqref="R117">
    <cfRule type="iconSet" priority="17">
      <iconSet iconSet="3Symbols" showValue="0">
        <cfvo type="percent" val="0"/>
        <cfvo type="num" val="0" gte="0"/>
        <cfvo type="num" val="2"/>
      </iconSet>
    </cfRule>
  </conditionalFormatting>
  <conditionalFormatting sqref="S3">
    <cfRule type="dataBar" priority="82">
      <dataBar>
        <cfvo type="num" val="0"/>
        <cfvo type="num" val="1"/>
        <color theme="6" tint="-0.249977111117893"/>
      </dataBar>
      <extLst>
        <ext xmlns:x14="http://schemas.microsoft.com/office/spreadsheetml/2009/9/main" uri="{B025F937-C7B1-47D3-B67F-A62EFF666E3E}">
          <x14:id>{C75B3B70-D436-4952-8CE1-FFB113AEA48C}</x14:id>
        </ext>
      </extLst>
    </cfRule>
  </conditionalFormatting>
  <conditionalFormatting sqref="T3">
    <cfRule type="iconSet" priority="73">
      <iconSet iconSet="3Symbols2" showValue="0">
        <cfvo type="percent" val="0"/>
        <cfvo type="num" val="0" gte="0"/>
        <cfvo type="num" val="1" gte="0"/>
      </iconSet>
    </cfRule>
  </conditionalFormatting>
  <conditionalFormatting sqref="T44">
    <cfRule type="iconSet" priority="66">
      <iconSet iconSet="3Symbols" showValue="0">
        <cfvo type="percent" val="0"/>
        <cfvo type="num" val="0" gte="0"/>
        <cfvo type="num" val="2"/>
      </iconSet>
    </cfRule>
  </conditionalFormatting>
  <conditionalFormatting sqref="T45">
    <cfRule type="iconSet" priority="54">
      <iconSet iconSet="3Symbols" showValue="0">
        <cfvo type="percent" val="0"/>
        <cfvo type="num" val="0" gte="0"/>
        <cfvo type="num" val="2"/>
      </iconSet>
    </cfRule>
  </conditionalFormatting>
  <conditionalFormatting sqref="T78">
    <cfRule type="iconSet" priority="38">
      <iconSet iconSet="3Symbols" showValue="0">
        <cfvo type="percent" val="0"/>
        <cfvo type="num" val="0" gte="0"/>
        <cfvo type="num" val="2"/>
      </iconSet>
    </cfRule>
  </conditionalFormatting>
  <conditionalFormatting sqref="T84">
    <cfRule type="iconSet" priority="36">
      <iconSet iconSet="3Symbols" showValue="0">
        <cfvo type="percent" val="0"/>
        <cfvo type="num" val="0" gte="0"/>
        <cfvo type="num" val="2"/>
      </iconSet>
    </cfRule>
  </conditionalFormatting>
  <conditionalFormatting sqref="T85">
    <cfRule type="iconSet" priority="34">
      <iconSet iconSet="3Symbols" showValue="0">
        <cfvo type="percent" val="0"/>
        <cfvo type="num" val="0" gte="0"/>
        <cfvo type="num" val="2"/>
      </iconSet>
    </cfRule>
  </conditionalFormatting>
  <conditionalFormatting sqref="T86">
    <cfRule type="iconSet" priority="32">
      <iconSet iconSet="3Symbols" showValue="0">
        <cfvo type="percent" val="0"/>
        <cfvo type="num" val="0" gte="0"/>
        <cfvo type="num" val="2"/>
      </iconSet>
    </cfRule>
  </conditionalFormatting>
  <conditionalFormatting sqref="T87">
    <cfRule type="iconSet" priority="30">
      <iconSet iconSet="3Symbols" showValue="0">
        <cfvo type="percent" val="0"/>
        <cfvo type="num" val="0" gte="0"/>
        <cfvo type="num" val="2"/>
      </iconSet>
    </cfRule>
  </conditionalFormatting>
  <conditionalFormatting sqref="T115">
    <cfRule type="iconSet" priority="12">
      <iconSet iconSet="3Symbols" showValue="0">
        <cfvo type="percent" val="0"/>
        <cfvo type="num" val="0" gte="0"/>
        <cfvo type="num" val="2"/>
      </iconSet>
    </cfRule>
    <cfRule type="iconSet" priority="11">
      <iconSet iconSet="3Symbols" showValue="0">
        <cfvo type="percent" val="0"/>
        <cfvo type="num" val="0" gte="0"/>
        <cfvo type="num" val="2"/>
      </iconSet>
    </cfRule>
  </conditionalFormatting>
  <conditionalFormatting sqref="U62:W62">
    <cfRule type="expression" dxfId="25" priority="21">
      <formula>$C$86=1</formula>
    </cfRule>
  </conditionalFormatting>
  <conditionalFormatting sqref="U85:X87">
    <cfRule type="expression" dxfId="24" priority="25">
      <formula>OR(DATA_OTHER_NON_FHLB_GRANT_FLAG&lt;&gt;TRUE,$I85="",$T85=0)</formula>
    </cfRule>
  </conditionalFormatting>
  <conditionalFormatting sqref="V19">
    <cfRule type="iconSet" priority="8">
      <iconSet iconSet="3Flags">
        <cfvo type="percent" val="0"/>
        <cfvo type="num" val="0" gte="0"/>
        <cfvo type="num" val="1000" gte="0"/>
      </iconSet>
    </cfRule>
  </conditionalFormatting>
  <conditionalFormatting sqref="V68">
    <cfRule type="iconSet" priority="45">
      <iconSet iconSet="3Symbols" showValue="0">
        <cfvo type="percent" val="0"/>
        <cfvo type="num" val="0" gte="0"/>
        <cfvo type="num" val="2"/>
      </iconSet>
    </cfRule>
  </conditionalFormatting>
  <conditionalFormatting sqref="W49:W51">
    <cfRule type="expression" dxfId="23" priority="20">
      <formula>$C87=1</formula>
    </cfRule>
  </conditionalFormatting>
  <conditionalFormatting sqref="W17:X19">
    <cfRule type="expression" dxfId="22" priority="5">
      <formula>($X17=0)</formula>
    </cfRule>
    <cfRule type="expression" dxfId="21" priority="6">
      <formula>($X17=2)</formula>
    </cfRule>
  </conditionalFormatting>
  <conditionalFormatting sqref="X17">
    <cfRule type="iconSet" priority="75">
      <iconSet iconSet="3Symbols2" showValue="0">
        <cfvo type="percent" val="0"/>
        <cfvo type="num" val="0" gte="0"/>
        <cfvo type="num" val="1" gte="0"/>
      </iconSet>
    </cfRule>
  </conditionalFormatting>
  <conditionalFormatting sqref="X18">
    <cfRule type="iconSet" priority="74">
      <iconSet iconSet="3Symbols2" showValue="0">
        <cfvo type="percent" val="0"/>
        <cfvo type="num" val="0" gte="0"/>
        <cfvo type="num" val="1" gte="0"/>
      </iconSet>
    </cfRule>
  </conditionalFormatting>
  <conditionalFormatting sqref="X19">
    <cfRule type="iconSet" priority="7">
      <iconSet iconSet="3Symbols2" showValue="0">
        <cfvo type="percent" val="0"/>
        <cfvo type="num" val="0" gte="0"/>
        <cfvo type="num" val="1" gte="0"/>
      </iconSet>
    </cfRule>
  </conditionalFormatting>
  <conditionalFormatting sqref="X24">
    <cfRule type="iconSet" priority="86">
      <iconSet iconSet="3Symbols" showValue="0">
        <cfvo type="percent" val="0"/>
        <cfvo type="num" val="0" gte="0"/>
        <cfvo type="num" val="2"/>
      </iconSet>
    </cfRule>
  </conditionalFormatting>
  <conditionalFormatting sqref="X25">
    <cfRule type="iconSet" priority="87">
      <iconSet iconSet="3Symbols" showValue="0">
        <cfvo type="percent" val="0"/>
        <cfvo type="num" val="0" gte="0"/>
        <cfvo type="num" val="2"/>
      </iconSet>
    </cfRule>
  </conditionalFormatting>
  <conditionalFormatting sqref="X29 R29">
    <cfRule type="iconSet" priority="62">
      <iconSet iconSet="3Symbols" showValue="0">
        <cfvo type="percent" val="0"/>
        <cfvo type="num" val="0" gte="0"/>
        <cfvo type="num" val="2"/>
      </iconSet>
    </cfRule>
  </conditionalFormatting>
  <conditionalFormatting sqref="X29">
    <cfRule type="iconSet" priority="60">
      <iconSet iconSet="3Symbols" showValue="0">
        <cfvo type="percent" val="0"/>
        <cfvo type="num" val="0" gte="0"/>
        <cfvo type="num" val="2"/>
      </iconSet>
    </cfRule>
  </conditionalFormatting>
  <conditionalFormatting sqref="X34">
    <cfRule type="iconSet" priority="72">
      <iconSet iconSet="3Symbols" showValue="0">
        <cfvo type="percent" val="0"/>
        <cfvo type="num" val="0" gte="0"/>
        <cfvo type="num" val="2"/>
      </iconSet>
    </cfRule>
  </conditionalFormatting>
  <conditionalFormatting sqref="X36">
    <cfRule type="iconSet" priority="69">
      <iconSet iconSet="3Symbols" showValue="0">
        <cfvo type="percent" val="0"/>
        <cfvo type="num" val="0" gte="0"/>
        <cfvo type="num" val="2"/>
      </iconSet>
    </cfRule>
  </conditionalFormatting>
  <conditionalFormatting sqref="X42">
    <cfRule type="iconSet" priority="23">
      <iconSet iconSet="3Flags" showValue="0">
        <cfvo type="percent" val="0"/>
        <cfvo type="num" val="1"/>
        <cfvo type="num" val="2" gte="0"/>
      </iconSet>
    </cfRule>
  </conditionalFormatting>
  <conditionalFormatting sqref="X44">
    <cfRule type="iconSet" priority="65">
      <iconSet iconSet="3Symbols" showValue="0">
        <cfvo type="percent" val="0"/>
        <cfvo type="num" val="0" gte="0"/>
        <cfvo type="num" val="2"/>
      </iconSet>
    </cfRule>
  </conditionalFormatting>
  <conditionalFormatting sqref="X45">
    <cfRule type="iconSet" priority="55">
      <iconSet iconSet="3Symbols" showValue="0">
        <cfvo type="percent" val="0"/>
        <cfvo type="num" val="0" gte="0"/>
        <cfvo type="num" val="2"/>
      </iconSet>
    </cfRule>
  </conditionalFormatting>
  <conditionalFormatting sqref="X49">
    <cfRule type="iconSet" priority="53">
      <iconSet iconSet="3Symbols" showValue="0">
        <cfvo type="percent" val="0"/>
        <cfvo type="num" val="0" gte="0"/>
        <cfvo type="num" val="2"/>
      </iconSet>
    </cfRule>
  </conditionalFormatting>
  <conditionalFormatting sqref="X50">
    <cfRule type="iconSet" priority="52">
      <iconSet iconSet="3Symbols" showValue="0">
        <cfvo type="percent" val="0"/>
        <cfvo type="num" val="0" gte="0"/>
        <cfvo type="num" val="2"/>
      </iconSet>
    </cfRule>
  </conditionalFormatting>
  <conditionalFormatting sqref="X51:X52">
    <cfRule type="iconSet" priority="51">
      <iconSet iconSet="3Symbols" showValue="0">
        <cfvo type="percent" val="0"/>
        <cfvo type="num" val="0" gte="0"/>
        <cfvo type="num" val="2"/>
      </iconSet>
    </cfRule>
  </conditionalFormatting>
  <conditionalFormatting sqref="X54">
    <cfRule type="iconSet" priority="19">
      <iconSet iconSet="3Symbols" showValue="0">
        <cfvo type="percent" val="0"/>
        <cfvo type="num" val="0" gte="0"/>
        <cfvo type="num" val="2"/>
      </iconSet>
    </cfRule>
  </conditionalFormatting>
  <conditionalFormatting sqref="X61">
    <cfRule type="iconSet" priority="50">
      <iconSet iconSet="3Symbols" showValue="0">
        <cfvo type="percent" val="0"/>
        <cfvo type="num" val="0" gte="0"/>
        <cfvo type="num" val="2"/>
      </iconSet>
    </cfRule>
  </conditionalFormatting>
  <conditionalFormatting sqref="X62">
    <cfRule type="iconSet" priority="49">
      <iconSet iconSet="3Symbols" showValue="0">
        <cfvo type="percent" val="0"/>
        <cfvo type="num" val="0" gte="0"/>
        <cfvo type="num" val="2"/>
      </iconSet>
    </cfRule>
  </conditionalFormatting>
  <conditionalFormatting sqref="X66">
    <cfRule type="iconSet" priority="47">
      <iconSet iconSet="3Symbols" showValue="0">
        <cfvo type="percent" val="0"/>
        <cfvo type="num" val="0" gte="0"/>
        <cfvo type="num" val="2"/>
      </iconSet>
    </cfRule>
  </conditionalFormatting>
  <conditionalFormatting sqref="X69">
    <cfRule type="iconSet" priority="42">
      <iconSet iconSet="3Symbols" showValue="0">
        <cfvo type="percent" val="0"/>
        <cfvo type="num" val="0" gte="0"/>
        <cfvo type="num" val="2"/>
      </iconSet>
    </cfRule>
  </conditionalFormatting>
  <conditionalFormatting sqref="X74">
    <cfRule type="iconSet" priority="39">
      <iconSet iconSet="3Symbols" showValue="0">
        <cfvo type="percent" val="0"/>
        <cfvo type="num" val="0" gte="0"/>
        <cfvo type="num" val="2"/>
      </iconSet>
    </cfRule>
  </conditionalFormatting>
  <conditionalFormatting sqref="X78">
    <cfRule type="iconSet" priority="37">
      <iconSet iconSet="3Symbols" showValue="0">
        <cfvo type="percent" val="0"/>
        <cfvo type="num" val="0" gte="0"/>
        <cfvo type="num" val="2"/>
      </iconSet>
    </cfRule>
  </conditionalFormatting>
  <conditionalFormatting sqref="X81">
    <cfRule type="iconSet" priority="40">
      <iconSet iconSet="3Symbols" showValue="0">
        <cfvo type="percent" val="0"/>
        <cfvo type="num" val="0" gte="0"/>
        <cfvo type="num" val="2"/>
      </iconSet>
    </cfRule>
  </conditionalFormatting>
  <conditionalFormatting sqref="X84">
    <cfRule type="iconSet" priority="35">
      <iconSet iconSet="3Symbols" showValue="0">
        <cfvo type="percent" val="0"/>
        <cfvo type="num" val="0" gte="0"/>
        <cfvo type="num" val="2"/>
      </iconSet>
    </cfRule>
  </conditionalFormatting>
  <conditionalFormatting sqref="X85">
    <cfRule type="iconSet" priority="33">
      <iconSet iconSet="3Symbols" showValue="0">
        <cfvo type="percent" val="0"/>
        <cfvo type="num" val="0" gte="0"/>
        <cfvo type="num" val="2"/>
      </iconSet>
    </cfRule>
  </conditionalFormatting>
  <conditionalFormatting sqref="X86">
    <cfRule type="iconSet" priority="31">
      <iconSet iconSet="3Symbols" showValue="0">
        <cfvo type="percent" val="0"/>
        <cfvo type="num" val="0" gte="0"/>
        <cfvo type="num" val="2"/>
      </iconSet>
    </cfRule>
  </conditionalFormatting>
  <conditionalFormatting sqref="X87">
    <cfRule type="iconSet" priority="29">
      <iconSet iconSet="3Symbols" showValue="0">
        <cfvo type="percent" val="0"/>
        <cfvo type="num" val="0" gte="0"/>
        <cfvo type="num" val="2"/>
      </iconSet>
    </cfRule>
  </conditionalFormatting>
  <conditionalFormatting sqref="X115">
    <cfRule type="iconSet" priority="10">
      <iconSet iconSet="3Symbols" showValue="0">
        <cfvo type="percent" val="0"/>
        <cfvo type="num" val="0" gte="0"/>
        <cfvo type="num" val="2"/>
      </iconSet>
    </cfRule>
    <cfRule type="iconSet" priority="9">
      <iconSet iconSet="3Symbols" showValue="0">
        <cfvo type="percent" val="0"/>
        <cfvo type="num" val="0" gte="0"/>
        <cfvo type="num" val="2"/>
      </iconSet>
    </cfRule>
  </conditionalFormatting>
  <conditionalFormatting sqref="X117">
    <cfRule type="iconSet" priority="14">
      <iconSet iconSet="3Symbols" showValue="0">
        <cfvo type="percent" val="0"/>
        <cfvo type="num" val="0" gte="0"/>
        <cfvo type="num" val="2"/>
      </iconSet>
    </cfRule>
  </conditionalFormatting>
  <dataValidations count="32">
    <dataValidation type="decimal" allowBlank="1" showInputMessage="1" showErrorMessage="1" sqref="U85:W85 W50:W51" xr:uid="{CDDA34E2-951F-48FA-B811-B345B890ADFE}">
      <formula1>$E62</formula1>
      <formula2>$F62</formula2>
    </dataValidation>
    <dataValidation type="date" operator="greaterThanOrEqual" allowBlank="1" showInputMessage="1" showErrorMessage="1" sqref="I45:K45" xr:uid="{79B9FE31-A03A-465F-A6FC-EC12AA1527EB}">
      <formula1>43101</formula1>
    </dataValidation>
    <dataValidation type="custom" showInputMessage="1" showErrorMessage="1" errorTitle="No Data Entry" error="Field is Read-Only" sqref="H15" xr:uid="{DED4583A-AC09-4767-A742-3113A4F1990E}">
      <formula1>"&lt;0&gt;0"</formula1>
    </dataValidation>
    <dataValidation type="list" allowBlank="1" showInputMessage="1" showErrorMessage="1" error="Select 'Yes' or 'No'" sqref="W36 W66 W81 W74" xr:uid="{822EB4CE-3E1A-46EE-94E6-F641B9357502}">
      <formula1>RANGE_LOOKUP_YESNO</formula1>
    </dataValidation>
    <dataValidation type="textLength" allowBlank="1" showInputMessage="1" showErrorMessage="1" error="Maximum Number of Characters Exceeded" sqref="I24" xr:uid="{B2D643A7-CC9C-4FBA-8A9F-588FFA7313FE}">
      <formula1>E19</formula1>
      <formula2>F19</formula2>
    </dataValidation>
    <dataValidation type="list" allowBlank="1" showInputMessage="1" showErrorMessage="1" error="Invalid Mortgage Type Selected" sqref="U45" xr:uid="{C25EA2A9-9B48-465F-9282-962FACE7EEA3}">
      <formula1>RANGE_LOOKUP_MTG_TYPE</formula1>
    </dataValidation>
    <dataValidation type="decimal" allowBlank="1" showInputMessage="1" showErrorMessage="1" sqref="M45:O45" xr:uid="{D6BCA052-CEF7-4152-B040-1F6575C0A34A}">
      <formula1>$E70</formula1>
      <formula2>$F70</formula2>
    </dataValidation>
    <dataValidation type="decimal" allowBlank="1" showInputMessage="1" showErrorMessage="1" sqref="Q45 U78:W78" xr:uid="{A3736C7D-990F-4050-A332-AF843003392F}">
      <formula1>$E71</formula1>
      <formula2>$F71</formula2>
    </dataValidation>
    <dataValidation type="whole" allowBlank="1" showInputMessage="1" showErrorMessage="1" sqref="S45" xr:uid="{BC137209-D908-4242-A5A0-3B57D217990A}">
      <formula1>$E72</formula1>
      <formula2>$F72</formula2>
    </dataValidation>
    <dataValidation type="decimal" allowBlank="1" showInputMessage="1" showErrorMessage="1" sqref="U61:W61" xr:uid="{61A2A82F-0CFC-44D3-86C2-9574B7BCB21C}">
      <formula1>$E69</formula1>
      <formula2>$F69</formula2>
    </dataValidation>
    <dataValidation type="whole" allowBlank="1" showInputMessage="1" showErrorMessage="1" sqref="U69:W69" xr:uid="{78F7E42A-03BD-4617-82D3-9E7BF6A37E52}">
      <formula1>$E77</formula1>
      <formula2>$F77</formula2>
    </dataValidation>
    <dataValidation type="textLength" allowBlank="1" showInputMessage="1" showErrorMessage="1" sqref="I84:S84" xr:uid="{3F8AA8E0-9DAF-4E02-9FFF-9046540B4FD2}">
      <formula1>$E94</formula1>
      <formula2>$F94</formula2>
    </dataValidation>
    <dataValidation type="textLength" allowBlank="1" showInputMessage="1" showErrorMessage="1" sqref="I85:S85" xr:uid="{30A48C19-2DA0-4FA4-A485-D6F20B4741BE}">
      <formula1>$E96</formula1>
      <formula2>$F96</formula2>
    </dataValidation>
    <dataValidation type="textLength" allowBlank="1" showInputMessage="1" showErrorMessage="1" sqref="I86:S86" xr:uid="{27289A47-1CA9-47E4-80B1-0B791AEA7C27}">
      <formula1>$E98</formula1>
      <formula2>$F98</formula2>
    </dataValidation>
    <dataValidation type="textLength" allowBlank="1" showInputMessage="1" showErrorMessage="1" sqref="I87:S87" xr:uid="{68EAABEE-A526-4D26-8D9C-7D7F09F2A21F}">
      <formula1>$E100</formula1>
      <formula2>$F100</formula2>
    </dataValidation>
    <dataValidation type="textLength" allowBlank="1" showInputMessage="1" showErrorMessage="1" error="Maximum Number of Characters Exceeded" sqref="I78:S78" xr:uid="{1C1A3AC7-7C83-4445-9214-D94165F32034}">
      <formula1>$E103</formula1>
      <formula2>$F103</formula2>
    </dataValidation>
    <dataValidation type="decimal" allowBlank="1" showInputMessage="1" showErrorMessage="1" sqref="U86:W86" xr:uid="{2455BC62-59E6-4DE5-B688-AEEFE1B0D1AA}">
      <formula1>$E99</formula1>
      <formula2>$F99</formula2>
    </dataValidation>
    <dataValidation type="decimal" allowBlank="1" showInputMessage="1" showErrorMessage="1" sqref="U84:W84" xr:uid="{5A933E09-9B05-4FD6-B33B-BE6A02668450}">
      <formula1>$E95</formula1>
      <formula2>$F95</formula2>
    </dataValidation>
    <dataValidation type="decimal" allowBlank="1" showInputMessage="1" showErrorMessage="1" sqref="O69:Q69" xr:uid="{AE0252E6-932E-4CA1-91B2-C324EA432B56}">
      <formula1>$E76</formula1>
      <formula2>$F76</formula2>
    </dataValidation>
    <dataValidation type="decimal" allowBlank="1" showInputMessage="1" showErrorMessage="1" sqref="U62:W62 I69:K69" xr:uid="{8C090605-1AED-4541-A24D-80485E916D5A}">
      <formula1>$E68</formula1>
      <formula2>$F68</formula2>
    </dataValidation>
    <dataValidation type="date" operator="greaterThanOrEqual" allowBlank="1" showErrorMessage="1" sqref="U115:W115" xr:uid="{19B5B96E-CF7B-4053-BAEB-A333BF127203}">
      <formula1>43466</formula1>
    </dataValidation>
    <dataValidation type="whole" allowBlank="1" showInputMessage="1" showErrorMessage="1" error="Invalid Household ID Entered" sqref="I29:K29" xr:uid="{9BCC3539-2D88-457F-BB67-12F73426FF9C}">
      <formula1>E32</formula1>
      <formula2>F32</formula2>
    </dataValidation>
    <dataValidation type="textLength" allowBlank="1" showInputMessage="1" showErrorMessage="1" error="Maximum Number of Characters Exceeded" sqref="M29:Q29" xr:uid="{FD36117A-C8B0-42F0-902F-6D76B2126145}">
      <formula1>E33</formula1>
      <formula2>F33</formula2>
    </dataValidation>
    <dataValidation type="textLength" allowBlank="1" showInputMessage="1" showErrorMessage="1" error="Maximum Number of Characters Exceeded" sqref="S29:W29" xr:uid="{54B67DD2-DA7C-4569-BAD1-D54907BAC5B9}">
      <formula1>E34</formula1>
      <formula2>F34</formula2>
    </dataValidation>
    <dataValidation type="decimal" allowBlank="1" showInputMessage="1" showErrorMessage="1" error="Invalid Grant Amount Requested" sqref="U34:W34" xr:uid="{B79E794C-960B-4F52-8AF6-F93EB8F6C7A9}">
      <formula1>E46</formula1>
      <formula2>F46</formula2>
    </dataValidation>
    <dataValidation type="decimal" allowBlank="1" showInputMessage="1" showErrorMessage="1" sqref="U87:W87" xr:uid="{DF8C4F77-5209-462C-B4EF-76AD3BFB51FC}">
      <formula1>$E101</formula1>
      <formula2>$F101</formula2>
    </dataValidation>
    <dataValidation type="textLength" allowBlank="1" showInputMessage="1" showErrorMessage="1" error="Invalid Phone Number Entered" sqref="S117:W117" xr:uid="{DFD8ADAF-454C-4E1E-A98B-F109B30D3D62}">
      <formula1>E120</formula1>
      <formula2>F120</formula2>
    </dataValidation>
    <dataValidation type="textLength" allowBlank="1" showInputMessage="1" showErrorMessage="1" error="Maximum Number of Characters Exceeded" sqref="O115:S115" xr:uid="{900014C9-FA37-42B7-9E28-0532817E45C8}">
      <formula1>E117</formula1>
      <formula2>F117</formula2>
    </dataValidation>
    <dataValidation type="textLength" allowBlank="1" showInputMessage="1" showErrorMessage="1" error="Maximum Number of Characters Exceeded" sqref="I117:Q117" xr:uid="{7F317DA8-576B-4E3A-B495-61B157A91893}">
      <formula1>E119</formula1>
      <formula2>F119</formula2>
    </dataValidation>
    <dataValidation type="textLength" allowBlank="1" showInputMessage="1" showErrorMessage="1" error="Maximum Number of Characters Exceeded" sqref="I115:M115" xr:uid="{2F27122A-D2C0-485E-923B-7554E699F336}">
      <formula1>E116</formula1>
      <formula2>F116</formula2>
    </dataValidation>
    <dataValidation type="decimal" allowBlank="1" showInputMessage="1" showErrorMessage="1" sqref="I47:K47" xr:uid="{E4EEDF67-1F36-490F-9740-749F9D1C3453}">
      <formula1>E65</formula1>
      <formula2>F65</formula2>
    </dataValidation>
    <dataValidation type="decimal" allowBlank="1" showInputMessage="1" showErrorMessage="1" sqref="M47:O47" xr:uid="{7B7963AE-0AED-4CD6-A88D-F1FC0A0D0DF8}">
      <formula1>E66</formula1>
      <formula2>F66</formula2>
    </dataValidation>
  </dataValidations>
  <pageMargins left="0.25" right="0.25" top="0.5" bottom="0.5" header="0.3" footer="0.3"/>
  <pageSetup scale="90" fitToHeight="0" orientation="portrait" r:id="rId1"/>
  <headerFooter>
    <oddFooter>&amp;R&amp;8&amp;P of &amp;N</oddFooter>
  </headerFooter>
  <rowBreaks count="3" manualBreakCount="3">
    <brk id="30" min="7" max="24" man="1"/>
    <brk id="63" min="7" max="24" man="1"/>
    <brk id="88" min="7" max="24" man="1"/>
  </rowBreaks>
  <drawing r:id="rId2"/>
  <extLst>
    <ext xmlns:x14="http://schemas.microsoft.com/office/spreadsheetml/2009/9/main" uri="{78C0D931-6437-407d-A8EE-F0AAD7539E65}">
      <x14:conditionalFormattings>
        <x14:conditionalFormatting xmlns:xm="http://schemas.microsoft.com/office/excel/2006/main">
          <x14:cfRule type="dataBar" id="{C75B3B70-D436-4952-8CE1-FFB113AEA48C}">
            <x14:dataBar direction="leftToRight" axisPosition="none">
              <x14:cfvo type="num">
                <xm:f>0</xm:f>
              </x14:cfvo>
              <x14:cfvo type="num">
                <xm:f>1</xm:f>
              </x14:cfvo>
              <x14:negativeFillColor theme="5"/>
            </x14:dataBar>
          </x14:cfRule>
          <xm:sqref>S3</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371</vt:i4>
      </vt:variant>
    </vt:vector>
  </HeadingPairs>
  <TitlesOfParts>
    <vt:vector size="400" baseType="lpstr">
      <vt:lpstr>WELCOME</vt:lpstr>
      <vt:lpstr>RES_2</vt:lpstr>
      <vt:lpstr>DSB_2</vt:lpstr>
      <vt:lpstr>ADL_2</vt:lpstr>
      <vt:lpstr>RES_3</vt:lpstr>
      <vt:lpstr>DSB_3</vt:lpstr>
      <vt:lpstr>ADL_3</vt:lpstr>
      <vt:lpstr>RES_4</vt:lpstr>
      <vt:lpstr>DSB_4</vt:lpstr>
      <vt:lpstr>ADL_4</vt:lpstr>
      <vt:lpstr>ICW</vt:lpstr>
      <vt:lpstr>MFI_NJ_REG</vt:lpstr>
      <vt:lpstr>MFI_NY_REG</vt:lpstr>
      <vt:lpstr>MFI_PR_REG</vt:lpstr>
      <vt:lpstr>MFI_VI_REG</vt:lpstr>
      <vt:lpstr>MFI_OTHER_REG</vt:lpstr>
      <vt:lpstr>MFI_NJ_VOL</vt:lpstr>
      <vt:lpstr>MFI_NY_VOL</vt:lpstr>
      <vt:lpstr>MFI_PR_VOL</vt:lpstr>
      <vt:lpstr>MFI_VI_VOL</vt:lpstr>
      <vt:lpstr>Configuration</vt:lpstr>
      <vt:lpstr>$DB.DATA</vt:lpstr>
      <vt:lpstr>$DB.LOOKUP</vt:lpstr>
      <vt:lpstr>$DB.LOOKUP.ICW</vt:lpstr>
      <vt:lpstr>$DB.CONFIG</vt:lpstr>
      <vt:lpstr>$DB.EXPORT.XREF</vt:lpstr>
      <vt:lpstr>$DB.EXPORT.RES</vt:lpstr>
      <vt:lpstr>$DB.EXPORT.DSB</vt:lpstr>
      <vt:lpstr>$DB.EXPORT.ADL</vt:lpstr>
      <vt:lpstr>AMI_MAX_PCT_NJ_2</vt:lpstr>
      <vt:lpstr>AMI_MAX_PCT_NJ_3</vt:lpstr>
      <vt:lpstr>AMI_MAX_PCT_NJ_4</vt:lpstr>
      <vt:lpstr>AMI_MAX_PCT_NY_2</vt:lpstr>
      <vt:lpstr>AMI_MAX_PCT_NY_3</vt:lpstr>
      <vt:lpstr>AMI_MAX_PCT_NY_4</vt:lpstr>
      <vt:lpstr>AMI_MAX_PCT_OOD_2</vt:lpstr>
      <vt:lpstr>AMI_MAX_PCT_PR_2</vt:lpstr>
      <vt:lpstr>AMI_MAX_PCT_PR_3</vt:lpstr>
      <vt:lpstr>AMI_MAX_PCT_PR_4</vt:lpstr>
      <vt:lpstr>AMI_MAX_PCT_VI_2</vt:lpstr>
      <vt:lpstr>AMI_MAX_PCT_VI_3</vt:lpstr>
      <vt:lpstr>AMI_MAX_PCT_VI_4</vt:lpstr>
      <vt:lpstr>AMI_MIN_PCT_NJ_2</vt:lpstr>
      <vt:lpstr>AMI_MIN_PCT_NJ_3</vt:lpstr>
      <vt:lpstr>AMI_MIN_PCT_NJ_4</vt:lpstr>
      <vt:lpstr>AMI_MIN_PCT_NY_2</vt:lpstr>
      <vt:lpstr>AMI_MIN_PCT_NY_3</vt:lpstr>
      <vt:lpstr>AMI_MIN_PCT_NY_4</vt:lpstr>
      <vt:lpstr>AMI_MIN_PCT_OOD_2</vt:lpstr>
      <vt:lpstr>AMI_MIN_PCT_PR_2</vt:lpstr>
      <vt:lpstr>AMI_MIN_PCT_PR_3</vt:lpstr>
      <vt:lpstr>AMI_MIN_PCT_PR_4</vt:lpstr>
      <vt:lpstr>AMI_MIN_PCT_VI_2</vt:lpstr>
      <vt:lpstr>AMI_MIN_PCT_VI_3</vt:lpstr>
      <vt:lpstr>AMI_MIN_PCT_VI_4</vt:lpstr>
      <vt:lpstr>CONFIG_CHAR_LIMIT_TEMPLATE</vt:lpstr>
      <vt:lpstr>CONFIG_CHAR_LIMIT_TEMPLATE_ERR</vt:lpstr>
      <vt:lpstr>CONFIG_COUNSEL_AMT_MAX</vt:lpstr>
      <vt:lpstr>CONFIG_COUNSEL_DATE_AGE_MAX</vt:lpstr>
      <vt:lpstr>CONFIG_DOC_ID</vt:lpstr>
      <vt:lpstr>CONFIG_DOC_TITLE</vt:lpstr>
      <vt:lpstr>CONFIG_DTI_THRESH_AFFORDABILITY</vt:lpstr>
      <vt:lpstr>CONFIG_EFORM_DOC_ID_NAME</vt:lpstr>
      <vt:lpstr>CONFIG_EFORM_TYPE_CODE</vt:lpstr>
      <vt:lpstr>CONFIG_EFORM_TYPE_NAME</vt:lpstr>
      <vt:lpstr>CONFIG_EFORM_VERSION_NO_MAJ</vt:lpstr>
      <vt:lpstr>CONFIG_EFORM_VERSION_NO_PROG</vt:lpstr>
      <vt:lpstr>CONFIG_EFORM_VERSION_NO_REV</vt:lpstr>
      <vt:lpstr>CONFIG_EFORMN_VERSION_NO</vt:lpstr>
      <vt:lpstr>CONFIG_ENROLL_PERD_DESC</vt:lpstr>
      <vt:lpstr>CONFIG_FHC_PROG_ID</vt:lpstr>
      <vt:lpstr>CONFIG_FHLBNY_PER_HSEHLD_MAX_TOTAL</vt:lpstr>
      <vt:lpstr>CONFIG_GRANT_AMT_MAX</vt:lpstr>
      <vt:lpstr>CONFIG_HOUSEHOLD_ID_CURR</vt:lpstr>
      <vt:lpstr>CONFIG_ICW_ZEROINCOME_DOC_ID</vt:lpstr>
      <vt:lpstr>CONFIG_MAX_DTI_BE_RATIO</vt:lpstr>
      <vt:lpstr>CONFIG_MAX_DTI_FE_RATIO</vt:lpstr>
      <vt:lpstr>CONFIG_MAX_LTV_RATIO</vt:lpstr>
      <vt:lpstr>CONFIG_MFI_PERCENTAGE</vt:lpstr>
      <vt:lpstr>CONFIG_MIN_HOUSEHOLD_CONTRIB_AMT</vt:lpstr>
      <vt:lpstr>CONFIG_MIN_HOUSEHOLD_ID_CURR</vt:lpstr>
      <vt:lpstr>CONFIG_MIN_HOUSEHOLD_ID_LEGACY</vt:lpstr>
      <vt:lpstr>CONFIG_SA_PROGRAM_NAME</vt:lpstr>
      <vt:lpstr>CONFIG_TRADEMARK_ID</vt:lpstr>
      <vt:lpstr>CONFIG_WORKFLOW_START</vt:lpstr>
      <vt:lpstr>COUNSELING_AGENCY_NAME_OTHER</vt:lpstr>
      <vt:lpstr>COUNTY_LIST_ALLUSA</vt:lpstr>
      <vt:lpstr>COUNTY_RANGE_</vt:lpstr>
      <vt:lpstr>COUNTY_RANGE_AK</vt:lpstr>
      <vt:lpstr>COUNTY_RANGE_AL</vt:lpstr>
      <vt:lpstr>COUNTY_RANGE_AR</vt:lpstr>
      <vt:lpstr>COUNTY_RANGE_AS</vt:lpstr>
      <vt:lpstr>COUNTY_RANGE_AZ</vt:lpstr>
      <vt:lpstr>COUNTY_RANGE_CA</vt:lpstr>
      <vt:lpstr>COUNTY_RANGE_CO</vt:lpstr>
      <vt:lpstr>COUNTY_RANGE_CT</vt:lpstr>
      <vt:lpstr>COUNTY_RANGE_DC</vt:lpstr>
      <vt:lpstr>COUNTY_RANGE_DE</vt:lpstr>
      <vt:lpstr>COUNTY_RANGE_FL</vt:lpstr>
      <vt:lpstr>COUNTY_RANGE_GA</vt:lpstr>
      <vt:lpstr>COUNTY_RANGE_GU</vt:lpstr>
      <vt:lpstr>COUNTY_RANGE_HI</vt:lpstr>
      <vt:lpstr>COUNTY_RANGE_IA</vt:lpstr>
      <vt:lpstr>COUNTY_RANGE_ID</vt:lpstr>
      <vt:lpstr>COUNTY_RANGE_IL</vt:lpstr>
      <vt:lpstr>COUNTY_RANGE_IN</vt:lpstr>
      <vt:lpstr>COUNTY_RANGE_KS</vt:lpstr>
      <vt:lpstr>COUNTY_RANGE_KY</vt:lpstr>
      <vt:lpstr>COUNTY_RANGE_LA</vt:lpstr>
      <vt:lpstr>COUNTY_RANGE_MA</vt:lpstr>
      <vt:lpstr>COUNTY_RANGE_MD</vt:lpstr>
      <vt:lpstr>COUNTY_RANGE_ME</vt:lpstr>
      <vt:lpstr>COUNTY_RANGE_MI</vt:lpstr>
      <vt:lpstr>COUNTY_RANGE_MN</vt:lpstr>
      <vt:lpstr>COUNTY_RANGE_MO</vt:lpstr>
      <vt:lpstr>COUNTY_RANGE_MP</vt:lpstr>
      <vt:lpstr>COUNTY_RANGE_MS</vt:lpstr>
      <vt:lpstr>COUNTY_RANGE_MT</vt:lpstr>
      <vt:lpstr>COUNTY_RANGE_NC</vt:lpstr>
      <vt:lpstr>COUNTY_RANGE_ND</vt:lpstr>
      <vt:lpstr>COUNTY_RANGE_NE</vt:lpstr>
      <vt:lpstr>COUNTY_RANGE_NH</vt:lpstr>
      <vt:lpstr>COUNTY_RANGE_NJ</vt:lpstr>
      <vt:lpstr>COUNTY_RANGE_NM</vt:lpstr>
      <vt:lpstr>COUNTY_RANGE_NV</vt:lpstr>
      <vt:lpstr>COUNTY_RANGE_NY</vt:lpstr>
      <vt:lpstr>COUNTY_RANGE_OH</vt:lpstr>
      <vt:lpstr>COUNTY_RANGE_OK</vt:lpstr>
      <vt:lpstr>COUNTY_RANGE_OR</vt:lpstr>
      <vt:lpstr>COUNTY_RANGE_PA</vt:lpstr>
      <vt:lpstr>COUNTY_RANGE_PR</vt:lpstr>
      <vt:lpstr>COUNTY_RANGE_RI</vt:lpstr>
      <vt:lpstr>COUNTY_RANGE_SC</vt:lpstr>
      <vt:lpstr>COUNTY_RANGE_SD</vt:lpstr>
      <vt:lpstr>COUNTY_RANGE_TN</vt:lpstr>
      <vt:lpstr>COUNTY_RANGE_TX</vt:lpstr>
      <vt:lpstr>COUNTY_RANGE_UT</vt:lpstr>
      <vt:lpstr>COUNTY_RANGE_VA</vt:lpstr>
      <vt:lpstr>COUNTY_RANGE_VI</vt:lpstr>
      <vt:lpstr>COUNTY_RANGE_VT</vt:lpstr>
      <vt:lpstr>COUNTY_RANGE_WA</vt:lpstr>
      <vt:lpstr>COUNTY_RANGE_WI</vt:lpstr>
      <vt:lpstr>COUNTY_RANGE_WV</vt:lpstr>
      <vt:lpstr>COUNTY_RANGE_WY</vt:lpstr>
      <vt:lpstr>DATA_ACQUISITION_COST_LTV</vt:lpstr>
      <vt:lpstr>DATA_ADL_DESCRIPTION</vt:lpstr>
      <vt:lpstr>DATA_ADL_ICW_COMPLETION_DATE</vt:lpstr>
      <vt:lpstr>DATA_ADL_ICW_FLAG</vt:lpstr>
      <vt:lpstr>DATA_APP_PROGRESS_ERROR_COUNT</vt:lpstr>
      <vt:lpstr>DATA_APP_PROGRESS_PCT_COMPLETE</vt:lpstr>
      <vt:lpstr>DATA_CNSLNG_COMPLETE_DATE</vt:lpstr>
      <vt:lpstr>DATA_CO_BORW_STARTED_FLAG</vt:lpstr>
      <vt:lpstr>DATA_DISBURSEMENT_DATE</vt:lpstr>
      <vt:lpstr>DATA_EFORM_COMPLETE_FLAG</vt:lpstr>
      <vt:lpstr>DATA_EFORM_SHEET_REF</vt:lpstr>
      <vt:lpstr>DATA_EFORM_TYPE_CODE</vt:lpstr>
      <vt:lpstr>DATA_EXPLANATION_OF_AFFORDABILITY_REQ_FLAG</vt:lpstr>
      <vt:lpstr>DATA_FAMILY_SIZE_NO</vt:lpstr>
      <vt:lpstr>DATA_FEES_EXCLUDED_LTV</vt:lpstr>
      <vt:lpstr>DATA_FHA_LETTER_REQ_FLAG</vt:lpstr>
      <vt:lpstr>DATA_FHC_ENROLLED_FLAG</vt:lpstr>
      <vt:lpstr>DATA_FIRST_MTG_LOAN_AMT</vt:lpstr>
      <vt:lpstr>DATA_FIRST_MTG_LOAN_TYPE</vt:lpstr>
      <vt:lpstr>DATA_FIRST_TIME_HOMEBUYER_FLAG</vt:lpstr>
      <vt:lpstr>DATA_HOUSING_EXP_INC_RATIO</vt:lpstr>
      <vt:lpstr>DATA_HSEHLD_ADDR</vt:lpstr>
      <vt:lpstr>DATA_HSEHLD_BANNER</vt:lpstr>
      <vt:lpstr>DATA_HSEHLD_CONTRIBUTION_AMT</vt:lpstr>
      <vt:lpstr>DATA_HSEHLD_INC_AMT</vt:lpstr>
      <vt:lpstr>DATA_HSEHLD_INC_PCT_MFI</vt:lpstr>
      <vt:lpstr>DATA_HSEHLD_NO</vt:lpstr>
      <vt:lpstr>DATA_HSEHLD_OTHER_GRANT_AHP_FLAG</vt:lpstr>
      <vt:lpstr>DATA_HSEHLD_OTHER_GRANT_FHLBNY_FLAG</vt:lpstr>
      <vt:lpstr>DATA_HSEHLD_OTHER_GRANT_HDP_FLAG</vt:lpstr>
      <vt:lpstr>DATA_HSEHLD_OTHER_GRANT_HDPP_FLAG</vt:lpstr>
      <vt:lpstr>DATA_HSEHLD_OTHER_GRANT_HDPWB_FLAG</vt:lpstr>
      <vt:lpstr>DATA_HSEHLD_OTHER_GRANT_TOTAL_AMT</vt:lpstr>
      <vt:lpstr>DATA_ICW_COMPLETE_FLAG</vt:lpstr>
      <vt:lpstr>DATA_INC_AREA_KEY</vt:lpstr>
      <vt:lpstr>DATA_INC_AREA_NAME</vt:lpstr>
      <vt:lpstr>DATA_INC_AREA_NAME_VALID</vt:lpstr>
      <vt:lpstr>DATA_INC_AREA_STATE_CODE</vt:lpstr>
      <vt:lpstr>DATA_INC_GUIDLN_CODE</vt:lpstr>
      <vt:lpstr>DATA_INC_LOOKUP_AREA_ARR_LEN</vt:lpstr>
      <vt:lpstr>DATA_INC_LOOKUP_AREA_HEADER_PTR</vt:lpstr>
      <vt:lpstr>DATA_INC_LOOKUP_OFFSET_ROW</vt:lpstr>
      <vt:lpstr>DATA_INC_LOOKUP_STATE_CNTY_KEY</vt:lpstr>
      <vt:lpstr>DATA_INC_MFI_AMT</vt:lpstr>
      <vt:lpstr>DATA_LOOKUP_OFFSET_ROW</vt:lpstr>
      <vt:lpstr>DATA_LTV</vt:lpstr>
      <vt:lpstr>DATA_MAX_ALLOWABLE_INCOME</vt:lpstr>
      <vt:lpstr>DATA_MAX_ALLOWABLE_INCOME_PCT</vt:lpstr>
      <vt:lpstr>DATA_MEMBER_CERTIFICATION_DATE</vt:lpstr>
      <vt:lpstr>DATA_MEMBER_NAME</vt:lpstr>
      <vt:lpstr>DATA_MIN_ALLOWABLE_INCOME</vt:lpstr>
      <vt:lpstr>DATA_MIN_ALLOWABLE_INCOME_PCT</vt:lpstr>
      <vt:lpstr>DATA_NONPROF_AGCY_NAME_OTHER</vt:lpstr>
      <vt:lpstr>DATA_NONPROF_AGCY_NAME_OTHER_REQUIRED</vt:lpstr>
      <vt:lpstr>DATA_NONPROF_AGCY_NAME_SELECT</vt:lpstr>
      <vt:lpstr>DATA_OTHER_FHLB_GRANT_FLAG</vt:lpstr>
      <vt:lpstr>DATA_OTHER_NON_FHLB_GRANT_FLAG</vt:lpstr>
      <vt:lpstr>DATA_PRIM_BORW_FULL_NAME</vt:lpstr>
      <vt:lpstr>DATA_PRIMARY_RESIDENCE_FLAG</vt:lpstr>
      <vt:lpstr>DATA_PROPTY_ADDR</vt:lpstr>
      <vt:lpstr>DATA_PROPTY_ADDRESS_UNIFIED</vt:lpstr>
      <vt:lpstr>DATA_PROPTY_BLDG_TYPE_UI</vt:lpstr>
      <vt:lpstr>DATA_PROPTY_CNTY_NAME</vt:lpstr>
      <vt:lpstr>DATA_PROPTY_CNTY_NAME_VALID</vt:lpstr>
      <vt:lpstr>DATA_PROPTY_STATE_CODE</vt:lpstr>
      <vt:lpstr>DATA_PROPTY_ZIP_CODE</vt:lpstr>
      <vt:lpstr>DATA_RESERVATION_DATE</vt:lpstr>
      <vt:lpstr>DATA_SECOND_MTG_FLAG</vt:lpstr>
      <vt:lpstr>DATA_THRD_BORW_STARTED_FLAG</vt:lpstr>
      <vt:lpstr>DATA_TOTAL_DEBT_INC_RATIO</vt:lpstr>
      <vt:lpstr>DATA_TOTAL_GRANT_REQ_AMT</vt:lpstr>
      <vt:lpstr>EFORM_TYPE_CODE_ADDLDOC</vt:lpstr>
      <vt:lpstr>EFORM_TYPE_CODE_DISBURSEMENT</vt:lpstr>
      <vt:lpstr>EFORM_TYPE_CODE_RESERVATION</vt:lpstr>
      <vt:lpstr>HOUSEHOLD_NUM_ADULTS</vt:lpstr>
      <vt:lpstr>HOUSEHOLD_NUM_CHILDREN</vt:lpstr>
      <vt:lpstr>ICW_BONUS_CERT_COMPLETE_FLAG</vt:lpstr>
      <vt:lpstr>ICW_BONUS_CERT_REQ_FLAG</vt:lpstr>
      <vt:lpstr>ICW_BONUS_ONETIME_CERTIFICATION</vt:lpstr>
      <vt:lpstr>ICW_BONUS_SUBTOTAL</vt:lpstr>
      <vt:lpstr>ICW_HOUSEHOLD_SIZE</vt:lpstr>
      <vt:lpstr>ICW_TOTAL_INCOME</vt:lpstr>
      <vt:lpstr>INC_GUIDLN_CODE_CATCHALL</vt:lpstr>
      <vt:lpstr>ADL_4!INCOME_AREA_NAME_HEADER_HUD</vt:lpstr>
      <vt:lpstr>DSB_4!INCOME_AREA_NAME_HEADER_HUD</vt:lpstr>
      <vt:lpstr>INCOME_AREA_NAME_HEADER_HUD</vt:lpstr>
      <vt:lpstr>ADL_4!INCOME_AREA_NAME_HEADER_MRB</vt:lpstr>
      <vt:lpstr>DSB_4!INCOME_AREA_NAME_HEADER_MRB</vt:lpstr>
      <vt:lpstr>INCOME_AREA_NAME_HEADER_MRB</vt:lpstr>
      <vt:lpstr>INCOME_AREA_NOT_READY</vt:lpstr>
      <vt:lpstr>INCOME_SUBTOTAL_A1</vt:lpstr>
      <vt:lpstr>INCOME_SUBTOTAL_A2</vt:lpstr>
      <vt:lpstr>INCOME_SUBTOTAL_A3</vt:lpstr>
      <vt:lpstr>INCOME_SUBTOTAL_A4</vt:lpstr>
      <vt:lpstr>INCOME_SUBTOTAL_B</vt:lpstr>
      <vt:lpstr>INCOME_SUBTOTAL_C</vt:lpstr>
      <vt:lpstr>INCOME_SUBTOTAL_D</vt:lpstr>
      <vt:lpstr>INCOME_SUBTOTAL_E</vt:lpstr>
      <vt:lpstr>INCOME_SUBTOTAL_F</vt:lpstr>
      <vt:lpstr>LOOKUP_AMI_TABLE</vt:lpstr>
      <vt:lpstr>LOOKUP_PROGRAM_NAME_HDP</vt:lpstr>
      <vt:lpstr>LOOKUP_PROGRAM_NAME_HDPPLUS</vt:lpstr>
      <vt:lpstr>LOOKUP_PROGRAM_NAME_HDPWB</vt:lpstr>
      <vt:lpstr>MTG_TYPE_FIXED</vt:lpstr>
      <vt:lpstr>MTG_TYPE_VARIABLE</vt:lpstr>
      <vt:lpstr>ADL_2!Print_Area</vt:lpstr>
      <vt:lpstr>ADL_3!Print_Area</vt:lpstr>
      <vt:lpstr>ADL_4!Print_Area</vt:lpstr>
      <vt:lpstr>Configuration!Print_Area</vt:lpstr>
      <vt:lpstr>DSB_2!Print_Area</vt:lpstr>
      <vt:lpstr>DSB_3!Print_Area</vt:lpstr>
      <vt:lpstr>DSB_4!Print_Area</vt:lpstr>
      <vt:lpstr>ICW!Print_Area</vt:lpstr>
      <vt:lpstr>MFI_NJ_REG!Print_Area</vt:lpstr>
      <vt:lpstr>MFI_NJ_VOL!Print_Area</vt:lpstr>
      <vt:lpstr>MFI_NY_REG!Print_Area</vt:lpstr>
      <vt:lpstr>MFI_NY_VOL!Print_Area</vt:lpstr>
      <vt:lpstr>MFI_PR_REG!Print_Area</vt:lpstr>
      <vt:lpstr>MFI_PR_VOL!Print_Area</vt:lpstr>
      <vt:lpstr>MFI_VI_REG!Print_Area</vt:lpstr>
      <vt:lpstr>MFI_VI_VOL!Print_Area</vt:lpstr>
      <vt:lpstr>RES_2!Print_Area</vt:lpstr>
      <vt:lpstr>RES_3!Print_Area</vt:lpstr>
      <vt:lpstr>RES_4!Print_Area</vt:lpstr>
      <vt:lpstr>WELCOME!Print_Area</vt:lpstr>
      <vt:lpstr>Configuration!Print_Titles</vt:lpstr>
      <vt:lpstr>ICW!Print_Titles</vt:lpstr>
      <vt:lpstr>MFI_NY_REG!Print_Titles</vt:lpstr>
      <vt:lpstr>MFI_NY_VOL!Print_Titles</vt:lpstr>
      <vt:lpstr>MFI_OTHER_REG!Print_Titles</vt:lpstr>
      <vt:lpstr>MFI_PR_REG!Print_Titles</vt:lpstr>
      <vt:lpstr>MFI_PR_VOL!Print_Titles</vt:lpstr>
      <vt:lpstr>MFI_VI_REG!Print_Titles</vt:lpstr>
      <vt:lpstr>MFI_VI_VOL!Print_Titles</vt:lpstr>
      <vt:lpstr>RANGE_LOOKUP_CHILDSUPPORT_PYMT_FREQ</vt:lpstr>
      <vt:lpstr>RANGE_LOOKUP_COUNSELING_AGENCIES</vt:lpstr>
      <vt:lpstr>RANGE_LOOKUP_COUNTY_PLACEHOLDER</vt:lpstr>
      <vt:lpstr>RANGE_LOOKUP_DEPENDENTS</vt:lpstr>
      <vt:lpstr>'$DB.EXPORT.DSB'!RANGE_LOOKUP_EFORM_TYPE</vt:lpstr>
      <vt:lpstr>'$DB.EXPORT.XREF'!RANGE_LOOKUP_EFORM_TYPE</vt:lpstr>
      <vt:lpstr>ADL_2!RANGE_LOOKUP_EFORM_TYPE</vt:lpstr>
      <vt:lpstr>ADL_4!RANGE_LOOKUP_EFORM_TYPE</vt:lpstr>
      <vt:lpstr>DSB_2!RANGE_LOOKUP_EFORM_TYPE</vt:lpstr>
      <vt:lpstr>DSB_4!RANGE_LOOKUP_EFORM_TYPE</vt:lpstr>
      <vt:lpstr>MFI_OTHER_REG!RANGE_LOOKUP_EFORM_TYPE</vt:lpstr>
      <vt:lpstr>RES_4!RANGE_LOOKUP_EFORM_TYPE</vt:lpstr>
      <vt:lpstr>RANGE_LOOKUP_EFORM_TYPE</vt:lpstr>
      <vt:lpstr>ADL_4!RANGE_LOOKUP_EFORM_TYPE_CODE</vt:lpstr>
      <vt:lpstr>DSB_4!RANGE_LOOKUP_EFORM_TYPE_CODE</vt:lpstr>
      <vt:lpstr>RES_4!RANGE_LOOKUP_EFORM_TYPE_CODE</vt:lpstr>
      <vt:lpstr>RANGE_LOOKUP_EFORM_TYPE_CODE</vt:lpstr>
      <vt:lpstr>ADL_4!RANGE_LOOKUP_EFORM_TYPE_NAME</vt:lpstr>
      <vt:lpstr>DSB_4!RANGE_LOOKUP_EFORM_TYPE_NAME</vt:lpstr>
      <vt:lpstr>RES_4!RANGE_LOOKUP_EFORM_TYPE_NAME</vt:lpstr>
      <vt:lpstr>RANGE_LOOKUP_EFORM_TYPE_NAME</vt:lpstr>
      <vt:lpstr>RANGE_LOOKUP_INC_GUIDLN_CODE</vt:lpstr>
      <vt:lpstr>RANGE_LOOKUP_MARITALSTATUS</vt:lpstr>
      <vt:lpstr>RANGE_LOOKUP_MTG_TYPE</vt:lpstr>
      <vt:lpstr>RANGE_LOOKUP_PAYSTUBS_PER_YEAR</vt:lpstr>
      <vt:lpstr>RANGE_LOOKUP_PREFIX</vt:lpstr>
      <vt:lpstr>ADL_4!RANGE_LOOKUP_PROGRAM_ID</vt:lpstr>
      <vt:lpstr>DSB_4!RANGE_LOOKUP_PROGRAM_ID</vt:lpstr>
      <vt:lpstr>RES_4!RANGE_LOOKUP_PROGRAM_ID</vt:lpstr>
      <vt:lpstr>RANGE_LOOKUP_PROGRAM_ID</vt:lpstr>
      <vt:lpstr>ADL_4!RANGE_LOOKUP_PROGRAM_NAME</vt:lpstr>
      <vt:lpstr>DSB_4!RANGE_LOOKUP_PROGRAM_NAME</vt:lpstr>
      <vt:lpstr>RES_4!RANGE_LOOKUP_PROGRAM_NAME</vt:lpstr>
      <vt:lpstr>RANGE_LOOKUP_PROGRAM_NAME</vt:lpstr>
      <vt:lpstr>RANGE_LOOKUP_PROPTY_BLDG_TYPE_CICODE</vt:lpstr>
      <vt:lpstr>RANGE_LOOKUP_PROPTY_BLDG_TYPE_UI</vt:lpstr>
      <vt:lpstr>RANGE_LOOKUP_SECTD_INCOMESOURCE</vt:lpstr>
      <vt:lpstr>RANGE_LOOKUP_SECTE_INCOMESOURCE</vt:lpstr>
      <vt:lpstr>RANGE_LOOKUP_STATE</vt:lpstr>
      <vt:lpstr>RANGE_LOOKUP_STATE_ALLSTATES</vt:lpstr>
      <vt:lpstr>RANGE_LOOKUP_VOE_PYMT_FREQ</vt:lpstr>
      <vt:lpstr>RANGE_LOOKUP_VOE_PYMT_FREQ_HOURLY</vt:lpstr>
      <vt:lpstr>RANGE_LOOKUP_YESNO</vt:lpstr>
      <vt:lpstr>RANGE_LOOKUP_YESNONA</vt:lpstr>
      <vt:lpstr>SA_PROGRAM_NAME</vt:lpstr>
      <vt:lpstr>STATE_CODE_NJ</vt:lpstr>
      <vt:lpstr>STATE_CODE_NY</vt:lpstr>
      <vt:lpstr>STATE_CODE_PR</vt:lpstr>
      <vt:lpstr>STATE_CODE_VI</vt:lpstr>
      <vt:lpstr>TARGET_ADL_2_1</vt:lpstr>
      <vt:lpstr>TARGET_ADL_2_2</vt:lpstr>
      <vt:lpstr>TARGET_ADL_2_3</vt:lpstr>
      <vt:lpstr>TARGET_ADL_2_ICW_BOOKMARK</vt:lpstr>
      <vt:lpstr>TARGET_ADL_2_TOP</vt:lpstr>
      <vt:lpstr>TARGET_ADL_3_1</vt:lpstr>
      <vt:lpstr>TARGET_ADL_3_2</vt:lpstr>
      <vt:lpstr>TARGET_ADL_3_3</vt:lpstr>
      <vt:lpstr>TARGET_ADL_3_ICW_BOOKMARK</vt:lpstr>
      <vt:lpstr>TARGET_ADL_3_TOP</vt:lpstr>
      <vt:lpstr>TARGET_ADL_4_1</vt:lpstr>
      <vt:lpstr>TARGET_ADL_4_2</vt:lpstr>
      <vt:lpstr>TARGET_ADL_4_3</vt:lpstr>
      <vt:lpstr>TARGET_ADL_4_ICW_BOOKMARK</vt:lpstr>
      <vt:lpstr>TARGET_ADL_4_TOP</vt:lpstr>
      <vt:lpstr>TARGET_CONFIG_TOP</vt:lpstr>
      <vt:lpstr>TARGET_DISB_2_5</vt:lpstr>
      <vt:lpstr>TARGET_DISB_2_6</vt:lpstr>
      <vt:lpstr>TARGET_DISB_3_5</vt:lpstr>
      <vt:lpstr>TARGET_DISB_3_6</vt:lpstr>
      <vt:lpstr>TARGET_DISB_4_5</vt:lpstr>
      <vt:lpstr>TARGET_DISB_4_6</vt:lpstr>
      <vt:lpstr>TARGET_DSB_2_1</vt:lpstr>
      <vt:lpstr>TARGET_DSB_2_2</vt:lpstr>
      <vt:lpstr>TARGET_DSB_2_3</vt:lpstr>
      <vt:lpstr>TARGET_DSB_2_4</vt:lpstr>
      <vt:lpstr>TARGET_DSB_2_TOP</vt:lpstr>
      <vt:lpstr>TARGET_DSB_3_1</vt:lpstr>
      <vt:lpstr>TARGET_DSB_3_2</vt:lpstr>
      <vt:lpstr>TARGET_DSB_3_3</vt:lpstr>
      <vt:lpstr>TARGET_DSB_3_4</vt:lpstr>
      <vt:lpstr>TARGET_DSB_3_TOP</vt:lpstr>
      <vt:lpstr>TARGET_DSB_4_1</vt:lpstr>
      <vt:lpstr>TARGET_DSB_4_2</vt:lpstr>
      <vt:lpstr>TARGET_DSB_4_3</vt:lpstr>
      <vt:lpstr>TARGET_DSB_4_4</vt:lpstr>
      <vt:lpstr>TARGET_DSB_4_TOP</vt:lpstr>
      <vt:lpstr>TARGET_RES_2_1</vt:lpstr>
      <vt:lpstr>TARGET_RES_2_2</vt:lpstr>
      <vt:lpstr>TARGET_RES_2_3</vt:lpstr>
      <vt:lpstr>TARGET_RES_2_4</vt:lpstr>
      <vt:lpstr>TARGET_RES_2_5</vt:lpstr>
      <vt:lpstr>TARGET_RES_2_6</vt:lpstr>
      <vt:lpstr>TARGET_RES_2_ICW_BOOKMARK</vt:lpstr>
      <vt:lpstr>TARGET_RES_3_1</vt:lpstr>
      <vt:lpstr>TARGET_RES_3_2</vt:lpstr>
      <vt:lpstr>TARGET_RES_3_3</vt:lpstr>
      <vt:lpstr>TARGET_RES_3_4</vt:lpstr>
      <vt:lpstr>TARGET_RES_3_5</vt:lpstr>
      <vt:lpstr>TARGET_RES_3_6</vt:lpstr>
      <vt:lpstr>TARGET_RES_3_ICW_BOOKMARK</vt:lpstr>
      <vt:lpstr>TARGET_RES_4_1</vt:lpstr>
      <vt:lpstr>TARGET_RES_4_2</vt:lpstr>
      <vt:lpstr>TARGET_RES_4_3</vt:lpstr>
      <vt:lpstr>TARGET_RES_4_4</vt:lpstr>
      <vt:lpstr>TARGET_RES_4_5</vt:lpstr>
      <vt:lpstr>TARGET_RES_4_6</vt:lpstr>
      <vt:lpstr>TARGET_RES_4_ICW_BOOKMARK</vt:lpstr>
      <vt:lpstr>TARGET_RESERVATION_2_TOP</vt:lpstr>
      <vt:lpstr>TARGET_RESERVATION_3_TOP</vt:lpstr>
      <vt:lpstr>TARGET_RESERVATION_4_TOP</vt:lpstr>
      <vt:lpstr>TARGET_TOP_ICW</vt:lpstr>
      <vt:lpstr>TARGET_TOP_MFI_NJ_REG</vt:lpstr>
      <vt:lpstr>TARGET_TOP_MFI_NJ_VOL</vt:lpstr>
      <vt:lpstr>TARGET_TOP_MFI_NY_REG</vt:lpstr>
      <vt:lpstr>TARGET_TOP_MFI_NY_VOL</vt:lpstr>
      <vt:lpstr>TARGET_TOP_MFI_OTHER_REG</vt:lpstr>
      <vt:lpstr>TARGET_TOP_MFI_PR_REG</vt:lpstr>
      <vt:lpstr>TARGET_TOP_MFI_PR_VOL</vt:lpstr>
      <vt:lpstr>TARGET_TOP_MFI_VI_REG</vt:lpstr>
      <vt:lpstr>TARGET_TOP_MFI_VI_VOL</vt:lpstr>
      <vt:lpstr>TARGET_WELCOME_TOP</vt:lpstr>
      <vt:lpstr>THRD_BORW_STARTED_FLAG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Jeff LeSauvage</cp:lastModifiedBy>
  <cp:lastPrinted>2025-10-03T23:11:53Z</cp:lastPrinted>
  <dcterms:created xsi:type="dcterms:W3CDTF">2006-09-16T00:00:00Z</dcterms:created>
  <dcterms:modified xsi:type="dcterms:W3CDTF">2026-05-20T13:50:49Z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{3B718BCC-3F44-49A1-AB66-B0EAD00B6F24}</vt:lpwstr>
  </property>
</Properties>
</file>